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drawings/drawing5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6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leorupena/Raiffeisen_Projekt/static/"/>
    </mc:Choice>
  </mc:AlternateContent>
  <xr:revisionPtr revIDLastSave="0" documentId="8_{B2A5709C-9F3B-224A-9D22-46C99DDBF746}" xr6:coauthVersionLast="47" xr6:coauthVersionMax="47" xr10:uidLastSave="{00000000-0000-0000-0000-000000000000}"/>
  <bookViews>
    <workbookView xWindow="0" yWindow="500" windowWidth="28800" windowHeight="16500" xr2:uid="{1A05D172-4319-744F-8B23-C36E46CEC201}"/>
  </bookViews>
  <sheets>
    <sheet name="General overview" sheetId="1" r:id="rId1"/>
    <sheet name="CF Timeline" sheetId="6" r:id="rId2"/>
    <sheet name="Income and Pension" sheetId="2" r:id="rId3"/>
    <sheet name="Partner Income and Pension" sheetId="15" r:id="rId4"/>
    <sheet name="Taxes" sheetId="5" r:id="rId5"/>
    <sheet name="Taxes new postcode" sheetId="14" r:id="rId6"/>
    <sheet name="Luxus " sheetId="9" r:id="rId7"/>
    <sheet name="Health insurance" sheetId="12" r:id="rId8"/>
    <sheet name="Health insurance new postcode" sheetId="16" r:id="rId9"/>
    <sheet name="Investments" sheetId="4" r:id="rId10"/>
    <sheet name="Pension calculator 3a" sheetId="10" r:id="rId11"/>
    <sheet name="House calculator " sheetId="11" r:id="rId12"/>
    <sheet name="Realestate" sheetId="7" r:id="rId13"/>
    <sheet name="RE" sheetId="19" r:id="rId14"/>
    <sheet name="Children" sheetId="8" r:id="rId15"/>
    <sheet name="RC" sheetId="3" r:id="rId16"/>
  </sheets>
  <definedNames>
    <definedName name="_xlnm._FilterDatabase" localSheetId="1" hidden="1">'CF Timeline'!$B$197:$C$248</definedName>
    <definedName name="_xlnm._FilterDatabase" localSheetId="12" hidden="1">Realestate!$A$1:$G$2407</definedName>
    <definedName name="_xlnm.Criteria" localSheetId="1">'CF Timeline'!#REF!</definedName>
    <definedName name="_xlnm.Extract" localSheetId="1">'CF Timeline'!#REF!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" i="1" l="1"/>
  <c r="C10" i="2"/>
  <c r="C30" i="2"/>
  <c r="C1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J30" i="2"/>
  <c r="D11" i="6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D12" i="6"/>
  <c r="D13" i="6"/>
  <c r="K30" i="2"/>
  <c r="M14" i="5"/>
  <c r="Q14" i="5"/>
  <c r="R14" i="5"/>
  <c r="Z14" i="5"/>
  <c r="AB14" i="5"/>
  <c r="S14" i="5"/>
  <c r="T14" i="5"/>
  <c r="U14" i="5"/>
  <c r="D14" i="6"/>
  <c r="D15" i="6"/>
  <c r="D18" i="6"/>
  <c r="D19" i="6"/>
  <c r="D25" i="6"/>
  <c r="D26" i="6"/>
  <c r="D39" i="6"/>
  <c r="D40" i="6"/>
  <c r="C31" i="2"/>
  <c r="J31" i="2"/>
  <c r="E11" i="6"/>
  <c r="E12" i="6"/>
  <c r="E13" i="6"/>
  <c r="K31" i="2"/>
  <c r="M15" i="5"/>
  <c r="Q15" i="5"/>
  <c r="R15" i="5"/>
  <c r="Z15" i="5"/>
  <c r="AB15" i="5"/>
  <c r="S15" i="5"/>
  <c r="T15" i="5"/>
  <c r="U15" i="5"/>
  <c r="E14" i="6"/>
  <c r="E15" i="6"/>
  <c r="E18" i="6"/>
  <c r="E19" i="6"/>
  <c r="E25" i="6"/>
  <c r="E26" i="6"/>
  <c r="E39" i="6"/>
  <c r="E40" i="6"/>
  <c r="C32" i="2"/>
  <c r="J32" i="2"/>
  <c r="F11" i="6"/>
  <c r="F12" i="6"/>
  <c r="F13" i="6"/>
  <c r="K32" i="2"/>
  <c r="M16" i="5"/>
  <c r="Q16" i="5"/>
  <c r="R16" i="5"/>
  <c r="Z16" i="5"/>
  <c r="AB16" i="5"/>
  <c r="S16" i="5"/>
  <c r="T16" i="5"/>
  <c r="U16" i="5"/>
  <c r="F14" i="6"/>
  <c r="F15" i="6"/>
  <c r="F18" i="6"/>
  <c r="F19" i="6"/>
  <c r="F25" i="6"/>
  <c r="F26" i="6"/>
  <c r="F39" i="6"/>
  <c r="F40" i="6"/>
  <c r="C33" i="2"/>
  <c r="J33" i="2"/>
  <c r="G11" i="6"/>
  <c r="G12" i="6"/>
  <c r="G13" i="6"/>
  <c r="K33" i="2"/>
  <c r="K17" i="14"/>
  <c r="O17" i="14"/>
  <c r="P17" i="14"/>
  <c r="W17" i="14"/>
  <c r="Y17" i="14"/>
  <c r="Q17" i="14"/>
  <c r="R17" i="14"/>
  <c r="S17" i="14"/>
  <c r="G14" i="6"/>
  <c r="G15" i="6"/>
  <c r="G18" i="6"/>
  <c r="G19" i="6"/>
  <c r="G24" i="6"/>
  <c r="G25" i="6"/>
  <c r="G26" i="6"/>
  <c r="G39" i="6"/>
  <c r="G40" i="6"/>
  <c r="C34" i="2"/>
  <c r="J34" i="2"/>
  <c r="H11" i="6"/>
  <c r="H12" i="6"/>
  <c r="H13" i="6"/>
  <c r="K34" i="2"/>
  <c r="K18" i="14"/>
  <c r="O18" i="14"/>
  <c r="P18" i="14"/>
  <c r="W18" i="14"/>
  <c r="Y18" i="14"/>
  <c r="Q18" i="14"/>
  <c r="R18" i="14"/>
  <c r="S18" i="14"/>
  <c r="H14" i="6"/>
  <c r="H15" i="6"/>
  <c r="H18" i="6"/>
  <c r="H19" i="6"/>
  <c r="H24" i="6"/>
  <c r="H25" i="6"/>
  <c r="H26" i="6"/>
  <c r="H39" i="6"/>
  <c r="H40" i="6"/>
  <c r="C35" i="2"/>
  <c r="J35" i="2"/>
  <c r="I11" i="6"/>
  <c r="I12" i="6"/>
  <c r="I13" i="6"/>
  <c r="K35" i="2"/>
  <c r="K19" i="14"/>
  <c r="O19" i="14"/>
  <c r="P19" i="14"/>
  <c r="W19" i="14"/>
  <c r="Y19" i="14"/>
  <c r="Q19" i="14"/>
  <c r="R19" i="14"/>
  <c r="S19" i="14"/>
  <c r="I14" i="6"/>
  <c r="I15" i="6"/>
  <c r="I18" i="6"/>
  <c r="I19" i="6"/>
  <c r="I24" i="6"/>
  <c r="I25" i="6"/>
  <c r="I26" i="6"/>
  <c r="I39" i="6"/>
  <c r="I40" i="6"/>
  <c r="C36" i="2"/>
  <c r="J36" i="2"/>
  <c r="J11" i="6"/>
  <c r="J12" i="6"/>
  <c r="J13" i="6"/>
  <c r="K36" i="2"/>
  <c r="K20" i="14"/>
  <c r="O20" i="14"/>
  <c r="P20" i="14"/>
  <c r="W20" i="14"/>
  <c r="Y20" i="14"/>
  <c r="Q20" i="14"/>
  <c r="R20" i="14"/>
  <c r="S20" i="14"/>
  <c r="J14" i="6"/>
  <c r="J15" i="6"/>
  <c r="J18" i="6"/>
  <c r="J19" i="6"/>
  <c r="J24" i="6"/>
  <c r="J25" i="6"/>
  <c r="J26" i="6"/>
  <c r="J39" i="6"/>
  <c r="J40" i="6"/>
  <c r="C37" i="2"/>
  <c r="J37" i="2"/>
  <c r="K11" i="6"/>
  <c r="K12" i="6"/>
  <c r="K13" i="6"/>
  <c r="K37" i="2"/>
  <c r="K21" i="14"/>
  <c r="O21" i="14"/>
  <c r="P21" i="14"/>
  <c r="W21" i="14"/>
  <c r="Y21" i="14"/>
  <c r="Q21" i="14"/>
  <c r="R21" i="14"/>
  <c r="S21" i="14"/>
  <c r="K14" i="6"/>
  <c r="K15" i="6"/>
  <c r="K18" i="6"/>
  <c r="K19" i="6"/>
  <c r="K24" i="6"/>
  <c r="K25" i="6"/>
  <c r="K26" i="6"/>
  <c r="K39" i="6"/>
  <c r="K40" i="6"/>
  <c r="C38" i="2"/>
  <c r="J38" i="2"/>
  <c r="L11" i="6"/>
  <c r="L12" i="6"/>
  <c r="L13" i="6"/>
  <c r="K38" i="2"/>
  <c r="K22" i="14"/>
  <c r="O22" i="14"/>
  <c r="P22" i="14"/>
  <c r="W22" i="14"/>
  <c r="Y22" i="14"/>
  <c r="Q22" i="14"/>
  <c r="R22" i="14"/>
  <c r="S22" i="14"/>
  <c r="L14" i="6"/>
  <c r="L15" i="6"/>
  <c r="L18" i="6"/>
  <c r="L19" i="6"/>
  <c r="L24" i="6"/>
  <c r="L25" i="6"/>
  <c r="L26" i="6"/>
  <c r="L39" i="6"/>
  <c r="L40" i="6"/>
  <c r="C39" i="2"/>
  <c r="J39" i="2"/>
  <c r="M11" i="6"/>
  <c r="M12" i="6"/>
  <c r="M13" i="6"/>
  <c r="K39" i="2"/>
  <c r="K23" i="14"/>
  <c r="O23" i="14"/>
  <c r="P23" i="14"/>
  <c r="W23" i="14"/>
  <c r="Y23" i="14"/>
  <c r="Q23" i="14"/>
  <c r="R23" i="14"/>
  <c r="S23" i="14"/>
  <c r="M14" i="6"/>
  <c r="M15" i="6"/>
  <c r="M18" i="6"/>
  <c r="M24" i="6"/>
  <c r="M25" i="6"/>
  <c r="M26" i="6"/>
  <c r="M39" i="6"/>
  <c r="M40" i="6"/>
  <c r="C40" i="2"/>
  <c r="J40" i="2"/>
  <c r="N11" i="6"/>
  <c r="N12" i="6"/>
  <c r="N13" i="6"/>
  <c r="K40" i="2"/>
  <c r="K24" i="14"/>
  <c r="O24" i="14"/>
  <c r="P24" i="14"/>
  <c r="W24" i="14"/>
  <c r="Y24" i="14"/>
  <c r="Q24" i="14"/>
  <c r="R24" i="14"/>
  <c r="S24" i="14"/>
  <c r="N14" i="6"/>
  <c r="N15" i="6"/>
  <c r="N18" i="6"/>
  <c r="N24" i="6"/>
  <c r="N25" i="6"/>
  <c r="N26" i="6"/>
  <c r="N39" i="6"/>
  <c r="N40" i="6"/>
  <c r="C41" i="2"/>
  <c r="J41" i="2"/>
  <c r="O11" i="6"/>
  <c r="O12" i="6"/>
  <c r="O13" i="6"/>
  <c r="K41" i="2"/>
  <c r="K25" i="14"/>
  <c r="O25" i="14"/>
  <c r="P25" i="14"/>
  <c r="W25" i="14"/>
  <c r="Y25" i="14"/>
  <c r="Q25" i="14"/>
  <c r="R25" i="14"/>
  <c r="S25" i="14"/>
  <c r="O14" i="6"/>
  <c r="O15" i="6"/>
  <c r="O18" i="6"/>
  <c r="O24" i="6"/>
  <c r="O25" i="6"/>
  <c r="O26" i="6"/>
  <c r="O39" i="6"/>
  <c r="O40" i="6"/>
  <c r="C42" i="2"/>
  <c r="J42" i="2"/>
  <c r="P11" i="6"/>
  <c r="P12" i="6"/>
  <c r="P13" i="6"/>
  <c r="K42" i="2"/>
  <c r="K26" i="14"/>
  <c r="O26" i="14"/>
  <c r="P26" i="14"/>
  <c r="W26" i="14"/>
  <c r="Y26" i="14"/>
  <c r="Q26" i="14"/>
  <c r="R26" i="14"/>
  <c r="S26" i="14"/>
  <c r="P14" i="6"/>
  <c r="P15" i="6"/>
  <c r="P18" i="6"/>
  <c r="P24" i="6"/>
  <c r="P25" i="6"/>
  <c r="P26" i="6"/>
  <c r="P39" i="6"/>
  <c r="P40" i="6"/>
  <c r="C43" i="2"/>
  <c r="J43" i="2"/>
  <c r="Q11" i="6"/>
  <c r="Q12" i="6"/>
  <c r="Q13" i="6"/>
  <c r="K43" i="2"/>
  <c r="K27" i="14"/>
  <c r="O27" i="14"/>
  <c r="P27" i="14"/>
  <c r="W27" i="14"/>
  <c r="Y27" i="14"/>
  <c r="Q27" i="14"/>
  <c r="R27" i="14"/>
  <c r="S27" i="14"/>
  <c r="Q14" i="6"/>
  <c r="Q15" i="6"/>
  <c r="Q18" i="6"/>
  <c r="Q24" i="6"/>
  <c r="Q25" i="6"/>
  <c r="Q26" i="6"/>
  <c r="Q39" i="6"/>
  <c r="Q40" i="6"/>
  <c r="C44" i="2"/>
  <c r="J44" i="2"/>
  <c r="R11" i="6"/>
  <c r="R12" i="6"/>
  <c r="R13" i="6"/>
  <c r="K44" i="2"/>
  <c r="K28" i="14"/>
  <c r="O28" i="14"/>
  <c r="P28" i="14"/>
  <c r="W28" i="14"/>
  <c r="Y28" i="14"/>
  <c r="Q28" i="14"/>
  <c r="R28" i="14"/>
  <c r="S28" i="14"/>
  <c r="R14" i="6"/>
  <c r="R15" i="6"/>
  <c r="R18" i="6"/>
  <c r="R24" i="6"/>
  <c r="R25" i="6"/>
  <c r="R26" i="6"/>
  <c r="R39" i="6"/>
  <c r="R40" i="6"/>
  <c r="C45" i="2"/>
  <c r="J45" i="2"/>
  <c r="S11" i="6"/>
  <c r="S12" i="6"/>
  <c r="S13" i="6"/>
  <c r="K45" i="2"/>
  <c r="K29" i="14"/>
  <c r="O29" i="14"/>
  <c r="P29" i="14"/>
  <c r="W29" i="14"/>
  <c r="Y29" i="14"/>
  <c r="Q29" i="14"/>
  <c r="R29" i="14"/>
  <c r="S29" i="14"/>
  <c r="S14" i="6"/>
  <c r="S15" i="6"/>
  <c r="S18" i="6"/>
  <c r="S24" i="6"/>
  <c r="S25" i="6"/>
  <c r="S26" i="6"/>
  <c r="S39" i="6"/>
  <c r="S40" i="6"/>
  <c r="C46" i="2"/>
  <c r="J46" i="2"/>
  <c r="T11" i="6"/>
  <c r="T12" i="6"/>
  <c r="T13" i="6"/>
  <c r="K46" i="2"/>
  <c r="K30" i="14"/>
  <c r="O30" i="14"/>
  <c r="P30" i="14"/>
  <c r="W30" i="14"/>
  <c r="Y30" i="14"/>
  <c r="Q30" i="14"/>
  <c r="R30" i="14"/>
  <c r="S30" i="14"/>
  <c r="T14" i="6"/>
  <c r="T15" i="6"/>
  <c r="T18" i="6"/>
  <c r="T24" i="6"/>
  <c r="T25" i="6"/>
  <c r="T26" i="6"/>
  <c r="T39" i="6"/>
  <c r="T40" i="6"/>
  <c r="C47" i="2"/>
  <c r="J47" i="2"/>
  <c r="U11" i="6"/>
  <c r="U12" i="6"/>
  <c r="U13" i="6"/>
  <c r="K47" i="2"/>
  <c r="K31" i="14"/>
  <c r="O31" i="14"/>
  <c r="P31" i="14"/>
  <c r="W31" i="14"/>
  <c r="Y31" i="14"/>
  <c r="Q31" i="14"/>
  <c r="R31" i="14"/>
  <c r="S31" i="14"/>
  <c r="U14" i="6"/>
  <c r="U15" i="6"/>
  <c r="U18" i="6"/>
  <c r="U24" i="6"/>
  <c r="U25" i="6"/>
  <c r="U26" i="6"/>
  <c r="U39" i="6"/>
  <c r="U40" i="6"/>
  <c r="C48" i="2"/>
  <c r="J48" i="2"/>
  <c r="V11" i="6"/>
  <c r="V12" i="6"/>
  <c r="V13" i="6"/>
  <c r="K48" i="2"/>
  <c r="K32" i="14"/>
  <c r="O32" i="14"/>
  <c r="P32" i="14"/>
  <c r="W32" i="14"/>
  <c r="Y32" i="14"/>
  <c r="Q32" i="14"/>
  <c r="R32" i="14"/>
  <c r="S32" i="14"/>
  <c r="V14" i="6"/>
  <c r="V15" i="6"/>
  <c r="V18" i="6"/>
  <c r="V24" i="6"/>
  <c r="V25" i="6"/>
  <c r="V26" i="6"/>
  <c r="V39" i="6"/>
  <c r="V40" i="6"/>
  <c r="C49" i="2"/>
  <c r="J49" i="2"/>
  <c r="W11" i="6"/>
  <c r="W12" i="6"/>
  <c r="W13" i="6"/>
  <c r="K49" i="2"/>
  <c r="K33" i="14"/>
  <c r="O33" i="14"/>
  <c r="P33" i="14"/>
  <c r="W33" i="14"/>
  <c r="Y33" i="14"/>
  <c r="Q33" i="14"/>
  <c r="R33" i="14"/>
  <c r="S33" i="14"/>
  <c r="W14" i="6"/>
  <c r="W15" i="6"/>
  <c r="W18" i="6"/>
  <c r="W24" i="6"/>
  <c r="W25" i="6"/>
  <c r="W26" i="6"/>
  <c r="W39" i="6"/>
  <c r="W40" i="6"/>
  <c r="C50" i="2"/>
  <c r="J50" i="2"/>
  <c r="X11" i="6"/>
  <c r="X12" i="6"/>
  <c r="X13" i="6"/>
  <c r="K50" i="2"/>
  <c r="K34" i="14"/>
  <c r="O34" i="14"/>
  <c r="P34" i="14"/>
  <c r="W34" i="14"/>
  <c r="Y34" i="14"/>
  <c r="Q34" i="14"/>
  <c r="R34" i="14"/>
  <c r="S34" i="14"/>
  <c r="X14" i="6"/>
  <c r="X15" i="6"/>
  <c r="X18" i="6"/>
  <c r="X24" i="6"/>
  <c r="X25" i="6"/>
  <c r="X26" i="6"/>
  <c r="X39" i="6"/>
  <c r="X40" i="6"/>
  <c r="C51" i="2"/>
  <c r="J51" i="2"/>
  <c r="Y11" i="6"/>
  <c r="Y12" i="6"/>
  <c r="Y13" i="6"/>
  <c r="K51" i="2"/>
  <c r="K35" i="14"/>
  <c r="O35" i="14"/>
  <c r="P35" i="14"/>
  <c r="W35" i="14"/>
  <c r="Y35" i="14"/>
  <c r="Q35" i="14"/>
  <c r="R35" i="14"/>
  <c r="S35" i="14"/>
  <c r="Y14" i="6"/>
  <c r="Y15" i="6"/>
  <c r="Y18" i="6"/>
  <c r="Y24" i="6"/>
  <c r="Y25" i="6"/>
  <c r="Y26" i="6"/>
  <c r="Y39" i="6"/>
  <c r="Y40" i="6"/>
  <c r="C52" i="2"/>
  <c r="J52" i="2"/>
  <c r="Z11" i="6"/>
  <c r="Z12" i="6"/>
  <c r="Z13" i="6"/>
  <c r="K52" i="2"/>
  <c r="K36" i="14"/>
  <c r="O36" i="14"/>
  <c r="P36" i="14"/>
  <c r="W36" i="14"/>
  <c r="Y36" i="14"/>
  <c r="Q36" i="14"/>
  <c r="R36" i="14"/>
  <c r="S36" i="14"/>
  <c r="Z14" i="6"/>
  <c r="Z15" i="6"/>
  <c r="Z18" i="6"/>
  <c r="Z24" i="6"/>
  <c r="Z25" i="6"/>
  <c r="Z26" i="6"/>
  <c r="Z39" i="6"/>
  <c r="Z40" i="6"/>
  <c r="C53" i="2"/>
  <c r="J53" i="2"/>
  <c r="AA11" i="6"/>
  <c r="AA12" i="6"/>
  <c r="AA13" i="6"/>
  <c r="K53" i="2"/>
  <c r="K37" i="14"/>
  <c r="O37" i="14"/>
  <c r="P37" i="14"/>
  <c r="W37" i="14"/>
  <c r="Y37" i="14"/>
  <c r="Q37" i="14"/>
  <c r="R37" i="14"/>
  <c r="S37" i="14"/>
  <c r="AA14" i="6"/>
  <c r="AA15" i="6"/>
  <c r="AA18" i="6"/>
  <c r="AA24" i="6"/>
  <c r="AA25" i="6"/>
  <c r="AA26" i="6"/>
  <c r="AA39" i="6"/>
  <c r="AA40" i="6"/>
  <c r="C54" i="2"/>
  <c r="J54" i="2"/>
  <c r="AB11" i="6"/>
  <c r="AB12" i="6"/>
  <c r="AB13" i="6"/>
  <c r="K54" i="2"/>
  <c r="K38" i="14"/>
  <c r="O38" i="14"/>
  <c r="P38" i="14"/>
  <c r="W38" i="14"/>
  <c r="Y38" i="14"/>
  <c r="Q38" i="14"/>
  <c r="R38" i="14"/>
  <c r="S38" i="14"/>
  <c r="AB14" i="6"/>
  <c r="AB15" i="6"/>
  <c r="AB18" i="6"/>
  <c r="AB24" i="6"/>
  <c r="AB25" i="6"/>
  <c r="AB26" i="6"/>
  <c r="AB39" i="6"/>
  <c r="AB40" i="6"/>
  <c r="C55" i="2"/>
  <c r="J55" i="2"/>
  <c r="AC11" i="6"/>
  <c r="AC12" i="6"/>
  <c r="AC13" i="6"/>
  <c r="K55" i="2"/>
  <c r="K39" i="14"/>
  <c r="O39" i="14"/>
  <c r="P39" i="14"/>
  <c r="W39" i="14"/>
  <c r="Y39" i="14"/>
  <c r="Q39" i="14"/>
  <c r="R39" i="14"/>
  <c r="S39" i="14"/>
  <c r="AC14" i="6"/>
  <c r="AC15" i="6"/>
  <c r="AC18" i="6"/>
  <c r="AC24" i="6"/>
  <c r="AC25" i="6"/>
  <c r="AC26" i="6"/>
  <c r="AC39" i="6"/>
  <c r="AC40" i="6"/>
  <c r="C56" i="2"/>
  <c r="J56" i="2"/>
  <c r="AD11" i="6"/>
  <c r="AD12" i="6"/>
  <c r="AD13" i="6"/>
  <c r="K56" i="2"/>
  <c r="K40" i="14"/>
  <c r="O40" i="14"/>
  <c r="P40" i="14"/>
  <c r="W40" i="14"/>
  <c r="Y40" i="14"/>
  <c r="Q40" i="14"/>
  <c r="R40" i="14"/>
  <c r="S40" i="14"/>
  <c r="AD14" i="6"/>
  <c r="AD15" i="6"/>
  <c r="AD18" i="6"/>
  <c r="AD24" i="6"/>
  <c r="AD25" i="6"/>
  <c r="AD26" i="6"/>
  <c r="AD39" i="6"/>
  <c r="AD40" i="6"/>
  <c r="C57" i="2"/>
  <c r="J57" i="2"/>
  <c r="AE11" i="6"/>
  <c r="AE12" i="6"/>
  <c r="AE13" i="6"/>
  <c r="K57" i="2"/>
  <c r="K41" i="14"/>
  <c r="O41" i="14"/>
  <c r="P41" i="14"/>
  <c r="W41" i="14"/>
  <c r="Y41" i="14"/>
  <c r="Q41" i="14"/>
  <c r="R41" i="14"/>
  <c r="S41" i="14"/>
  <c r="AE14" i="6"/>
  <c r="AE15" i="6"/>
  <c r="AE18" i="6"/>
  <c r="AE24" i="6"/>
  <c r="AE25" i="6"/>
  <c r="AE26" i="6"/>
  <c r="AE39" i="6"/>
  <c r="AE40" i="6"/>
  <c r="C58" i="2"/>
  <c r="J58" i="2"/>
  <c r="AF11" i="6"/>
  <c r="AF12" i="6"/>
  <c r="AF13" i="6"/>
  <c r="K58" i="2"/>
  <c r="K42" i="14"/>
  <c r="O42" i="14"/>
  <c r="P42" i="14"/>
  <c r="W42" i="14"/>
  <c r="Y42" i="14"/>
  <c r="Q42" i="14"/>
  <c r="R42" i="14"/>
  <c r="S42" i="14"/>
  <c r="AF14" i="6"/>
  <c r="AF15" i="6"/>
  <c r="AF18" i="6"/>
  <c r="AF24" i="6"/>
  <c r="AF25" i="6"/>
  <c r="AF26" i="6"/>
  <c r="AF39" i="6"/>
  <c r="AF40" i="6"/>
  <c r="C59" i="2"/>
  <c r="J59" i="2"/>
  <c r="AG11" i="6"/>
  <c r="AG12" i="6"/>
  <c r="AG13" i="6"/>
  <c r="K59" i="2"/>
  <c r="K43" i="14"/>
  <c r="O43" i="14"/>
  <c r="P43" i="14"/>
  <c r="W43" i="14"/>
  <c r="Y43" i="14"/>
  <c r="Q43" i="14"/>
  <c r="R43" i="14"/>
  <c r="S43" i="14"/>
  <c r="AG14" i="6"/>
  <c r="AG15" i="6"/>
  <c r="AG18" i="6"/>
  <c r="AG24" i="6"/>
  <c r="AG25" i="6"/>
  <c r="AG26" i="6"/>
  <c r="AG39" i="6"/>
  <c r="AG40" i="6"/>
  <c r="C60" i="2"/>
  <c r="J60" i="2"/>
  <c r="AH11" i="6"/>
  <c r="AH12" i="6"/>
  <c r="AH13" i="6"/>
  <c r="K60" i="2"/>
  <c r="K44" i="14"/>
  <c r="O44" i="14"/>
  <c r="P44" i="14"/>
  <c r="W44" i="14"/>
  <c r="Y44" i="14"/>
  <c r="Q44" i="14"/>
  <c r="R44" i="14"/>
  <c r="S44" i="14"/>
  <c r="AH14" i="6"/>
  <c r="AH15" i="6"/>
  <c r="AH18" i="6"/>
  <c r="AH24" i="6"/>
  <c r="AH25" i="6"/>
  <c r="AH26" i="6"/>
  <c r="AH39" i="6"/>
  <c r="AH40" i="6"/>
  <c r="C61" i="2"/>
  <c r="J61" i="2"/>
  <c r="AI11" i="6"/>
  <c r="AI12" i="6"/>
  <c r="AI13" i="6"/>
  <c r="K61" i="2"/>
  <c r="K45" i="14"/>
  <c r="O45" i="14"/>
  <c r="P45" i="14"/>
  <c r="W45" i="14"/>
  <c r="Y45" i="14"/>
  <c r="Q45" i="14"/>
  <c r="R45" i="14"/>
  <c r="S45" i="14"/>
  <c r="AI14" i="6"/>
  <c r="AI15" i="6"/>
  <c r="AI18" i="6"/>
  <c r="AI24" i="6"/>
  <c r="AI25" i="6"/>
  <c r="AI26" i="6"/>
  <c r="AI39" i="6"/>
  <c r="AI40" i="6"/>
  <c r="C62" i="2"/>
  <c r="J62" i="2"/>
  <c r="AJ11" i="6"/>
  <c r="AJ12" i="6"/>
  <c r="AJ13" i="6"/>
  <c r="K62" i="2"/>
  <c r="K46" i="14"/>
  <c r="O46" i="14"/>
  <c r="P46" i="14"/>
  <c r="W46" i="14"/>
  <c r="Y46" i="14"/>
  <c r="Q46" i="14"/>
  <c r="R46" i="14"/>
  <c r="S46" i="14"/>
  <c r="AJ14" i="6"/>
  <c r="AJ15" i="6"/>
  <c r="AJ18" i="6"/>
  <c r="AJ24" i="6"/>
  <c r="AJ25" i="6"/>
  <c r="AJ26" i="6"/>
  <c r="AJ39" i="6"/>
  <c r="AJ40" i="6"/>
  <c r="C63" i="2"/>
  <c r="J63" i="2"/>
  <c r="AK11" i="6"/>
  <c r="AK12" i="6"/>
  <c r="AK13" i="6"/>
  <c r="K63" i="2"/>
  <c r="K47" i="14"/>
  <c r="O47" i="14"/>
  <c r="P47" i="14"/>
  <c r="W47" i="14"/>
  <c r="Y47" i="14"/>
  <c r="Q47" i="14"/>
  <c r="R47" i="14"/>
  <c r="S47" i="14"/>
  <c r="AK14" i="6"/>
  <c r="AK15" i="6"/>
  <c r="AK18" i="6"/>
  <c r="AK24" i="6"/>
  <c r="AK25" i="6"/>
  <c r="AK26" i="6"/>
  <c r="AK39" i="6"/>
  <c r="AK40" i="6"/>
  <c r="C64" i="2"/>
  <c r="J64" i="2"/>
  <c r="AL11" i="6"/>
  <c r="AL12" i="6"/>
  <c r="AL13" i="6"/>
  <c r="K64" i="2"/>
  <c r="K48" i="14"/>
  <c r="O48" i="14"/>
  <c r="P48" i="14"/>
  <c r="W48" i="14"/>
  <c r="Y48" i="14"/>
  <c r="Q48" i="14"/>
  <c r="R48" i="14"/>
  <c r="S48" i="14"/>
  <c r="AL14" i="6"/>
  <c r="AL15" i="6"/>
  <c r="AL18" i="6"/>
  <c r="AL24" i="6"/>
  <c r="AL25" i="6"/>
  <c r="AL26" i="6"/>
  <c r="AL39" i="6"/>
  <c r="AL40" i="6"/>
  <c r="C65" i="2"/>
  <c r="J65" i="2"/>
  <c r="AM11" i="6"/>
  <c r="AM12" i="6"/>
  <c r="AM13" i="6"/>
  <c r="K65" i="2"/>
  <c r="K49" i="14"/>
  <c r="O49" i="14"/>
  <c r="P49" i="14"/>
  <c r="W49" i="14"/>
  <c r="Y49" i="14"/>
  <c r="Q49" i="14"/>
  <c r="R49" i="14"/>
  <c r="S49" i="14"/>
  <c r="AM14" i="6"/>
  <c r="AM15" i="6"/>
  <c r="AM18" i="6"/>
  <c r="AM24" i="6"/>
  <c r="AM25" i="6"/>
  <c r="AM26" i="6"/>
  <c r="AM39" i="6"/>
  <c r="AM40" i="6"/>
  <c r="C66" i="2"/>
  <c r="J66" i="2"/>
  <c r="AN11" i="6"/>
  <c r="AN12" i="6"/>
  <c r="AN13" i="6"/>
  <c r="K66" i="2"/>
  <c r="K50" i="14"/>
  <c r="O50" i="14"/>
  <c r="P50" i="14"/>
  <c r="W50" i="14"/>
  <c r="Y50" i="14"/>
  <c r="Q50" i="14"/>
  <c r="R50" i="14"/>
  <c r="S50" i="14"/>
  <c r="AN14" i="6"/>
  <c r="AN15" i="6"/>
  <c r="AN18" i="6"/>
  <c r="AN24" i="6"/>
  <c r="AN25" i="6"/>
  <c r="AN26" i="6"/>
  <c r="AN39" i="6"/>
  <c r="AN40" i="6"/>
  <c r="C67" i="2"/>
  <c r="J67" i="2"/>
  <c r="AO11" i="6"/>
  <c r="AO12" i="6"/>
  <c r="AO13" i="6"/>
  <c r="K67" i="2"/>
  <c r="K51" i="14"/>
  <c r="O51" i="14"/>
  <c r="P51" i="14"/>
  <c r="W51" i="14"/>
  <c r="Y51" i="14"/>
  <c r="Q51" i="14"/>
  <c r="R51" i="14"/>
  <c r="S51" i="14"/>
  <c r="AO14" i="6"/>
  <c r="AO15" i="6"/>
  <c r="AO18" i="6"/>
  <c r="AO24" i="6"/>
  <c r="AO25" i="6"/>
  <c r="AO26" i="6"/>
  <c r="AO39" i="6"/>
  <c r="AO40" i="6"/>
  <c r="C68" i="2"/>
  <c r="J68" i="2"/>
  <c r="AP11" i="6"/>
  <c r="AP12" i="6"/>
  <c r="AP13" i="6"/>
  <c r="K68" i="2"/>
  <c r="K52" i="14"/>
  <c r="O52" i="14"/>
  <c r="P52" i="14"/>
  <c r="W52" i="14"/>
  <c r="Y52" i="14"/>
  <c r="Q52" i="14"/>
  <c r="R52" i="14"/>
  <c r="S52" i="14"/>
  <c r="AP14" i="6"/>
  <c r="AP15" i="6"/>
  <c r="AP18" i="6"/>
  <c r="AP24" i="6"/>
  <c r="AP25" i="6"/>
  <c r="AP26" i="6"/>
  <c r="AP39" i="6"/>
  <c r="AP40" i="6"/>
  <c r="C69" i="2"/>
  <c r="J69" i="2"/>
  <c r="AQ11" i="6"/>
  <c r="AQ12" i="6"/>
  <c r="AQ13" i="6"/>
  <c r="K69" i="2"/>
  <c r="K53" i="14"/>
  <c r="O53" i="14"/>
  <c r="P53" i="14"/>
  <c r="W53" i="14"/>
  <c r="Y53" i="14"/>
  <c r="Q53" i="14"/>
  <c r="R53" i="14"/>
  <c r="S53" i="14"/>
  <c r="AQ14" i="6"/>
  <c r="AQ15" i="6"/>
  <c r="AQ18" i="6"/>
  <c r="AQ24" i="6"/>
  <c r="AQ25" i="6"/>
  <c r="AQ26" i="6"/>
  <c r="AQ39" i="6"/>
  <c r="AQ40" i="6"/>
  <c r="C70" i="2"/>
  <c r="J70" i="2"/>
  <c r="AR11" i="6"/>
  <c r="AR12" i="6"/>
  <c r="AR13" i="6"/>
  <c r="K70" i="2"/>
  <c r="K54" i="14"/>
  <c r="O54" i="14"/>
  <c r="P54" i="14"/>
  <c r="W54" i="14"/>
  <c r="Y54" i="14"/>
  <c r="Q54" i="14"/>
  <c r="R54" i="14"/>
  <c r="S54" i="14"/>
  <c r="AR14" i="6"/>
  <c r="AR15" i="6"/>
  <c r="AR18" i="6"/>
  <c r="AR24" i="6"/>
  <c r="AR25" i="6"/>
  <c r="AR26" i="6"/>
  <c r="AR39" i="6"/>
  <c r="AR40" i="6"/>
  <c r="C71" i="2"/>
  <c r="J71" i="2"/>
  <c r="AS11" i="6"/>
  <c r="AS12" i="6"/>
  <c r="AS13" i="6"/>
  <c r="K71" i="2"/>
  <c r="K55" i="14"/>
  <c r="O55" i="14"/>
  <c r="P55" i="14"/>
  <c r="W55" i="14"/>
  <c r="Y55" i="14"/>
  <c r="Q55" i="14"/>
  <c r="R55" i="14"/>
  <c r="S55" i="14"/>
  <c r="AS14" i="6"/>
  <c r="AS15" i="6"/>
  <c r="AS18" i="6"/>
  <c r="AS24" i="6"/>
  <c r="AS25" i="6"/>
  <c r="AS26" i="6"/>
  <c r="AS39" i="6"/>
  <c r="AS40" i="6"/>
  <c r="C72" i="2"/>
  <c r="J72" i="2"/>
  <c r="AT11" i="6"/>
  <c r="AT12" i="6"/>
  <c r="AT13" i="6"/>
  <c r="K72" i="2"/>
  <c r="K56" i="14"/>
  <c r="O56" i="14"/>
  <c r="P56" i="14"/>
  <c r="W56" i="14"/>
  <c r="Y56" i="14"/>
  <c r="Q56" i="14"/>
  <c r="R56" i="14"/>
  <c r="S56" i="14"/>
  <c r="AT14" i="6"/>
  <c r="AT15" i="6"/>
  <c r="AT18" i="6"/>
  <c r="AT24" i="6"/>
  <c r="AT25" i="6"/>
  <c r="AT26" i="6"/>
  <c r="AT39" i="6"/>
  <c r="AT40" i="6"/>
  <c r="C73" i="2"/>
  <c r="J73" i="2"/>
  <c r="AU11" i="6"/>
  <c r="AU12" i="6"/>
  <c r="AU13" i="6"/>
  <c r="K73" i="2"/>
  <c r="K57" i="14"/>
  <c r="O57" i="14"/>
  <c r="P57" i="14"/>
  <c r="W57" i="14"/>
  <c r="Y57" i="14"/>
  <c r="Q57" i="14"/>
  <c r="R57" i="14"/>
  <c r="S57" i="14"/>
  <c r="AU14" i="6"/>
  <c r="AU15" i="6"/>
  <c r="AU18" i="6"/>
  <c r="AU24" i="6"/>
  <c r="AU25" i="6"/>
  <c r="AU26" i="6"/>
  <c r="AU39" i="6"/>
  <c r="AU40" i="6"/>
  <c r="C74" i="2"/>
  <c r="J74" i="2"/>
  <c r="AV11" i="6"/>
  <c r="AV12" i="6"/>
  <c r="AV13" i="6"/>
  <c r="K74" i="2"/>
  <c r="K58" i="14"/>
  <c r="O58" i="14"/>
  <c r="P58" i="14"/>
  <c r="W58" i="14"/>
  <c r="Y58" i="14"/>
  <c r="Q58" i="14"/>
  <c r="R58" i="14"/>
  <c r="S58" i="14"/>
  <c r="AV14" i="6"/>
  <c r="AV15" i="6"/>
  <c r="AV18" i="6"/>
  <c r="AV24" i="6"/>
  <c r="AV25" i="6"/>
  <c r="AV26" i="6"/>
  <c r="AV39" i="6"/>
  <c r="AV40" i="6"/>
  <c r="C75" i="2"/>
  <c r="J75" i="2"/>
  <c r="AW11" i="6"/>
  <c r="AW12" i="6"/>
  <c r="AW13" i="6"/>
  <c r="K75" i="2"/>
  <c r="K59" i="14"/>
  <c r="O59" i="14"/>
  <c r="P59" i="14"/>
  <c r="W59" i="14"/>
  <c r="Y59" i="14"/>
  <c r="Q59" i="14"/>
  <c r="R59" i="14"/>
  <c r="S59" i="14"/>
  <c r="AW14" i="6"/>
  <c r="AW15" i="6"/>
  <c r="AW18" i="6"/>
  <c r="AW24" i="6"/>
  <c r="AW25" i="6"/>
  <c r="AW26" i="6"/>
  <c r="AW39" i="6"/>
  <c r="AW40" i="6"/>
  <c r="C76" i="2"/>
  <c r="J76" i="2"/>
  <c r="AX11" i="6"/>
  <c r="AX12" i="6"/>
  <c r="AX13" i="6"/>
  <c r="K76" i="2"/>
  <c r="K60" i="14"/>
  <c r="O60" i="14"/>
  <c r="P60" i="14"/>
  <c r="W60" i="14"/>
  <c r="Y60" i="14"/>
  <c r="Q60" i="14"/>
  <c r="R60" i="14"/>
  <c r="S60" i="14"/>
  <c r="AX14" i="6"/>
  <c r="AX15" i="6"/>
  <c r="AX18" i="6"/>
  <c r="AX24" i="6"/>
  <c r="AX25" i="6"/>
  <c r="AX26" i="6"/>
  <c r="AX39" i="6"/>
  <c r="AX40" i="6"/>
  <c r="C77" i="2"/>
  <c r="J77" i="2"/>
  <c r="AY11" i="6"/>
  <c r="AY12" i="6"/>
  <c r="AY13" i="6"/>
  <c r="K77" i="2"/>
  <c r="K61" i="14"/>
  <c r="O61" i="14"/>
  <c r="P61" i="14"/>
  <c r="W61" i="14"/>
  <c r="Y61" i="14"/>
  <c r="Q61" i="14"/>
  <c r="R61" i="14"/>
  <c r="S61" i="14"/>
  <c r="AY14" i="6"/>
  <c r="AY15" i="6"/>
  <c r="AY18" i="6"/>
  <c r="AY24" i="6"/>
  <c r="AY25" i="6"/>
  <c r="AY26" i="6"/>
  <c r="AY39" i="6"/>
  <c r="AY40" i="6"/>
  <c r="C78" i="2"/>
  <c r="J78" i="2"/>
  <c r="AZ11" i="6"/>
  <c r="AZ12" i="6"/>
  <c r="AZ13" i="6"/>
  <c r="K78" i="2"/>
  <c r="K62" i="14"/>
  <c r="O62" i="14"/>
  <c r="P62" i="14"/>
  <c r="W62" i="14"/>
  <c r="Y62" i="14"/>
  <c r="Q62" i="14"/>
  <c r="R62" i="14"/>
  <c r="S62" i="14"/>
  <c r="AZ14" i="6"/>
  <c r="AZ15" i="6"/>
  <c r="AZ18" i="6"/>
  <c r="AZ24" i="6"/>
  <c r="AZ25" i="6"/>
  <c r="AZ26" i="6"/>
  <c r="AZ39" i="6"/>
  <c r="AZ40" i="6"/>
  <c r="C79" i="2"/>
  <c r="J79" i="2"/>
  <c r="BA11" i="6"/>
  <c r="BA12" i="6"/>
  <c r="BA13" i="6"/>
  <c r="K79" i="2"/>
  <c r="K63" i="14"/>
  <c r="O63" i="14"/>
  <c r="P63" i="14"/>
  <c r="W63" i="14"/>
  <c r="Y63" i="14"/>
  <c r="Q63" i="14"/>
  <c r="R63" i="14"/>
  <c r="S63" i="14"/>
  <c r="BA14" i="6"/>
  <c r="BA15" i="6"/>
  <c r="BA18" i="6"/>
  <c r="BA24" i="6"/>
  <c r="BA25" i="6"/>
  <c r="BA26" i="6"/>
  <c r="BA39" i="6"/>
  <c r="BA40" i="6"/>
  <c r="C80" i="2"/>
  <c r="J80" i="2"/>
  <c r="BB11" i="6"/>
  <c r="BB12" i="6"/>
  <c r="BB13" i="6"/>
  <c r="K80" i="2"/>
  <c r="K64" i="14"/>
  <c r="O64" i="14"/>
  <c r="P64" i="14"/>
  <c r="W64" i="14"/>
  <c r="Y64" i="14"/>
  <c r="Q64" i="14"/>
  <c r="R64" i="14"/>
  <c r="S64" i="14"/>
  <c r="BB14" i="6"/>
  <c r="BB15" i="6"/>
  <c r="BB18" i="6"/>
  <c r="BB24" i="6"/>
  <c r="BB25" i="6"/>
  <c r="BB26" i="6"/>
  <c r="BB39" i="6"/>
  <c r="BB40" i="6"/>
  <c r="C81" i="2"/>
  <c r="J81" i="2"/>
  <c r="BC11" i="6"/>
  <c r="BC12" i="6"/>
  <c r="BC13" i="6"/>
  <c r="K81" i="2"/>
  <c r="K65" i="14"/>
  <c r="O65" i="14"/>
  <c r="P65" i="14"/>
  <c r="W65" i="14"/>
  <c r="Y65" i="14"/>
  <c r="Q65" i="14"/>
  <c r="R65" i="14"/>
  <c r="S65" i="14"/>
  <c r="BC14" i="6"/>
  <c r="BC15" i="6"/>
  <c r="BC18" i="6"/>
  <c r="BC24" i="6"/>
  <c r="BC25" i="6"/>
  <c r="BC26" i="6"/>
  <c r="BC39" i="6"/>
  <c r="BC40" i="6"/>
  <c r="C29" i="2"/>
  <c r="J29" i="2"/>
  <c r="C11" i="6"/>
  <c r="C12" i="6"/>
  <c r="C13" i="6"/>
  <c r="K29" i="2"/>
  <c r="M13" i="5"/>
  <c r="Q13" i="5"/>
  <c r="R13" i="5"/>
  <c r="Z13" i="5"/>
  <c r="AB13" i="5"/>
  <c r="S13" i="5"/>
  <c r="T13" i="5"/>
  <c r="U13" i="5"/>
  <c r="C14" i="6"/>
  <c r="C15" i="6"/>
  <c r="C18" i="6"/>
  <c r="C19" i="6"/>
  <c r="C25" i="6"/>
  <c r="C26" i="6"/>
  <c r="C39" i="6"/>
  <c r="C40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C9" i="2"/>
  <c r="C5" i="2"/>
  <c r="C6" i="2"/>
  <c r="D29" i="2"/>
  <c r="D28" i="2"/>
  <c r="E28" i="2"/>
  <c r="E29" i="2"/>
  <c r="F28" i="2"/>
  <c r="F29" i="2"/>
  <c r="G29" i="2"/>
  <c r="H29" i="2"/>
  <c r="J102" i="2"/>
  <c r="U102" i="2"/>
  <c r="C9" i="6"/>
  <c r="K102" i="2"/>
  <c r="N102" i="2"/>
  <c r="O102" i="2"/>
  <c r="P102" i="2"/>
  <c r="Q102" i="2"/>
  <c r="V102" i="2"/>
  <c r="C10" i="6"/>
  <c r="C5" i="15"/>
  <c r="C9" i="15"/>
  <c r="D21" i="15"/>
  <c r="E21" i="15"/>
  <c r="F21" i="15"/>
  <c r="G21" i="15"/>
  <c r="H21" i="15"/>
  <c r="I21" i="15"/>
  <c r="D22" i="15"/>
  <c r="E22" i="15"/>
  <c r="F22" i="15"/>
  <c r="G22" i="15"/>
  <c r="H22" i="15"/>
  <c r="I22" i="15"/>
  <c r="C6" i="15"/>
  <c r="D23" i="15"/>
  <c r="E23" i="15"/>
  <c r="F23" i="15"/>
  <c r="G23" i="15"/>
  <c r="H23" i="15"/>
  <c r="I23" i="15"/>
  <c r="D24" i="15"/>
  <c r="E24" i="15"/>
  <c r="C15" i="15"/>
  <c r="C16" i="15"/>
  <c r="C14" i="15"/>
  <c r="C17" i="15"/>
  <c r="C8" i="15"/>
  <c r="F24" i="15"/>
  <c r="G24" i="15"/>
  <c r="H24" i="15"/>
  <c r="I24" i="15"/>
  <c r="D25" i="15"/>
  <c r="E25" i="15"/>
  <c r="F25" i="15"/>
  <c r="G25" i="15"/>
  <c r="H25" i="15"/>
  <c r="I25" i="15"/>
  <c r="D26" i="15"/>
  <c r="E26" i="15"/>
  <c r="F26" i="15"/>
  <c r="G26" i="15"/>
  <c r="H26" i="15"/>
  <c r="I26" i="15"/>
  <c r="D27" i="15"/>
  <c r="E27" i="15"/>
  <c r="F27" i="15"/>
  <c r="G27" i="15"/>
  <c r="H27" i="15"/>
  <c r="I27" i="15"/>
  <c r="D28" i="15"/>
  <c r="E28" i="15"/>
  <c r="F28" i="15"/>
  <c r="G28" i="15"/>
  <c r="H28" i="15"/>
  <c r="I28" i="15"/>
  <c r="D29" i="15"/>
  <c r="E29" i="15"/>
  <c r="F29" i="15"/>
  <c r="G29" i="15"/>
  <c r="H29" i="15"/>
  <c r="I29" i="15"/>
  <c r="D30" i="15"/>
  <c r="E30" i="15"/>
  <c r="F30" i="15"/>
  <c r="G30" i="15"/>
  <c r="H30" i="15"/>
  <c r="I30" i="15"/>
  <c r="D31" i="15"/>
  <c r="E31" i="15"/>
  <c r="F31" i="15"/>
  <c r="G31" i="15"/>
  <c r="H31" i="15"/>
  <c r="I31" i="15"/>
  <c r="D32" i="15"/>
  <c r="E32" i="15"/>
  <c r="F32" i="15"/>
  <c r="G32" i="15"/>
  <c r="H32" i="15"/>
  <c r="I32" i="15"/>
  <c r="D33" i="15"/>
  <c r="E33" i="15"/>
  <c r="F33" i="15"/>
  <c r="G33" i="15"/>
  <c r="H33" i="15"/>
  <c r="I33" i="15"/>
  <c r="D34" i="15"/>
  <c r="E34" i="15"/>
  <c r="F34" i="15"/>
  <c r="G34" i="15"/>
  <c r="H34" i="15"/>
  <c r="I34" i="15"/>
  <c r="D35" i="15"/>
  <c r="E35" i="15"/>
  <c r="F35" i="15"/>
  <c r="G35" i="15"/>
  <c r="H35" i="15"/>
  <c r="I35" i="15"/>
  <c r="D36" i="15"/>
  <c r="E36" i="15"/>
  <c r="F36" i="15"/>
  <c r="G36" i="15"/>
  <c r="H36" i="15"/>
  <c r="I36" i="15"/>
  <c r="D37" i="15"/>
  <c r="E37" i="15"/>
  <c r="F37" i="15"/>
  <c r="G37" i="15"/>
  <c r="H37" i="15"/>
  <c r="I37" i="15"/>
  <c r="D38" i="15"/>
  <c r="E38" i="15"/>
  <c r="F38" i="15"/>
  <c r="G38" i="15"/>
  <c r="H38" i="15"/>
  <c r="I38" i="15"/>
  <c r="D39" i="15"/>
  <c r="E39" i="15"/>
  <c r="F39" i="15"/>
  <c r="G39" i="15"/>
  <c r="H39" i="15"/>
  <c r="I39" i="15"/>
  <c r="D40" i="15"/>
  <c r="E40" i="15"/>
  <c r="F40" i="15"/>
  <c r="G40" i="15"/>
  <c r="H40" i="15"/>
  <c r="I40" i="15"/>
  <c r="D41" i="15"/>
  <c r="E41" i="15"/>
  <c r="F41" i="15"/>
  <c r="G41" i="15"/>
  <c r="H41" i="15"/>
  <c r="I41" i="15"/>
  <c r="D42" i="15"/>
  <c r="E42" i="15"/>
  <c r="F42" i="15"/>
  <c r="G42" i="15"/>
  <c r="H42" i="15"/>
  <c r="I42" i="15"/>
  <c r="D43" i="15"/>
  <c r="E43" i="15"/>
  <c r="F43" i="15"/>
  <c r="G43" i="15"/>
  <c r="H43" i="15"/>
  <c r="I43" i="15"/>
  <c r="D44" i="15"/>
  <c r="E44" i="15"/>
  <c r="F44" i="15"/>
  <c r="G44" i="15"/>
  <c r="H44" i="15"/>
  <c r="I44" i="15"/>
  <c r="D45" i="15"/>
  <c r="E45" i="15"/>
  <c r="F45" i="15"/>
  <c r="G45" i="15"/>
  <c r="H45" i="15"/>
  <c r="I45" i="15"/>
  <c r="D46" i="15"/>
  <c r="E46" i="15"/>
  <c r="F46" i="15"/>
  <c r="G46" i="15"/>
  <c r="H46" i="15"/>
  <c r="I46" i="15"/>
  <c r="D47" i="15"/>
  <c r="E47" i="15"/>
  <c r="F47" i="15"/>
  <c r="G47" i="15"/>
  <c r="H47" i="15"/>
  <c r="I47" i="15"/>
  <c r="D48" i="15"/>
  <c r="E48" i="15"/>
  <c r="F48" i="15"/>
  <c r="G48" i="15"/>
  <c r="H48" i="15"/>
  <c r="I48" i="15"/>
  <c r="D49" i="15"/>
  <c r="E49" i="15"/>
  <c r="F49" i="15"/>
  <c r="G49" i="15"/>
  <c r="H49" i="15"/>
  <c r="I49" i="15"/>
  <c r="D50" i="15"/>
  <c r="E50" i="15"/>
  <c r="F50" i="15"/>
  <c r="G50" i="15"/>
  <c r="H50" i="15"/>
  <c r="I50" i="15"/>
  <c r="D51" i="15"/>
  <c r="E51" i="15"/>
  <c r="F51" i="15"/>
  <c r="G51" i="15"/>
  <c r="H51" i="15"/>
  <c r="I51" i="15"/>
  <c r="D52" i="15"/>
  <c r="E52" i="15"/>
  <c r="F52" i="15"/>
  <c r="G52" i="15"/>
  <c r="H52" i="15"/>
  <c r="I52" i="15"/>
  <c r="D53" i="15"/>
  <c r="E53" i="15"/>
  <c r="F53" i="15"/>
  <c r="G53" i="15"/>
  <c r="H53" i="15"/>
  <c r="I53" i="15"/>
  <c r="D54" i="15"/>
  <c r="E54" i="15"/>
  <c r="F54" i="15"/>
  <c r="G54" i="15"/>
  <c r="H54" i="15"/>
  <c r="I54" i="15"/>
  <c r="D55" i="15"/>
  <c r="E55" i="15"/>
  <c r="F55" i="15"/>
  <c r="G55" i="15"/>
  <c r="H55" i="15"/>
  <c r="I55" i="15"/>
  <c r="D56" i="15"/>
  <c r="E56" i="15"/>
  <c r="F56" i="15"/>
  <c r="G56" i="15"/>
  <c r="H56" i="15"/>
  <c r="I56" i="15"/>
  <c r="D57" i="15"/>
  <c r="E57" i="15"/>
  <c r="F57" i="15"/>
  <c r="G57" i="15"/>
  <c r="H57" i="15"/>
  <c r="I57" i="15"/>
  <c r="D58" i="15"/>
  <c r="E58" i="15"/>
  <c r="F58" i="15"/>
  <c r="G58" i="15"/>
  <c r="H58" i="15"/>
  <c r="I58" i="15"/>
  <c r="D59" i="15"/>
  <c r="E59" i="15"/>
  <c r="F59" i="15"/>
  <c r="G59" i="15"/>
  <c r="H59" i="15"/>
  <c r="I59" i="15"/>
  <c r="D60" i="15"/>
  <c r="E60" i="15"/>
  <c r="F60" i="15"/>
  <c r="G60" i="15"/>
  <c r="H60" i="15"/>
  <c r="I60" i="15"/>
  <c r="D61" i="15"/>
  <c r="E61" i="15"/>
  <c r="F61" i="15"/>
  <c r="G61" i="15"/>
  <c r="H61" i="15"/>
  <c r="I61" i="15"/>
  <c r="O95" i="15"/>
  <c r="P95" i="15"/>
  <c r="Q95" i="15"/>
  <c r="R95" i="15"/>
  <c r="T95" i="15"/>
  <c r="O96" i="15"/>
  <c r="P96" i="15"/>
  <c r="Q96" i="15"/>
  <c r="R96" i="15"/>
  <c r="S96" i="15"/>
  <c r="T96" i="15"/>
  <c r="O97" i="15"/>
  <c r="P97" i="15"/>
  <c r="Q97" i="15"/>
  <c r="R97" i="15"/>
  <c r="S97" i="15"/>
  <c r="T97" i="15"/>
  <c r="O98" i="15"/>
  <c r="P98" i="15"/>
  <c r="Q98" i="15"/>
  <c r="R98" i="15"/>
  <c r="S98" i="15"/>
  <c r="T98" i="15"/>
  <c r="O99" i="15"/>
  <c r="P99" i="15"/>
  <c r="Q99" i="15"/>
  <c r="R99" i="15"/>
  <c r="S99" i="15"/>
  <c r="T99" i="15"/>
  <c r="K100" i="15"/>
  <c r="O100" i="15"/>
  <c r="P100" i="15"/>
  <c r="Q100" i="15"/>
  <c r="R100" i="15"/>
  <c r="S100" i="15"/>
  <c r="T100" i="15"/>
  <c r="K101" i="15"/>
  <c r="O101" i="15"/>
  <c r="P101" i="15"/>
  <c r="Q101" i="15"/>
  <c r="R101" i="15"/>
  <c r="S101" i="15"/>
  <c r="T101" i="15"/>
  <c r="K102" i="15"/>
  <c r="O102" i="15"/>
  <c r="P102" i="15"/>
  <c r="Q102" i="15"/>
  <c r="R102" i="15"/>
  <c r="S102" i="15"/>
  <c r="T102" i="15"/>
  <c r="K103" i="15"/>
  <c r="O103" i="15"/>
  <c r="P103" i="15"/>
  <c r="Q103" i="15"/>
  <c r="R103" i="15"/>
  <c r="S103" i="15"/>
  <c r="T103" i="15"/>
  <c r="K104" i="15"/>
  <c r="O104" i="15"/>
  <c r="P104" i="15"/>
  <c r="Q104" i="15"/>
  <c r="R104" i="15"/>
  <c r="S104" i="15"/>
  <c r="T104" i="15"/>
  <c r="K105" i="15"/>
  <c r="O105" i="15"/>
  <c r="P105" i="15"/>
  <c r="Q105" i="15"/>
  <c r="R105" i="15"/>
  <c r="S105" i="15"/>
  <c r="T105" i="15"/>
  <c r="K106" i="15"/>
  <c r="O106" i="15"/>
  <c r="P106" i="15"/>
  <c r="Q106" i="15"/>
  <c r="R106" i="15"/>
  <c r="S106" i="15"/>
  <c r="T106" i="15"/>
  <c r="K107" i="15"/>
  <c r="O107" i="15"/>
  <c r="P107" i="15"/>
  <c r="Q107" i="15"/>
  <c r="R107" i="15"/>
  <c r="S107" i="15"/>
  <c r="T107" i="15"/>
  <c r="K108" i="15"/>
  <c r="O108" i="15"/>
  <c r="P108" i="15"/>
  <c r="Q108" i="15"/>
  <c r="R108" i="15"/>
  <c r="S108" i="15"/>
  <c r="T108" i="15"/>
  <c r="K109" i="15"/>
  <c r="O109" i="15"/>
  <c r="P109" i="15"/>
  <c r="Q109" i="15"/>
  <c r="R109" i="15"/>
  <c r="S109" i="15"/>
  <c r="T109" i="15"/>
  <c r="K110" i="15"/>
  <c r="O110" i="15"/>
  <c r="P110" i="15"/>
  <c r="Q110" i="15"/>
  <c r="R110" i="15"/>
  <c r="S110" i="15"/>
  <c r="T110" i="15"/>
  <c r="K111" i="15"/>
  <c r="O111" i="15"/>
  <c r="P111" i="15"/>
  <c r="Q111" i="15"/>
  <c r="R111" i="15"/>
  <c r="S111" i="15"/>
  <c r="T111" i="15"/>
  <c r="K112" i="15"/>
  <c r="O112" i="15"/>
  <c r="P112" i="15"/>
  <c r="Q112" i="15"/>
  <c r="R112" i="15"/>
  <c r="S112" i="15"/>
  <c r="T112" i="15"/>
  <c r="K113" i="15"/>
  <c r="O113" i="15"/>
  <c r="P113" i="15"/>
  <c r="Q113" i="15"/>
  <c r="R113" i="15"/>
  <c r="S113" i="15"/>
  <c r="T113" i="15"/>
  <c r="K114" i="15"/>
  <c r="O114" i="15"/>
  <c r="P114" i="15"/>
  <c r="Q114" i="15"/>
  <c r="R114" i="15"/>
  <c r="S114" i="15"/>
  <c r="T114" i="15"/>
  <c r="K115" i="15"/>
  <c r="O115" i="15"/>
  <c r="P115" i="15"/>
  <c r="Q115" i="15"/>
  <c r="R115" i="15"/>
  <c r="S115" i="15"/>
  <c r="T115" i="15"/>
  <c r="K116" i="15"/>
  <c r="O116" i="15"/>
  <c r="P116" i="15"/>
  <c r="Q116" i="15"/>
  <c r="R116" i="15"/>
  <c r="S116" i="15"/>
  <c r="T116" i="15"/>
  <c r="K117" i="15"/>
  <c r="O117" i="15"/>
  <c r="P117" i="15"/>
  <c r="Q117" i="15"/>
  <c r="R117" i="15"/>
  <c r="S117" i="15"/>
  <c r="T117" i="15"/>
  <c r="K118" i="15"/>
  <c r="O118" i="15"/>
  <c r="P118" i="15"/>
  <c r="Q118" i="15"/>
  <c r="R118" i="15"/>
  <c r="S118" i="15"/>
  <c r="T118" i="15"/>
  <c r="K119" i="15"/>
  <c r="O119" i="15"/>
  <c r="P119" i="15"/>
  <c r="Q119" i="15"/>
  <c r="R119" i="15"/>
  <c r="S119" i="15"/>
  <c r="T119" i="15"/>
  <c r="K120" i="15"/>
  <c r="O120" i="15"/>
  <c r="P120" i="15"/>
  <c r="Q120" i="15"/>
  <c r="R120" i="15"/>
  <c r="S120" i="15"/>
  <c r="T120" i="15"/>
  <c r="K121" i="15"/>
  <c r="O121" i="15"/>
  <c r="P121" i="15"/>
  <c r="Q121" i="15"/>
  <c r="R121" i="15"/>
  <c r="S121" i="15"/>
  <c r="T121" i="15"/>
  <c r="K122" i="15"/>
  <c r="O122" i="15"/>
  <c r="P122" i="15"/>
  <c r="Q122" i="15"/>
  <c r="R122" i="15"/>
  <c r="S122" i="15"/>
  <c r="T122" i="15"/>
  <c r="K123" i="15"/>
  <c r="O123" i="15"/>
  <c r="P123" i="15"/>
  <c r="Q123" i="15"/>
  <c r="R123" i="15"/>
  <c r="S123" i="15"/>
  <c r="T123" i="15"/>
  <c r="K124" i="15"/>
  <c r="O124" i="15"/>
  <c r="P124" i="15"/>
  <c r="Q124" i="15"/>
  <c r="R124" i="15"/>
  <c r="S124" i="15"/>
  <c r="T124" i="15"/>
  <c r="K125" i="15"/>
  <c r="O125" i="15"/>
  <c r="P125" i="15"/>
  <c r="Q125" i="15"/>
  <c r="R125" i="15"/>
  <c r="S125" i="15"/>
  <c r="T125" i="15"/>
  <c r="K126" i="15"/>
  <c r="O126" i="15"/>
  <c r="P126" i="15"/>
  <c r="Q126" i="15"/>
  <c r="R126" i="15"/>
  <c r="S126" i="15"/>
  <c r="T126" i="15"/>
  <c r="K127" i="15"/>
  <c r="O127" i="15"/>
  <c r="P127" i="15"/>
  <c r="Q127" i="15"/>
  <c r="R127" i="15"/>
  <c r="S127" i="15"/>
  <c r="T127" i="15"/>
  <c r="K128" i="15"/>
  <c r="O128" i="15"/>
  <c r="P128" i="15"/>
  <c r="Q128" i="15"/>
  <c r="R128" i="15"/>
  <c r="S128" i="15"/>
  <c r="T128" i="15"/>
  <c r="K129" i="15"/>
  <c r="O129" i="15"/>
  <c r="P129" i="15"/>
  <c r="Q129" i="15"/>
  <c r="R129" i="15"/>
  <c r="S129" i="15"/>
  <c r="T129" i="15"/>
  <c r="K130" i="15"/>
  <c r="O130" i="15"/>
  <c r="P130" i="15"/>
  <c r="Q130" i="15"/>
  <c r="R130" i="15"/>
  <c r="S130" i="15"/>
  <c r="T130" i="15"/>
  <c r="K131" i="15"/>
  <c r="O131" i="15"/>
  <c r="P131" i="15"/>
  <c r="Q131" i="15"/>
  <c r="R131" i="15"/>
  <c r="S131" i="15"/>
  <c r="T131" i="15"/>
  <c r="K132" i="15"/>
  <c r="O132" i="15"/>
  <c r="P132" i="15"/>
  <c r="Q132" i="15"/>
  <c r="R132" i="15"/>
  <c r="S132" i="15"/>
  <c r="T132" i="15"/>
  <c r="K133" i="15"/>
  <c r="O133" i="15"/>
  <c r="P133" i="15"/>
  <c r="Q133" i="15"/>
  <c r="R133" i="15"/>
  <c r="S133" i="15"/>
  <c r="T133" i="15"/>
  <c r="K134" i="15"/>
  <c r="O134" i="15"/>
  <c r="P134" i="15"/>
  <c r="Q134" i="15"/>
  <c r="R134" i="15"/>
  <c r="S134" i="15"/>
  <c r="T134" i="15"/>
  <c r="K135" i="15"/>
  <c r="O135" i="15"/>
  <c r="P135" i="15"/>
  <c r="Q135" i="15"/>
  <c r="R135" i="15"/>
  <c r="S135" i="15"/>
  <c r="T135" i="15"/>
  <c r="D62" i="15"/>
  <c r="E62" i="15"/>
  <c r="F62" i="15"/>
  <c r="G62" i="15"/>
  <c r="H62" i="15"/>
  <c r="K136" i="15"/>
  <c r="O136" i="15"/>
  <c r="P136" i="15"/>
  <c r="Q136" i="15"/>
  <c r="R136" i="15"/>
  <c r="S136" i="15"/>
  <c r="T136" i="15"/>
  <c r="D63" i="15"/>
  <c r="E63" i="15"/>
  <c r="F63" i="15"/>
  <c r="G63" i="15"/>
  <c r="H63" i="15"/>
  <c r="K137" i="15"/>
  <c r="O137" i="15"/>
  <c r="P137" i="15"/>
  <c r="Q137" i="15"/>
  <c r="R137" i="15"/>
  <c r="S137" i="15"/>
  <c r="T137" i="15"/>
  <c r="D64" i="15"/>
  <c r="E64" i="15"/>
  <c r="F64" i="15"/>
  <c r="G64" i="15"/>
  <c r="H64" i="15"/>
  <c r="K138" i="15"/>
  <c r="O138" i="15"/>
  <c r="P138" i="15"/>
  <c r="Q138" i="15"/>
  <c r="R138" i="15"/>
  <c r="S138" i="15"/>
  <c r="T138" i="15"/>
  <c r="D65" i="15"/>
  <c r="E65" i="15"/>
  <c r="F65" i="15"/>
  <c r="G65" i="15"/>
  <c r="H65" i="15"/>
  <c r="K139" i="15"/>
  <c r="O139" i="15"/>
  <c r="P139" i="15"/>
  <c r="Q139" i="15"/>
  <c r="R139" i="15"/>
  <c r="S139" i="15"/>
  <c r="T139" i="15"/>
  <c r="D66" i="15"/>
  <c r="E66" i="15"/>
  <c r="F66" i="15"/>
  <c r="G66" i="15"/>
  <c r="H66" i="15"/>
  <c r="K140" i="15"/>
  <c r="O140" i="15"/>
  <c r="P140" i="15"/>
  <c r="Q140" i="15"/>
  <c r="R140" i="15"/>
  <c r="S140" i="15"/>
  <c r="T140" i="15"/>
  <c r="T156" i="15"/>
  <c r="G103" i="15"/>
  <c r="G105" i="15"/>
  <c r="G109" i="15"/>
  <c r="G110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K97" i="15"/>
  <c r="L97" i="15"/>
  <c r="W97" i="15"/>
  <c r="K95" i="15"/>
  <c r="L95" i="15"/>
  <c r="W95" i="15"/>
  <c r="K96" i="15"/>
  <c r="L96" i="15"/>
  <c r="W96" i="15"/>
  <c r="K98" i="15"/>
  <c r="L98" i="15"/>
  <c r="W98" i="15"/>
  <c r="K99" i="15"/>
  <c r="L99" i="15"/>
  <c r="W99" i="15"/>
  <c r="L100" i="15"/>
  <c r="W100" i="15"/>
  <c r="L101" i="15"/>
  <c r="W101" i="15"/>
  <c r="L102" i="15"/>
  <c r="W102" i="15"/>
  <c r="L103" i="15"/>
  <c r="W103" i="15"/>
  <c r="L104" i="15"/>
  <c r="W104" i="15"/>
  <c r="L105" i="15"/>
  <c r="W105" i="15"/>
  <c r="L106" i="15"/>
  <c r="W106" i="15"/>
  <c r="L107" i="15"/>
  <c r="W107" i="15"/>
  <c r="L108" i="15"/>
  <c r="W108" i="15"/>
  <c r="L109" i="15"/>
  <c r="W109" i="15"/>
  <c r="L110" i="15"/>
  <c r="W110" i="15"/>
  <c r="L111" i="15"/>
  <c r="W111" i="15"/>
  <c r="L112" i="15"/>
  <c r="W112" i="15"/>
  <c r="L113" i="15"/>
  <c r="W113" i="15"/>
  <c r="L114" i="15"/>
  <c r="W114" i="15"/>
  <c r="L115" i="15"/>
  <c r="W115" i="15"/>
  <c r="L116" i="15"/>
  <c r="W116" i="15"/>
  <c r="L117" i="15"/>
  <c r="W117" i="15"/>
  <c r="L118" i="15"/>
  <c r="W118" i="15"/>
  <c r="L119" i="15"/>
  <c r="W119" i="15"/>
  <c r="L120" i="15"/>
  <c r="W120" i="15"/>
  <c r="L121" i="15"/>
  <c r="W121" i="15"/>
  <c r="L122" i="15"/>
  <c r="W122" i="15"/>
  <c r="L123" i="15"/>
  <c r="W123" i="15"/>
  <c r="L124" i="15"/>
  <c r="W124" i="15"/>
  <c r="L125" i="15"/>
  <c r="W125" i="15"/>
  <c r="L126" i="15"/>
  <c r="W126" i="15"/>
  <c r="L127" i="15"/>
  <c r="W127" i="15"/>
  <c r="L128" i="15"/>
  <c r="W128" i="15"/>
  <c r="L129" i="15"/>
  <c r="W129" i="15"/>
  <c r="L130" i="15"/>
  <c r="W130" i="15"/>
  <c r="L131" i="15"/>
  <c r="W131" i="15"/>
  <c r="L132" i="15"/>
  <c r="W132" i="15"/>
  <c r="L133" i="15"/>
  <c r="W133" i="15"/>
  <c r="L134" i="15"/>
  <c r="W134" i="15"/>
  <c r="L135" i="15"/>
  <c r="W135" i="15"/>
  <c r="L136" i="15"/>
  <c r="W136" i="15"/>
  <c r="L137" i="15"/>
  <c r="W137" i="15"/>
  <c r="L138" i="15"/>
  <c r="W138" i="15"/>
  <c r="L139" i="15"/>
  <c r="W139" i="15"/>
  <c r="L140" i="15"/>
  <c r="W140" i="15"/>
  <c r="D67" i="15"/>
  <c r="E67" i="15"/>
  <c r="F67" i="15"/>
  <c r="G67" i="15"/>
  <c r="H67" i="15"/>
  <c r="K141" i="15"/>
  <c r="L141" i="15"/>
  <c r="O141" i="15"/>
  <c r="P141" i="15"/>
  <c r="Q141" i="15"/>
  <c r="R141" i="15"/>
  <c r="W141" i="15"/>
  <c r="D68" i="15"/>
  <c r="E68" i="15"/>
  <c r="F68" i="15"/>
  <c r="G68" i="15"/>
  <c r="H68" i="15"/>
  <c r="K142" i="15"/>
  <c r="L142" i="15"/>
  <c r="O142" i="15"/>
  <c r="P142" i="15"/>
  <c r="Q142" i="15"/>
  <c r="R142" i="15"/>
  <c r="W142" i="15"/>
  <c r="D69" i="15"/>
  <c r="E69" i="15"/>
  <c r="F69" i="15"/>
  <c r="G69" i="15"/>
  <c r="H69" i="15"/>
  <c r="K143" i="15"/>
  <c r="L143" i="15"/>
  <c r="O143" i="15"/>
  <c r="P143" i="15"/>
  <c r="Q143" i="15"/>
  <c r="R143" i="15"/>
  <c r="W143" i="15"/>
  <c r="D70" i="15"/>
  <c r="E70" i="15"/>
  <c r="F70" i="15"/>
  <c r="G70" i="15"/>
  <c r="H70" i="15"/>
  <c r="K144" i="15"/>
  <c r="L144" i="15"/>
  <c r="O144" i="15"/>
  <c r="P144" i="15"/>
  <c r="Q144" i="15"/>
  <c r="R144" i="15"/>
  <c r="W144" i="15"/>
  <c r="D71" i="15"/>
  <c r="E71" i="15"/>
  <c r="F71" i="15"/>
  <c r="G71" i="15"/>
  <c r="H71" i="15"/>
  <c r="K145" i="15"/>
  <c r="L145" i="15"/>
  <c r="O145" i="15"/>
  <c r="P145" i="15"/>
  <c r="Q145" i="15"/>
  <c r="R145" i="15"/>
  <c r="W145" i="15"/>
  <c r="D72" i="15"/>
  <c r="E72" i="15"/>
  <c r="F72" i="15"/>
  <c r="G72" i="15"/>
  <c r="H72" i="15"/>
  <c r="K146" i="15"/>
  <c r="L146" i="15"/>
  <c r="O146" i="15"/>
  <c r="P146" i="15"/>
  <c r="Q146" i="15"/>
  <c r="R146" i="15"/>
  <c r="W146" i="15"/>
  <c r="D73" i="15"/>
  <c r="E73" i="15"/>
  <c r="F73" i="15"/>
  <c r="G73" i="15"/>
  <c r="H73" i="15"/>
  <c r="K147" i="15"/>
  <c r="L147" i="15"/>
  <c r="O147" i="15"/>
  <c r="P147" i="15"/>
  <c r="Q147" i="15"/>
  <c r="R147" i="15"/>
  <c r="W147" i="15"/>
  <c r="D74" i="15"/>
  <c r="E74" i="15"/>
  <c r="F74" i="15"/>
  <c r="G74" i="15"/>
  <c r="H74" i="15"/>
  <c r="K148" i="15"/>
  <c r="L148" i="15"/>
  <c r="O148" i="15"/>
  <c r="P148" i="15"/>
  <c r="Q148" i="15"/>
  <c r="R148" i="15"/>
  <c r="W148" i="15"/>
  <c r="D75" i="15"/>
  <c r="E75" i="15"/>
  <c r="F75" i="15"/>
  <c r="G75" i="15"/>
  <c r="H75" i="15"/>
  <c r="K149" i="15"/>
  <c r="L149" i="15"/>
  <c r="O149" i="15"/>
  <c r="P149" i="15"/>
  <c r="Q149" i="15"/>
  <c r="R149" i="15"/>
  <c r="W149" i="15"/>
  <c r="D76" i="15"/>
  <c r="E76" i="15"/>
  <c r="F76" i="15"/>
  <c r="G76" i="15"/>
  <c r="H76" i="15"/>
  <c r="K150" i="15"/>
  <c r="L150" i="15"/>
  <c r="O150" i="15"/>
  <c r="P150" i="15"/>
  <c r="Q150" i="15"/>
  <c r="R150" i="15"/>
  <c r="W150" i="15"/>
  <c r="D77" i="15"/>
  <c r="E77" i="15"/>
  <c r="F77" i="15"/>
  <c r="G77" i="15"/>
  <c r="H77" i="15"/>
  <c r="K151" i="15"/>
  <c r="L151" i="15"/>
  <c r="O151" i="15"/>
  <c r="P151" i="15"/>
  <c r="Q151" i="15"/>
  <c r="R151" i="15"/>
  <c r="W151" i="15"/>
  <c r="D78" i="15"/>
  <c r="E78" i="15"/>
  <c r="F78" i="15"/>
  <c r="G78" i="15"/>
  <c r="H78" i="15"/>
  <c r="K152" i="15"/>
  <c r="L152" i="15"/>
  <c r="O152" i="15"/>
  <c r="P152" i="15"/>
  <c r="Q152" i="15"/>
  <c r="R152" i="15"/>
  <c r="W152" i="15"/>
  <c r="D79" i="15"/>
  <c r="E79" i="15"/>
  <c r="F79" i="15"/>
  <c r="G79" i="15"/>
  <c r="H79" i="15"/>
  <c r="K153" i="15"/>
  <c r="L153" i="15"/>
  <c r="O153" i="15"/>
  <c r="P153" i="15"/>
  <c r="Q153" i="15"/>
  <c r="R153" i="15"/>
  <c r="W153" i="15"/>
  <c r="D80" i="15"/>
  <c r="E80" i="15"/>
  <c r="F80" i="15"/>
  <c r="G80" i="15"/>
  <c r="H80" i="15"/>
  <c r="K154" i="15"/>
  <c r="L154" i="15"/>
  <c r="O154" i="15"/>
  <c r="P154" i="15"/>
  <c r="Q154" i="15"/>
  <c r="R154" i="15"/>
  <c r="W154" i="15"/>
  <c r="D81" i="15"/>
  <c r="E81" i="15"/>
  <c r="F81" i="15"/>
  <c r="G81" i="15"/>
  <c r="H81" i="15"/>
  <c r="K155" i="15"/>
  <c r="L155" i="15"/>
  <c r="O155" i="15"/>
  <c r="P155" i="15"/>
  <c r="Q155" i="15"/>
  <c r="R155" i="15"/>
  <c r="W155" i="15"/>
  <c r="I29" i="2"/>
  <c r="N13" i="5"/>
  <c r="O13" i="5"/>
  <c r="C5" i="10"/>
  <c r="C6" i="10"/>
  <c r="C10" i="10"/>
  <c r="C11" i="10"/>
  <c r="C8" i="10"/>
  <c r="C12" i="10"/>
  <c r="C36" i="6"/>
  <c r="C43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D36" i="6"/>
  <c r="D43" i="6"/>
  <c r="E36" i="6"/>
  <c r="E43" i="6"/>
  <c r="F36" i="6"/>
  <c r="F43" i="6"/>
  <c r="G36" i="6"/>
  <c r="G43" i="6"/>
  <c r="H36" i="6"/>
  <c r="H43" i="6"/>
  <c r="I36" i="6"/>
  <c r="I43" i="6"/>
  <c r="J36" i="6"/>
  <c r="J43" i="6"/>
  <c r="K36" i="6"/>
  <c r="K43" i="6"/>
  <c r="L36" i="6"/>
  <c r="L43" i="6"/>
  <c r="M36" i="6"/>
  <c r="M43" i="6"/>
  <c r="N36" i="6"/>
  <c r="N43" i="6"/>
  <c r="O36" i="6"/>
  <c r="O43" i="6"/>
  <c r="P36" i="6"/>
  <c r="P43" i="6"/>
  <c r="Q36" i="6"/>
  <c r="Q43" i="6"/>
  <c r="R36" i="6"/>
  <c r="R43" i="6"/>
  <c r="S36" i="6"/>
  <c r="S43" i="6"/>
  <c r="T36" i="6"/>
  <c r="T43" i="6"/>
  <c r="U36" i="6"/>
  <c r="U43" i="6"/>
  <c r="V36" i="6"/>
  <c r="V43" i="6"/>
  <c r="W36" i="6"/>
  <c r="W43" i="6"/>
  <c r="X36" i="6"/>
  <c r="X43" i="6"/>
  <c r="Y36" i="6"/>
  <c r="Y43" i="6"/>
  <c r="Z36" i="6"/>
  <c r="Z43" i="6"/>
  <c r="AA36" i="6"/>
  <c r="AA43" i="6"/>
  <c r="AB36" i="6"/>
  <c r="AB43" i="6"/>
  <c r="AC36" i="6"/>
  <c r="AC43" i="6"/>
  <c r="AD36" i="6"/>
  <c r="AD43" i="6"/>
  <c r="AE36" i="6"/>
  <c r="AE43" i="6"/>
  <c r="AF36" i="6"/>
  <c r="AF43" i="6"/>
  <c r="AG36" i="6"/>
  <c r="AG43" i="6"/>
  <c r="AH36" i="6"/>
  <c r="AH43" i="6"/>
  <c r="AI36" i="6"/>
  <c r="AI43" i="6"/>
  <c r="AJ36" i="6"/>
  <c r="AJ43" i="6"/>
  <c r="AK36" i="6"/>
  <c r="AK43" i="6"/>
  <c r="AL36" i="6"/>
  <c r="AL43" i="6"/>
  <c r="AM36" i="6"/>
  <c r="AM43" i="6"/>
  <c r="AN36" i="6"/>
  <c r="AN43" i="6"/>
  <c r="AO36" i="6"/>
  <c r="AO43" i="6"/>
  <c r="AP36" i="6"/>
  <c r="AP43" i="6"/>
  <c r="AQ36" i="6"/>
  <c r="AQ43" i="6"/>
  <c r="AR36" i="6"/>
  <c r="AR43" i="6"/>
  <c r="AS36" i="6"/>
  <c r="AS43" i="6"/>
  <c r="AT36" i="6"/>
  <c r="AT43" i="6"/>
  <c r="AU36" i="6"/>
  <c r="AU43" i="6"/>
  <c r="AV36" i="6"/>
  <c r="AV43" i="6"/>
  <c r="AW36" i="6"/>
  <c r="AW43" i="6"/>
  <c r="AX36" i="6"/>
  <c r="AX43" i="6"/>
  <c r="AY36" i="6"/>
  <c r="AY43" i="6"/>
  <c r="AZ36" i="6"/>
  <c r="AZ43" i="6"/>
  <c r="BA36" i="6"/>
  <c r="BA43" i="6"/>
  <c r="BB36" i="6"/>
  <c r="BB43" i="6"/>
  <c r="BC36" i="6"/>
  <c r="BC43" i="6"/>
  <c r="P13" i="5"/>
  <c r="C10" i="5"/>
  <c r="C11" i="5"/>
  <c r="E7" i="5"/>
  <c r="E8" i="5"/>
  <c r="C6" i="6"/>
  <c r="C17" i="6"/>
  <c r="C22" i="6"/>
  <c r="C23" i="6"/>
  <c r="C24" i="6"/>
  <c r="K4" i="11"/>
  <c r="C6" i="11"/>
  <c r="C5" i="11"/>
  <c r="C11" i="11"/>
  <c r="C12" i="11"/>
  <c r="C9" i="11"/>
  <c r="C13" i="11"/>
  <c r="C31" i="6"/>
  <c r="C21" i="9"/>
  <c r="C22" i="9"/>
  <c r="C24" i="9"/>
  <c r="C25" i="9"/>
  <c r="C20" i="9"/>
  <c r="C26" i="9"/>
  <c r="C32" i="6"/>
  <c r="P21" i="9"/>
  <c r="P22" i="9"/>
  <c r="P24" i="9"/>
  <c r="P25" i="9"/>
  <c r="P20" i="9"/>
  <c r="P26" i="9"/>
  <c r="C33" i="6"/>
  <c r="AB21" i="9"/>
  <c r="AB22" i="9"/>
  <c r="AB24" i="9"/>
  <c r="AB25" i="9"/>
  <c r="AB20" i="9"/>
  <c r="AB26" i="9"/>
  <c r="C34" i="6"/>
  <c r="AN21" i="9"/>
  <c r="AN22" i="9"/>
  <c r="AN24" i="9"/>
  <c r="AN25" i="9"/>
  <c r="AN20" i="9"/>
  <c r="AN26" i="9"/>
  <c r="C35" i="6"/>
  <c r="C37" i="6"/>
  <c r="H47" i="1"/>
  <c r="H48" i="1"/>
  <c r="D199" i="1"/>
  <c r="D202" i="1"/>
  <c r="C81" i="1"/>
  <c r="C38" i="6"/>
  <c r="E99" i="1"/>
  <c r="E98" i="1"/>
  <c r="E97" i="1"/>
  <c r="E96" i="1"/>
  <c r="D195" i="1"/>
  <c r="E95" i="1"/>
  <c r="C14" i="11"/>
  <c r="D197" i="1"/>
  <c r="C96" i="1"/>
  <c r="C97" i="1"/>
  <c r="C98" i="1"/>
  <c r="C99" i="1"/>
  <c r="C100" i="1"/>
  <c r="J28" i="6"/>
  <c r="I4" i="11"/>
  <c r="I5" i="11"/>
  <c r="K5" i="11"/>
  <c r="I6" i="11"/>
  <c r="K6" i="11"/>
  <c r="I7" i="11"/>
  <c r="K7" i="11"/>
  <c r="I8" i="11"/>
  <c r="K8" i="11"/>
  <c r="I9" i="11"/>
  <c r="K9" i="11"/>
  <c r="I10" i="11"/>
  <c r="K10" i="11"/>
  <c r="I11" i="11"/>
  <c r="K11" i="11"/>
  <c r="I12" i="11"/>
  <c r="K12" i="11"/>
  <c r="I13" i="11"/>
  <c r="K13" i="11"/>
  <c r="I14" i="11"/>
  <c r="K14" i="11"/>
  <c r="I15" i="11"/>
  <c r="K15" i="11"/>
  <c r="I16" i="11"/>
  <c r="K16" i="11"/>
  <c r="I17" i="11"/>
  <c r="K17" i="11"/>
  <c r="I18" i="11"/>
  <c r="K18" i="11"/>
  <c r="I19" i="11"/>
  <c r="K19" i="11"/>
  <c r="I20" i="11"/>
  <c r="K20" i="11"/>
  <c r="I21" i="11"/>
  <c r="K21" i="11"/>
  <c r="I22" i="11"/>
  <c r="K22" i="11"/>
  <c r="I23" i="11"/>
  <c r="K23" i="11"/>
  <c r="I24" i="11"/>
  <c r="K24" i="11"/>
  <c r="I25" i="11"/>
  <c r="K25" i="11"/>
  <c r="I26" i="11"/>
  <c r="K26" i="11"/>
  <c r="I27" i="11"/>
  <c r="K27" i="11"/>
  <c r="I28" i="11"/>
  <c r="K28" i="11"/>
  <c r="I29" i="11"/>
  <c r="K29" i="11"/>
  <c r="I30" i="11"/>
  <c r="K30" i="11"/>
  <c r="I31" i="11"/>
  <c r="K31" i="11"/>
  <c r="I32" i="11"/>
  <c r="K32" i="11"/>
  <c r="I33" i="11"/>
  <c r="K33" i="11"/>
  <c r="I34" i="11"/>
  <c r="K34" i="11"/>
  <c r="I35" i="11"/>
  <c r="K35" i="11"/>
  <c r="I36" i="11"/>
  <c r="K36" i="11"/>
  <c r="I37" i="11"/>
  <c r="K37" i="11"/>
  <c r="I38" i="11"/>
  <c r="K38" i="11"/>
  <c r="I39" i="11"/>
  <c r="K39" i="11"/>
  <c r="I40" i="11"/>
  <c r="K40" i="11"/>
  <c r="I41" i="11"/>
  <c r="K41" i="11"/>
  <c r="I42" i="11"/>
  <c r="K42" i="11"/>
  <c r="I43" i="11"/>
  <c r="K43" i="11"/>
  <c r="I44" i="11"/>
  <c r="K44" i="11"/>
  <c r="I45" i="11"/>
  <c r="K45" i="11"/>
  <c r="I46" i="11"/>
  <c r="K46" i="11"/>
  <c r="AQ5" i="1"/>
  <c r="AP5" i="1"/>
  <c r="AO5" i="1"/>
  <c r="D194" i="1"/>
  <c r="D196" i="1"/>
  <c r="AO6" i="1"/>
  <c r="C78" i="1"/>
  <c r="AR18" i="9"/>
  <c r="AP18" i="9"/>
  <c r="AP19" i="9"/>
  <c r="AR19" i="9"/>
  <c r="AP20" i="9"/>
  <c r="AR20" i="9"/>
  <c r="AP21" i="9"/>
  <c r="AR21" i="9"/>
  <c r="AP22" i="9"/>
  <c r="AR22" i="9"/>
  <c r="AP23" i="9"/>
  <c r="AR23" i="9"/>
  <c r="AP24" i="9"/>
  <c r="AR24" i="9"/>
  <c r="AP25" i="9"/>
  <c r="AR25" i="9"/>
  <c r="AP26" i="9"/>
  <c r="AR26" i="9"/>
  <c r="AP27" i="9"/>
  <c r="AR27" i="9"/>
  <c r="AP28" i="9"/>
  <c r="AR28" i="9"/>
  <c r="AP29" i="9"/>
  <c r="AR29" i="9"/>
  <c r="AP30" i="9"/>
  <c r="AR30" i="9"/>
  <c r="AP31" i="9"/>
  <c r="AR31" i="9"/>
  <c r="AP32" i="9"/>
  <c r="AR32" i="9"/>
  <c r="AP33" i="9"/>
  <c r="AR33" i="9"/>
  <c r="AP34" i="9"/>
  <c r="AR34" i="9"/>
  <c r="AP35" i="9"/>
  <c r="AR35" i="9"/>
  <c r="AP36" i="9"/>
  <c r="AR36" i="9"/>
  <c r="AP37" i="9"/>
  <c r="AR37" i="9"/>
  <c r="AP38" i="9"/>
  <c r="AR38" i="9"/>
  <c r="AP39" i="9"/>
  <c r="AR39" i="9"/>
  <c r="AP40" i="9"/>
  <c r="AR40" i="9"/>
  <c r="AP41" i="9"/>
  <c r="AR41" i="9"/>
  <c r="AP42" i="9"/>
  <c r="AR42" i="9"/>
  <c r="AP43" i="9"/>
  <c r="AR43" i="9"/>
  <c r="AP44" i="9"/>
  <c r="AR44" i="9"/>
  <c r="AP45" i="9"/>
  <c r="AR45" i="9"/>
  <c r="AP46" i="9"/>
  <c r="AR46" i="9"/>
  <c r="AP47" i="9"/>
  <c r="AR47" i="9"/>
  <c r="AP48" i="9"/>
  <c r="AR48" i="9"/>
  <c r="AP49" i="9"/>
  <c r="AR49" i="9"/>
  <c r="AP50" i="9"/>
  <c r="AR50" i="9"/>
  <c r="AP51" i="9"/>
  <c r="AR51" i="9"/>
  <c r="AP52" i="9"/>
  <c r="AR52" i="9"/>
  <c r="AP53" i="9"/>
  <c r="AR53" i="9"/>
  <c r="AP54" i="9"/>
  <c r="AR54" i="9"/>
  <c r="AP55" i="9"/>
  <c r="AR55" i="9"/>
  <c r="AP56" i="9"/>
  <c r="AR56" i="9"/>
  <c r="AP57" i="9"/>
  <c r="AR57" i="9"/>
  <c r="AP58" i="9"/>
  <c r="AR58" i="9"/>
  <c r="AP59" i="9"/>
  <c r="AR59" i="9"/>
  <c r="AF18" i="9"/>
  <c r="AD18" i="9"/>
  <c r="AD19" i="9"/>
  <c r="AF19" i="9"/>
  <c r="AD20" i="9"/>
  <c r="AF20" i="9"/>
  <c r="AD21" i="9"/>
  <c r="AF21" i="9"/>
  <c r="AD22" i="9"/>
  <c r="AF22" i="9"/>
  <c r="AD23" i="9"/>
  <c r="AF23" i="9"/>
  <c r="AD24" i="9"/>
  <c r="AF24" i="9"/>
  <c r="AD25" i="9"/>
  <c r="AF25" i="9"/>
  <c r="AD26" i="9"/>
  <c r="AF26" i="9"/>
  <c r="AD27" i="9"/>
  <c r="AF27" i="9"/>
  <c r="AD28" i="9"/>
  <c r="AF28" i="9"/>
  <c r="AD29" i="9"/>
  <c r="AF29" i="9"/>
  <c r="AD30" i="9"/>
  <c r="AF30" i="9"/>
  <c r="AD31" i="9"/>
  <c r="AF31" i="9"/>
  <c r="AD32" i="9"/>
  <c r="AF32" i="9"/>
  <c r="AD33" i="9"/>
  <c r="AF33" i="9"/>
  <c r="AD34" i="9"/>
  <c r="AF34" i="9"/>
  <c r="AD35" i="9"/>
  <c r="AF35" i="9"/>
  <c r="AD36" i="9"/>
  <c r="AF36" i="9"/>
  <c r="AD37" i="9"/>
  <c r="AF37" i="9"/>
  <c r="AD38" i="9"/>
  <c r="AF38" i="9"/>
  <c r="AD39" i="9"/>
  <c r="AF39" i="9"/>
  <c r="AD40" i="9"/>
  <c r="AF40" i="9"/>
  <c r="AD41" i="9"/>
  <c r="AF41" i="9"/>
  <c r="AD42" i="9"/>
  <c r="AF42" i="9"/>
  <c r="AD43" i="9"/>
  <c r="AF43" i="9"/>
  <c r="AD44" i="9"/>
  <c r="AF44" i="9"/>
  <c r="AD45" i="9"/>
  <c r="AF45" i="9"/>
  <c r="AD46" i="9"/>
  <c r="AF46" i="9"/>
  <c r="AD47" i="9"/>
  <c r="AF47" i="9"/>
  <c r="AD48" i="9"/>
  <c r="AF48" i="9"/>
  <c r="AD49" i="9"/>
  <c r="AF49" i="9"/>
  <c r="AD50" i="9"/>
  <c r="AF50" i="9"/>
  <c r="AD51" i="9"/>
  <c r="AF51" i="9"/>
  <c r="AD52" i="9"/>
  <c r="AF52" i="9"/>
  <c r="AD53" i="9"/>
  <c r="AF53" i="9"/>
  <c r="AD54" i="9"/>
  <c r="AF54" i="9"/>
  <c r="AD55" i="9"/>
  <c r="AF55" i="9"/>
  <c r="AD56" i="9"/>
  <c r="AF56" i="9"/>
  <c r="AD57" i="9"/>
  <c r="AF57" i="9"/>
  <c r="AD58" i="9"/>
  <c r="AF58" i="9"/>
  <c r="AD59" i="9"/>
  <c r="AF59" i="9"/>
  <c r="AD60" i="9"/>
  <c r="AF60" i="9"/>
  <c r="T18" i="9"/>
  <c r="R18" i="9"/>
  <c r="R19" i="9"/>
  <c r="T19" i="9"/>
  <c r="R20" i="9"/>
  <c r="T20" i="9"/>
  <c r="R21" i="9"/>
  <c r="T21" i="9"/>
  <c r="R22" i="9"/>
  <c r="T22" i="9"/>
  <c r="R23" i="9"/>
  <c r="T23" i="9"/>
  <c r="R24" i="9"/>
  <c r="T24" i="9"/>
  <c r="R25" i="9"/>
  <c r="T25" i="9"/>
  <c r="R26" i="9"/>
  <c r="T26" i="9"/>
  <c r="R27" i="9"/>
  <c r="T27" i="9"/>
  <c r="R28" i="9"/>
  <c r="T28" i="9"/>
  <c r="R29" i="9"/>
  <c r="T29" i="9"/>
  <c r="R30" i="9"/>
  <c r="T30" i="9"/>
  <c r="R31" i="9"/>
  <c r="T31" i="9"/>
  <c r="R32" i="9"/>
  <c r="T32" i="9"/>
  <c r="R33" i="9"/>
  <c r="T33" i="9"/>
  <c r="R34" i="9"/>
  <c r="T34" i="9"/>
  <c r="R35" i="9"/>
  <c r="T35" i="9"/>
  <c r="R36" i="9"/>
  <c r="T36" i="9"/>
  <c r="R37" i="9"/>
  <c r="T37" i="9"/>
  <c r="R38" i="9"/>
  <c r="T38" i="9"/>
  <c r="R39" i="9"/>
  <c r="T39" i="9"/>
  <c r="R40" i="9"/>
  <c r="T40" i="9"/>
  <c r="R41" i="9"/>
  <c r="T41" i="9"/>
  <c r="R42" i="9"/>
  <c r="T42" i="9"/>
  <c r="R43" i="9"/>
  <c r="T43" i="9"/>
  <c r="R44" i="9"/>
  <c r="T44" i="9"/>
  <c r="R45" i="9"/>
  <c r="T45" i="9"/>
  <c r="R46" i="9"/>
  <c r="T46" i="9"/>
  <c r="R47" i="9"/>
  <c r="T47" i="9"/>
  <c r="R48" i="9"/>
  <c r="T48" i="9"/>
  <c r="R49" i="9"/>
  <c r="T49" i="9"/>
  <c r="R50" i="9"/>
  <c r="T50" i="9"/>
  <c r="R51" i="9"/>
  <c r="T51" i="9"/>
  <c r="R52" i="9"/>
  <c r="T52" i="9"/>
  <c r="R53" i="9"/>
  <c r="T53" i="9"/>
  <c r="R54" i="9"/>
  <c r="T54" i="9"/>
  <c r="R55" i="9"/>
  <c r="T55" i="9"/>
  <c r="R56" i="9"/>
  <c r="T56" i="9"/>
  <c r="R57" i="9"/>
  <c r="T57" i="9"/>
  <c r="R58" i="9"/>
  <c r="T58" i="9"/>
  <c r="R59" i="9"/>
  <c r="T59" i="9"/>
  <c r="R60" i="9"/>
  <c r="T60" i="9"/>
  <c r="R61" i="9"/>
  <c r="T61" i="9"/>
  <c r="R62" i="9"/>
  <c r="T62" i="9"/>
  <c r="R63" i="9"/>
  <c r="T63" i="9"/>
  <c r="R64" i="9"/>
  <c r="T64" i="9"/>
  <c r="R65" i="9"/>
  <c r="T65" i="9"/>
  <c r="R66" i="9"/>
  <c r="T66" i="9"/>
  <c r="R67" i="9"/>
  <c r="T67" i="9"/>
  <c r="H18" i="9"/>
  <c r="F18" i="9"/>
  <c r="F19" i="9"/>
  <c r="H19" i="9"/>
  <c r="F20" i="9"/>
  <c r="H20" i="9"/>
  <c r="F21" i="9"/>
  <c r="H21" i="9"/>
  <c r="F22" i="9"/>
  <c r="H22" i="9"/>
  <c r="F23" i="9"/>
  <c r="H23" i="9"/>
  <c r="F24" i="9"/>
  <c r="H24" i="9"/>
  <c r="F25" i="9"/>
  <c r="H25" i="9"/>
  <c r="F26" i="9"/>
  <c r="H26" i="9"/>
  <c r="F27" i="9"/>
  <c r="H27" i="9"/>
  <c r="F28" i="9"/>
  <c r="H28" i="9"/>
  <c r="F29" i="9"/>
  <c r="H29" i="9"/>
  <c r="F30" i="9"/>
  <c r="H30" i="9"/>
  <c r="F31" i="9"/>
  <c r="H31" i="9"/>
  <c r="F32" i="9"/>
  <c r="H32" i="9"/>
  <c r="F33" i="9"/>
  <c r="H33" i="9"/>
  <c r="F34" i="9"/>
  <c r="H34" i="9"/>
  <c r="F35" i="9"/>
  <c r="H35" i="9"/>
  <c r="F36" i="9"/>
  <c r="H36" i="9"/>
  <c r="F37" i="9"/>
  <c r="H37" i="9"/>
  <c r="F38" i="9"/>
  <c r="H38" i="9"/>
  <c r="F39" i="9"/>
  <c r="H39" i="9"/>
  <c r="F40" i="9"/>
  <c r="H40" i="9"/>
  <c r="F41" i="9"/>
  <c r="H41" i="9"/>
  <c r="F42" i="9"/>
  <c r="H42" i="9"/>
  <c r="F43" i="9"/>
  <c r="H43" i="9"/>
  <c r="F44" i="9"/>
  <c r="H44" i="9"/>
  <c r="F45" i="9"/>
  <c r="H45" i="9"/>
  <c r="F46" i="9"/>
  <c r="H46" i="9"/>
  <c r="F47" i="9"/>
  <c r="H47" i="9"/>
  <c r="F48" i="9"/>
  <c r="H48" i="9"/>
  <c r="F49" i="9"/>
  <c r="H49" i="9"/>
  <c r="F50" i="9"/>
  <c r="H50" i="9"/>
  <c r="F51" i="9"/>
  <c r="H51" i="9"/>
  <c r="F52" i="9"/>
  <c r="H52" i="9"/>
  <c r="F53" i="9"/>
  <c r="H53" i="9"/>
  <c r="F54" i="9"/>
  <c r="H54" i="9"/>
  <c r="F55" i="9"/>
  <c r="H55" i="9"/>
  <c r="F56" i="9"/>
  <c r="H56" i="9"/>
  <c r="F57" i="9"/>
  <c r="H57" i="9"/>
  <c r="F58" i="9"/>
  <c r="H58" i="9"/>
  <c r="F59" i="9"/>
  <c r="H59" i="9"/>
  <c r="F60" i="9"/>
  <c r="H60" i="9"/>
  <c r="L5" i="11"/>
  <c r="C80" i="1"/>
  <c r="C7" i="11"/>
  <c r="C8" i="11"/>
  <c r="D22" i="2"/>
  <c r="F22" i="2"/>
  <c r="D23" i="2"/>
  <c r="F23" i="2"/>
  <c r="C15" i="2"/>
  <c r="C14" i="2"/>
  <c r="C16" i="2"/>
  <c r="C17" i="2"/>
  <c r="C8" i="2"/>
  <c r="D24" i="2"/>
  <c r="F24" i="2"/>
  <c r="D25" i="2"/>
  <c r="F25" i="2"/>
  <c r="D26" i="2"/>
  <c r="F26" i="2"/>
  <c r="D27" i="2"/>
  <c r="F27" i="2"/>
  <c r="D30" i="2"/>
  <c r="F30" i="2"/>
  <c r="D31" i="2"/>
  <c r="F31" i="2"/>
  <c r="D32" i="2"/>
  <c r="F32" i="2"/>
  <c r="D33" i="2"/>
  <c r="F33" i="2"/>
  <c r="D34" i="2"/>
  <c r="F34" i="2"/>
  <c r="D35" i="2"/>
  <c r="F35" i="2"/>
  <c r="D36" i="2"/>
  <c r="F36" i="2"/>
  <c r="D37" i="2"/>
  <c r="F37" i="2"/>
  <c r="D38" i="2"/>
  <c r="F38" i="2"/>
  <c r="D39" i="2"/>
  <c r="F39" i="2"/>
  <c r="D40" i="2"/>
  <c r="F40" i="2"/>
  <c r="D41" i="2"/>
  <c r="F41" i="2"/>
  <c r="D42" i="2"/>
  <c r="F42" i="2"/>
  <c r="D43" i="2"/>
  <c r="F43" i="2"/>
  <c r="D44" i="2"/>
  <c r="F44" i="2"/>
  <c r="D45" i="2"/>
  <c r="F45" i="2"/>
  <c r="D46" i="2"/>
  <c r="F46" i="2"/>
  <c r="D47" i="2"/>
  <c r="F47" i="2"/>
  <c r="D48" i="2"/>
  <c r="F48" i="2"/>
  <c r="D49" i="2"/>
  <c r="F49" i="2"/>
  <c r="D50" i="2"/>
  <c r="F50" i="2"/>
  <c r="D51" i="2"/>
  <c r="F51" i="2"/>
  <c r="D52" i="2"/>
  <c r="F52" i="2"/>
  <c r="D53" i="2"/>
  <c r="F53" i="2"/>
  <c r="D54" i="2"/>
  <c r="F54" i="2"/>
  <c r="D55" i="2"/>
  <c r="F55" i="2"/>
  <c r="D56" i="2"/>
  <c r="F56" i="2"/>
  <c r="D57" i="2"/>
  <c r="F57" i="2"/>
  <c r="D58" i="2"/>
  <c r="F58" i="2"/>
  <c r="D59" i="2"/>
  <c r="F59" i="2"/>
  <c r="D60" i="2"/>
  <c r="F60" i="2"/>
  <c r="D61" i="2"/>
  <c r="F61" i="2"/>
  <c r="E22" i="2"/>
  <c r="E23" i="2"/>
  <c r="E24" i="2"/>
  <c r="E25" i="2"/>
  <c r="E26" i="2"/>
  <c r="E27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G61" i="2"/>
  <c r="H61" i="2"/>
  <c r="J134" i="2"/>
  <c r="U134" i="2"/>
  <c r="D66" i="2"/>
  <c r="D65" i="2"/>
  <c r="D64" i="2"/>
  <c r="D63" i="2"/>
  <c r="D62" i="2"/>
  <c r="E62" i="2"/>
  <c r="E63" i="2"/>
  <c r="E64" i="2"/>
  <c r="E65" i="2"/>
  <c r="E66" i="2"/>
  <c r="F62" i="2"/>
  <c r="F63" i="2"/>
  <c r="F64" i="2"/>
  <c r="F65" i="2"/>
  <c r="F66" i="2"/>
  <c r="G66" i="2"/>
  <c r="H66" i="2"/>
  <c r="J139" i="2"/>
  <c r="U139" i="2"/>
  <c r="F5" i="10"/>
  <c r="F10" i="10"/>
  <c r="F7" i="10"/>
  <c r="F11" i="10"/>
  <c r="C7" i="10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C95" i="1"/>
  <c r="C94" i="1"/>
  <c r="C102" i="1"/>
  <c r="P28" i="6"/>
  <c r="G30" i="2"/>
  <c r="H30" i="2"/>
  <c r="I30" i="2"/>
  <c r="J103" i="2"/>
  <c r="K103" i="2"/>
  <c r="N14" i="5"/>
  <c r="N103" i="2"/>
  <c r="O103" i="2"/>
  <c r="P103" i="2"/>
  <c r="Q103" i="2"/>
  <c r="O14" i="5"/>
  <c r="P14" i="5"/>
  <c r="F194" i="1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D32" i="6"/>
  <c r="D33" i="6"/>
  <c r="D34" i="6"/>
  <c r="D35" i="6"/>
  <c r="D44" i="6"/>
  <c r="E32" i="6"/>
  <c r="E33" i="6"/>
  <c r="E34" i="6"/>
  <c r="E35" i="6"/>
  <c r="E44" i="6"/>
  <c r="F32" i="6"/>
  <c r="F33" i="6"/>
  <c r="F34" i="6"/>
  <c r="F35" i="6"/>
  <c r="F44" i="6"/>
  <c r="G32" i="6"/>
  <c r="G33" i="6"/>
  <c r="G34" i="6"/>
  <c r="G35" i="6"/>
  <c r="G44" i="6"/>
  <c r="H32" i="6"/>
  <c r="H33" i="6"/>
  <c r="H34" i="6"/>
  <c r="H35" i="6"/>
  <c r="H44" i="6"/>
  <c r="I32" i="6"/>
  <c r="I33" i="6"/>
  <c r="I34" i="6"/>
  <c r="I35" i="6"/>
  <c r="I44" i="6"/>
  <c r="J32" i="6"/>
  <c r="J33" i="6"/>
  <c r="J34" i="6"/>
  <c r="J35" i="6"/>
  <c r="J44" i="6"/>
  <c r="K32" i="6"/>
  <c r="K33" i="6"/>
  <c r="K34" i="6"/>
  <c r="K35" i="6"/>
  <c r="K44" i="6"/>
  <c r="L32" i="6"/>
  <c r="L33" i="6"/>
  <c r="L34" i="6"/>
  <c r="L35" i="6"/>
  <c r="L44" i="6"/>
  <c r="M32" i="6"/>
  <c r="M33" i="6"/>
  <c r="M34" i="6"/>
  <c r="M35" i="6"/>
  <c r="M44" i="6"/>
  <c r="N32" i="6"/>
  <c r="N33" i="6"/>
  <c r="N34" i="6"/>
  <c r="N35" i="6"/>
  <c r="N44" i="6"/>
  <c r="O32" i="6"/>
  <c r="O33" i="6"/>
  <c r="O34" i="6"/>
  <c r="O35" i="6"/>
  <c r="O44" i="6"/>
  <c r="P32" i="6"/>
  <c r="P33" i="6"/>
  <c r="P34" i="6"/>
  <c r="P35" i="6"/>
  <c r="P44" i="6"/>
  <c r="Q32" i="6"/>
  <c r="Q33" i="6"/>
  <c r="Q34" i="6"/>
  <c r="Q35" i="6"/>
  <c r="Q44" i="6"/>
  <c r="R32" i="6"/>
  <c r="R33" i="6"/>
  <c r="R34" i="6"/>
  <c r="R35" i="6"/>
  <c r="R44" i="6"/>
  <c r="S32" i="6"/>
  <c r="S33" i="6"/>
  <c r="S34" i="6"/>
  <c r="S35" i="6"/>
  <c r="S44" i="6"/>
  <c r="T32" i="6"/>
  <c r="T33" i="6"/>
  <c r="T34" i="6"/>
  <c r="T35" i="6"/>
  <c r="T44" i="6"/>
  <c r="U32" i="6"/>
  <c r="U33" i="6"/>
  <c r="U34" i="6"/>
  <c r="U35" i="6"/>
  <c r="U44" i="6"/>
  <c r="V32" i="6"/>
  <c r="V33" i="6"/>
  <c r="V34" i="6"/>
  <c r="V35" i="6"/>
  <c r="V44" i="6"/>
  <c r="W32" i="6"/>
  <c r="W33" i="6"/>
  <c r="W34" i="6"/>
  <c r="W35" i="6"/>
  <c r="W44" i="6"/>
  <c r="X32" i="6"/>
  <c r="X33" i="6"/>
  <c r="X34" i="6"/>
  <c r="X35" i="6"/>
  <c r="X44" i="6"/>
  <c r="Y32" i="6"/>
  <c r="Y33" i="6"/>
  <c r="Y34" i="6"/>
  <c r="Y35" i="6"/>
  <c r="Y44" i="6"/>
  <c r="Z32" i="6"/>
  <c r="Z33" i="6"/>
  <c r="Z34" i="6"/>
  <c r="Z35" i="6"/>
  <c r="Z44" i="6"/>
  <c r="AA32" i="6"/>
  <c r="AA33" i="6"/>
  <c r="AA34" i="6"/>
  <c r="AA35" i="6"/>
  <c r="AA44" i="6"/>
  <c r="AB32" i="6"/>
  <c r="AB33" i="6"/>
  <c r="AB34" i="6"/>
  <c r="AB35" i="6"/>
  <c r="AB44" i="6"/>
  <c r="AC32" i="6"/>
  <c r="AC33" i="6"/>
  <c r="AC34" i="6"/>
  <c r="AC35" i="6"/>
  <c r="AC44" i="6"/>
  <c r="AD32" i="6"/>
  <c r="AD33" i="6"/>
  <c r="AD34" i="6"/>
  <c r="AD35" i="6"/>
  <c r="AD44" i="6"/>
  <c r="AE32" i="6"/>
  <c r="AE33" i="6"/>
  <c r="AE34" i="6"/>
  <c r="AE35" i="6"/>
  <c r="AE44" i="6"/>
  <c r="AF32" i="6"/>
  <c r="AF33" i="6"/>
  <c r="AF34" i="6"/>
  <c r="AF35" i="6"/>
  <c r="AF44" i="6"/>
  <c r="AG32" i="6"/>
  <c r="AG33" i="6"/>
  <c r="AG34" i="6"/>
  <c r="AG35" i="6"/>
  <c r="AG44" i="6"/>
  <c r="AH32" i="6"/>
  <c r="AH33" i="6"/>
  <c r="AH34" i="6"/>
  <c r="AH35" i="6"/>
  <c r="AH44" i="6"/>
  <c r="AI32" i="6"/>
  <c r="AI33" i="6"/>
  <c r="AI34" i="6"/>
  <c r="AI35" i="6"/>
  <c r="AI44" i="6"/>
  <c r="AJ32" i="6"/>
  <c r="AJ33" i="6"/>
  <c r="AJ34" i="6"/>
  <c r="AJ35" i="6"/>
  <c r="AJ44" i="6"/>
  <c r="AK32" i="6"/>
  <c r="AK33" i="6"/>
  <c r="AK34" i="6"/>
  <c r="AK35" i="6"/>
  <c r="AK44" i="6"/>
  <c r="AL32" i="6"/>
  <c r="AL33" i="6"/>
  <c r="AL34" i="6"/>
  <c r="AL35" i="6"/>
  <c r="AL44" i="6"/>
  <c r="AM32" i="6"/>
  <c r="AM33" i="6"/>
  <c r="AM34" i="6"/>
  <c r="AM35" i="6"/>
  <c r="AM44" i="6"/>
  <c r="AN32" i="6"/>
  <c r="AN33" i="6"/>
  <c r="AN34" i="6"/>
  <c r="AN35" i="6"/>
  <c r="AN44" i="6"/>
  <c r="AO32" i="6"/>
  <c r="AO33" i="6"/>
  <c r="AO34" i="6"/>
  <c r="AO35" i="6"/>
  <c r="AO44" i="6"/>
  <c r="AP32" i="6"/>
  <c r="AP33" i="6"/>
  <c r="AP34" i="6"/>
  <c r="AP35" i="6"/>
  <c r="AP44" i="6"/>
  <c r="AQ32" i="6"/>
  <c r="AQ33" i="6"/>
  <c r="AQ34" i="6"/>
  <c r="AQ35" i="6"/>
  <c r="AQ44" i="6"/>
  <c r="AR32" i="6"/>
  <c r="AR33" i="6"/>
  <c r="AR34" i="6"/>
  <c r="AR35" i="6"/>
  <c r="AR44" i="6"/>
  <c r="AS32" i="6"/>
  <c r="AS33" i="6"/>
  <c r="AS34" i="6"/>
  <c r="AS35" i="6"/>
  <c r="AS44" i="6"/>
  <c r="AT32" i="6"/>
  <c r="AT33" i="6"/>
  <c r="AT34" i="6"/>
  <c r="AT35" i="6"/>
  <c r="AT44" i="6"/>
  <c r="AU32" i="6"/>
  <c r="AU33" i="6"/>
  <c r="AU34" i="6"/>
  <c r="AU35" i="6"/>
  <c r="AU44" i="6"/>
  <c r="AV32" i="6"/>
  <c r="AV33" i="6"/>
  <c r="AV34" i="6"/>
  <c r="AV35" i="6"/>
  <c r="AV44" i="6"/>
  <c r="AW32" i="6"/>
  <c r="AW33" i="6"/>
  <c r="AW34" i="6"/>
  <c r="AW35" i="6"/>
  <c r="AW44" i="6"/>
  <c r="AX32" i="6"/>
  <c r="AX33" i="6"/>
  <c r="AX34" i="6"/>
  <c r="AX35" i="6"/>
  <c r="AX44" i="6"/>
  <c r="AY32" i="6"/>
  <c r="AY33" i="6"/>
  <c r="AY34" i="6"/>
  <c r="AY35" i="6"/>
  <c r="AY44" i="6"/>
  <c r="AZ32" i="6"/>
  <c r="AZ33" i="6"/>
  <c r="AZ34" i="6"/>
  <c r="AZ35" i="6"/>
  <c r="AZ44" i="6"/>
  <c r="BA32" i="6"/>
  <c r="BA33" i="6"/>
  <c r="BA34" i="6"/>
  <c r="BA35" i="6"/>
  <c r="BA44" i="6"/>
  <c r="BB32" i="6"/>
  <c r="BB33" i="6"/>
  <c r="BB34" i="6"/>
  <c r="BB35" i="6"/>
  <c r="BB44" i="6"/>
  <c r="BC32" i="6"/>
  <c r="BC33" i="6"/>
  <c r="BC34" i="6"/>
  <c r="BC35" i="6"/>
  <c r="BC44" i="6"/>
  <c r="N94" i="2"/>
  <c r="O94" i="2"/>
  <c r="P94" i="2"/>
  <c r="Q94" i="2"/>
  <c r="S94" i="2"/>
  <c r="N95" i="2"/>
  <c r="O95" i="2"/>
  <c r="P95" i="2"/>
  <c r="Q95" i="2"/>
  <c r="R95" i="2"/>
  <c r="S95" i="2"/>
  <c r="N96" i="2"/>
  <c r="O96" i="2"/>
  <c r="P96" i="2"/>
  <c r="Q96" i="2"/>
  <c r="R96" i="2"/>
  <c r="S96" i="2"/>
  <c r="N97" i="2"/>
  <c r="O97" i="2"/>
  <c r="P97" i="2"/>
  <c r="Q97" i="2"/>
  <c r="R97" i="2"/>
  <c r="S97" i="2"/>
  <c r="N98" i="2"/>
  <c r="O98" i="2"/>
  <c r="P98" i="2"/>
  <c r="Q98" i="2"/>
  <c r="R98" i="2"/>
  <c r="S98" i="2"/>
  <c r="G26" i="2"/>
  <c r="H26" i="2"/>
  <c r="J99" i="2"/>
  <c r="N99" i="2"/>
  <c r="O99" i="2"/>
  <c r="P99" i="2"/>
  <c r="Q99" i="2"/>
  <c r="R99" i="2"/>
  <c r="S99" i="2"/>
  <c r="G27" i="2"/>
  <c r="H27" i="2"/>
  <c r="J100" i="2"/>
  <c r="N100" i="2"/>
  <c r="O100" i="2"/>
  <c r="P100" i="2"/>
  <c r="Q100" i="2"/>
  <c r="R100" i="2"/>
  <c r="S100" i="2"/>
  <c r="G28" i="2"/>
  <c r="H28" i="2"/>
  <c r="J101" i="2"/>
  <c r="N101" i="2"/>
  <c r="O101" i="2"/>
  <c r="P101" i="2"/>
  <c r="Q101" i="2"/>
  <c r="R101" i="2"/>
  <c r="S101" i="2"/>
  <c r="R102" i="2"/>
  <c r="S102" i="2"/>
  <c r="R103" i="2"/>
  <c r="S103" i="2"/>
  <c r="G31" i="2"/>
  <c r="H31" i="2"/>
  <c r="J104" i="2"/>
  <c r="N104" i="2"/>
  <c r="O104" i="2"/>
  <c r="P104" i="2"/>
  <c r="Q104" i="2"/>
  <c r="R104" i="2"/>
  <c r="S104" i="2"/>
  <c r="G32" i="2"/>
  <c r="H32" i="2"/>
  <c r="J105" i="2"/>
  <c r="N105" i="2"/>
  <c r="O105" i="2"/>
  <c r="P105" i="2"/>
  <c r="Q105" i="2"/>
  <c r="R105" i="2"/>
  <c r="S105" i="2"/>
  <c r="G33" i="2"/>
  <c r="H33" i="2"/>
  <c r="J106" i="2"/>
  <c r="N106" i="2"/>
  <c r="O106" i="2"/>
  <c r="P106" i="2"/>
  <c r="Q106" i="2"/>
  <c r="R106" i="2"/>
  <c r="S106" i="2"/>
  <c r="G34" i="2"/>
  <c r="H34" i="2"/>
  <c r="J107" i="2"/>
  <c r="N107" i="2"/>
  <c r="O107" i="2"/>
  <c r="P107" i="2"/>
  <c r="Q107" i="2"/>
  <c r="R107" i="2"/>
  <c r="S107" i="2"/>
  <c r="G35" i="2"/>
  <c r="H35" i="2"/>
  <c r="J108" i="2"/>
  <c r="N108" i="2"/>
  <c r="O108" i="2"/>
  <c r="P108" i="2"/>
  <c r="Q108" i="2"/>
  <c r="R108" i="2"/>
  <c r="S108" i="2"/>
  <c r="G36" i="2"/>
  <c r="H36" i="2"/>
  <c r="J109" i="2"/>
  <c r="N109" i="2"/>
  <c r="O109" i="2"/>
  <c r="P109" i="2"/>
  <c r="Q109" i="2"/>
  <c r="R109" i="2"/>
  <c r="S109" i="2"/>
  <c r="G37" i="2"/>
  <c r="H37" i="2"/>
  <c r="J110" i="2"/>
  <c r="N110" i="2"/>
  <c r="O110" i="2"/>
  <c r="P110" i="2"/>
  <c r="Q110" i="2"/>
  <c r="R110" i="2"/>
  <c r="S110" i="2"/>
  <c r="G38" i="2"/>
  <c r="H38" i="2"/>
  <c r="J111" i="2"/>
  <c r="N111" i="2"/>
  <c r="O111" i="2"/>
  <c r="P111" i="2"/>
  <c r="Q111" i="2"/>
  <c r="R111" i="2"/>
  <c r="S111" i="2"/>
  <c r="G39" i="2"/>
  <c r="H39" i="2"/>
  <c r="J112" i="2"/>
  <c r="N112" i="2"/>
  <c r="O112" i="2"/>
  <c r="P112" i="2"/>
  <c r="Q112" i="2"/>
  <c r="R112" i="2"/>
  <c r="S112" i="2"/>
  <c r="G40" i="2"/>
  <c r="H40" i="2"/>
  <c r="J113" i="2"/>
  <c r="N113" i="2"/>
  <c r="O113" i="2"/>
  <c r="P113" i="2"/>
  <c r="Q113" i="2"/>
  <c r="R113" i="2"/>
  <c r="S113" i="2"/>
  <c r="G41" i="2"/>
  <c r="H41" i="2"/>
  <c r="J114" i="2"/>
  <c r="N114" i="2"/>
  <c r="O114" i="2"/>
  <c r="P114" i="2"/>
  <c r="Q114" i="2"/>
  <c r="R114" i="2"/>
  <c r="S114" i="2"/>
  <c r="G42" i="2"/>
  <c r="H42" i="2"/>
  <c r="J115" i="2"/>
  <c r="N115" i="2"/>
  <c r="O115" i="2"/>
  <c r="P115" i="2"/>
  <c r="Q115" i="2"/>
  <c r="R115" i="2"/>
  <c r="S115" i="2"/>
  <c r="G43" i="2"/>
  <c r="H43" i="2"/>
  <c r="J116" i="2"/>
  <c r="N116" i="2"/>
  <c r="O116" i="2"/>
  <c r="P116" i="2"/>
  <c r="Q116" i="2"/>
  <c r="R116" i="2"/>
  <c r="S116" i="2"/>
  <c r="G44" i="2"/>
  <c r="H44" i="2"/>
  <c r="J117" i="2"/>
  <c r="N117" i="2"/>
  <c r="O117" i="2"/>
  <c r="P117" i="2"/>
  <c r="Q117" i="2"/>
  <c r="R117" i="2"/>
  <c r="S117" i="2"/>
  <c r="G45" i="2"/>
  <c r="H45" i="2"/>
  <c r="J118" i="2"/>
  <c r="N118" i="2"/>
  <c r="O118" i="2"/>
  <c r="P118" i="2"/>
  <c r="Q118" i="2"/>
  <c r="R118" i="2"/>
  <c r="S118" i="2"/>
  <c r="G46" i="2"/>
  <c r="H46" i="2"/>
  <c r="J119" i="2"/>
  <c r="N119" i="2"/>
  <c r="O119" i="2"/>
  <c r="P119" i="2"/>
  <c r="Q119" i="2"/>
  <c r="R119" i="2"/>
  <c r="S119" i="2"/>
  <c r="G47" i="2"/>
  <c r="H47" i="2"/>
  <c r="J120" i="2"/>
  <c r="N120" i="2"/>
  <c r="O120" i="2"/>
  <c r="P120" i="2"/>
  <c r="Q120" i="2"/>
  <c r="R120" i="2"/>
  <c r="S120" i="2"/>
  <c r="G48" i="2"/>
  <c r="H48" i="2"/>
  <c r="J121" i="2"/>
  <c r="N121" i="2"/>
  <c r="O121" i="2"/>
  <c r="P121" i="2"/>
  <c r="Q121" i="2"/>
  <c r="R121" i="2"/>
  <c r="S121" i="2"/>
  <c r="G49" i="2"/>
  <c r="H49" i="2"/>
  <c r="J122" i="2"/>
  <c r="N122" i="2"/>
  <c r="O122" i="2"/>
  <c r="P122" i="2"/>
  <c r="Q122" i="2"/>
  <c r="R122" i="2"/>
  <c r="S122" i="2"/>
  <c r="G50" i="2"/>
  <c r="H50" i="2"/>
  <c r="J123" i="2"/>
  <c r="N123" i="2"/>
  <c r="O123" i="2"/>
  <c r="P123" i="2"/>
  <c r="Q123" i="2"/>
  <c r="R123" i="2"/>
  <c r="S123" i="2"/>
  <c r="G51" i="2"/>
  <c r="H51" i="2"/>
  <c r="J124" i="2"/>
  <c r="N124" i="2"/>
  <c r="O124" i="2"/>
  <c r="P124" i="2"/>
  <c r="Q124" i="2"/>
  <c r="R124" i="2"/>
  <c r="S124" i="2"/>
  <c r="G52" i="2"/>
  <c r="H52" i="2"/>
  <c r="J125" i="2"/>
  <c r="N125" i="2"/>
  <c r="O125" i="2"/>
  <c r="P125" i="2"/>
  <c r="Q125" i="2"/>
  <c r="R125" i="2"/>
  <c r="S125" i="2"/>
  <c r="G53" i="2"/>
  <c r="H53" i="2"/>
  <c r="J126" i="2"/>
  <c r="N126" i="2"/>
  <c r="O126" i="2"/>
  <c r="P126" i="2"/>
  <c r="Q126" i="2"/>
  <c r="R126" i="2"/>
  <c r="S126" i="2"/>
  <c r="G54" i="2"/>
  <c r="H54" i="2"/>
  <c r="J127" i="2"/>
  <c r="N127" i="2"/>
  <c r="O127" i="2"/>
  <c r="P127" i="2"/>
  <c r="Q127" i="2"/>
  <c r="R127" i="2"/>
  <c r="S127" i="2"/>
  <c r="G55" i="2"/>
  <c r="H55" i="2"/>
  <c r="J128" i="2"/>
  <c r="N128" i="2"/>
  <c r="O128" i="2"/>
  <c r="P128" i="2"/>
  <c r="Q128" i="2"/>
  <c r="R128" i="2"/>
  <c r="S128" i="2"/>
  <c r="G56" i="2"/>
  <c r="H56" i="2"/>
  <c r="J129" i="2"/>
  <c r="N129" i="2"/>
  <c r="O129" i="2"/>
  <c r="P129" i="2"/>
  <c r="Q129" i="2"/>
  <c r="R129" i="2"/>
  <c r="S129" i="2"/>
  <c r="G57" i="2"/>
  <c r="H57" i="2"/>
  <c r="J130" i="2"/>
  <c r="N130" i="2"/>
  <c r="O130" i="2"/>
  <c r="P130" i="2"/>
  <c r="Q130" i="2"/>
  <c r="R130" i="2"/>
  <c r="S130" i="2"/>
  <c r="G58" i="2"/>
  <c r="H58" i="2"/>
  <c r="J131" i="2"/>
  <c r="N131" i="2"/>
  <c r="O131" i="2"/>
  <c r="P131" i="2"/>
  <c r="Q131" i="2"/>
  <c r="R131" i="2"/>
  <c r="S131" i="2"/>
  <c r="G59" i="2"/>
  <c r="H59" i="2"/>
  <c r="J132" i="2"/>
  <c r="N132" i="2"/>
  <c r="O132" i="2"/>
  <c r="P132" i="2"/>
  <c r="Q132" i="2"/>
  <c r="R132" i="2"/>
  <c r="S132" i="2"/>
  <c r="G60" i="2"/>
  <c r="H60" i="2"/>
  <c r="J133" i="2"/>
  <c r="N133" i="2"/>
  <c r="O133" i="2"/>
  <c r="P133" i="2"/>
  <c r="Q133" i="2"/>
  <c r="R133" i="2"/>
  <c r="S133" i="2"/>
  <c r="N134" i="2"/>
  <c r="O134" i="2"/>
  <c r="P134" i="2"/>
  <c r="Q134" i="2"/>
  <c r="R134" i="2"/>
  <c r="S134" i="2"/>
  <c r="G62" i="2"/>
  <c r="H62" i="2"/>
  <c r="J135" i="2"/>
  <c r="N135" i="2"/>
  <c r="O135" i="2"/>
  <c r="P135" i="2"/>
  <c r="Q135" i="2"/>
  <c r="R135" i="2"/>
  <c r="S135" i="2"/>
  <c r="G63" i="2"/>
  <c r="H63" i="2"/>
  <c r="J136" i="2"/>
  <c r="N136" i="2"/>
  <c r="O136" i="2"/>
  <c r="P136" i="2"/>
  <c r="Q136" i="2"/>
  <c r="R136" i="2"/>
  <c r="S136" i="2"/>
  <c r="G64" i="2"/>
  <c r="H64" i="2"/>
  <c r="J137" i="2"/>
  <c r="N137" i="2"/>
  <c r="O137" i="2"/>
  <c r="P137" i="2"/>
  <c r="Q137" i="2"/>
  <c r="R137" i="2"/>
  <c r="S137" i="2"/>
  <c r="G65" i="2"/>
  <c r="H65" i="2"/>
  <c r="J138" i="2"/>
  <c r="N138" i="2"/>
  <c r="O138" i="2"/>
  <c r="P138" i="2"/>
  <c r="Q138" i="2"/>
  <c r="R138" i="2"/>
  <c r="S138" i="2"/>
  <c r="N139" i="2"/>
  <c r="O139" i="2"/>
  <c r="P139" i="2"/>
  <c r="Q139" i="2"/>
  <c r="R139" i="2"/>
  <c r="S139" i="2"/>
  <c r="S155" i="2"/>
  <c r="G102" i="2"/>
  <c r="G104" i="2"/>
  <c r="G108" i="2"/>
  <c r="G109" i="2"/>
  <c r="C44" i="6"/>
  <c r="C73" i="1"/>
  <c r="G23" i="2"/>
  <c r="H23" i="2"/>
  <c r="J96" i="2"/>
  <c r="U96" i="2"/>
  <c r="K96" i="2"/>
  <c r="V96" i="2"/>
  <c r="C23" i="2"/>
  <c r="J23" i="2"/>
  <c r="I23" i="2"/>
  <c r="K23" i="2"/>
  <c r="K7" i="14"/>
  <c r="L7" i="14"/>
  <c r="M7" i="14"/>
  <c r="N7" i="14"/>
  <c r="O7" i="14"/>
  <c r="P7" i="14"/>
  <c r="C10" i="14"/>
  <c r="E10" i="14"/>
  <c r="C11" i="14"/>
  <c r="W7" i="14"/>
  <c r="AM7" i="14"/>
  <c r="E7" i="14"/>
  <c r="AF7" i="14"/>
  <c r="Y7" i="14"/>
  <c r="Q7" i="14"/>
  <c r="E8" i="14"/>
  <c r="R7" i="14"/>
  <c r="S7" i="14"/>
  <c r="M7" i="5"/>
  <c r="N7" i="5"/>
  <c r="O7" i="5"/>
  <c r="P7" i="5"/>
  <c r="Q7" i="5"/>
  <c r="R7" i="5"/>
  <c r="Z7" i="5"/>
  <c r="AB7" i="5"/>
  <c r="S7" i="5"/>
  <c r="T7" i="5"/>
  <c r="U7" i="5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20" i="8"/>
  <c r="A21" i="8"/>
  <c r="C21" i="8"/>
  <c r="E21" i="8"/>
  <c r="A22" i="8"/>
  <c r="C22" i="8"/>
  <c r="E22" i="8"/>
  <c r="A23" i="8"/>
  <c r="C23" i="8"/>
  <c r="D23" i="8"/>
  <c r="E23" i="8"/>
  <c r="A24" i="8"/>
  <c r="C24" i="8"/>
  <c r="D24" i="8"/>
  <c r="E24" i="8"/>
  <c r="A25" i="8"/>
  <c r="C25" i="8"/>
  <c r="D25" i="8"/>
  <c r="E25" i="8"/>
  <c r="A26" i="8"/>
  <c r="C26" i="8"/>
  <c r="D26" i="8"/>
  <c r="E26" i="8"/>
  <c r="A27" i="8"/>
  <c r="C27" i="8"/>
  <c r="D27" i="8"/>
  <c r="E27" i="8"/>
  <c r="A28" i="8"/>
  <c r="C28" i="8"/>
  <c r="D28" i="8"/>
  <c r="E28" i="8"/>
  <c r="A29" i="8"/>
  <c r="C29" i="8"/>
  <c r="D29" i="8"/>
  <c r="E29" i="8"/>
  <c r="A30" i="8"/>
  <c r="C30" i="8"/>
  <c r="D30" i="8"/>
  <c r="E30" i="8"/>
  <c r="A31" i="8"/>
  <c r="C31" i="8"/>
  <c r="D31" i="8"/>
  <c r="E31" i="8"/>
  <c r="A32" i="8"/>
  <c r="C32" i="8"/>
  <c r="D32" i="8"/>
  <c r="E32" i="8"/>
  <c r="A33" i="8"/>
  <c r="C33" i="8"/>
  <c r="D33" i="8"/>
  <c r="E33" i="8"/>
  <c r="A34" i="8"/>
  <c r="C34" i="8"/>
  <c r="D34" i="8"/>
  <c r="E34" i="8"/>
  <c r="A35" i="8"/>
  <c r="C35" i="8"/>
  <c r="D35" i="8"/>
  <c r="E35" i="8"/>
  <c r="A36" i="8"/>
  <c r="C36" i="8"/>
  <c r="D36" i="8"/>
  <c r="E36" i="8"/>
  <c r="A37" i="8"/>
  <c r="C37" i="8"/>
  <c r="D37" i="8"/>
  <c r="E37" i="8"/>
  <c r="A38" i="8"/>
  <c r="C38" i="8"/>
  <c r="D38" i="8"/>
  <c r="E38" i="8"/>
  <c r="A39" i="8"/>
  <c r="C39" i="8"/>
  <c r="D39" i="8"/>
  <c r="E39" i="8"/>
  <c r="A40" i="8"/>
  <c r="D40" i="8"/>
  <c r="E40" i="8"/>
  <c r="A41" i="8"/>
  <c r="D41" i="8"/>
  <c r="E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U104" i="2"/>
  <c r="K104" i="2"/>
  <c r="V104" i="2"/>
  <c r="I31" i="2"/>
  <c r="N15" i="5"/>
  <c r="O15" i="5"/>
  <c r="P15" i="5"/>
  <c r="A93" i="1"/>
  <c r="H9" i="1"/>
  <c r="B202" i="1"/>
  <c r="F196" i="1"/>
  <c r="H15" i="1"/>
  <c r="N25" i="14"/>
  <c r="I41" i="2"/>
  <c r="K114" i="2"/>
  <c r="L25" i="14"/>
  <c r="M25" i="14"/>
  <c r="AF25" i="14"/>
  <c r="AM25" i="14"/>
  <c r="I33" i="2"/>
  <c r="K106" i="2"/>
  <c r="L17" i="14"/>
  <c r="M17" i="14"/>
  <c r="N17" i="14"/>
  <c r="AM17" i="14"/>
  <c r="AF17" i="14"/>
  <c r="I39" i="2"/>
  <c r="K112" i="2"/>
  <c r="L23" i="14"/>
  <c r="M23" i="14"/>
  <c r="N23" i="14"/>
  <c r="U114" i="2"/>
  <c r="U106" i="2"/>
  <c r="U112" i="2"/>
  <c r="M9" i="6"/>
  <c r="V114" i="2"/>
  <c r="V106" i="2"/>
  <c r="V112" i="2"/>
  <c r="M10" i="6"/>
  <c r="M6" i="6"/>
  <c r="M19" i="6"/>
  <c r="D198" i="1"/>
  <c r="F195" i="1"/>
  <c r="B203" i="1"/>
  <c r="B204" i="1"/>
  <c r="B205" i="1"/>
  <c r="B206" i="1"/>
  <c r="B207" i="1"/>
  <c r="B208" i="1"/>
  <c r="B209" i="1"/>
  <c r="B210" i="1"/>
  <c r="B211" i="1"/>
  <c r="B212" i="1"/>
  <c r="D212" i="1"/>
  <c r="M22" i="6"/>
  <c r="M23" i="6"/>
  <c r="D6" i="6"/>
  <c r="D17" i="6"/>
  <c r="E6" i="6"/>
  <c r="E17" i="6"/>
  <c r="F6" i="6"/>
  <c r="F17" i="6"/>
  <c r="G6" i="6"/>
  <c r="G17" i="6"/>
  <c r="H6" i="6"/>
  <c r="H17" i="6"/>
  <c r="I6" i="6"/>
  <c r="I17" i="6"/>
  <c r="J6" i="6"/>
  <c r="J17" i="6"/>
  <c r="K6" i="6"/>
  <c r="K17" i="6"/>
  <c r="L6" i="6"/>
  <c r="L17" i="6"/>
  <c r="M17" i="6"/>
  <c r="M37" i="6"/>
  <c r="K105" i="2"/>
  <c r="V105" i="2"/>
  <c r="G24" i="2"/>
  <c r="H24" i="2"/>
  <c r="J97" i="2"/>
  <c r="K97" i="2"/>
  <c r="V97" i="2"/>
  <c r="V103" i="2"/>
  <c r="D10" i="6"/>
  <c r="G25" i="2"/>
  <c r="H25" i="2"/>
  <c r="J98" i="2"/>
  <c r="K98" i="2"/>
  <c r="V98" i="2"/>
  <c r="E10" i="6"/>
  <c r="K107" i="2"/>
  <c r="V107" i="2"/>
  <c r="K99" i="2"/>
  <c r="V99" i="2"/>
  <c r="F10" i="6"/>
  <c r="K108" i="2"/>
  <c r="V108" i="2"/>
  <c r="K100" i="2"/>
  <c r="V100" i="2"/>
  <c r="G10" i="6"/>
  <c r="K109" i="2"/>
  <c r="V109" i="2"/>
  <c r="K101" i="2"/>
  <c r="V101" i="2"/>
  <c r="H10" i="6"/>
  <c r="K110" i="2"/>
  <c r="V110" i="2"/>
  <c r="I10" i="6"/>
  <c r="K111" i="2"/>
  <c r="V111" i="2"/>
  <c r="J10" i="6"/>
  <c r="K10" i="6"/>
  <c r="K113" i="2"/>
  <c r="V113" i="2"/>
  <c r="L10" i="6"/>
  <c r="K115" i="2"/>
  <c r="V115" i="2"/>
  <c r="N10" i="6"/>
  <c r="K116" i="2"/>
  <c r="V116" i="2"/>
  <c r="O10" i="6"/>
  <c r="K117" i="2"/>
  <c r="V117" i="2"/>
  <c r="P10" i="6"/>
  <c r="K118" i="2"/>
  <c r="V118" i="2"/>
  <c r="Q10" i="6"/>
  <c r="K119" i="2"/>
  <c r="V119" i="2"/>
  <c r="R10" i="6"/>
  <c r="K120" i="2"/>
  <c r="V120" i="2"/>
  <c r="S10" i="6"/>
  <c r="K121" i="2"/>
  <c r="V121" i="2"/>
  <c r="T10" i="6"/>
  <c r="K122" i="2"/>
  <c r="V122" i="2"/>
  <c r="U10" i="6"/>
  <c r="K123" i="2"/>
  <c r="V123" i="2"/>
  <c r="V10" i="6"/>
  <c r="K124" i="2"/>
  <c r="V124" i="2"/>
  <c r="W10" i="6"/>
  <c r="K125" i="2"/>
  <c r="V125" i="2"/>
  <c r="X10" i="6"/>
  <c r="K126" i="2"/>
  <c r="V126" i="2"/>
  <c r="Y10" i="6"/>
  <c r="K127" i="2"/>
  <c r="V127" i="2"/>
  <c r="Z10" i="6"/>
  <c r="K128" i="2"/>
  <c r="V128" i="2"/>
  <c r="AA10" i="6"/>
  <c r="K129" i="2"/>
  <c r="V129" i="2"/>
  <c r="AB10" i="6"/>
  <c r="K130" i="2"/>
  <c r="V130" i="2"/>
  <c r="AC10" i="6"/>
  <c r="K131" i="2"/>
  <c r="V131" i="2"/>
  <c r="AD10" i="6"/>
  <c r="K132" i="2"/>
  <c r="V132" i="2"/>
  <c r="AE10" i="6"/>
  <c r="K133" i="2"/>
  <c r="V133" i="2"/>
  <c r="AF10" i="6"/>
  <c r="K134" i="2"/>
  <c r="V134" i="2"/>
  <c r="AG10" i="6"/>
  <c r="K135" i="2"/>
  <c r="V135" i="2"/>
  <c r="AH10" i="6"/>
  <c r="K136" i="2"/>
  <c r="V136" i="2"/>
  <c r="AI10" i="6"/>
  <c r="K137" i="2"/>
  <c r="V137" i="2"/>
  <c r="AJ10" i="6"/>
  <c r="K138" i="2"/>
  <c r="V138" i="2"/>
  <c r="AK10" i="6"/>
  <c r="K139" i="2"/>
  <c r="V139" i="2"/>
  <c r="AL10" i="6"/>
  <c r="D67" i="2"/>
  <c r="F67" i="2"/>
  <c r="E67" i="2"/>
  <c r="G67" i="2"/>
  <c r="H67" i="2"/>
  <c r="J140" i="2"/>
  <c r="K140" i="2"/>
  <c r="N140" i="2"/>
  <c r="O140" i="2"/>
  <c r="P140" i="2"/>
  <c r="Q140" i="2"/>
  <c r="V140" i="2"/>
  <c r="AM10" i="6"/>
  <c r="D68" i="2"/>
  <c r="F68" i="2"/>
  <c r="E68" i="2"/>
  <c r="G68" i="2"/>
  <c r="H68" i="2"/>
  <c r="J141" i="2"/>
  <c r="K141" i="2"/>
  <c r="N141" i="2"/>
  <c r="O141" i="2"/>
  <c r="P141" i="2"/>
  <c r="Q141" i="2"/>
  <c r="V141" i="2"/>
  <c r="AN10" i="6"/>
  <c r="D69" i="2"/>
  <c r="F69" i="2"/>
  <c r="E69" i="2"/>
  <c r="G69" i="2"/>
  <c r="H69" i="2"/>
  <c r="J142" i="2"/>
  <c r="K142" i="2"/>
  <c r="N142" i="2"/>
  <c r="O142" i="2"/>
  <c r="P142" i="2"/>
  <c r="Q142" i="2"/>
  <c r="V142" i="2"/>
  <c r="AO10" i="6"/>
  <c r="D70" i="2"/>
  <c r="F70" i="2"/>
  <c r="E70" i="2"/>
  <c r="G70" i="2"/>
  <c r="H70" i="2"/>
  <c r="J143" i="2"/>
  <c r="K143" i="2"/>
  <c r="N143" i="2"/>
  <c r="O143" i="2"/>
  <c r="P143" i="2"/>
  <c r="Q143" i="2"/>
  <c r="V143" i="2"/>
  <c r="AP10" i="6"/>
  <c r="D71" i="2"/>
  <c r="F71" i="2"/>
  <c r="E71" i="2"/>
  <c r="G71" i="2"/>
  <c r="H71" i="2"/>
  <c r="J144" i="2"/>
  <c r="K144" i="2"/>
  <c r="N144" i="2"/>
  <c r="O144" i="2"/>
  <c r="P144" i="2"/>
  <c r="Q144" i="2"/>
  <c r="V144" i="2"/>
  <c r="AQ10" i="6"/>
  <c r="D72" i="2"/>
  <c r="F72" i="2"/>
  <c r="E72" i="2"/>
  <c r="G72" i="2"/>
  <c r="H72" i="2"/>
  <c r="J145" i="2"/>
  <c r="K145" i="2"/>
  <c r="N145" i="2"/>
  <c r="O145" i="2"/>
  <c r="P145" i="2"/>
  <c r="Q145" i="2"/>
  <c r="V145" i="2"/>
  <c r="AR10" i="6"/>
  <c r="D73" i="2"/>
  <c r="F73" i="2"/>
  <c r="E73" i="2"/>
  <c r="G73" i="2"/>
  <c r="H73" i="2"/>
  <c r="J146" i="2"/>
  <c r="K146" i="2"/>
  <c r="N146" i="2"/>
  <c r="O146" i="2"/>
  <c r="P146" i="2"/>
  <c r="Q146" i="2"/>
  <c r="V146" i="2"/>
  <c r="AS10" i="6"/>
  <c r="D74" i="2"/>
  <c r="F74" i="2"/>
  <c r="E74" i="2"/>
  <c r="G74" i="2"/>
  <c r="H74" i="2"/>
  <c r="J147" i="2"/>
  <c r="K147" i="2"/>
  <c r="N147" i="2"/>
  <c r="O147" i="2"/>
  <c r="P147" i="2"/>
  <c r="Q147" i="2"/>
  <c r="V147" i="2"/>
  <c r="AT10" i="6"/>
  <c r="D75" i="2"/>
  <c r="F75" i="2"/>
  <c r="E75" i="2"/>
  <c r="G75" i="2"/>
  <c r="H75" i="2"/>
  <c r="J148" i="2"/>
  <c r="K148" i="2"/>
  <c r="N148" i="2"/>
  <c r="O148" i="2"/>
  <c r="P148" i="2"/>
  <c r="Q148" i="2"/>
  <c r="V148" i="2"/>
  <c r="AU10" i="6"/>
  <c r="D76" i="2"/>
  <c r="F76" i="2"/>
  <c r="E76" i="2"/>
  <c r="G76" i="2"/>
  <c r="H76" i="2"/>
  <c r="J149" i="2"/>
  <c r="K149" i="2"/>
  <c r="N149" i="2"/>
  <c r="O149" i="2"/>
  <c r="P149" i="2"/>
  <c r="Q149" i="2"/>
  <c r="V149" i="2"/>
  <c r="AV10" i="6"/>
  <c r="D77" i="2"/>
  <c r="F77" i="2"/>
  <c r="E77" i="2"/>
  <c r="G77" i="2"/>
  <c r="H77" i="2"/>
  <c r="J150" i="2"/>
  <c r="K150" i="2"/>
  <c r="N150" i="2"/>
  <c r="O150" i="2"/>
  <c r="P150" i="2"/>
  <c r="Q150" i="2"/>
  <c r="V150" i="2"/>
  <c r="AW10" i="6"/>
  <c r="D78" i="2"/>
  <c r="F78" i="2"/>
  <c r="E78" i="2"/>
  <c r="G78" i="2"/>
  <c r="H78" i="2"/>
  <c r="J151" i="2"/>
  <c r="K151" i="2"/>
  <c r="N151" i="2"/>
  <c r="O151" i="2"/>
  <c r="P151" i="2"/>
  <c r="Q151" i="2"/>
  <c r="V151" i="2"/>
  <c r="AX10" i="6"/>
  <c r="D79" i="2"/>
  <c r="F79" i="2"/>
  <c r="E79" i="2"/>
  <c r="G79" i="2"/>
  <c r="H79" i="2"/>
  <c r="J152" i="2"/>
  <c r="K152" i="2"/>
  <c r="N152" i="2"/>
  <c r="O152" i="2"/>
  <c r="P152" i="2"/>
  <c r="Q152" i="2"/>
  <c r="V152" i="2"/>
  <c r="AY10" i="6"/>
  <c r="D80" i="2"/>
  <c r="F80" i="2"/>
  <c r="E80" i="2"/>
  <c r="G80" i="2"/>
  <c r="H80" i="2"/>
  <c r="J153" i="2"/>
  <c r="K153" i="2"/>
  <c r="N153" i="2"/>
  <c r="O153" i="2"/>
  <c r="P153" i="2"/>
  <c r="Q153" i="2"/>
  <c r="V153" i="2"/>
  <c r="AZ10" i="6"/>
  <c r="D81" i="2"/>
  <c r="F81" i="2"/>
  <c r="E81" i="2"/>
  <c r="G81" i="2"/>
  <c r="H81" i="2"/>
  <c r="J154" i="2"/>
  <c r="K154" i="2"/>
  <c r="N154" i="2"/>
  <c r="O154" i="2"/>
  <c r="P154" i="2"/>
  <c r="Q154" i="2"/>
  <c r="V154" i="2"/>
  <c r="BA10" i="6"/>
  <c r="BB10" i="6"/>
  <c r="BC10" i="6"/>
  <c r="C24" i="2"/>
  <c r="J24" i="2"/>
  <c r="C25" i="2"/>
  <c r="J25" i="2"/>
  <c r="C26" i="2"/>
  <c r="J26" i="2"/>
  <c r="C27" i="2"/>
  <c r="J27" i="2"/>
  <c r="C28" i="2"/>
  <c r="J28" i="2"/>
  <c r="U105" i="2"/>
  <c r="U97" i="2"/>
  <c r="U103" i="2"/>
  <c r="D9" i="6"/>
  <c r="U98" i="2"/>
  <c r="E9" i="6"/>
  <c r="U107" i="2"/>
  <c r="U99" i="2"/>
  <c r="F9" i="6"/>
  <c r="U108" i="2"/>
  <c r="U100" i="2"/>
  <c r="G9" i="6"/>
  <c r="U109" i="2"/>
  <c r="U101" i="2"/>
  <c r="H9" i="6"/>
  <c r="U110" i="2"/>
  <c r="I9" i="6"/>
  <c r="U111" i="2"/>
  <c r="J9" i="6"/>
  <c r="K9" i="6"/>
  <c r="U113" i="2"/>
  <c r="L9" i="6"/>
  <c r="U115" i="2"/>
  <c r="N9" i="6"/>
  <c r="U116" i="2"/>
  <c r="O9" i="6"/>
  <c r="U117" i="2"/>
  <c r="P9" i="6"/>
  <c r="U118" i="2"/>
  <c r="Q9" i="6"/>
  <c r="U119" i="2"/>
  <c r="R9" i="6"/>
  <c r="U120" i="2"/>
  <c r="S9" i="6"/>
  <c r="U121" i="2"/>
  <c r="T9" i="6"/>
  <c r="U122" i="2"/>
  <c r="U9" i="6"/>
  <c r="U123" i="2"/>
  <c r="V9" i="6"/>
  <c r="U124" i="2"/>
  <c r="W9" i="6"/>
  <c r="U125" i="2"/>
  <c r="X9" i="6"/>
  <c r="U126" i="2"/>
  <c r="Y9" i="6"/>
  <c r="U127" i="2"/>
  <c r="Z9" i="6"/>
  <c r="U128" i="2"/>
  <c r="AA9" i="6"/>
  <c r="U129" i="2"/>
  <c r="AB9" i="6"/>
  <c r="U130" i="2"/>
  <c r="AC9" i="6"/>
  <c r="U131" i="2"/>
  <c r="AD9" i="6"/>
  <c r="U132" i="2"/>
  <c r="AE9" i="6"/>
  <c r="U133" i="2"/>
  <c r="AF9" i="6"/>
  <c r="AG9" i="6"/>
  <c r="U135" i="2"/>
  <c r="AH9" i="6"/>
  <c r="U136" i="2"/>
  <c r="AI9" i="6"/>
  <c r="U137" i="2"/>
  <c r="AJ9" i="6"/>
  <c r="U138" i="2"/>
  <c r="AK9" i="6"/>
  <c r="AL9" i="6"/>
  <c r="U140" i="2"/>
  <c r="AM9" i="6"/>
  <c r="U141" i="2"/>
  <c r="AN9" i="6"/>
  <c r="U142" i="2"/>
  <c r="AO9" i="6"/>
  <c r="U143" i="2"/>
  <c r="AP9" i="6"/>
  <c r="U144" i="2"/>
  <c r="AQ9" i="6"/>
  <c r="U145" i="2"/>
  <c r="AR9" i="6"/>
  <c r="U146" i="2"/>
  <c r="AS9" i="6"/>
  <c r="U147" i="2"/>
  <c r="AT9" i="6"/>
  <c r="U148" i="2"/>
  <c r="AU9" i="6"/>
  <c r="U149" i="2"/>
  <c r="AV9" i="6"/>
  <c r="U150" i="2"/>
  <c r="AW9" i="6"/>
  <c r="U151" i="2"/>
  <c r="AX9" i="6"/>
  <c r="U152" i="2"/>
  <c r="AY9" i="6"/>
  <c r="U153" i="2"/>
  <c r="AZ9" i="6"/>
  <c r="U154" i="2"/>
  <c r="BA9" i="6"/>
  <c r="BB9" i="6"/>
  <c r="BC9" i="6"/>
  <c r="P16" i="5"/>
  <c r="I32" i="2"/>
  <c r="N16" i="5"/>
  <c r="O16" i="5"/>
  <c r="I24" i="2"/>
  <c r="K24" i="2"/>
  <c r="K8" i="14"/>
  <c r="L8" i="14"/>
  <c r="M8" i="14"/>
  <c r="N8" i="14"/>
  <c r="O8" i="14"/>
  <c r="P8" i="14"/>
  <c r="W8" i="14"/>
  <c r="AM8" i="14"/>
  <c r="AF8" i="14"/>
  <c r="Y8" i="14"/>
  <c r="Q8" i="14"/>
  <c r="R8" i="14"/>
  <c r="S8" i="14"/>
  <c r="M8" i="5"/>
  <c r="N8" i="5"/>
  <c r="O8" i="5"/>
  <c r="P8" i="5"/>
  <c r="Q8" i="5"/>
  <c r="R8" i="5"/>
  <c r="Z8" i="5"/>
  <c r="AB8" i="5"/>
  <c r="S8" i="5"/>
  <c r="T8" i="5"/>
  <c r="U8" i="5"/>
  <c r="P17" i="5"/>
  <c r="M17" i="5"/>
  <c r="N17" i="5"/>
  <c r="O17" i="5"/>
  <c r="Q17" i="5"/>
  <c r="R17" i="5"/>
  <c r="Z17" i="5"/>
  <c r="AB17" i="5"/>
  <c r="S17" i="5"/>
  <c r="T17" i="5"/>
  <c r="U17" i="5"/>
  <c r="I25" i="2"/>
  <c r="K25" i="2"/>
  <c r="K9" i="14"/>
  <c r="L9" i="14"/>
  <c r="M9" i="14"/>
  <c r="N9" i="14"/>
  <c r="O9" i="14"/>
  <c r="P9" i="14"/>
  <c r="W9" i="14"/>
  <c r="AM9" i="14"/>
  <c r="AF9" i="14"/>
  <c r="Y9" i="14"/>
  <c r="Q9" i="14"/>
  <c r="R9" i="14"/>
  <c r="S9" i="14"/>
  <c r="M9" i="5"/>
  <c r="N9" i="5"/>
  <c r="O9" i="5"/>
  <c r="P9" i="5"/>
  <c r="Q9" i="5"/>
  <c r="R9" i="5"/>
  <c r="Z9" i="5"/>
  <c r="AB9" i="5"/>
  <c r="S9" i="5"/>
  <c r="T9" i="5"/>
  <c r="U9" i="5"/>
  <c r="P18" i="5"/>
  <c r="I34" i="2"/>
  <c r="M18" i="5"/>
  <c r="N18" i="5"/>
  <c r="O18" i="5"/>
  <c r="Q18" i="5"/>
  <c r="R18" i="5"/>
  <c r="Z18" i="5"/>
  <c r="AB18" i="5"/>
  <c r="S18" i="5"/>
  <c r="T18" i="5"/>
  <c r="U18" i="5"/>
  <c r="I26" i="2"/>
  <c r="K26" i="2"/>
  <c r="K10" i="14"/>
  <c r="L10" i="14"/>
  <c r="M10" i="14"/>
  <c r="N10" i="14"/>
  <c r="O10" i="14"/>
  <c r="P10" i="14"/>
  <c r="W10" i="14"/>
  <c r="AM10" i="14"/>
  <c r="AF10" i="14"/>
  <c r="Y10" i="14"/>
  <c r="Q10" i="14"/>
  <c r="R10" i="14"/>
  <c r="S10" i="14"/>
  <c r="M10" i="5"/>
  <c r="N10" i="5"/>
  <c r="O10" i="5"/>
  <c r="P10" i="5"/>
  <c r="Q10" i="5"/>
  <c r="R10" i="5"/>
  <c r="Z10" i="5"/>
  <c r="AB10" i="5"/>
  <c r="S10" i="5"/>
  <c r="T10" i="5"/>
  <c r="U10" i="5"/>
  <c r="P19" i="5"/>
  <c r="I35" i="2"/>
  <c r="M19" i="5"/>
  <c r="N19" i="5"/>
  <c r="O19" i="5"/>
  <c r="Q19" i="5"/>
  <c r="R19" i="5"/>
  <c r="Z19" i="5"/>
  <c r="AB19" i="5"/>
  <c r="S19" i="5"/>
  <c r="T19" i="5"/>
  <c r="U19" i="5"/>
  <c r="I27" i="2"/>
  <c r="K27" i="2"/>
  <c r="K11" i="14"/>
  <c r="L11" i="14"/>
  <c r="M11" i="14"/>
  <c r="N11" i="14"/>
  <c r="O11" i="14"/>
  <c r="P11" i="14"/>
  <c r="W11" i="14"/>
  <c r="AM11" i="14"/>
  <c r="AF11" i="14"/>
  <c r="Y11" i="14"/>
  <c r="Q11" i="14"/>
  <c r="R11" i="14"/>
  <c r="S11" i="14"/>
  <c r="M11" i="5"/>
  <c r="N11" i="5"/>
  <c r="O11" i="5"/>
  <c r="P11" i="5"/>
  <c r="Q11" i="5"/>
  <c r="R11" i="5"/>
  <c r="Z11" i="5"/>
  <c r="AB11" i="5"/>
  <c r="S11" i="5"/>
  <c r="T11" i="5"/>
  <c r="U11" i="5"/>
  <c r="N20" i="14"/>
  <c r="I36" i="2"/>
  <c r="L20" i="14"/>
  <c r="M20" i="14"/>
  <c r="AF20" i="14"/>
  <c r="AM20" i="14"/>
  <c r="I28" i="2"/>
  <c r="K28" i="2"/>
  <c r="K12" i="14"/>
  <c r="L12" i="14"/>
  <c r="M12" i="14"/>
  <c r="N12" i="14"/>
  <c r="O12" i="14"/>
  <c r="P12" i="14"/>
  <c r="W12" i="14"/>
  <c r="AM12" i="14"/>
  <c r="AF12" i="14"/>
  <c r="Y12" i="14"/>
  <c r="Q12" i="14"/>
  <c r="R12" i="14"/>
  <c r="S12" i="14"/>
  <c r="M12" i="5"/>
  <c r="N12" i="5"/>
  <c r="O12" i="5"/>
  <c r="P12" i="5"/>
  <c r="Q12" i="5"/>
  <c r="R12" i="5"/>
  <c r="Z12" i="5"/>
  <c r="AB12" i="5"/>
  <c r="S12" i="5"/>
  <c r="T12" i="5"/>
  <c r="U12" i="5"/>
  <c r="L18" i="14"/>
  <c r="M18" i="14"/>
  <c r="N18" i="14"/>
  <c r="N21" i="14"/>
  <c r="I37" i="2"/>
  <c r="L21" i="14"/>
  <c r="M21" i="14"/>
  <c r="AF21" i="14"/>
  <c r="AM21" i="14"/>
  <c r="K13" i="14"/>
  <c r="L13" i="14"/>
  <c r="M13" i="14"/>
  <c r="N13" i="14"/>
  <c r="O13" i="14"/>
  <c r="P13" i="14"/>
  <c r="W13" i="14"/>
  <c r="AM13" i="14"/>
  <c r="AF13" i="14"/>
  <c r="Y13" i="14"/>
  <c r="Q13" i="14"/>
  <c r="R13" i="14"/>
  <c r="S13" i="14"/>
  <c r="L19" i="14"/>
  <c r="M19" i="14"/>
  <c r="N19" i="14"/>
  <c r="N22" i="14"/>
  <c r="I38" i="2"/>
  <c r="L22" i="14"/>
  <c r="M22" i="14"/>
  <c r="AF22" i="14"/>
  <c r="AM22" i="14"/>
  <c r="K14" i="14"/>
  <c r="L14" i="14"/>
  <c r="M14" i="14"/>
  <c r="N14" i="14"/>
  <c r="O14" i="14"/>
  <c r="P14" i="14"/>
  <c r="W14" i="14"/>
  <c r="AM14" i="14"/>
  <c r="AF14" i="14"/>
  <c r="Y14" i="14"/>
  <c r="Q14" i="14"/>
  <c r="R14" i="14"/>
  <c r="S14" i="14"/>
  <c r="AF23" i="14"/>
  <c r="AM23" i="14"/>
  <c r="K15" i="14"/>
  <c r="L15" i="14"/>
  <c r="M15" i="14"/>
  <c r="N15" i="14"/>
  <c r="O15" i="14"/>
  <c r="P15" i="14"/>
  <c r="W15" i="14"/>
  <c r="AM15" i="14"/>
  <c r="AF15" i="14"/>
  <c r="Y15" i="14"/>
  <c r="Q15" i="14"/>
  <c r="R15" i="14"/>
  <c r="S15" i="14"/>
  <c r="N24" i="14"/>
  <c r="I40" i="2"/>
  <c r="L24" i="14"/>
  <c r="M24" i="14"/>
  <c r="AF24" i="14"/>
  <c r="AM24" i="14"/>
  <c r="K16" i="14"/>
  <c r="L16" i="14"/>
  <c r="M16" i="14"/>
  <c r="N16" i="14"/>
  <c r="O16" i="14"/>
  <c r="P16" i="14"/>
  <c r="W16" i="14"/>
  <c r="AM16" i="14"/>
  <c r="AF16" i="14"/>
  <c r="Y16" i="14"/>
  <c r="Q16" i="14"/>
  <c r="R16" i="14"/>
  <c r="S16" i="14"/>
  <c r="N26" i="14"/>
  <c r="I42" i="2"/>
  <c r="L26" i="14"/>
  <c r="M26" i="14"/>
  <c r="AF26" i="14"/>
  <c r="AM26" i="14"/>
  <c r="AM18" i="14"/>
  <c r="AF18" i="14"/>
  <c r="N27" i="14"/>
  <c r="I43" i="2"/>
  <c r="L27" i="14"/>
  <c r="M27" i="14"/>
  <c r="AF27" i="14"/>
  <c r="AM27" i="14"/>
  <c r="AM19" i="14"/>
  <c r="AF19" i="14"/>
  <c r="N28" i="14"/>
  <c r="I44" i="2"/>
  <c r="L28" i="14"/>
  <c r="M28" i="14"/>
  <c r="AF28" i="14"/>
  <c r="AM28" i="14"/>
  <c r="N29" i="14"/>
  <c r="I45" i="2"/>
  <c r="L29" i="14"/>
  <c r="M29" i="14"/>
  <c r="AF29" i="14"/>
  <c r="AM29" i="14"/>
  <c r="N30" i="14"/>
  <c r="I46" i="2"/>
  <c r="L30" i="14"/>
  <c r="M30" i="14"/>
  <c r="AF30" i="14"/>
  <c r="AM30" i="14"/>
  <c r="N31" i="14"/>
  <c r="I47" i="2"/>
  <c r="L31" i="14"/>
  <c r="M31" i="14"/>
  <c r="AF31" i="14"/>
  <c r="AM31" i="14"/>
  <c r="N32" i="14"/>
  <c r="I48" i="2"/>
  <c r="L32" i="14"/>
  <c r="M32" i="14"/>
  <c r="AF32" i="14"/>
  <c r="AM32" i="14"/>
  <c r="N33" i="14"/>
  <c r="I49" i="2"/>
  <c r="L33" i="14"/>
  <c r="M33" i="14"/>
  <c r="AF33" i="14"/>
  <c r="AM33" i="14"/>
  <c r="N34" i="14"/>
  <c r="I50" i="2"/>
  <c r="L34" i="14"/>
  <c r="M34" i="14"/>
  <c r="AF34" i="14"/>
  <c r="AM34" i="14"/>
  <c r="N35" i="14"/>
  <c r="I51" i="2"/>
  <c r="L35" i="14"/>
  <c r="M35" i="14"/>
  <c r="AF35" i="14"/>
  <c r="AM35" i="14"/>
  <c r="N36" i="14"/>
  <c r="I52" i="2"/>
  <c r="L36" i="14"/>
  <c r="M36" i="14"/>
  <c r="AF36" i="14"/>
  <c r="AM36" i="14"/>
  <c r="N37" i="14"/>
  <c r="I53" i="2"/>
  <c r="L37" i="14"/>
  <c r="M37" i="14"/>
  <c r="AF37" i="14"/>
  <c r="AM37" i="14"/>
  <c r="N38" i="14"/>
  <c r="I54" i="2"/>
  <c r="L38" i="14"/>
  <c r="M38" i="14"/>
  <c r="AF38" i="14"/>
  <c r="AM38" i="14"/>
  <c r="N39" i="14"/>
  <c r="I55" i="2"/>
  <c r="L39" i="14"/>
  <c r="M39" i="14"/>
  <c r="AF39" i="14"/>
  <c r="AM39" i="14"/>
  <c r="N40" i="14"/>
  <c r="I56" i="2"/>
  <c r="L40" i="14"/>
  <c r="M40" i="14"/>
  <c r="AF40" i="14"/>
  <c r="AM40" i="14"/>
  <c r="N41" i="14"/>
  <c r="I57" i="2"/>
  <c r="L41" i="14"/>
  <c r="M41" i="14"/>
  <c r="AF41" i="14"/>
  <c r="AM41" i="14"/>
  <c r="N42" i="14"/>
  <c r="I58" i="2"/>
  <c r="L42" i="14"/>
  <c r="M42" i="14"/>
  <c r="AF42" i="14"/>
  <c r="AM42" i="14"/>
  <c r="N43" i="14"/>
  <c r="I59" i="2"/>
  <c r="L43" i="14"/>
  <c r="M43" i="14"/>
  <c r="AF43" i="14"/>
  <c r="AM43" i="14"/>
  <c r="N44" i="14"/>
  <c r="I60" i="2"/>
  <c r="L44" i="14"/>
  <c r="M44" i="14"/>
  <c r="AF44" i="14"/>
  <c r="AM44" i="14"/>
  <c r="N45" i="14"/>
  <c r="I61" i="2"/>
  <c r="L45" i="14"/>
  <c r="M45" i="14"/>
  <c r="AF45" i="14"/>
  <c r="AM45" i="14"/>
  <c r="N46" i="14"/>
  <c r="I62" i="2"/>
  <c r="L46" i="14"/>
  <c r="M46" i="14"/>
  <c r="AF46" i="14"/>
  <c r="AM46" i="14"/>
  <c r="N47" i="14"/>
  <c r="I63" i="2"/>
  <c r="L47" i="14"/>
  <c r="M47" i="14"/>
  <c r="AF47" i="14"/>
  <c r="AM47" i="14"/>
  <c r="N48" i="14"/>
  <c r="I64" i="2"/>
  <c r="L48" i="14"/>
  <c r="M48" i="14"/>
  <c r="AF48" i="14"/>
  <c r="AM48" i="14"/>
  <c r="N49" i="14"/>
  <c r="I65" i="2"/>
  <c r="L49" i="14"/>
  <c r="M49" i="14"/>
  <c r="AF49" i="14"/>
  <c r="AM49" i="14"/>
  <c r="N50" i="14"/>
  <c r="I66" i="2"/>
  <c r="L50" i="14"/>
  <c r="M50" i="14"/>
  <c r="AF50" i="14"/>
  <c r="AM50" i="14"/>
  <c r="I67" i="2"/>
  <c r="L51" i="14"/>
  <c r="M51" i="14"/>
  <c r="N51" i="14"/>
  <c r="AF51" i="14"/>
  <c r="AM51" i="14"/>
  <c r="I68" i="2"/>
  <c r="L52" i="14"/>
  <c r="M52" i="14"/>
  <c r="N52" i="14"/>
  <c r="AF52" i="14"/>
  <c r="AM52" i="14"/>
  <c r="I69" i="2"/>
  <c r="L53" i="14"/>
  <c r="M53" i="14"/>
  <c r="N53" i="14"/>
  <c r="AF53" i="14"/>
  <c r="AM53" i="14"/>
  <c r="I70" i="2"/>
  <c r="L54" i="14"/>
  <c r="M54" i="14"/>
  <c r="N54" i="14"/>
  <c r="AF54" i="14"/>
  <c r="AM54" i="14"/>
  <c r="I71" i="2"/>
  <c r="L55" i="14"/>
  <c r="M55" i="14"/>
  <c r="N55" i="14"/>
  <c r="AF55" i="14"/>
  <c r="AM55" i="14"/>
  <c r="I72" i="2"/>
  <c r="L56" i="14"/>
  <c r="M56" i="14"/>
  <c r="N56" i="14"/>
  <c r="AF56" i="14"/>
  <c r="AM56" i="14"/>
  <c r="I73" i="2"/>
  <c r="L57" i="14"/>
  <c r="M57" i="14"/>
  <c r="N57" i="14"/>
  <c r="AF57" i="14"/>
  <c r="AM57" i="14"/>
  <c r="I74" i="2"/>
  <c r="L58" i="14"/>
  <c r="M58" i="14"/>
  <c r="N58" i="14"/>
  <c r="AF58" i="14"/>
  <c r="AM58" i="14"/>
  <c r="I75" i="2"/>
  <c r="L59" i="14"/>
  <c r="M59" i="14"/>
  <c r="N59" i="14"/>
  <c r="AF59" i="14"/>
  <c r="AM59" i="14"/>
  <c r="I76" i="2"/>
  <c r="L60" i="14"/>
  <c r="M60" i="14"/>
  <c r="N60" i="14"/>
  <c r="AF60" i="14"/>
  <c r="AM60" i="14"/>
  <c r="I77" i="2"/>
  <c r="L61" i="14"/>
  <c r="M61" i="14"/>
  <c r="N61" i="14"/>
  <c r="AF61" i="14"/>
  <c r="AM61" i="14"/>
  <c r="I78" i="2"/>
  <c r="L62" i="14"/>
  <c r="M62" i="14"/>
  <c r="N62" i="14"/>
  <c r="AF62" i="14"/>
  <c r="AM62" i="14"/>
  <c r="I79" i="2"/>
  <c r="L63" i="14"/>
  <c r="M63" i="14"/>
  <c r="N63" i="14"/>
  <c r="AF63" i="14"/>
  <c r="AM63" i="14"/>
  <c r="I80" i="2"/>
  <c r="L64" i="14"/>
  <c r="M64" i="14"/>
  <c r="N64" i="14"/>
  <c r="AF64" i="14"/>
  <c r="AM64" i="14"/>
  <c r="I81" i="2"/>
  <c r="L65" i="14"/>
  <c r="M65" i="14"/>
  <c r="N65" i="14"/>
  <c r="AF65" i="14"/>
  <c r="AM65" i="14"/>
  <c r="D24" i="6"/>
  <c r="D23" i="6"/>
  <c r="D203" i="1"/>
  <c r="D22" i="6"/>
  <c r="E24" i="6"/>
  <c r="E23" i="6"/>
  <c r="D204" i="1"/>
  <c r="E22" i="6"/>
  <c r="F24" i="6"/>
  <c r="F23" i="6"/>
  <c r="D205" i="1"/>
  <c r="F22" i="6"/>
  <c r="G23" i="6"/>
  <c r="D206" i="1"/>
  <c r="G22" i="6"/>
  <c r="H23" i="6"/>
  <c r="D207" i="1"/>
  <c r="H22" i="6"/>
  <c r="I23" i="6"/>
  <c r="D208" i="1"/>
  <c r="I22" i="6"/>
  <c r="J23" i="6"/>
  <c r="D209" i="1"/>
  <c r="J22" i="6"/>
  <c r="K23" i="6"/>
  <c r="D210" i="1"/>
  <c r="K22" i="6"/>
  <c r="L23" i="6"/>
  <c r="D211" i="1"/>
  <c r="L22" i="6"/>
  <c r="N6" i="6"/>
  <c r="N17" i="6"/>
  <c r="N19" i="6"/>
  <c r="N23" i="6"/>
  <c r="B213" i="1"/>
  <c r="D213" i="1"/>
  <c r="N22" i="6"/>
  <c r="O6" i="6"/>
  <c r="O17" i="6"/>
  <c r="O19" i="6"/>
  <c r="O23" i="6"/>
  <c r="B214" i="1"/>
  <c r="D214" i="1"/>
  <c r="O22" i="6"/>
  <c r="P6" i="6"/>
  <c r="P17" i="6"/>
  <c r="P19" i="6"/>
  <c r="P23" i="6"/>
  <c r="B215" i="1"/>
  <c r="D215" i="1"/>
  <c r="P22" i="6"/>
  <c r="Q6" i="6"/>
  <c r="Q17" i="6"/>
  <c r="Q19" i="6"/>
  <c r="Q23" i="6"/>
  <c r="B216" i="1"/>
  <c r="D216" i="1"/>
  <c r="Q22" i="6"/>
  <c r="R6" i="6"/>
  <c r="R17" i="6"/>
  <c r="R19" i="6"/>
  <c r="R23" i="6"/>
  <c r="B217" i="1"/>
  <c r="D217" i="1"/>
  <c r="R22" i="6"/>
  <c r="S6" i="6"/>
  <c r="S17" i="6"/>
  <c r="S19" i="6"/>
  <c r="S23" i="6"/>
  <c r="B218" i="1"/>
  <c r="D218" i="1"/>
  <c r="S22" i="6"/>
  <c r="T6" i="6"/>
  <c r="T17" i="6"/>
  <c r="T19" i="6"/>
  <c r="T23" i="6"/>
  <c r="B219" i="1"/>
  <c r="D219" i="1"/>
  <c r="T22" i="6"/>
  <c r="U6" i="6"/>
  <c r="U17" i="6"/>
  <c r="U19" i="6"/>
  <c r="U23" i="6"/>
  <c r="B220" i="1"/>
  <c r="D220" i="1"/>
  <c r="U22" i="6"/>
  <c r="V6" i="6"/>
  <c r="V17" i="6"/>
  <c r="V19" i="6"/>
  <c r="V23" i="6"/>
  <c r="B221" i="1"/>
  <c r="D221" i="1"/>
  <c r="V22" i="6"/>
  <c r="W6" i="6"/>
  <c r="W17" i="6"/>
  <c r="W19" i="6"/>
  <c r="W23" i="6"/>
  <c r="B222" i="1"/>
  <c r="D222" i="1"/>
  <c r="W22" i="6"/>
  <c r="X6" i="6"/>
  <c r="X17" i="6"/>
  <c r="X19" i="6"/>
  <c r="X23" i="6"/>
  <c r="B223" i="1"/>
  <c r="D223" i="1"/>
  <c r="X22" i="6"/>
  <c r="Y6" i="6"/>
  <c r="Y17" i="6"/>
  <c r="Y19" i="6"/>
  <c r="Y23" i="6"/>
  <c r="B224" i="1"/>
  <c r="D224" i="1"/>
  <c r="Y22" i="6"/>
  <c r="Z6" i="6"/>
  <c r="Z17" i="6"/>
  <c r="Z19" i="6"/>
  <c r="Z23" i="6"/>
  <c r="B225" i="1"/>
  <c r="D225" i="1"/>
  <c r="Z22" i="6"/>
  <c r="AA6" i="6"/>
  <c r="AA17" i="6"/>
  <c r="AA19" i="6"/>
  <c r="AA23" i="6"/>
  <c r="B226" i="1"/>
  <c r="D226" i="1"/>
  <c r="AA22" i="6"/>
  <c r="AB6" i="6"/>
  <c r="AB17" i="6"/>
  <c r="AB19" i="6"/>
  <c r="AB23" i="6"/>
  <c r="B227" i="1"/>
  <c r="D227" i="1"/>
  <c r="AB22" i="6"/>
  <c r="AC6" i="6"/>
  <c r="AC17" i="6"/>
  <c r="AC19" i="6"/>
  <c r="AC23" i="6"/>
  <c r="B228" i="1"/>
  <c r="D228" i="1"/>
  <c r="AC22" i="6"/>
  <c r="AD6" i="6"/>
  <c r="AD17" i="6"/>
  <c r="AD19" i="6"/>
  <c r="AD23" i="6"/>
  <c r="B229" i="1"/>
  <c r="D229" i="1"/>
  <c r="AD22" i="6"/>
  <c r="AE6" i="6"/>
  <c r="AE17" i="6"/>
  <c r="AE19" i="6"/>
  <c r="AE23" i="6"/>
  <c r="B230" i="1"/>
  <c r="D230" i="1"/>
  <c r="AE22" i="6"/>
  <c r="AF6" i="6"/>
  <c r="AF17" i="6"/>
  <c r="AF19" i="6"/>
  <c r="AF23" i="6"/>
  <c r="B231" i="1"/>
  <c r="D231" i="1"/>
  <c r="AF22" i="6"/>
  <c r="AG6" i="6"/>
  <c r="AG17" i="6"/>
  <c r="AG19" i="6"/>
  <c r="AG23" i="6"/>
  <c r="B232" i="1"/>
  <c r="D232" i="1"/>
  <c r="AG22" i="6"/>
  <c r="AH6" i="6"/>
  <c r="AH17" i="6"/>
  <c r="AH19" i="6"/>
  <c r="AH23" i="6"/>
  <c r="B233" i="1"/>
  <c r="D233" i="1"/>
  <c r="AH22" i="6"/>
  <c r="AI6" i="6"/>
  <c r="AI17" i="6"/>
  <c r="AI19" i="6"/>
  <c r="AI23" i="6"/>
  <c r="B234" i="1"/>
  <c r="D234" i="1"/>
  <c r="AI22" i="6"/>
  <c r="AJ6" i="6"/>
  <c r="AJ17" i="6"/>
  <c r="AJ19" i="6"/>
  <c r="AJ23" i="6"/>
  <c r="B235" i="1"/>
  <c r="D235" i="1"/>
  <c r="AJ22" i="6"/>
  <c r="AK6" i="6"/>
  <c r="AK17" i="6"/>
  <c r="AK19" i="6"/>
  <c r="AK23" i="6"/>
  <c r="B236" i="1"/>
  <c r="D236" i="1"/>
  <c r="AK22" i="6"/>
  <c r="AL6" i="6"/>
  <c r="AL17" i="6"/>
  <c r="AL19" i="6"/>
  <c r="AL23" i="6"/>
  <c r="B237" i="1"/>
  <c r="D237" i="1"/>
  <c r="AL22" i="6"/>
  <c r="AM6" i="6"/>
  <c r="AM17" i="6"/>
  <c r="AM19" i="6"/>
  <c r="AM23" i="6"/>
  <c r="B238" i="1"/>
  <c r="D238" i="1"/>
  <c r="AM22" i="6"/>
  <c r="AN6" i="6"/>
  <c r="AN17" i="6"/>
  <c r="AN19" i="6"/>
  <c r="AN23" i="6"/>
  <c r="B239" i="1"/>
  <c r="D239" i="1"/>
  <c r="AN22" i="6"/>
  <c r="AO6" i="6"/>
  <c r="AO17" i="6"/>
  <c r="AO19" i="6"/>
  <c r="AO23" i="6"/>
  <c r="B240" i="1"/>
  <c r="D240" i="1"/>
  <c r="AO22" i="6"/>
  <c r="AP6" i="6"/>
  <c r="AP17" i="6"/>
  <c r="AP19" i="6"/>
  <c r="AP23" i="6"/>
  <c r="B241" i="1"/>
  <c r="D241" i="1"/>
  <c r="AP22" i="6"/>
  <c r="AQ6" i="6"/>
  <c r="AQ17" i="6"/>
  <c r="AQ19" i="6"/>
  <c r="AQ23" i="6"/>
  <c r="B242" i="1"/>
  <c r="D242" i="1"/>
  <c r="AQ22" i="6"/>
  <c r="AR6" i="6"/>
  <c r="AR17" i="6"/>
  <c r="AR19" i="6"/>
  <c r="AR23" i="6"/>
  <c r="B243" i="1"/>
  <c r="D243" i="1"/>
  <c r="AR22" i="6"/>
  <c r="AS6" i="6"/>
  <c r="AS17" i="6"/>
  <c r="AS19" i="6"/>
  <c r="AS23" i="6"/>
  <c r="B244" i="1"/>
  <c r="D244" i="1"/>
  <c r="AS22" i="6"/>
  <c r="AT6" i="6"/>
  <c r="AT17" i="6"/>
  <c r="AT19" i="6"/>
  <c r="AT23" i="6"/>
  <c r="B245" i="1"/>
  <c r="D245" i="1"/>
  <c r="AT22" i="6"/>
  <c r="AU6" i="6"/>
  <c r="AU17" i="6"/>
  <c r="AU19" i="6"/>
  <c r="AU23" i="6"/>
  <c r="B246" i="1"/>
  <c r="D246" i="1"/>
  <c r="AU22" i="6"/>
  <c r="AV6" i="6"/>
  <c r="AV17" i="6"/>
  <c r="AV19" i="6"/>
  <c r="AV23" i="6"/>
  <c r="B247" i="1"/>
  <c r="D247" i="1"/>
  <c r="AV22" i="6"/>
  <c r="AW6" i="6"/>
  <c r="AW17" i="6"/>
  <c r="AW19" i="6"/>
  <c r="AW23" i="6"/>
  <c r="B248" i="1"/>
  <c r="D248" i="1"/>
  <c r="AW22" i="6"/>
  <c r="AX6" i="6"/>
  <c r="AX17" i="6"/>
  <c r="AX19" i="6"/>
  <c r="AX23" i="6"/>
  <c r="B249" i="1"/>
  <c r="D249" i="1"/>
  <c r="AX22" i="6"/>
  <c r="AY6" i="6"/>
  <c r="AY17" i="6"/>
  <c r="AY19" i="6"/>
  <c r="AY23" i="6"/>
  <c r="B250" i="1"/>
  <c r="D250" i="1"/>
  <c r="AY22" i="6"/>
  <c r="AZ6" i="6"/>
  <c r="AZ17" i="6"/>
  <c r="AZ19" i="6"/>
  <c r="AZ23" i="6"/>
  <c r="B251" i="1"/>
  <c r="D251" i="1"/>
  <c r="AZ22" i="6"/>
  <c r="BA6" i="6"/>
  <c r="BA17" i="6"/>
  <c r="BA19" i="6"/>
  <c r="BA23" i="6"/>
  <c r="B252" i="1"/>
  <c r="D252" i="1"/>
  <c r="BA22" i="6"/>
  <c r="BB6" i="6"/>
  <c r="BB17" i="6"/>
  <c r="BB19" i="6"/>
  <c r="BB23" i="6"/>
  <c r="B253" i="1"/>
  <c r="D253" i="1"/>
  <c r="BB22" i="6"/>
  <c r="BC6" i="6"/>
  <c r="BC17" i="6"/>
  <c r="BC19" i="6"/>
  <c r="BC23" i="6"/>
  <c r="B254" i="1"/>
  <c r="D254" i="1"/>
  <c r="BC22" i="6"/>
  <c r="E132" i="6"/>
  <c r="E133" i="6"/>
  <c r="E134" i="6"/>
  <c r="E135" i="6"/>
  <c r="E136" i="6"/>
  <c r="E137" i="6"/>
  <c r="E131" i="6"/>
  <c r="C27" i="6"/>
  <c r="C75" i="1"/>
  <c r="E101" i="1"/>
  <c r="C28" i="6"/>
  <c r="C29" i="6"/>
  <c r="D27" i="6"/>
  <c r="D28" i="6"/>
  <c r="D29" i="6"/>
  <c r="E27" i="6"/>
  <c r="E28" i="6"/>
  <c r="E29" i="6"/>
  <c r="F27" i="6"/>
  <c r="F28" i="6"/>
  <c r="F29" i="6"/>
  <c r="G27" i="6"/>
  <c r="G28" i="6"/>
  <c r="G29" i="6"/>
  <c r="H27" i="6"/>
  <c r="H28" i="6"/>
  <c r="H29" i="6"/>
  <c r="I27" i="6"/>
  <c r="I28" i="6"/>
  <c r="I29" i="6"/>
  <c r="J27" i="6"/>
  <c r="J29" i="6"/>
  <c r="K27" i="6"/>
  <c r="K28" i="6"/>
  <c r="K29" i="6"/>
  <c r="L27" i="6"/>
  <c r="L28" i="6"/>
  <c r="L29" i="6"/>
  <c r="M27" i="6"/>
  <c r="M28" i="6"/>
  <c r="M29" i="6"/>
  <c r="N27" i="6"/>
  <c r="N28" i="6"/>
  <c r="N29" i="6"/>
  <c r="O27" i="6"/>
  <c r="O28" i="6"/>
  <c r="O29" i="6"/>
  <c r="P27" i="6"/>
  <c r="P29" i="6"/>
  <c r="Q27" i="6"/>
  <c r="Q28" i="6"/>
  <c r="Q29" i="6"/>
  <c r="R27" i="6"/>
  <c r="R28" i="6"/>
  <c r="R29" i="6"/>
  <c r="S27" i="6"/>
  <c r="S28" i="6"/>
  <c r="S29" i="6"/>
  <c r="T27" i="6"/>
  <c r="T28" i="6"/>
  <c r="T29" i="6"/>
  <c r="U27" i="6"/>
  <c r="U28" i="6"/>
  <c r="U29" i="6"/>
  <c r="V27" i="6"/>
  <c r="V28" i="6"/>
  <c r="V29" i="6"/>
  <c r="W27" i="6"/>
  <c r="W28" i="6"/>
  <c r="W29" i="6"/>
  <c r="X27" i="6"/>
  <c r="X28" i="6"/>
  <c r="X29" i="6"/>
  <c r="Y27" i="6"/>
  <c r="Y28" i="6"/>
  <c r="Y29" i="6"/>
  <c r="Z27" i="6"/>
  <c r="Z28" i="6"/>
  <c r="Z29" i="6"/>
  <c r="AA27" i="6"/>
  <c r="AA28" i="6"/>
  <c r="AA29" i="6"/>
  <c r="AB27" i="6"/>
  <c r="AB28" i="6"/>
  <c r="AB29" i="6"/>
  <c r="AC27" i="6"/>
  <c r="AC28" i="6"/>
  <c r="AC29" i="6"/>
  <c r="AD27" i="6"/>
  <c r="AD28" i="6"/>
  <c r="AD29" i="6"/>
  <c r="AE27" i="6"/>
  <c r="AE28" i="6"/>
  <c r="AE29" i="6"/>
  <c r="AF27" i="6"/>
  <c r="AF28" i="6"/>
  <c r="AF29" i="6"/>
  <c r="AG27" i="6"/>
  <c r="AG28" i="6"/>
  <c r="AG29" i="6"/>
  <c r="AH27" i="6"/>
  <c r="AH28" i="6"/>
  <c r="AH29" i="6"/>
  <c r="AI27" i="6"/>
  <c r="AI28" i="6"/>
  <c r="AI29" i="6"/>
  <c r="AJ27" i="6"/>
  <c r="AJ28" i="6"/>
  <c r="AJ29" i="6"/>
  <c r="AK27" i="6"/>
  <c r="AK28" i="6"/>
  <c r="AK29" i="6"/>
  <c r="AL27" i="6"/>
  <c r="AL28" i="6"/>
  <c r="AL29" i="6"/>
  <c r="AM27" i="6"/>
  <c r="AM28" i="6"/>
  <c r="AM29" i="6"/>
  <c r="AN27" i="6"/>
  <c r="AN28" i="6"/>
  <c r="AN29" i="6"/>
  <c r="AO27" i="6"/>
  <c r="AO28" i="6"/>
  <c r="AO29" i="6"/>
  <c r="AP27" i="6"/>
  <c r="AP28" i="6"/>
  <c r="AP29" i="6"/>
  <c r="AQ27" i="6"/>
  <c r="AQ28" i="6"/>
  <c r="AQ29" i="6"/>
  <c r="AR27" i="6"/>
  <c r="AR28" i="6"/>
  <c r="AR29" i="6"/>
  <c r="AS27" i="6"/>
  <c r="AS28" i="6"/>
  <c r="AS29" i="6"/>
  <c r="AT27" i="6"/>
  <c r="AT28" i="6"/>
  <c r="AT29" i="6"/>
  <c r="AU27" i="6"/>
  <c r="AU28" i="6"/>
  <c r="AU29" i="6"/>
  <c r="AV27" i="6"/>
  <c r="AV28" i="6"/>
  <c r="AV29" i="6"/>
  <c r="AW27" i="6"/>
  <c r="AW28" i="6"/>
  <c r="AW29" i="6"/>
  <c r="AX27" i="6"/>
  <c r="AX28" i="6"/>
  <c r="AX29" i="6"/>
  <c r="AY27" i="6"/>
  <c r="AY28" i="6"/>
  <c r="AY29" i="6"/>
  <c r="AZ27" i="6"/>
  <c r="AZ28" i="6"/>
  <c r="AZ29" i="6"/>
  <c r="BA27" i="6"/>
  <c r="BA28" i="6"/>
  <c r="BA29" i="6"/>
  <c r="BB27" i="6"/>
  <c r="BB28" i="6"/>
  <c r="BB29" i="6"/>
  <c r="BC2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28" i="6"/>
  <c r="BC29" i="6"/>
  <c r="BC48" i="6"/>
  <c r="A101" i="1"/>
  <c r="V9" i="1"/>
  <c r="C137" i="6"/>
  <c r="A99" i="1"/>
  <c r="T9" i="1"/>
  <c r="C136" i="6"/>
  <c r="A98" i="1"/>
  <c r="R9" i="1"/>
  <c r="C135" i="6"/>
  <c r="A97" i="1"/>
  <c r="P9" i="1"/>
  <c r="C134" i="6"/>
  <c r="A96" i="1"/>
  <c r="N9" i="1"/>
  <c r="C133" i="6"/>
  <c r="A95" i="1"/>
  <c r="L9" i="1"/>
  <c r="C132" i="6"/>
  <c r="A94" i="1"/>
  <c r="B102" i="1" a="1"/>
  <c r="B102" i="1"/>
  <c r="V6" i="1"/>
  <c r="B137" i="6"/>
  <c r="B100" i="1" a="1"/>
  <c r="B100" i="1"/>
  <c r="T6" i="1"/>
  <c r="B136" i="6"/>
  <c r="B99" i="1" a="1"/>
  <c r="B99" i="1"/>
  <c r="R6" i="1"/>
  <c r="B135" i="6"/>
  <c r="B98" i="1" a="1"/>
  <c r="B98" i="1"/>
  <c r="P6" i="1"/>
  <c r="B134" i="6"/>
  <c r="B97" i="1" a="1"/>
  <c r="B97" i="1"/>
  <c r="N6" i="1"/>
  <c r="B133" i="6"/>
  <c r="B96" i="1" a="1"/>
  <c r="B96" i="1"/>
  <c r="L6" i="1"/>
  <c r="B132" i="6"/>
  <c r="J9" i="1"/>
  <c r="C131" i="6"/>
  <c r="B95" i="1" a="1"/>
  <c r="B95" i="1"/>
  <c r="J6" i="1"/>
  <c r="B131" i="6"/>
  <c r="C97" i="6"/>
  <c r="C92" i="6"/>
  <c r="C93" i="6"/>
  <c r="C94" i="6"/>
  <c r="C95" i="6"/>
  <c r="C96" i="6"/>
  <c r="C98" i="6"/>
  <c r="C53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C116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C111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C112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C113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C114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C115" i="6"/>
  <c r="C117" i="6"/>
  <c r="C122" i="6"/>
  <c r="C60" i="6"/>
  <c r="N4" i="11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AA15" i="5"/>
  <c r="C7" i="5"/>
  <c r="H76" i="5"/>
  <c r="AA7" i="5"/>
  <c r="AA13" i="5"/>
  <c r="I1614" i="5"/>
  <c r="AL3" i="1"/>
  <c r="AL33" i="1"/>
  <c r="AJ33" i="1"/>
  <c r="H1614" i="5"/>
  <c r="AL32" i="1"/>
  <c r="AL7" i="1"/>
  <c r="AJ32" i="1"/>
  <c r="J1614" i="5"/>
  <c r="AK34" i="1"/>
  <c r="AK33" i="1"/>
  <c r="AK32" i="1"/>
  <c r="I78" i="5"/>
  <c r="J78" i="5"/>
  <c r="I79" i="5"/>
  <c r="J79" i="5"/>
  <c r="I80" i="5"/>
  <c r="J80" i="5"/>
  <c r="I81" i="5"/>
  <c r="J81" i="5"/>
  <c r="I82" i="5"/>
  <c r="J82" i="5"/>
  <c r="I83" i="5"/>
  <c r="J83" i="5"/>
  <c r="I84" i="5"/>
  <c r="J84" i="5"/>
  <c r="I85" i="5"/>
  <c r="J85" i="5"/>
  <c r="I86" i="5"/>
  <c r="J86" i="5"/>
  <c r="I87" i="5"/>
  <c r="J87" i="5"/>
  <c r="I88" i="5"/>
  <c r="J88" i="5"/>
  <c r="I89" i="5"/>
  <c r="J89" i="5"/>
  <c r="I90" i="5"/>
  <c r="J90" i="5"/>
  <c r="I91" i="5"/>
  <c r="J91" i="5"/>
  <c r="I92" i="5"/>
  <c r="J92" i="5"/>
  <c r="I93" i="5"/>
  <c r="J93" i="5"/>
  <c r="I94" i="5"/>
  <c r="J94" i="5"/>
  <c r="I95" i="5"/>
  <c r="J95" i="5"/>
  <c r="I96" i="5"/>
  <c r="J96" i="5"/>
  <c r="I97" i="5"/>
  <c r="J97" i="5"/>
  <c r="I98" i="5"/>
  <c r="J98" i="5"/>
  <c r="I99" i="5"/>
  <c r="J99" i="5"/>
  <c r="I100" i="5"/>
  <c r="J100" i="5"/>
  <c r="I101" i="5"/>
  <c r="J101" i="5"/>
  <c r="I102" i="5"/>
  <c r="J102" i="5"/>
  <c r="I103" i="5"/>
  <c r="J103" i="5"/>
  <c r="I104" i="5"/>
  <c r="J104" i="5"/>
  <c r="I105" i="5"/>
  <c r="J105" i="5"/>
  <c r="I106" i="5"/>
  <c r="J106" i="5"/>
  <c r="I107" i="5"/>
  <c r="J107" i="5"/>
  <c r="I108" i="5"/>
  <c r="J108" i="5"/>
  <c r="I109" i="5"/>
  <c r="J109" i="5"/>
  <c r="I110" i="5"/>
  <c r="J110" i="5"/>
  <c r="I111" i="5"/>
  <c r="J111" i="5"/>
  <c r="I112" i="5"/>
  <c r="J112" i="5"/>
  <c r="I113" i="5"/>
  <c r="J113" i="5"/>
  <c r="I114" i="5"/>
  <c r="J114" i="5"/>
  <c r="I115" i="5"/>
  <c r="J115" i="5"/>
  <c r="I116" i="5"/>
  <c r="J116" i="5"/>
  <c r="I117" i="5"/>
  <c r="J117" i="5"/>
  <c r="I118" i="5"/>
  <c r="J118" i="5"/>
  <c r="I119" i="5"/>
  <c r="J119" i="5"/>
  <c r="I120" i="5"/>
  <c r="J120" i="5"/>
  <c r="I121" i="5"/>
  <c r="J121" i="5"/>
  <c r="I122" i="5"/>
  <c r="J122" i="5"/>
  <c r="I123" i="5"/>
  <c r="J123" i="5"/>
  <c r="I124" i="5"/>
  <c r="J124" i="5"/>
  <c r="I125" i="5"/>
  <c r="J125" i="5"/>
  <c r="I126" i="5"/>
  <c r="J126" i="5"/>
  <c r="I127" i="5"/>
  <c r="J127" i="5"/>
  <c r="I128" i="5"/>
  <c r="J128" i="5"/>
  <c r="I129" i="5"/>
  <c r="J129" i="5"/>
  <c r="I130" i="5"/>
  <c r="J130" i="5"/>
  <c r="I131" i="5"/>
  <c r="J131" i="5"/>
  <c r="I132" i="5"/>
  <c r="J132" i="5"/>
  <c r="I133" i="5"/>
  <c r="J133" i="5"/>
  <c r="I134" i="5"/>
  <c r="J134" i="5"/>
  <c r="I135" i="5"/>
  <c r="J135" i="5"/>
  <c r="I136" i="5"/>
  <c r="J136" i="5"/>
  <c r="I137" i="5"/>
  <c r="J137" i="5"/>
  <c r="I138" i="5"/>
  <c r="J138" i="5"/>
  <c r="I139" i="5"/>
  <c r="J139" i="5"/>
  <c r="I140" i="5"/>
  <c r="J140" i="5"/>
  <c r="I141" i="5"/>
  <c r="J141" i="5"/>
  <c r="I142" i="5"/>
  <c r="J142" i="5"/>
  <c r="I143" i="5"/>
  <c r="J143" i="5"/>
  <c r="I144" i="5"/>
  <c r="J144" i="5"/>
  <c r="I145" i="5"/>
  <c r="J145" i="5"/>
  <c r="I146" i="5"/>
  <c r="J146" i="5"/>
  <c r="I147" i="5"/>
  <c r="J147" i="5"/>
  <c r="I148" i="5"/>
  <c r="J148" i="5"/>
  <c r="I149" i="5"/>
  <c r="J149" i="5"/>
  <c r="I150" i="5"/>
  <c r="J150" i="5"/>
  <c r="I151" i="5"/>
  <c r="J151" i="5"/>
  <c r="I152" i="5"/>
  <c r="J152" i="5"/>
  <c r="I153" i="5"/>
  <c r="J153" i="5"/>
  <c r="I154" i="5"/>
  <c r="J154" i="5"/>
  <c r="I155" i="5"/>
  <c r="J155" i="5"/>
  <c r="I156" i="5"/>
  <c r="J156" i="5"/>
  <c r="I157" i="5"/>
  <c r="J157" i="5"/>
  <c r="I158" i="5"/>
  <c r="J158" i="5"/>
  <c r="I159" i="5"/>
  <c r="J159" i="5"/>
  <c r="I160" i="5"/>
  <c r="J160" i="5"/>
  <c r="I161" i="5"/>
  <c r="J161" i="5"/>
  <c r="I162" i="5"/>
  <c r="J162" i="5"/>
  <c r="I163" i="5"/>
  <c r="J163" i="5"/>
  <c r="I164" i="5"/>
  <c r="J164" i="5"/>
  <c r="I165" i="5"/>
  <c r="J165" i="5"/>
  <c r="I166" i="5"/>
  <c r="J166" i="5"/>
  <c r="I167" i="5"/>
  <c r="J167" i="5"/>
  <c r="I168" i="5"/>
  <c r="J168" i="5"/>
  <c r="I169" i="5"/>
  <c r="J169" i="5"/>
  <c r="I170" i="5"/>
  <c r="J170" i="5"/>
  <c r="I171" i="5"/>
  <c r="J171" i="5"/>
  <c r="I172" i="5"/>
  <c r="J172" i="5"/>
  <c r="I173" i="5"/>
  <c r="J173" i="5"/>
  <c r="I174" i="5"/>
  <c r="J174" i="5"/>
  <c r="I175" i="5"/>
  <c r="J175" i="5"/>
  <c r="I176" i="5"/>
  <c r="J176" i="5"/>
  <c r="I177" i="5"/>
  <c r="J177" i="5"/>
  <c r="I178" i="5"/>
  <c r="J178" i="5"/>
  <c r="I179" i="5"/>
  <c r="J179" i="5"/>
  <c r="I180" i="5"/>
  <c r="J180" i="5"/>
  <c r="I181" i="5"/>
  <c r="J181" i="5"/>
  <c r="I182" i="5"/>
  <c r="J182" i="5"/>
  <c r="I183" i="5"/>
  <c r="J183" i="5"/>
  <c r="I184" i="5"/>
  <c r="J184" i="5"/>
  <c r="I185" i="5"/>
  <c r="J185" i="5"/>
  <c r="I186" i="5"/>
  <c r="J186" i="5"/>
  <c r="I187" i="5"/>
  <c r="J187" i="5"/>
  <c r="I188" i="5"/>
  <c r="J188" i="5"/>
  <c r="I189" i="5"/>
  <c r="J189" i="5"/>
  <c r="I190" i="5"/>
  <c r="J190" i="5"/>
  <c r="I191" i="5"/>
  <c r="J191" i="5"/>
  <c r="I192" i="5"/>
  <c r="J192" i="5"/>
  <c r="I193" i="5"/>
  <c r="J193" i="5"/>
  <c r="I194" i="5"/>
  <c r="J194" i="5"/>
  <c r="I195" i="5"/>
  <c r="J195" i="5"/>
  <c r="I196" i="5"/>
  <c r="J196" i="5"/>
  <c r="I197" i="5"/>
  <c r="J197" i="5"/>
  <c r="I198" i="5"/>
  <c r="J198" i="5"/>
  <c r="I199" i="5"/>
  <c r="J199" i="5"/>
  <c r="I200" i="5"/>
  <c r="J200" i="5"/>
  <c r="I201" i="5"/>
  <c r="J201" i="5"/>
  <c r="I202" i="5"/>
  <c r="J202" i="5"/>
  <c r="I203" i="5"/>
  <c r="J203" i="5"/>
  <c r="I204" i="5"/>
  <c r="J204" i="5"/>
  <c r="I205" i="5"/>
  <c r="J205" i="5"/>
  <c r="I206" i="5"/>
  <c r="J206" i="5"/>
  <c r="I207" i="5"/>
  <c r="J207" i="5"/>
  <c r="I208" i="5"/>
  <c r="J208" i="5"/>
  <c r="I209" i="5"/>
  <c r="J209" i="5"/>
  <c r="I210" i="5"/>
  <c r="J210" i="5"/>
  <c r="I211" i="5"/>
  <c r="J211" i="5"/>
  <c r="I212" i="5"/>
  <c r="J212" i="5"/>
  <c r="I213" i="5"/>
  <c r="J213" i="5"/>
  <c r="I214" i="5"/>
  <c r="J214" i="5"/>
  <c r="I215" i="5"/>
  <c r="J215" i="5"/>
  <c r="I216" i="5"/>
  <c r="J216" i="5"/>
  <c r="I217" i="5"/>
  <c r="J217" i="5"/>
  <c r="I218" i="5"/>
  <c r="J218" i="5"/>
  <c r="I219" i="5"/>
  <c r="J219" i="5"/>
  <c r="I220" i="5"/>
  <c r="J220" i="5"/>
  <c r="I221" i="5"/>
  <c r="J221" i="5"/>
  <c r="I222" i="5"/>
  <c r="J222" i="5"/>
  <c r="I223" i="5"/>
  <c r="J223" i="5"/>
  <c r="I224" i="5"/>
  <c r="J224" i="5"/>
  <c r="I225" i="5"/>
  <c r="J225" i="5"/>
  <c r="I226" i="5"/>
  <c r="J226" i="5"/>
  <c r="I227" i="5"/>
  <c r="J227" i="5"/>
  <c r="I228" i="5"/>
  <c r="J228" i="5"/>
  <c r="I229" i="5"/>
  <c r="J229" i="5"/>
  <c r="I230" i="5"/>
  <c r="J230" i="5"/>
  <c r="I231" i="5"/>
  <c r="J231" i="5"/>
  <c r="I232" i="5"/>
  <c r="J232" i="5"/>
  <c r="I233" i="5"/>
  <c r="J233" i="5"/>
  <c r="I234" i="5"/>
  <c r="J234" i="5"/>
  <c r="I235" i="5"/>
  <c r="J235" i="5"/>
  <c r="I236" i="5"/>
  <c r="J236" i="5"/>
  <c r="I237" i="5"/>
  <c r="J237" i="5"/>
  <c r="I238" i="5"/>
  <c r="J238" i="5"/>
  <c r="AE15" i="5"/>
  <c r="AE7" i="5"/>
  <c r="AE13" i="5"/>
  <c r="I239" i="5"/>
  <c r="J239" i="5"/>
  <c r="I240" i="5"/>
  <c r="J240" i="5"/>
  <c r="I241" i="5"/>
  <c r="J241" i="5"/>
  <c r="I242" i="5"/>
  <c r="J242" i="5"/>
  <c r="I243" i="5"/>
  <c r="J243" i="5"/>
  <c r="I244" i="5"/>
  <c r="J244" i="5"/>
  <c r="I245" i="5"/>
  <c r="J245" i="5"/>
  <c r="I246" i="5"/>
  <c r="J246" i="5"/>
  <c r="I247" i="5"/>
  <c r="J247" i="5"/>
  <c r="I248" i="5"/>
  <c r="J248" i="5"/>
  <c r="I249" i="5"/>
  <c r="J249" i="5"/>
  <c r="I250" i="5"/>
  <c r="J250" i="5"/>
  <c r="I251" i="5"/>
  <c r="J251" i="5"/>
  <c r="I252" i="5"/>
  <c r="J252" i="5"/>
  <c r="I253" i="5"/>
  <c r="J253" i="5"/>
  <c r="I254" i="5"/>
  <c r="J254" i="5"/>
  <c r="I255" i="5"/>
  <c r="J255" i="5"/>
  <c r="I256" i="5"/>
  <c r="J256" i="5"/>
  <c r="I257" i="5"/>
  <c r="J257" i="5"/>
  <c r="I258" i="5"/>
  <c r="J258" i="5"/>
  <c r="I259" i="5"/>
  <c r="J259" i="5"/>
  <c r="I260" i="5"/>
  <c r="J260" i="5"/>
  <c r="I261" i="5"/>
  <c r="J261" i="5"/>
  <c r="I262" i="5"/>
  <c r="J262" i="5"/>
  <c r="I263" i="5"/>
  <c r="J263" i="5"/>
  <c r="I264" i="5"/>
  <c r="J264" i="5"/>
  <c r="I265" i="5"/>
  <c r="J265" i="5"/>
  <c r="I266" i="5"/>
  <c r="J266" i="5"/>
  <c r="I267" i="5"/>
  <c r="J267" i="5"/>
  <c r="I268" i="5"/>
  <c r="J268" i="5"/>
  <c r="I269" i="5"/>
  <c r="J269" i="5"/>
  <c r="I270" i="5"/>
  <c r="J270" i="5"/>
  <c r="I271" i="5"/>
  <c r="J271" i="5"/>
  <c r="I272" i="5"/>
  <c r="J272" i="5"/>
  <c r="I273" i="5"/>
  <c r="J273" i="5"/>
  <c r="I274" i="5"/>
  <c r="J274" i="5"/>
  <c r="I275" i="5"/>
  <c r="J275" i="5"/>
  <c r="I276" i="5"/>
  <c r="J276" i="5"/>
  <c r="I277" i="5"/>
  <c r="J277" i="5"/>
  <c r="I278" i="5"/>
  <c r="J278" i="5"/>
  <c r="I279" i="5"/>
  <c r="J279" i="5"/>
  <c r="I280" i="5"/>
  <c r="J280" i="5"/>
  <c r="I281" i="5"/>
  <c r="J281" i="5"/>
  <c r="I282" i="5"/>
  <c r="J282" i="5"/>
  <c r="I283" i="5"/>
  <c r="J283" i="5"/>
  <c r="I284" i="5"/>
  <c r="J284" i="5"/>
  <c r="I285" i="5"/>
  <c r="J285" i="5"/>
  <c r="I286" i="5"/>
  <c r="J286" i="5"/>
  <c r="I287" i="5"/>
  <c r="J287" i="5"/>
  <c r="I288" i="5"/>
  <c r="J288" i="5"/>
  <c r="I289" i="5"/>
  <c r="J289" i="5"/>
  <c r="I290" i="5"/>
  <c r="J290" i="5"/>
  <c r="I291" i="5"/>
  <c r="J291" i="5"/>
  <c r="I292" i="5"/>
  <c r="J292" i="5"/>
  <c r="I293" i="5"/>
  <c r="J293" i="5"/>
  <c r="I294" i="5"/>
  <c r="J294" i="5"/>
  <c r="I295" i="5"/>
  <c r="J295" i="5"/>
  <c r="I296" i="5"/>
  <c r="J296" i="5"/>
  <c r="I297" i="5"/>
  <c r="J297" i="5"/>
  <c r="I298" i="5"/>
  <c r="J298" i="5"/>
  <c r="I299" i="5"/>
  <c r="J299" i="5"/>
  <c r="I300" i="5"/>
  <c r="J300" i="5"/>
  <c r="I301" i="5"/>
  <c r="J301" i="5"/>
  <c r="I302" i="5"/>
  <c r="J302" i="5"/>
  <c r="I303" i="5"/>
  <c r="J303" i="5"/>
  <c r="I304" i="5"/>
  <c r="J304" i="5"/>
  <c r="I305" i="5"/>
  <c r="J305" i="5"/>
  <c r="I306" i="5"/>
  <c r="J306" i="5"/>
  <c r="I307" i="5"/>
  <c r="J307" i="5"/>
  <c r="I308" i="5"/>
  <c r="J308" i="5"/>
  <c r="I309" i="5"/>
  <c r="J309" i="5"/>
  <c r="I310" i="5"/>
  <c r="J310" i="5"/>
  <c r="I311" i="5"/>
  <c r="J311" i="5"/>
  <c r="I312" i="5"/>
  <c r="J312" i="5"/>
  <c r="I313" i="5"/>
  <c r="J313" i="5"/>
  <c r="I314" i="5"/>
  <c r="J314" i="5"/>
  <c r="I315" i="5"/>
  <c r="J315" i="5"/>
  <c r="I316" i="5"/>
  <c r="J316" i="5"/>
  <c r="I317" i="5"/>
  <c r="J317" i="5"/>
  <c r="I318" i="5"/>
  <c r="J318" i="5"/>
  <c r="I319" i="5"/>
  <c r="J319" i="5"/>
  <c r="I320" i="5"/>
  <c r="J320" i="5"/>
  <c r="I321" i="5"/>
  <c r="J321" i="5"/>
  <c r="I322" i="5"/>
  <c r="J322" i="5"/>
  <c r="I323" i="5"/>
  <c r="J323" i="5"/>
  <c r="I324" i="5"/>
  <c r="J324" i="5"/>
  <c r="I325" i="5"/>
  <c r="J325" i="5"/>
  <c r="I326" i="5"/>
  <c r="J326" i="5"/>
  <c r="I327" i="5"/>
  <c r="J327" i="5"/>
  <c r="I328" i="5"/>
  <c r="J328" i="5"/>
  <c r="I329" i="5"/>
  <c r="J329" i="5"/>
  <c r="I330" i="5"/>
  <c r="J330" i="5"/>
  <c r="I331" i="5"/>
  <c r="J331" i="5"/>
  <c r="I332" i="5"/>
  <c r="J332" i="5"/>
  <c r="I333" i="5"/>
  <c r="J333" i="5"/>
  <c r="I334" i="5"/>
  <c r="J334" i="5"/>
  <c r="I335" i="5"/>
  <c r="J335" i="5"/>
  <c r="I336" i="5"/>
  <c r="J336" i="5"/>
  <c r="I337" i="5"/>
  <c r="J337" i="5"/>
  <c r="I338" i="5"/>
  <c r="J338" i="5"/>
  <c r="I339" i="5"/>
  <c r="J339" i="5"/>
  <c r="I340" i="5"/>
  <c r="J340" i="5"/>
  <c r="I341" i="5"/>
  <c r="J341" i="5"/>
  <c r="I342" i="5"/>
  <c r="J342" i="5"/>
  <c r="I343" i="5"/>
  <c r="J343" i="5"/>
  <c r="I344" i="5"/>
  <c r="J344" i="5"/>
  <c r="I345" i="5"/>
  <c r="J345" i="5"/>
  <c r="I346" i="5"/>
  <c r="J346" i="5"/>
  <c r="I347" i="5"/>
  <c r="J347" i="5"/>
  <c r="I348" i="5"/>
  <c r="J348" i="5"/>
  <c r="I349" i="5"/>
  <c r="J349" i="5"/>
  <c r="I350" i="5"/>
  <c r="J350" i="5"/>
  <c r="I351" i="5"/>
  <c r="J351" i="5"/>
  <c r="I352" i="5"/>
  <c r="J352" i="5"/>
  <c r="I353" i="5"/>
  <c r="J353" i="5"/>
  <c r="I354" i="5"/>
  <c r="J354" i="5"/>
  <c r="I355" i="5"/>
  <c r="J355" i="5"/>
  <c r="I356" i="5"/>
  <c r="J356" i="5"/>
  <c r="I357" i="5"/>
  <c r="J357" i="5"/>
  <c r="I358" i="5"/>
  <c r="J358" i="5"/>
  <c r="I359" i="5"/>
  <c r="J359" i="5"/>
  <c r="I360" i="5"/>
  <c r="J360" i="5"/>
  <c r="I361" i="5"/>
  <c r="J361" i="5"/>
  <c r="I362" i="5"/>
  <c r="J362" i="5"/>
  <c r="I363" i="5"/>
  <c r="J363" i="5"/>
  <c r="I364" i="5"/>
  <c r="J364" i="5"/>
  <c r="I365" i="5"/>
  <c r="J365" i="5"/>
  <c r="I366" i="5"/>
  <c r="J366" i="5"/>
  <c r="I367" i="5"/>
  <c r="J367" i="5"/>
  <c r="I368" i="5"/>
  <c r="J368" i="5"/>
  <c r="I369" i="5"/>
  <c r="J369" i="5"/>
  <c r="I370" i="5"/>
  <c r="J370" i="5"/>
  <c r="I371" i="5"/>
  <c r="J371" i="5"/>
  <c r="I372" i="5"/>
  <c r="J372" i="5"/>
  <c r="I373" i="5"/>
  <c r="J373" i="5"/>
  <c r="I374" i="5"/>
  <c r="J374" i="5"/>
  <c r="I375" i="5"/>
  <c r="J375" i="5"/>
  <c r="I376" i="5"/>
  <c r="J376" i="5"/>
  <c r="I377" i="5"/>
  <c r="J377" i="5"/>
  <c r="I378" i="5"/>
  <c r="J378" i="5"/>
  <c r="I379" i="5"/>
  <c r="J379" i="5"/>
  <c r="I380" i="5"/>
  <c r="J380" i="5"/>
  <c r="I381" i="5"/>
  <c r="J381" i="5"/>
  <c r="I382" i="5"/>
  <c r="J382" i="5"/>
  <c r="I383" i="5"/>
  <c r="J383" i="5"/>
  <c r="I384" i="5"/>
  <c r="J384" i="5"/>
  <c r="I385" i="5"/>
  <c r="J385" i="5"/>
  <c r="I386" i="5"/>
  <c r="J386" i="5"/>
  <c r="I387" i="5"/>
  <c r="J387" i="5"/>
  <c r="I388" i="5"/>
  <c r="J388" i="5"/>
  <c r="I389" i="5"/>
  <c r="J389" i="5"/>
  <c r="I390" i="5"/>
  <c r="J390" i="5"/>
  <c r="I391" i="5"/>
  <c r="J391" i="5"/>
  <c r="I392" i="5"/>
  <c r="J392" i="5"/>
  <c r="I393" i="5"/>
  <c r="J393" i="5"/>
  <c r="I394" i="5"/>
  <c r="J394" i="5"/>
  <c r="I395" i="5"/>
  <c r="J395" i="5"/>
  <c r="I396" i="5"/>
  <c r="J396" i="5"/>
  <c r="I397" i="5"/>
  <c r="J397" i="5"/>
  <c r="I398" i="5"/>
  <c r="J398" i="5"/>
  <c r="I399" i="5"/>
  <c r="J399" i="5"/>
  <c r="I400" i="5"/>
  <c r="J400" i="5"/>
  <c r="I401" i="5"/>
  <c r="J401" i="5"/>
  <c r="I402" i="5"/>
  <c r="J402" i="5"/>
  <c r="I403" i="5"/>
  <c r="J403" i="5"/>
  <c r="I404" i="5"/>
  <c r="J404" i="5"/>
  <c r="I405" i="5"/>
  <c r="J405" i="5"/>
  <c r="I406" i="5"/>
  <c r="J406" i="5"/>
  <c r="I407" i="5"/>
  <c r="J407" i="5"/>
  <c r="I408" i="5"/>
  <c r="J408" i="5"/>
  <c r="I409" i="5"/>
  <c r="J409" i="5"/>
  <c r="I410" i="5"/>
  <c r="J410" i="5"/>
  <c r="I411" i="5"/>
  <c r="J411" i="5"/>
  <c r="I412" i="5"/>
  <c r="J412" i="5"/>
  <c r="I413" i="5"/>
  <c r="J413" i="5"/>
  <c r="I414" i="5"/>
  <c r="J414" i="5"/>
  <c r="I415" i="5"/>
  <c r="J415" i="5"/>
  <c r="I416" i="5"/>
  <c r="J416" i="5"/>
  <c r="I417" i="5"/>
  <c r="J417" i="5"/>
  <c r="I418" i="5"/>
  <c r="J418" i="5"/>
  <c r="I419" i="5"/>
  <c r="J419" i="5"/>
  <c r="I420" i="5"/>
  <c r="J420" i="5"/>
  <c r="I421" i="5"/>
  <c r="J421" i="5"/>
  <c r="I422" i="5"/>
  <c r="J422" i="5"/>
  <c r="I423" i="5"/>
  <c r="J423" i="5"/>
  <c r="I424" i="5"/>
  <c r="J424" i="5"/>
  <c r="I425" i="5"/>
  <c r="J425" i="5"/>
  <c r="I426" i="5"/>
  <c r="J426" i="5"/>
  <c r="I427" i="5"/>
  <c r="J427" i="5"/>
  <c r="I428" i="5"/>
  <c r="J428" i="5"/>
  <c r="I429" i="5"/>
  <c r="J429" i="5"/>
  <c r="I430" i="5"/>
  <c r="J430" i="5"/>
  <c r="I431" i="5"/>
  <c r="J431" i="5"/>
  <c r="I432" i="5"/>
  <c r="J432" i="5"/>
  <c r="I433" i="5"/>
  <c r="J433" i="5"/>
  <c r="I434" i="5"/>
  <c r="J434" i="5"/>
  <c r="I435" i="5"/>
  <c r="J435" i="5"/>
  <c r="I436" i="5"/>
  <c r="J436" i="5"/>
  <c r="I437" i="5"/>
  <c r="J437" i="5"/>
  <c r="I438" i="5"/>
  <c r="J438" i="5"/>
  <c r="I439" i="5"/>
  <c r="J439" i="5"/>
  <c r="I440" i="5"/>
  <c r="J440" i="5"/>
  <c r="I441" i="5"/>
  <c r="J441" i="5"/>
  <c r="I442" i="5"/>
  <c r="J442" i="5"/>
  <c r="I443" i="5"/>
  <c r="J443" i="5"/>
  <c r="I444" i="5"/>
  <c r="J444" i="5"/>
  <c r="I445" i="5"/>
  <c r="J445" i="5"/>
  <c r="I446" i="5"/>
  <c r="J446" i="5"/>
  <c r="I447" i="5"/>
  <c r="J447" i="5"/>
  <c r="I448" i="5"/>
  <c r="J448" i="5"/>
  <c r="I449" i="5"/>
  <c r="J449" i="5"/>
  <c r="I450" i="5"/>
  <c r="J450" i="5"/>
  <c r="I451" i="5"/>
  <c r="J451" i="5"/>
  <c r="I452" i="5"/>
  <c r="J452" i="5"/>
  <c r="I453" i="5"/>
  <c r="J453" i="5"/>
  <c r="I454" i="5"/>
  <c r="J454" i="5"/>
  <c r="I455" i="5"/>
  <c r="J455" i="5"/>
  <c r="I456" i="5"/>
  <c r="J456" i="5"/>
  <c r="I457" i="5"/>
  <c r="J457" i="5"/>
  <c r="I458" i="5"/>
  <c r="J458" i="5"/>
  <c r="I459" i="5"/>
  <c r="J459" i="5"/>
  <c r="I460" i="5"/>
  <c r="J460" i="5"/>
  <c r="I461" i="5"/>
  <c r="J461" i="5"/>
  <c r="I462" i="5"/>
  <c r="J462" i="5"/>
  <c r="I463" i="5"/>
  <c r="J463" i="5"/>
  <c r="I464" i="5"/>
  <c r="J464" i="5"/>
  <c r="I465" i="5"/>
  <c r="J465" i="5"/>
  <c r="I466" i="5"/>
  <c r="J466" i="5"/>
  <c r="I467" i="5"/>
  <c r="J467" i="5"/>
  <c r="I468" i="5"/>
  <c r="J468" i="5"/>
  <c r="I469" i="5"/>
  <c r="J469" i="5"/>
  <c r="I470" i="5"/>
  <c r="J470" i="5"/>
  <c r="I471" i="5"/>
  <c r="J471" i="5"/>
  <c r="I472" i="5"/>
  <c r="J472" i="5"/>
  <c r="I473" i="5"/>
  <c r="J473" i="5"/>
  <c r="I474" i="5"/>
  <c r="J474" i="5"/>
  <c r="I475" i="5"/>
  <c r="J475" i="5"/>
  <c r="I476" i="5"/>
  <c r="J476" i="5"/>
  <c r="I477" i="5"/>
  <c r="J477" i="5"/>
  <c r="I478" i="5"/>
  <c r="J478" i="5"/>
  <c r="I479" i="5"/>
  <c r="J479" i="5"/>
  <c r="I480" i="5"/>
  <c r="J480" i="5"/>
  <c r="I481" i="5"/>
  <c r="J481" i="5"/>
  <c r="I482" i="5"/>
  <c r="J482" i="5"/>
  <c r="I483" i="5"/>
  <c r="J483" i="5"/>
  <c r="I484" i="5"/>
  <c r="J484" i="5"/>
  <c r="I485" i="5"/>
  <c r="J485" i="5"/>
  <c r="I486" i="5"/>
  <c r="J486" i="5"/>
  <c r="I487" i="5"/>
  <c r="J487" i="5"/>
  <c r="I488" i="5"/>
  <c r="J488" i="5"/>
  <c r="I489" i="5"/>
  <c r="J489" i="5"/>
  <c r="I490" i="5"/>
  <c r="J490" i="5"/>
  <c r="I491" i="5"/>
  <c r="J491" i="5"/>
  <c r="I492" i="5"/>
  <c r="J492" i="5"/>
  <c r="I493" i="5"/>
  <c r="J493" i="5"/>
  <c r="I494" i="5"/>
  <c r="J494" i="5"/>
  <c r="I495" i="5"/>
  <c r="J495" i="5"/>
  <c r="I496" i="5"/>
  <c r="J496" i="5"/>
  <c r="I497" i="5"/>
  <c r="J497" i="5"/>
  <c r="I498" i="5"/>
  <c r="J498" i="5"/>
  <c r="I499" i="5"/>
  <c r="J499" i="5"/>
  <c r="I500" i="5"/>
  <c r="J500" i="5"/>
  <c r="I501" i="5"/>
  <c r="J501" i="5"/>
  <c r="I502" i="5"/>
  <c r="J502" i="5"/>
  <c r="I503" i="5"/>
  <c r="J503" i="5"/>
  <c r="I504" i="5"/>
  <c r="J504" i="5"/>
  <c r="I505" i="5"/>
  <c r="J505" i="5"/>
  <c r="I506" i="5"/>
  <c r="J506" i="5"/>
  <c r="I507" i="5"/>
  <c r="J507" i="5"/>
  <c r="I508" i="5"/>
  <c r="J508" i="5"/>
  <c r="I509" i="5"/>
  <c r="J509" i="5"/>
  <c r="I510" i="5"/>
  <c r="J510" i="5"/>
  <c r="I511" i="5"/>
  <c r="J511" i="5"/>
  <c r="I512" i="5"/>
  <c r="J512" i="5"/>
  <c r="I513" i="5"/>
  <c r="J513" i="5"/>
  <c r="I514" i="5"/>
  <c r="J514" i="5"/>
  <c r="I515" i="5"/>
  <c r="J515" i="5"/>
  <c r="I516" i="5"/>
  <c r="J516" i="5"/>
  <c r="I517" i="5"/>
  <c r="J517" i="5"/>
  <c r="I518" i="5"/>
  <c r="J518" i="5"/>
  <c r="I519" i="5"/>
  <c r="J519" i="5"/>
  <c r="I520" i="5"/>
  <c r="J520" i="5"/>
  <c r="I521" i="5"/>
  <c r="J521" i="5"/>
  <c r="I522" i="5"/>
  <c r="J522" i="5"/>
  <c r="I523" i="5"/>
  <c r="J523" i="5"/>
  <c r="I524" i="5"/>
  <c r="J524" i="5"/>
  <c r="I525" i="5"/>
  <c r="J525" i="5"/>
  <c r="I526" i="5"/>
  <c r="J526" i="5"/>
  <c r="I527" i="5"/>
  <c r="J527" i="5"/>
  <c r="I528" i="5"/>
  <c r="J528" i="5"/>
  <c r="I529" i="5"/>
  <c r="J529" i="5"/>
  <c r="I530" i="5"/>
  <c r="J530" i="5"/>
  <c r="I531" i="5"/>
  <c r="J531" i="5"/>
  <c r="I532" i="5"/>
  <c r="J532" i="5"/>
  <c r="I533" i="5"/>
  <c r="J533" i="5"/>
  <c r="I534" i="5"/>
  <c r="J534" i="5"/>
  <c r="I535" i="5"/>
  <c r="J535" i="5"/>
  <c r="I536" i="5"/>
  <c r="J536" i="5"/>
  <c r="I537" i="5"/>
  <c r="J537" i="5"/>
  <c r="I538" i="5"/>
  <c r="J538" i="5"/>
  <c r="I539" i="5"/>
  <c r="J539" i="5"/>
  <c r="I540" i="5"/>
  <c r="J540" i="5"/>
  <c r="I541" i="5"/>
  <c r="J541" i="5"/>
  <c r="I542" i="5"/>
  <c r="J542" i="5"/>
  <c r="I543" i="5"/>
  <c r="J543" i="5"/>
  <c r="I544" i="5"/>
  <c r="J544" i="5"/>
  <c r="I545" i="5"/>
  <c r="J545" i="5"/>
  <c r="I546" i="5"/>
  <c r="J546" i="5"/>
  <c r="I547" i="5"/>
  <c r="J547" i="5"/>
  <c r="I548" i="5"/>
  <c r="J548" i="5"/>
  <c r="I549" i="5"/>
  <c r="J549" i="5"/>
  <c r="I550" i="5"/>
  <c r="J550" i="5"/>
  <c r="I551" i="5"/>
  <c r="J551" i="5"/>
  <c r="I552" i="5"/>
  <c r="J552" i="5"/>
  <c r="I553" i="5"/>
  <c r="J553" i="5"/>
  <c r="I554" i="5"/>
  <c r="J554" i="5"/>
  <c r="I555" i="5"/>
  <c r="J555" i="5"/>
  <c r="I556" i="5"/>
  <c r="J556" i="5"/>
  <c r="I557" i="5"/>
  <c r="J557" i="5"/>
  <c r="I558" i="5"/>
  <c r="J558" i="5"/>
  <c r="I559" i="5"/>
  <c r="J559" i="5"/>
  <c r="I560" i="5"/>
  <c r="J560" i="5"/>
  <c r="I561" i="5"/>
  <c r="J561" i="5"/>
  <c r="I562" i="5"/>
  <c r="J562" i="5"/>
  <c r="I563" i="5"/>
  <c r="J563" i="5"/>
  <c r="I564" i="5"/>
  <c r="J564" i="5"/>
  <c r="I565" i="5"/>
  <c r="J565" i="5"/>
  <c r="I566" i="5"/>
  <c r="J566" i="5"/>
  <c r="I567" i="5"/>
  <c r="J567" i="5"/>
  <c r="I568" i="5"/>
  <c r="J568" i="5"/>
  <c r="I569" i="5"/>
  <c r="J569" i="5"/>
  <c r="I570" i="5"/>
  <c r="J570" i="5"/>
  <c r="I571" i="5"/>
  <c r="J571" i="5"/>
  <c r="I572" i="5"/>
  <c r="J572" i="5"/>
  <c r="I573" i="5"/>
  <c r="J573" i="5"/>
  <c r="AQ15" i="5"/>
  <c r="AQ7" i="5"/>
  <c r="AQ13" i="5"/>
  <c r="I574" i="5"/>
  <c r="J574" i="5"/>
  <c r="I575" i="5"/>
  <c r="J575" i="5"/>
  <c r="I576" i="5"/>
  <c r="J576" i="5"/>
  <c r="I577" i="5"/>
  <c r="J577" i="5"/>
  <c r="I578" i="5"/>
  <c r="J578" i="5"/>
  <c r="I579" i="5"/>
  <c r="J579" i="5"/>
  <c r="I580" i="5"/>
  <c r="J580" i="5"/>
  <c r="I581" i="5"/>
  <c r="J581" i="5"/>
  <c r="I582" i="5"/>
  <c r="J582" i="5"/>
  <c r="I583" i="5"/>
  <c r="J583" i="5"/>
  <c r="I584" i="5"/>
  <c r="J584" i="5"/>
  <c r="I585" i="5"/>
  <c r="J585" i="5"/>
  <c r="I586" i="5"/>
  <c r="J586" i="5"/>
  <c r="I587" i="5"/>
  <c r="J587" i="5"/>
  <c r="I588" i="5"/>
  <c r="J588" i="5"/>
  <c r="I589" i="5"/>
  <c r="J589" i="5"/>
  <c r="I590" i="5"/>
  <c r="J590" i="5"/>
  <c r="I591" i="5"/>
  <c r="J591" i="5"/>
  <c r="I592" i="5"/>
  <c r="J592" i="5"/>
  <c r="I593" i="5"/>
  <c r="J593" i="5"/>
  <c r="I594" i="5"/>
  <c r="J594" i="5"/>
  <c r="I595" i="5"/>
  <c r="J595" i="5"/>
  <c r="I596" i="5"/>
  <c r="J596" i="5"/>
  <c r="I597" i="5"/>
  <c r="J597" i="5"/>
  <c r="I598" i="5"/>
  <c r="J598" i="5"/>
  <c r="I599" i="5"/>
  <c r="J599" i="5"/>
  <c r="I600" i="5"/>
  <c r="J600" i="5"/>
  <c r="I601" i="5"/>
  <c r="J601" i="5"/>
  <c r="I602" i="5"/>
  <c r="J602" i="5"/>
  <c r="I603" i="5"/>
  <c r="J603" i="5"/>
  <c r="I604" i="5"/>
  <c r="J604" i="5"/>
  <c r="I605" i="5"/>
  <c r="J605" i="5"/>
  <c r="I606" i="5"/>
  <c r="J606" i="5"/>
  <c r="I607" i="5"/>
  <c r="J607" i="5"/>
  <c r="I608" i="5"/>
  <c r="J608" i="5"/>
  <c r="I609" i="5"/>
  <c r="J609" i="5"/>
  <c r="I610" i="5"/>
  <c r="J610" i="5"/>
  <c r="I611" i="5"/>
  <c r="J611" i="5"/>
  <c r="I612" i="5"/>
  <c r="J612" i="5"/>
  <c r="I613" i="5"/>
  <c r="J613" i="5"/>
  <c r="I614" i="5"/>
  <c r="J614" i="5"/>
  <c r="I615" i="5"/>
  <c r="J615" i="5"/>
  <c r="I616" i="5"/>
  <c r="J616" i="5"/>
  <c r="I617" i="5"/>
  <c r="J617" i="5"/>
  <c r="I618" i="5"/>
  <c r="J618" i="5"/>
  <c r="I619" i="5"/>
  <c r="J619" i="5"/>
  <c r="I620" i="5"/>
  <c r="J620" i="5"/>
  <c r="I621" i="5"/>
  <c r="J621" i="5"/>
  <c r="I622" i="5"/>
  <c r="J622" i="5"/>
  <c r="I623" i="5"/>
  <c r="J623" i="5"/>
  <c r="I624" i="5"/>
  <c r="J624" i="5"/>
  <c r="I625" i="5"/>
  <c r="J625" i="5"/>
  <c r="I626" i="5"/>
  <c r="J626" i="5"/>
  <c r="I627" i="5"/>
  <c r="J627" i="5"/>
  <c r="I628" i="5"/>
  <c r="J628" i="5"/>
  <c r="I629" i="5"/>
  <c r="J629" i="5"/>
  <c r="I630" i="5"/>
  <c r="J630" i="5"/>
  <c r="I631" i="5"/>
  <c r="J631" i="5"/>
  <c r="I632" i="5"/>
  <c r="J632" i="5"/>
  <c r="I633" i="5"/>
  <c r="J633" i="5"/>
  <c r="I634" i="5"/>
  <c r="J634" i="5"/>
  <c r="I635" i="5"/>
  <c r="J635" i="5"/>
  <c r="I636" i="5"/>
  <c r="J636" i="5"/>
  <c r="I637" i="5"/>
  <c r="J637" i="5"/>
  <c r="I638" i="5"/>
  <c r="J638" i="5"/>
  <c r="I639" i="5"/>
  <c r="J639" i="5"/>
  <c r="I640" i="5"/>
  <c r="J640" i="5"/>
  <c r="I641" i="5"/>
  <c r="J641" i="5"/>
  <c r="I642" i="5"/>
  <c r="J642" i="5"/>
  <c r="I643" i="5"/>
  <c r="J643" i="5"/>
  <c r="I644" i="5"/>
  <c r="J644" i="5"/>
  <c r="I645" i="5"/>
  <c r="J645" i="5"/>
  <c r="I646" i="5"/>
  <c r="J646" i="5"/>
  <c r="I647" i="5"/>
  <c r="J647" i="5"/>
  <c r="I648" i="5"/>
  <c r="J648" i="5"/>
  <c r="I649" i="5"/>
  <c r="J649" i="5"/>
  <c r="I650" i="5"/>
  <c r="J650" i="5"/>
  <c r="I651" i="5"/>
  <c r="J651" i="5"/>
  <c r="I652" i="5"/>
  <c r="J652" i="5"/>
  <c r="I653" i="5"/>
  <c r="J653" i="5"/>
  <c r="AX15" i="5"/>
  <c r="AX7" i="5"/>
  <c r="AX13" i="5"/>
  <c r="I654" i="5"/>
  <c r="J654" i="5"/>
  <c r="I655" i="5"/>
  <c r="J655" i="5"/>
  <c r="I656" i="5"/>
  <c r="J656" i="5"/>
  <c r="I657" i="5"/>
  <c r="J657" i="5"/>
  <c r="I658" i="5"/>
  <c r="J658" i="5"/>
  <c r="I659" i="5"/>
  <c r="J659" i="5"/>
  <c r="I660" i="5"/>
  <c r="J660" i="5"/>
  <c r="I661" i="5"/>
  <c r="J661" i="5"/>
  <c r="I662" i="5"/>
  <c r="J662" i="5"/>
  <c r="I663" i="5"/>
  <c r="J663" i="5"/>
  <c r="I664" i="5"/>
  <c r="J664" i="5"/>
  <c r="I665" i="5"/>
  <c r="J665" i="5"/>
  <c r="I666" i="5"/>
  <c r="J666" i="5"/>
  <c r="I667" i="5"/>
  <c r="J667" i="5"/>
  <c r="I668" i="5"/>
  <c r="J668" i="5"/>
  <c r="I669" i="5"/>
  <c r="J669" i="5"/>
  <c r="I670" i="5"/>
  <c r="J670" i="5"/>
  <c r="I671" i="5"/>
  <c r="J671" i="5"/>
  <c r="I672" i="5"/>
  <c r="J672" i="5"/>
  <c r="AF15" i="5"/>
  <c r="AF7" i="5"/>
  <c r="AF13" i="5"/>
  <c r="I673" i="5"/>
  <c r="J673" i="5"/>
  <c r="I674" i="5"/>
  <c r="J674" i="5"/>
  <c r="I675" i="5"/>
  <c r="J675" i="5"/>
  <c r="I676" i="5"/>
  <c r="J676" i="5"/>
  <c r="I677" i="5"/>
  <c r="J677" i="5"/>
  <c r="I678" i="5"/>
  <c r="J678" i="5"/>
  <c r="I679" i="5"/>
  <c r="J679" i="5"/>
  <c r="I680" i="5"/>
  <c r="J680" i="5"/>
  <c r="I681" i="5"/>
  <c r="J681" i="5"/>
  <c r="I682" i="5"/>
  <c r="J682" i="5"/>
  <c r="I683" i="5"/>
  <c r="J683" i="5"/>
  <c r="I684" i="5"/>
  <c r="J684" i="5"/>
  <c r="I685" i="5"/>
  <c r="J685" i="5"/>
  <c r="I686" i="5"/>
  <c r="J686" i="5"/>
  <c r="I687" i="5"/>
  <c r="J687" i="5"/>
  <c r="I688" i="5"/>
  <c r="J688" i="5"/>
  <c r="I689" i="5"/>
  <c r="J689" i="5"/>
  <c r="I690" i="5"/>
  <c r="J690" i="5"/>
  <c r="I691" i="5"/>
  <c r="J691" i="5"/>
  <c r="I692" i="5"/>
  <c r="J692" i="5"/>
  <c r="I693" i="5"/>
  <c r="J693" i="5"/>
  <c r="I694" i="5"/>
  <c r="J694" i="5"/>
  <c r="I695" i="5"/>
  <c r="J695" i="5"/>
  <c r="I696" i="5"/>
  <c r="J696" i="5"/>
  <c r="I697" i="5"/>
  <c r="J697" i="5"/>
  <c r="I698" i="5"/>
  <c r="J698" i="5"/>
  <c r="I699" i="5"/>
  <c r="J699" i="5"/>
  <c r="I700" i="5"/>
  <c r="J700" i="5"/>
  <c r="I701" i="5"/>
  <c r="J701" i="5"/>
  <c r="I702" i="5"/>
  <c r="J702" i="5"/>
  <c r="AT15" i="5"/>
  <c r="AT7" i="5"/>
  <c r="AT13" i="5"/>
  <c r="I703" i="5"/>
  <c r="J703" i="5"/>
  <c r="I704" i="5"/>
  <c r="J704" i="5"/>
  <c r="I705" i="5"/>
  <c r="J705" i="5"/>
  <c r="I706" i="5"/>
  <c r="J706" i="5"/>
  <c r="I707" i="5"/>
  <c r="J707" i="5"/>
  <c r="I708" i="5"/>
  <c r="J708" i="5"/>
  <c r="I709" i="5"/>
  <c r="J709" i="5"/>
  <c r="AS15" i="5"/>
  <c r="AS7" i="5"/>
  <c r="AS13" i="5"/>
  <c r="I710" i="5"/>
  <c r="J710" i="5"/>
  <c r="I711" i="5"/>
  <c r="J711" i="5"/>
  <c r="I712" i="5"/>
  <c r="J712" i="5"/>
  <c r="I713" i="5"/>
  <c r="J713" i="5"/>
  <c r="I714" i="5"/>
  <c r="J714" i="5"/>
  <c r="I715" i="5"/>
  <c r="J715" i="5"/>
  <c r="I716" i="5"/>
  <c r="J716" i="5"/>
  <c r="I717" i="5"/>
  <c r="J717" i="5"/>
  <c r="I718" i="5"/>
  <c r="J718" i="5"/>
  <c r="I719" i="5"/>
  <c r="J719" i="5"/>
  <c r="I720" i="5"/>
  <c r="J720" i="5"/>
  <c r="AO15" i="5"/>
  <c r="AO7" i="5"/>
  <c r="AO13" i="5"/>
  <c r="I721" i="5"/>
  <c r="J721" i="5"/>
  <c r="I722" i="5"/>
  <c r="J722" i="5"/>
  <c r="I723" i="5"/>
  <c r="J723" i="5"/>
  <c r="AD15" i="5"/>
  <c r="AD7" i="5"/>
  <c r="AD13" i="5"/>
  <c r="I724" i="5"/>
  <c r="J724" i="5"/>
  <c r="I725" i="5"/>
  <c r="J725" i="5"/>
  <c r="I726" i="5"/>
  <c r="J726" i="5"/>
  <c r="I727" i="5"/>
  <c r="J727" i="5"/>
  <c r="I728" i="5"/>
  <c r="J728" i="5"/>
  <c r="I729" i="5"/>
  <c r="J729" i="5"/>
  <c r="I730" i="5"/>
  <c r="J730" i="5"/>
  <c r="I731" i="5"/>
  <c r="J731" i="5"/>
  <c r="I732" i="5"/>
  <c r="J732" i="5"/>
  <c r="I733" i="5"/>
  <c r="J733" i="5"/>
  <c r="I734" i="5"/>
  <c r="J734" i="5"/>
  <c r="AN15" i="5"/>
  <c r="AN7" i="5"/>
  <c r="AN13" i="5"/>
  <c r="I735" i="5"/>
  <c r="J735" i="5"/>
  <c r="I736" i="5"/>
  <c r="J736" i="5"/>
  <c r="I737" i="5"/>
  <c r="J737" i="5"/>
  <c r="I738" i="5"/>
  <c r="J738" i="5"/>
  <c r="I739" i="5"/>
  <c r="J739" i="5"/>
  <c r="I740" i="5"/>
  <c r="J740" i="5"/>
  <c r="I741" i="5"/>
  <c r="J741" i="5"/>
  <c r="I742" i="5"/>
  <c r="J742" i="5"/>
  <c r="I743" i="5"/>
  <c r="J743" i="5"/>
  <c r="I744" i="5"/>
  <c r="J744" i="5"/>
  <c r="I745" i="5"/>
  <c r="J745" i="5"/>
  <c r="I746" i="5"/>
  <c r="J746" i="5"/>
  <c r="I747" i="5"/>
  <c r="J747" i="5"/>
  <c r="I748" i="5"/>
  <c r="J748" i="5"/>
  <c r="I749" i="5"/>
  <c r="J749" i="5"/>
  <c r="I750" i="5"/>
  <c r="J750" i="5"/>
  <c r="I751" i="5"/>
  <c r="J751" i="5"/>
  <c r="I752" i="5"/>
  <c r="J752" i="5"/>
  <c r="I753" i="5"/>
  <c r="J753" i="5"/>
  <c r="I754" i="5"/>
  <c r="J754" i="5"/>
  <c r="I755" i="5"/>
  <c r="J755" i="5"/>
  <c r="I756" i="5"/>
  <c r="J756" i="5"/>
  <c r="I757" i="5"/>
  <c r="J757" i="5"/>
  <c r="I758" i="5"/>
  <c r="J758" i="5"/>
  <c r="I759" i="5"/>
  <c r="J759" i="5"/>
  <c r="I760" i="5"/>
  <c r="J760" i="5"/>
  <c r="I761" i="5"/>
  <c r="J761" i="5"/>
  <c r="I762" i="5"/>
  <c r="J762" i="5"/>
  <c r="I763" i="5"/>
  <c r="J763" i="5"/>
  <c r="I764" i="5"/>
  <c r="J764" i="5"/>
  <c r="I765" i="5"/>
  <c r="J765" i="5"/>
  <c r="I766" i="5"/>
  <c r="J766" i="5"/>
  <c r="I767" i="5"/>
  <c r="J767" i="5"/>
  <c r="I768" i="5"/>
  <c r="J768" i="5"/>
  <c r="I769" i="5"/>
  <c r="J769" i="5"/>
  <c r="I770" i="5"/>
  <c r="J770" i="5"/>
  <c r="I771" i="5"/>
  <c r="J771" i="5"/>
  <c r="I772" i="5"/>
  <c r="J772" i="5"/>
  <c r="I773" i="5"/>
  <c r="J773" i="5"/>
  <c r="I774" i="5"/>
  <c r="J774" i="5"/>
  <c r="I775" i="5"/>
  <c r="J775" i="5"/>
  <c r="I776" i="5"/>
  <c r="J776" i="5"/>
  <c r="I777" i="5"/>
  <c r="J777" i="5"/>
  <c r="I778" i="5"/>
  <c r="J778" i="5"/>
  <c r="I779" i="5"/>
  <c r="J779" i="5"/>
  <c r="I780" i="5"/>
  <c r="J780" i="5"/>
  <c r="I781" i="5"/>
  <c r="J781" i="5"/>
  <c r="I782" i="5"/>
  <c r="J782" i="5"/>
  <c r="I783" i="5"/>
  <c r="J783" i="5"/>
  <c r="I784" i="5"/>
  <c r="J784" i="5"/>
  <c r="I785" i="5"/>
  <c r="J785" i="5"/>
  <c r="I786" i="5"/>
  <c r="J786" i="5"/>
  <c r="I787" i="5"/>
  <c r="J787" i="5"/>
  <c r="I788" i="5"/>
  <c r="J788" i="5"/>
  <c r="I789" i="5"/>
  <c r="J789" i="5"/>
  <c r="I790" i="5"/>
  <c r="J790" i="5"/>
  <c r="I791" i="5"/>
  <c r="J791" i="5"/>
  <c r="I792" i="5"/>
  <c r="J792" i="5"/>
  <c r="I793" i="5"/>
  <c r="J793" i="5"/>
  <c r="I794" i="5"/>
  <c r="J794" i="5"/>
  <c r="I795" i="5"/>
  <c r="J795" i="5"/>
  <c r="I796" i="5"/>
  <c r="J796" i="5"/>
  <c r="I797" i="5"/>
  <c r="J797" i="5"/>
  <c r="I798" i="5"/>
  <c r="J798" i="5"/>
  <c r="I799" i="5"/>
  <c r="J799" i="5"/>
  <c r="I800" i="5"/>
  <c r="J800" i="5"/>
  <c r="I801" i="5"/>
  <c r="J801" i="5"/>
  <c r="I802" i="5"/>
  <c r="J802" i="5"/>
  <c r="I803" i="5"/>
  <c r="J803" i="5"/>
  <c r="I804" i="5"/>
  <c r="J804" i="5"/>
  <c r="I805" i="5"/>
  <c r="J805" i="5"/>
  <c r="I806" i="5"/>
  <c r="J806" i="5"/>
  <c r="I807" i="5"/>
  <c r="J807" i="5"/>
  <c r="I808" i="5"/>
  <c r="J808" i="5"/>
  <c r="I809" i="5"/>
  <c r="J809" i="5"/>
  <c r="I810" i="5"/>
  <c r="J810" i="5"/>
  <c r="I811" i="5"/>
  <c r="J811" i="5"/>
  <c r="I812" i="5"/>
  <c r="J812" i="5"/>
  <c r="I813" i="5"/>
  <c r="J813" i="5"/>
  <c r="I814" i="5"/>
  <c r="J814" i="5"/>
  <c r="I815" i="5"/>
  <c r="J815" i="5"/>
  <c r="I816" i="5"/>
  <c r="J816" i="5"/>
  <c r="I817" i="5"/>
  <c r="J817" i="5"/>
  <c r="I818" i="5"/>
  <c r="J818" i="5"/>
  <c r="I819" i="5"/>
  <c r="J819" i="5"/>
  <c r="I820" i="5"/>
  <c r="J820" i="5"/>
  <c r="I821" i="5"/>
  <c r="J821" i="5"/>
  <c r="I822" i="5"/>
  <c r="J822" i="5"/>
  <c r="I823" i="5"/>
  <c r="J823" i="5"/>
  <c r="I824" i="5"/>
  <c r="J824" i="5"/>
  <c r="I825" i="5"/>
  <c r="J825" i="5"/>
  <c r="I826" i="5"/>
  <c r="J826" i="5"/>
  <c r="I827" i="5"/>
  <c r="J827" i="5"/>
  <c r="I828" i="5"/>
  <c r="J828" i="5"/>
  <c r="I829" i="5"/>
  <c r="J829" i="5"/>
  <c r="I830" i="5"/>
  <c r="J830" i="5"/>
  <c r="I831" i="5"/>
  <c r="J831" i="5"/>
  <c r="I832" i="5"/>
  <c r="J832" i="5"/>
  <c r="I833" i="5"/>
  <c r="J833" i="5"/>
  <c r="I834" i="5"/>
  <c r="J834" i="5"/>
  <c r="I835" i="5"/>
  <c r="J835" i="5"/>
  <c r="I836" i="5"/>
  <c r="J836" i="5"/>
  <c r="I837" i="5"/>
  <c r="J837" i="5"/>
  <c r="I838" i="5"/>
  <c r="J838" i="5"/>
  <c r="I839" i="5"/>
  <c r="J839" i="5"/>
  <c r="I840" i="5"/>
  <c r="J840" i="5"/>
  <c r="I841" i="5"/>
  <c r="J841" i="5"/>
  <c r="I842" i="5"/>
  <c r="J842" i="5"/>
  <c r="I843" i="5"/>
  <c r="J843" i="5"/>
  <c r="I844" i="5"/>
  <c r="J844" i="5"/>
  <c r="I845" i="5"/>
  <c r="J845" i="5"/>
  <c r="I846" i="5"/>
  <c r="J846" i="5"/>
  <c r="I847" i="5"/>
  <c r="J847" i="5"/>
  <c r="I848" i="5"/>
  <c r="J848" i="5"/>
  <c r="I849" i="5"/>
  <c r="J849" i="5"/>
  <c r="I850" i="5"/>
  <c r="J850" i="5"/>
  <c r="I851" i="5"/>
  <c r="J851" i="5"/>
  <c r="I852" i="5"/>
  <c r="J852" i="5"/>
  <c r="I853" i="5"/>
  <c r="J853" i="5"/>
  <c r="I854" i="5"/>
  <c r="J854" i="5"/>
  <c r="I855" i="5"/>
  <c r="J855" i="5"/>
  <c r="I856" i="5"/>
  <c r="J856" i="5"/>
  <c r="I857" i="5"/>
  <c r="J857" i="5"/>
  <c r="I858" i="5"/>
  <c r="J858" i="5"/>
  <c r="I859" i="5"/>
  <c r="J859" i="5"/>
  <c r="I860" i="5"/>
  <c r="J860" i="5"/>
  <c r="I861" i="5"/>
  <c r="J861" i="5"/>
  <c r="AV15" i="5"/>
  <c r="AV7" i="5"/>
  <c r="AV13" i="5"/>
  <c r="I862" i="5"/>
  <c r="J862" i="5"/>
  <c r="I863" i="5"/>
  <c r="J863" i="5"/>
  <c r="I864" i="5"/>
  <c r="J864" i="5"/>
  <c r="I865" i="5"/>
  <c r="J865" i="5"/>
  <c r="I866" i="5"/>
  <c r="J866" i="5"/>
  <c r="I867" i="5"/>
  <c r="J867" i="5"/>
  <c r="I868" i="5"/>
  <c r="J868" i="5"/>
  <c r="I869" i="5"/>
  <c r="J869" i="5"/>
  <c r="I870" i="5"/>
  <c r="J870" i="5"/>
  <c r="I871" i="5"/>
  <c r="J871" i="5"/>
  <c r="I872" i="5"/>
  <c r="J872" i="5"/>
  <c r="I873" i="5"/>
  <c r="J873" i="5"/>
  <c r="I874" i="5"/>
  <c r="J874" i="5"/>
  <c r="I875" i="5"/>
  <c r="J875" i="5"/>
  <c r="I876" i="5"/>
  <c r="J876" i="5"/>
  <c r="I877" i="5"/>
  <c r="J877" i="5"/>
  <c r="I878" i="5"/>
  <c r="J878" i="5"/>
  <c r="I879" i="5"/>
  <c r="J879" i="5"/>
  <c r="I880" i="5"/>
  <c r="J880" i="5"/>
  <c r="I881" i="5"/>
  <c r="J881" i="5"/>
  <c r="I882" i="5"/>
  <c r="J882" i="5"/>
  <c r="I883" i="5"/>
  <c r="J883" i="5"/>
  <c r="I884" i="5"/>
  <c r="J884" i="5"/>
  <c r="I885" i="5"/>
  <c r="J885" i="5"/>
  <c r="I886" i="5"/>
  <c r="J886" i="5"/>
  <c r="I887" i="5"/>
  <c r="J887" i="5"/>
  <c r="I888" i="5"/>
  <c r="J888" i="5"/>
  <c r="I889" i="5"/>
  <c r="J889" i="5"/>
  <c r="I890" i="5"/>
  <c r="J890" i="5"/>
  <c r="I891" i="5"/>
  <c r="J891" i="5"/>
  <c r="I892" i="5"/>
  <c r="J892" i="5"/>
  <c r="I893" i="5"/>
  <c r="J893" i="5"/>
  <c r="I894" i="5"/>
  <c r="J894" i="5"/>
  <c r="I895" i="5"/>
  <c r="J895" i="5"/>
  <c r="I896" i="5"/>
  <c r="J896" i="5"/>
  <c r="I897" i="5"/>
  <c r="J897" i="5"/>
  <c r="I898" i="5"/>
  <c r="J898" i="5"/>
  <c r="I899" i="5"/>
  <c r="J899" i="5"/>
  <c r="I900" i="5"/>
  <c r="J900" i="5"/>
  <c r="I901" i="5"/>
  <c r="J901" i="5"/>
  <c r="I902" i="5"/>
  <c r="J902" i="5"/>
  <c r="I903" i="5"/>
  <c r="J903" i="5"/>
  <c r="I904" i="5"/>
  <c r="J904" i="5"/>
  <c r="I905" i="5"/>
  <c r="J905" i="5"/>
  <c r="I906" i="5"/>
  <c r="J906" i="5"/>
  <c r="I907" i="5"/>
  <c r="J907" i="5"/>
  <c r="I908" i="5"/>
  <c r="J908" i="5"/>
  <c r="I909" i="5"/>
  <c r="J909" i="5"/>
  <c r="I910" i="5"/>
  <c r="J910" i="5"/>
  <c r="I911" i="5"/>
  <c r="J911" i="5"/>
  <c r="I912" i="5"/>
  <c r="J912" i="5"/>
  <c r="I913" i="5"/>
  <c r="J913" i="5"/>
  <c r="I914" i="5"/>
  <c r="J914" i="5"/>
  <c r="I915" i="5"/>
  <c r="J915" i="5"/>
  <c r="I916" i="5"/>
  <c r="J916" i="5"/>
  <c r="I917" i="5"/>
  <c r="J917" i="5"/>
  <c r="I918" i="5"/>
  <c r="J918" i="5"/>
  <c r="I919" i="5"/>
  <c r="J919" i="5"/>
  <c r="I920" i="5"/>
  <c r="J920" i="5"/>
  <c r="I921" i="5"/>
  <c r="J921" i="5"/>
  <c r="I922" i="5"/>
  <c r="J922" i="5"/>
  <c r="I923" i="5"/>
  <c r="J923" i="5"/>
  <c r="I924" i="5"/>
  <c r="J924" i="5"/>
  <c r="I925" i="5"/>
  <c r="J925" i="5"/>
  <c r="I926" i="5"/>
  <c r="J926" i="5"/>
  <c r="I927" i="5"/>
  <c r="J927" i="5"/>
  <c r="I928" i="5"/>
  <c r="J928" i="5"/>
  <c r="I929" i="5"/>
  <c r="J929" i="5"/>
  <c r="I930" i="5"/>
  <c r="J930" i="5"/>
  <c r="I931" i="5"/>
  <c r="J931" i="5"/>
  <c r="I932" i="5"/>
  <c r="J932" i="5"/>
  <c r="I933" i="5"/>
  <c r="J933" i="5"/>
  <c r="I934" i="5"/>
  <c r="J934" i="5"/>
  <c r="I935" i="5"/>
  <c r="J935" i="5"/>
  <c r="I936" i="5"/>
  <c r="J936" i="5"/>
  <c r="I937" i="5"/>
  <c r="J937" i="5"/>
  <c r="I938" i="5"/>
  <c r="J938" i="5"/>
  <c r="I939" i="5"/>
  <c r="J939" i="5"/>
  <c r="I940" i="5"/>
  <c r="J940" i="5"/>
  <c r="I941" i="5"/>
  <c r="J941" i="5"/>
  <c r="I942" i="5"/>
  <c r="J942" i="5"/>
  <c r="I943" i="5"/>
  <c r="J943" i="5"/>
  <c r="I944" i="5"/>
  <c r="J944" i="5"/>
  <c r="I945" i="5"/>
  <c r="J945" i="5"/>
  <c r="I946" i="5"/>
  <c r="J946" i="5"/>
  <c r="I947" i="5"/>
  <c r="J947" i="5"/>
  <c r="I948" i="5"/>
  <c r="J948" i="5"/>
  <c r="I949" i="5"/>
  <c r="J949" i="5"/>
  <c r="I950" i="5"/>
  <c r="J950" i="5"/>
  <c r="I951" i="5"/>
  <c r="J951" i="5"/>
  <c r="I952" i="5"/>
  <c r="J952" i="5"/>
  <c r="I953" i="5"/>
  <c r="J953" i="5"/>
  <c r="I954" i="5"/>
  <c r="J954" i="5"/>
  <c r="I955" i="5"/>
  <c r="J955" i="5"/>
  <c r="I956" i="5"/>
  <c r="J956" i="5"/>
  <c r="I957" i="5"/>
  <c r="J957" i="5"/>
  <c r="I958" i="5"/>
  <c r="J958" i="5"/>
  <c r="I959" i="5"/>
  <c r="J959" i="5"/>
  <c r="I960" i="5"/>
  <c r="J960" i="5"/>
  <c r="I961" i="5"/>
  <c r="J961" i="5"/>
  <c r="I962" i="5"/>
  <c r="J962" i="5"/>
  <c r="I963" i="5"/>
  <c r="J963" i="5"/>
  <c r="I964" i="5"/>
  <c r="J964" i="5"/>
  <c r="I965" i="5"/>
  <c r="J965" i="5"/>
  <c r="I966" i="5"/>
  <c r="J966" i="5"/>
  <c r="I967" i="5"/>
  <c r="J967" i="5"/>
  <c r="AM15" i="5"/>
  <c r="AM7" i="5"/>
  <c r="AM13" i="5"/>
  <c r="I968" i="5"/>
  <c r="J968" i="5"/>
  <c r="I969" i="5"/>
  <c r="J969" i="5"/>
  <c r="I970" i="5"/>
  <c r="J970" i="5"/>
  <c r="AL15" i="5"/>
  <c r="AL7" i="5"/>
  <c r="AL13" i="5"/>
  <c r="I971" i="5"/>
  <c r="J971" i="5"/>
  <c r="I972" i="5"/>
  <c r="J972" i="5"/>
  <c r="I973" i="5"/>
  <c r="J973" i="5"/>
  <c r="I974" i="5"/>
  <c r="J974" i="5"/>
  <c r="I975" i="5"/>
  <c r="J975" i="5"/>
  <c r="I976" i="5"/>
  <c r="J976" i="5"/>
  <c r="I977" i="5"/>
  <c r="J977" i="5"/>
  <c r="I978" i="5"/>
  <c r="J978" i="5"/>
  <c r="I979" i="5"/>
  <c r="J979" i="5"/>
  <c r="I980" i="5"/>
  <c r="J980" i="5"/>
  <c r="I981" i="5"/>
  <c r="J981" i="5"/>
  <c r="I982" i="5"/>
  <c r="J982" i="5"/>
  <c r="I983" i="5"/>
  <c r="J983" i="5"/>
  <c r="I984" i="5"/>
  <c r="J984" i="5"/>
  <c r="I985" i="5"/>
  <c r="J985" i="5"/>
  <c r="I986" i="5"/>
  <c r="J986" i="5"/>
  <c r="I987" i="5"/>
  <c r="J987" i="5"/>
  <c r="I988" i="5"/>
  <c r="J988" i="5"/>
  <c r="I989" i="5"/>
  <c r="J989" i="5"/>
  <c r="I990" i="5"/>
  <c r="J990" i="5"/>
  <c r="I991" i="5"/>
  <c r="J991" i="5"/>
  <c r="I992" i="5"/>
  <c r="J992" i="5"/>
  <c r="I993" i="5"/>
  <c r="J993" i="5"/>
  <c r="I994" i="5"/>
  <c r="J994" i="5"/>
  <c r="I995" i="5"/>
  <c r="J995" i="5"/>
  <c r="I996" i="5"/>
  <c r="J996" i="5"/>
  <c r="I997" i="5"/>
  <c r="J997" i="5"/>
  <c r="I998" i="5"/>
  <c r="J998" i="5"/>
  <c r="I999" i="5"/>
  <c r="J999" i="5"/>
  <c r="I1000" i="5"/>
  <c r="J1000" i="5"/>
  <c r="I1001" i="5"/>
  <c r="J1001" i="5"/>
  <c r="I1002" i="5"/>
  <c r="J1002" i="5"/>
  <c r="I1003" i="5"/>
  <c r="J1003" i="5"/>
  <c r="I1004" i="5"/>
  <c r="J1004" i="5"/>
  <c r="I1005" i="5"/>
  <c r="J1005" i="5"/>
  <c r="I1006" i="5"/>
  <c r="J1006" i="5"/>
  <c r="I1007" i="5"/>
  <c r="J1007" i="5"/>
  <c r="I1008" i="5"/>
  <c r="J1008" i="5"/>
  <c r="I1009" i="5"/>
  <c r="J1009" i="5"/>
  <c r="I1010" i="5"/>
  <c r="J1010" i="5"/>
  <c r="I1011" i="5"/>
  <c r="J1011" i="5"/>
  <c r="I1012" i="5"/>
  <c r="J1012" i="5"/>
  <c r="I1013" i="5"/>
  <c r="J1013" i="5"/>
  <c r="I1014" i="5"/>
  <c r="J1014" i="5"/>
  <c r="I1015" i="5"/>
  <c r="J1015" i="5"/>
  <c r="I1016" i="5"/>
  <c r="J1016" i="5"/>
  <c r="I1017" i="5"/>
  <c r="J1017" i="5"/>
  <c r="I1018" i="5"/>
  <c r="J1018" i="5"/>
  <c r="I1019" i="5"/>
  <c r="J1019" i="5"/>
  <c r="I1020" i="5"/>
  <c r="J1020" i="5"/>
  <c r="I1021" i="5"/>
  <c r="J1021" i="5"/>
  <c r="I1022" i="5"/>
  <c r="J1022" i="5"/>
  <c r="I1023" i="5"/>
  <c r="J1023" i="5"/>
  <c r="I1024" i="5"/>
  <c r="J1024" i="5"/>
  <c r="I1025" i="5"/>
  <c r="J1025" i="5"/>
  <c r="I1026" i="5"/>
  <c r="J1026" i="5"/>
  <c r="I1027" i="5"/>
  <c r="J1027" i="5"/>
  <c r="I1028" i="5"/>
  <c r="J1028" i="5"/>
  <c r="I1029" i="5"/>
  <c r="J1029" i="5"/>
  <c r="I1030" i="5"/>
  <c r="J1030" i="5"/>
  <c r="I1031" i="5"/>
  <c r="J1031" i="5"/>
  <c r="I1032" i="5"/>
  <c r="J1032" i="5"/>
  <c r="I1033" i="5"/>
  <c r="J1033" i="5"/>
  <c r="I1034" i="5"/>
  <c r="J1034" i="5"/>
  <c r="I1035" i="5"/>
  <c r="J1035" i="5"/>
  <c r="I1036" i="5"/>
  <c r="J1036" i="5"/>
  <c r="I1037" i="5"/>
  <c r="J1037" i="5"/>
  <c r="I1038" i="5"/>
  <c r="J1038" i="5"/>
  <c r="I1039" i="5"/>
  <c r="J1039" i="5"/>
  <c r="I1040" i="5"/>
  <c r="J1040" i="5"/>
  <c r="I1041" i="5"/>
  <c r="J1041" i="5"/>
  <c r="I1042" i="5"/>
  <c r="J1042" i="5"/>
  <c r="I1043" i="5"/>
  <c r="J1043" i="5"/>
  <c r="I1044" i="5"/>
  <c r="J1044" i="5"/>
  <c r="I1045" i="5"/>
  <c r="J1045" i="5"/>
  <c r="I1046" i="5"/>
  <c r="J1046" i="5"/>
  <c r="I1047" i="5"/>
  <c r="J1047" i="5"/>
  <c r="I1048" i="5"/>
  <c r="J1048" i="5"/>
  <c r="I1049" i="5"/>
  <c r="J1049" i="5"/>
  <c r="I1050" i="5"/>
  <c r="J1050" i="5"/>
  <c r="I1051" i="5"/>
  <c r="J1051" i="5"/>
  <c r="I1052" i="5"/>
  <c r="J1052" i="5"/>
  <c r="I1053" i="5"/>
  <c r="J1053" i="5"/>
  <c r="I1054" i="5"/>
  <c r="J1054" i="5"/>
  <c r="I1055" i="5"/>
  <c r="J1055" i="5"/>
  <c r="I1056" i="5"/>
  <c r="J1056" i="5"/>
  <c r="AU15" i="5"/>
  <c r="AU7" i="5"/>
  <c r="AU13" i="5"/>
  <c r="I1057" i="5"/>
  <c r="J1057" i="5"/>
  <c r="I1058" i="5"/>
  <c r="J1058" i="5"/>
  <c r="I1059" i="5"/>
  <c r="J1059" i="5"/>
  <c r="I1060" i="5"/>
  <c r="J1060" i="5"/>
  <c r="I1061" i="5"/>
  <c r="J1061" i="5"/>
  <c r="I1062" i="5"/>
  <c r="J1062" i="5"/>
  <c r="I1063" i="5"/>
  <c r="J1063" i="5"/>
  <c r="I1064" i="5"/>
  <c r="J1064" i="5"/>
  <c r="I1065" i="5"/>
  <c r="J1065" i="5"/>
  <c r="I1066" i="5"/>
  <c r="J1066" i="5"/>
  <c r="I1067" i="5"/>
  <c r="J1067" i="5"/>
  <c r="I1068" i="5"/>
  <c r="J1068" i="5"/>
  <c r="I1069" i="5"/>
  <c r="J1069" i="5"/>
  <c r="I1070" i="5"/>
  <c r="J1070" i="5"/>
  <c r="I1071" i="5"/>
  <c r="J1071" i="5"/>
  <c r="I1072" i="5"/>
  <c r="J1072" i="5"/>
  <c r="I1073" i="5"/>
  <c r="J1073" i="5"/>
  <c r="I1074" i="5"/>
  <c r="J1074" i="5"/>
  <c r="I1075" i="5"/>
  <c r="J1075" i="5"/>
  <c r="I1076" i="5"/>
  <c r="J1076" i="5"/>
  <c r="I1077" i="5"/>
  <c r="J1077" i="5"/>
  <c r="I1078" i="5"/>
  <c r="J1078" i="5"/>
  <c r="I1079" i="5"/>
  <c r="J1079" i="5"/>
  <c r="I1080" i="5"/>
  <c r="J1080" i="5"/>
  <c r="I1081" i="5"/>
  <c r="J1081" i="5"/>
  <c r="I1082" i="5"/>
  <c r="J1082" i="5"/>
  <c r="AK15" i="5"/>
  <c r="AK7" i="5"/>
  <c r="AK13" i="5"/>
  <c r="I1083" i="5"/>
  <c r="J1083" i="5"/>
  <c r="I1084" i="5"/>
  <c r="J1084" i="5"/>
  <c r="I1085" i="5"/>
  <c r="J1085" i="5"/>
  <c r="I1086" i="5"/>
  <c r="J1086" i="5"/>
  <c r="I1087" i="5"/>
  <c r="J1087" i="5"/>
  <c r="I1088" i="5"/>
  <c r="J1088" i="5"/>
  <c r="I1089" i="5"/>
  <c r="J1089" i="5"/>
  <c r="I1090" i="5"/>
  <c r="J1090" i="5"/>
  <c r="I1091" i="5"/>
  <c r="J1091" i="5"/>
  <c r="I1092" i="5"/>
  <c r="J1092" i="5"/>
  <c r="I1093" i="5"/>
  <c r="J1093" i="5"/>
  <c r="I1094" i="5"/>
  <c r="J1094" i="5"/>
  <c r="I1095" i="5"/>
  <c r="J1095" i="5"/>
  <c r="I1096" i="5"/>
  <c r="J1096" i="5"/>
  <c r="I1097" i="5"/>
  <c r="J1097" i="5"/>
  <c r="I1098" i="5"/>
  <c r="J1098" i="5"/>
  <c r="I1099" i="5"/>
  <c r="J1099" i="5"/>
  <c r="I1100" i="5"/>
  <c r="J1100" i="5"/>
  <c r="I1101" i="5"/>
  <c r="J1101" i="5"/>
  <c r="I1102" i="5"/>
  <c r="J1102" i="5"/>
  <c r="AJ15" i="5"/>
  <c r="AJ7" i="5"/>
  <c r="AJ13" i="5"/>
  <c r="I1103" i="5"/>
  <c r="J1103" i="5"/>
  <c r="I1104" i="5"/>
  <c r="J1104" i="5"/>
  <c r="I1105" i="5"/>
  <c r="J1105" i="5"/>
  <c r="I1106" i="5"/>
  <c r="J1106" i="5"/>
  <c r="I1107" i="5"/>
  <c r="J1107" i="5"/>
  <c r="AC15" i="5"/>
  <c r="AC7" i="5"/>
  <c r="AC13" i="5"/>
  <c r="I1108" i="5"/>
  <c r="J1108" i="5"/>
  <c r="I1109" i="5"/>
  <c r="J1109" i="5"/>
  <c r="I1110" i="5"/>
  <c r="J1110" i="5"/>
  <c r="I1111" i="5"/>
  <c r="J1111" i="5"/>
  <c r="I1112" i="5"/>
  <c r="J1112" i="5"/>
  <c r="I1113" i="5"/>
  <c r="J1113" i="5"/>
  <c r="I1114" i="5"/>
  <c r="J1114" i="5"/>
  <c r="I1115" i="5"/>
  <c r="J1115" i="5"/>
  <c r="I1116" i="5"/>
  <c r="J1116" i="5"/>
  <c r="I1117" i="5"/>
  <c r="J1117" i="5"/>
  <c r="I1118" i="5"/>
  <c r="J1118" i="5"/>
  <c r="I1119" i="5"/>
  <c r="J1119" i="5"/>
  <c r="I1120" i="5"/>
  <c r="J1120" i="5"/>
  <c r="I1121" i="5"/>
  <c r="J1121" i="5"/>
  <c r="I1122" i="5"/>
  <c r="J1122" i="5"/>
  <c r="I1123" i="5"/>
  <c r="J1123" i="5"/>
  <c r="I1124" i="5"/>
  <c r="J1124" i="5"/>
  <c r="I1125" i="5"/>
  <c r="J1125" i="5"/>
  <c r="I1126" i="5"/>
  <c r="J1126" i="5"/>
  <c r="I1127" i="5"/>
  <c r="J1127" i="5"/>
  <c r="I1128" i="5"/>
  <c r="J1128" i="5"/>
  <c r="I1129" i="5"/>
  <c r="J1129" i="5"/>
  <c r="I1130" i="5"/>
  <c r="J1130" i="5"/>
  <c r="I1131" i="5"/>
  <c r="J1131" i="5"/>
  <c r="I1132" i="5"/>
  <c r="J1132" i="5"/>
  <c r="I1133" i="5"/>
  <c r="J1133" i="5"/>
  <c r="I1134" i="5"/>
  <c r="J1134" i="5"/>
  <c r="I1135" i="5"/>
  <c r="J1135" i="5"/>
  <c r="I1136" i="5"/>
  <c r="J1136" i="5"/>
  <c r="I1137" i="5"/>
  <c r="J1137" i="5"/>
  <c r="I1138" i="5"/>
  <c r="J1138" i="5"/>
  <c r="I1139" i="5"/>
  <c r="J1139" i="5"/>
  <c r="I1140" i="5"/>
  <c r="J1140" i="5"/>
  <c r="I1141" i="5"/>
  <c r="J1141" i="5"/>
  <c r="I1142" i="5"/>
  <c r="J1142" i="5"/>
  <c r="I1143" i="5"/>
  <c r="J1143" i="5"/>
  <c r="I1144" i="5"/>
  <c r="J1144" i="5"/>
  <c r="I1145" i="5"/>
  <c r="J1145" i="5"/>
  <c r="I1146" i="5"/>
  <c r="J1146" i="5"/>
  <c r="I1147" i="5"/>
  <c r="J1147" i="5"/>
  <c r="I1148" i="5"/>
  <c r="J1148" i="5"/>
  <c r="I1149" i="5"/>
  <c r="J1149" i="5"/>
  <c r="I1150" i="5"/>
  <c r="J1150" i="5"/>
  <c r="I1151" i="5"/>
  <c r="J1151" i="5"/>
  <c r="I1152" i="5"/>
  <c r="J1152" i="5"/>
  <c r="I1153" i="5"/>
  <c r="J1153" i="5"/>
  <c r="I1154" i="5"/>
  <c r="J1154" i="5"/>
  <c r="I1155" i="5"/>
  <c r="J1155" i="5"/>
  <c r="I1156" i="5"/>
  <c r="J1156" i="5"/>
  <c r="I1157" i="5"/>
  <c r="J1157" i="5"/>
  <c r="I1158" i="5"/>
  <c r="J1158" i="5"/>
  <c r="I1159" i="5"/>
  <c r="J1159" i="5"/>
  <c r="I1160" i="5"/>
  <c r="J1160" i="5"/>
  <c r="I1161" i="5"/>
  <c r="J1161" i="5"/>
  <c r="I1162" i="5"/>
  <c r="J1162" i="5"/>
  <c r="I1163" i="5"/>
  <c r="J1163" i="5"/>
  <c r="I1164" i="5"/>
  <c r="J1164" i="5"/>
  <c r="I1165" i="5"/>
  <c r="J1165" i="5"/>
  <c r="I1166" i="5"/>
  <c r="J1166" i="5"/>
  <c r="I1167" i="5"/>
  <c r="J1167" i="5"/>
  <c r="I1168" i="5"/>
  <c r="J1168" i="5"/>
  <c r="I1169" i="5"/>
  <c r="J1169" i="5"/>
  <c r="I1170" i="5"/>
  <c r="J1170" i="5"/>
  <c r="I1171" i="5"/>
  <c r="J1171" i="5"/>
  <c r="I1172" i="5"/>
  <c r="J1172" i="5"/>
  <c r="I1173" i="5"/>
  <c r="J1173" i="5"/>
  <c r="I1174" i="5"/>
  <c r="J1174" i="5"/>
  <c r="I1175" i="5"/>
  <c r="J1175" i="5"/>
  <c r="I1176" i="5"/>
  <c r="J1176" i="5"/>
  <c r="I1177" i="5"/>
  <c r="J1177" i="5"/>
  <c r="I1178" i="5"/>
  <c r="J1178" i="5"/>
  <c r="I1179" i="5"/>
  <c r="J1179" i="5"/>
  <c r="I1180" i="5"/>
  <c r="J1180" i="5"/>
  <c r="I1181" i="5"/>
  <c r="J1181" i="5"/>
  <c r="I1182" i="5"/>
  <c r="J1182" i="5"/>
  <c r="I1183" i="5"/>
  <c r="J1183" i="5"/>
  <c r="I1184" i="5"/>
  <c r="J1184" i="5"/>
  <c r="AG15" i="5"/>
  <c r="AG7" i="5"/>
  <c r="AG13" i="5"/>
  <c r="I1185" i="5"/>
  <c r="J1185" i="5"/>
  <c r="I1186" i="5"/>
  <c r="J1186" i="5"/>
  <c r="I1187" i="5"/>
  <c r="J1187" i="5"/>
  <c r="I1188" i="5"/>
  <c r="J1188" i="5"/>
  <c r="I1189" i="5"/>
  <c r="J1189" i="5"/>
  <c r="I1190" i="5"/>
  <c r="J1190" i="5"/>
  <c r="I1191" i="5"/>
  <c r="J1191" i="5"/>
  <c r="I1192" i="5"/>
  <c r="J1192" i="5"/>
  <c r="I1193" i="5"/>
  <c r="J1193" i="5"/>
  <c r="I1194" i="5"/>
  <c r="J1194" i="5"/>
  <c r="I1195" i="5"/>
  <c r="J1195" i="5"/>
  <c r="I1196" i="5"/>
  <c r="J1196" i="5"/>
  <c r="I1197" i="5"/>
  <c r="J1197" i="5"/>
  <c r="I1198" i="5"/>
  <c r="J1198" i="5"/>
  <c r="I1199" i="5"/>
  <c r="J1199" i="5"/>
  <c r="I1200" i="5"/>
  <c r="J1200" i="5"/>
  <c r="I1201" i="5"/>
  <c r="J1201" i="5"/>
  <c r="I1202" i="5"/>
  <c r="J1202" i="5"/>
  <c r="I1203" i="5"/>
  <c r="J1203" i="5"/>
  <c r="I1204" i="5"/>
  <c r="J1204" i="5"/>
  <c r="I1205" i="5"/>
  <c r="J1205" i="5"/>
  <c r="I1206" i="5"/>
  <c r="J1206" i="5"/>
  <c r="I1207" i="5"/>
  <c r="J1207" i="5"/>
  <c r="I1208" i="5"/>
  <c r="J1208" i="5"/>
  <c r="I1209" i="5"/>
  <c r="J1209" i="5"/>
  <c r="I1210" i="5"/>
  <c r="J1210" i="5"/>
  <c r="I1211" i="5"/>
  <c r="J1211" i="5"/>
  <c r="I1212" i="5"/>
  <c r="J1212" i="5"/>
  <c r="I1213" i="5"/>
  <c r="J1213" i="5"/>
  <c r="I1214" i="5"/>
  <c r="J1214" i="5"/>
  <c r="I1215" i="5"/>
  <c r="J1215" i="5"/>
  <c r="I1216" i="5"/>
  <c r="J1216" i="5"/>
  <c r="I1217" i="5"/>
  <c r="J1217" i="5"/>
  <c r="I1218" i="5"/>
  <c r="J1218" i="5"/>
  <c r="I1219" i="5"/>
  <c r="J1219" i="5"/>
  <c r="I1220" i="5"/>
  <c r="J1220" i="5"/>
  <c r="I1221" i="5"/>
  <c r="J1221" i="5"/>
  <c r="I1222" i="5"/>
  <c r="J1222" i="5"/>
  <c r="I1223" i="5"/>
  <c r="J1223" i="5"/>
  <c r="I1224" i="5"/>
  <c r="J1224" i="5"/>
  <c r="I1225" i="5"/>
  <c r="J1225" i="5"/>
  <c r="I1226" i="5"/>
  <c r="J1226" i="5"/>
  <c r="I1227" i="5"/>
  <c r="J1227" i="5"/>
  <c r="I1228" i="5"/>
  <c r="J1228" i="5"/>
  <c r="I1229" i="5"/>
  <c r="J1229" i="5"/>
  <c r="I1230" i="5"/>
  <c r="J1230" i="5"/>
  <c r="I1231" i="5"/>
  <c r="J1231" i="5"/>
  <c r="I1232" i="5"/>
  <c r="J1232" i="5"/>
  <c r="I1233" i="5"/>
  <c r="J1233" i="5"/>
  <c r="I1234" i="5"/>
  <c r="J1234" i="5"/>
  <c r="I1235" i="5"/>
  <c r="J1235" i="5"/>
  <c r="I1236" i="5"/>
  <c r="J1236" i="5"/>
  <c r="I1237" i="5"/>
  <c r="J1237" i="5"/>
  <c r="I1238" i="5"/>
  <c r="J1238" i="5"/>
  <c r="I1239" i="5"/>
  <c r="J1239" i="5"/>
  <c r="I1240" i="5"/>
  <c r="J1240" i="5"/>
  <c r="I1241" i="5"/>
  <c r="J1241" i="5"/>
  <c r="I1242" i="5"/>
  <c r="J1242" i="5"/>
  <c r="I1243" i="5"/>
  <c r="J1243" i="5"/>
  <c r="I1244" i="5"/>
  <c r="J1244" i="5"/>
  <c r="I1245" i="5"/>
  <c r="J1245" i="5"/>
  <c r="I1246" i="5"/>
  <c r="J1246" i="5"/>
  <c r="I1247" i="5"/>
  <c r="J1247" i="5"/>
  <c r="I1248" i="5"/>
  <c r="J1248" i="5"/>
  <c r="I1249" i="5"/>
  <c r="J1249" i="5"/>
  <c r="I1250" i="5"/>
  <c r="J1250" i="5"/>
  <c r="I1251" i="5"/>
  <c r="J1251" i="5"/>
  <c r="I1252" i="5"/>
  <c r="J1252" i="5"/>
  <c r="I1253" i="5"/>
  <c r="J1253" i="5"/>
  <c r="I1254" i="5"/>
  <c r="J1254" i="5"/>
  <c r="I1255" i="5"/>
  <c r="J1255" i="5"/>
  <c r="I1256" i="5"/>
  <c r="J1256" i="5"/>
  <c r="I1257" i="5"/>
  <c r="J1257" i="5"/>
  <c r="I1258" i="5"/>
  <c r="J1258" i="5"/>
  <c r="I1259" i="5"/>
  <c r="J1259" i="5"/>
  <c r="I1260" i="5"/>
  <c r="J1260" i="5"/>
  <c r="I1261" i="5"/>
  <c r="J1261" i="5"/>
  <c r="I1262" i="5"/>
  <c r="J1262" i="5"/>
  <c r="I1263" i="5"/>
  <c r="J1263" i="5"/>
  <c r="I1264" i="5"/>
  <c r="J1264" i="5"/>
  <c r="I1265" i="5"/>
  <c r="J1265" i="5"/>
  <c r="I1266" i="5"/>
  <c r="J1266" i="5"/>
  <c r="I1267" i="5"/>
  <c r="J1267" i="5"/>
  <c r="I1268" i="5"/>
  <c r="J1268" i="5"/>
  <c r="I1269" i="5"/>
  <c r="J1269" i="5"/>
  <c r="I1270" i="5"/>
  <c r="J1270" i="5"/>
  <c r="I1271" i="5"/>
  <c r="J1271" i="5"/>
  <c r="I1272" i="5"/>
  <c r="J1272" i="5"/>
  <c r="I1273" i="5"/>
  <c r="J1273" i="5"/>
  <c r="I1274" i="5"/>
  <c r="J1274" i="5"/>
  <c r="I1275" i="5"/>
  <c r="J1275" i="5"/>
  <c r="I1276" i="5"/>
  <c r="J1276" i="5"/>
  <c r="I1277" i="5"/>
  <c r="J1277" i="5"/>
  <c r="I1278" i="5"/>
  <c r="J1278" i="5"/>
  <c r="I1279" i="5"/>
  <c r="J1279" i="5"/>
  <c r="I1280" i="5"/>
  <c r="J1280" i="5"/>
  <c r="I1281" i="5"/>
  <c r="J1281" i="5"/>
  <c r="I1282" i="5"/>
  <c r="J1282" i="5"/>
  <c r="I1283" i="5"/>
  <c r="J1283" i="5"/>
  <c r="I1284" i="5"/>
  <c r="J1284" i="5"/>
  <c r="I1285" i="5"/>
  <c r="J1285" i="5"/>
  <c r="I1286" i="5"/>
  <c r="J1286" i="5"/>
  <c r="AI15" i="5"/>
  <c r="AI7" i="5"/>
  <c r="AI13" i="5"/>
  <c r="I1287" i="5"/>
  <c r="J1287" i="5"/>
  <c r="I1288" i="5"/>
  <c r="J1288" i="5"/>
  <c r="I1289" i="5"/>
  <c r="J1289" i="5"/>
  <c r="I1290" i="5"/>
  <c r="J1290" i="5"/>
  <c r="I1291" i="5"/>
  <c r="J1291" i="5"/>
  <c r="I1292" i="5"/>
  <c r="J1292" i="5"/>
  <c r="I1293" i="5"/>
  <c r="J1293" i="5"/>
  <c r="I1294" i="5"/>
  <c r="J1294" i="5"/>
  <c r="I1295" i="5"/>
  <c r="J1295" i="5"/>
  <c r="I1296" i="5"/>
  <c r="J1296" i="5"/>
  <c r="I1297" i="5"/>
  <c r="J1297" i="5"/>
  <c r="I1298" i="5"/>
  <c r="J1298" i="5"/>
  <c r="I1299" i="5"/>
  <c r="J1299" i="5"/>
  <c r="I1300" i="5"/>
  <c r="J1300" i="5"/>
  <c r="I1301" i="5"/>
  <c r="J1301" i="5"/>
  <c r="I1302" i="5"/>
  <c r="J1302" i="5"/>
  <c r="I1303" i="5"/>
  <c r="J1303" i="5"/>
  <c r="I1304" i="5"/>
  <c r="J1304" i="5"/>
  <c r="I1305" i="5"/>
  <c r="J1305" i="5"/>
  <c r="I1306" i="5"/>
  <c r="J1306" i="5"/>
  <c r="I1307" i="5"/>
  <c r="J1307" i="5"/>
  <c r="I1308" i="5"/>
  <c r="J1308" i="5"/>
  <c r="I1309" i="5"/>
  <c r="J1309" i="5"/>
  <c r="I1310" i="5"/>
  <c r="J1310" i="5"/>
  <c r="I1311" i="5"/>
  <c r="J1311" i="5"/>
  <c r="I1312" i="5"/>
  <c r="J1312" i="5"/>
  <c r="I1313" i="5"/>
  <c r="J1313" i="5"/>
  <c r="I1314" i="5"/>
  <c r="J1314" i="5"/>
  <c r="I1315" i="5"/>
  <c r="J1315" i="5"/>
  <c r="I1316" i="5"/>
  <c r="J1316" i="5"/>
  <c r="I1317" i="5"/>
  <c r="J1317" i="5"/>
  <c r="I1318" i="5"/>
  <c r="J1318" i="5"/>
  <c r="I1319" i="5"/>
  <c r="J1319" i="5"/>
  <c r="I1320" i="5"/>
  <c r="J1320" i="5"/>
  <c r="I1321" i="5"/>
  <c r="J1321" i="5"/>
  <c r="I1322" i="5"/>
  <c r="J1322" i="5"/>
  <c r="I1323" i="5"/>
  <c r="J1323" i="5"/>
  <c r="I1324" i="5"/>
  <c r="J1324" i="5"/>
  <c r="I1325" i="5"/>
  <c r="J1325" i="5"/>
  <c r="I1326" i="5"/>
  <c r="J1326" i="5"/>
  <c r="I1327" i="5"/>
  <c r="J1327" i="5"/>
  <c r="I1328" i="5"/>
  <c r="J1328" i="5"/>
  <c r="I1329" i="5"/>
  <c r="J1329" i="5"/>
  <c r="I1330" i="5"/>
  <c r="J1330" i="5"/>
  <c r="I1331" i="5"/>
  <c r="J1331" i="5"/>
  <c r="I1332" i="5"/>
  <c r="J1332" i="5"/>
  <c r="I1333" i="5"/>
  <c r="J1333" i="5"/>
  <c r="I1334" i="5"/>
  <c r="J1334" i="5"/>
  <c r="I1335" i="5"/>
  <c r="J1335" i="5"/>
  <c r="I1336" i="5"/>
  <c r="J1336" i="5"/>
  <c r="I1337" i="5"/>
  <c r="J1337" i="5"/>
  <c r="I1338" i="5"/>
  <c r="J1338" i="5"/>
  <c r="I1339" i="5"/>
  <c r="J1339" i="5"/>
  <c r="I1340" i="5"/>
  <c r="J1340" i="5"/>
  <c r="I1341" i="5"/>
  <c r="J1341" i="5"/>
  <c r="I1342" i="5"/>
  <c r="J1342" i="5"/>
  <c r="I1343" i="5"/>
  <c r="J1343" i="5"/>
  <c r="I1344" i="5"/>
  <c r="J1344" i="5"/>
  <c r="I1345" i="5"/>
  <c r="J1345" i="5"/>
  <c r="I1346" i="5"/>
  <c r="J1346" i="5"/>
  <c r="I1347" i="5"/>
  <c r="J1347" i="5"/>
  <c r="I1348" i="5"/>
  <c r="J1348" i="5"/>
  <c r="I1349" i="5"/>
  <c r="J1349" i="5"/>
  <c r="I1350" i="5"/>
  <c r="J1350" i="5"/>
  <c r="I1351" i="5"/>
  <c r="J1351" i="5"/>
  <c r="I1352" i="5"/>
  <c r="J1352" i="5"/>
  <c r="I1353" i="5"/>
  <c r="J1353" i="5"/>
  <c r="I1354" i="5"/>
  <c r="J1354" i="5"/>
  <c r="I1355" i="5"/>
  <c r="J1355" i="5"/>
  <c r="I1356" i="5"/>
  <c r="J1356" i="5"/>
  <c r="I1357" i="5"/>
  <c r="J1357" i="5"/>
  <c r="I1358" i="5"/>
  <c r="J1358" i="5"/>
  <c r="I1359" i="5"/>
  <c r="J1359" i="5"/>
  <c r="I1360" i="5"/>
  <c r="J1360" i="5"/>
  <c r="I1361" i="5"/>
  <c r="J1361" i="5"/>
  <c r="I1362" i="5"/>
  <c r="J1362" i="5"/>
  <c r="I1363" i="5"/>
  <c r="J1363" i="5"/>
  <c r="I1364" i="5"/>
  <c r="J1364" i="5"/>
  <c r="I1365" i="5"/>
  <c r="J1365" i="5"/>
  <c r="I1366" i="5"/>
  <c r="J1366" i="5"/>
  <c r="I1367" i="5"/>
  <c r="J1367" i="5"/>
  <c r="I1368" i="5"/>
  <c r="J1368" i="5"/>
  <c r="I1369" i="5"/>
  <c r="J1369" i="5"/>
  <c r="I1370" i="5"/>
  <c r="J1370" i="5"/>
  <c r="I1371" i="5"/>
  <c r="J1371" i="5"/>
  <c r="I1372" i="5"/>
  <c r="J1372" i="5"/>
  <c r="I1373" i="5"/>
  <c r="J1373" i="5"/>
  <c r="I1374" i="5"/>
  <c r="J1374" i="5"/>
  <c r="I1375" i="5"/>
  <c r="J1375" i="5"/>
  <c r="I1376" i="5"/>
  <c r="J1376" i="5"/>
  <c r="I1377" i="5"/>
  <c r="J1377" i="5"/>
  <c r="I1378" i="5"/>
  <c r="J1378" i="5"/>
  <c r="I1379" i="5"/>
  <c r="J1379" i="5"/>
  <c r="I1380" i="5"/>
  <c r="J1380" i="5"/>
  <c r="I1381" i="5"/>
  <c r="J1381" i="5"/>
  <c r="I1382" i="5"/>
  <c r="J1382" i="5"/>
  <c r="I1383" i="5"/>
  <c r="J1383" i="5"/>
  <c r="I1384" i="5"/>
  <c r="J1384" i="5"/>
  <c r="I1385" i="5"/>
  <c r="J1385" i="5"/>
  <c r="I1386" i="5"/>
  <c r="J1386" i="5"/>
  <c r="I1387" i="5"/>
  <c r="J1387" i="5"/>
  <c r="I1388" i="5"/>
  <c r="J1388" i="5"/>
  <c r="I1389" i="5"/>
  <c r="J1389" i="5"/>
  <c r="I1390" i="5"/>
  <c r="J1390" i="5"/>
  <c r="I1391" i="5"/>
  <c r="J1391" i="5"/>
  <c r="I1392" i="5"/>
  <c r="J1392" i="5"/>
  <c r="I1393" i="5"/>
  <c r="J1393" i="5"/>
  <c r="I1394" i="5"/>
  <c r="J1394" i="5"/>
  <c r="I1395" i="5"/>
  <c r="J1395" i="5"/>
  <c r="I1396" i="5"/>
  <c r="J1396" i="5"/>
  <c r="I1397" i="5"/>
  <c r="J1397" i="5"/>
  <c r="I1398" i="5"/>
  <c r="J1398" i="5"/>
  <c r="I1399" i="5"/>
  <c r="J1399" i="5"/>
  <c r="I1400" i="5"/>
  <c r="J1400" i="5"/>
  <c r="I1401" i="5"/>
  <c r="J1401" i="5"/>
  <c r="I1402" i="5"/>
  <c r="J1402" i="5"/>
  <c r="I1403" i="5"/>
  <c r="J1403" i="5"/>
  <c r="I1404" i="5"/>
  <c r="J1404" i="5"/>
  <c r="I1405" i="5"/>
  <c r="J1405" i="5"/>
  <c r="I1406" i="5"/>
  <c r="J1406" i="5"/>
  <c r="I1407" i="5"/>
  <c r="J1407" i="5"/>
  <c r="I1408" i="5"/>
  <c r="J1408" i="5"/>
  <c r="I1409" i="5"/>
  <c r="J1409" i="5"/>
  <c r="I1410" i="5"/>
  <c r="J1410" i="5"/>
  <c r="I1411" i="5"/>
  <c r="J1411" i="5"/>
  <c r="I1412" i="5"/>
  <c r="J1412" i="5"/>
  <c r="I1413" i="5"/>
  <c r="J1413" i="5"/>
  <c r="I1414" i="5"/>
  <c r="J1414" i="5"/>
  <c r="I1415" i="5"/>
  <c r="J1415" i="5"/>
  <c r="I1416" i="5"/>
  <c r="J1416" i="5"/>
  <c r="I1417" i="5"/>
  <c r="J1417" i="5"/>
  <c r="I1418" i="5"/>
  <c r="J1418" i="5"/>
  <c r="I1419" i="5"/>
  <c r="J1419" i="5"/>
  <c r="I1420" i="5"/>
  <c r="J1420" i="5"/>
  <c r="I1421" i="5"/>
  <c r="J1421" i="5"/>
  <c r="I1422" i="5"/>
  <c r="J1422" i="5"/>
  <c r="I1423" i="5"/>
  <c r="J1423" i="5"/>
  <c r="I1424" i="5"/>
  <c r="J1424" i="5"/>
  <c r="I1425" i="5"/>
  <c r="J1425" i="5"/>
  <c r="I1426" i="5"/>
  <c r="J1426" i="5"/>
  <c r="I1427" i="5"/>
  <c r="J1427" i="5"/>
  <c r="I1428" i="5"/>
  <c r="J1428" i="5"/>
  <c r="I1429" i="5"/>
  <c r="J1429" i="5"/>
  <c r="I1430" i="5"/>
  <c r="J1430" i="5"/>
  <c r="I1431" i="5"/>
  <c r="J1431" i="5"/>
  <c r="I1432" i="5"/>
  <c r="J1432" i="5"/>
  <c r="I1433" i="5"/>
  <c r="J1433" i="5"/>
  <c r="I1434" i="5"/>
  <c r="J1434" i="5"/>
  <c r="I1435" i="5"/>
  <c r="J1435" i="5"/>
  <c r="I1436" i="5"/>
  <c r="J1436" i="5"/>
  <c r="I1437" i="5"/>
  <c r="J1437" i="5"/>
  <c r="I1438" i="5"/>
  <c r="J1438" i="5"/>
  <c r="I1439" i="5"/>
  <c r="J1439" i="5"/>
  <c r="I1440" i="5"/>
  <c r="J1440" i="5"/>
  <c r="I1441" i="5"/>
  <c r="J1441" i="5"/>
  <c r="I1442" i="5"/>
  <c r="J1442" i="5"/>
  <c r="I1443" i="5"/>
  <c r="J1443" i="5"/>
  <c r="I1444" i="5"/>
  <c r="J1444" i="5"/>
  <c r="I1445" i="5"/>
  <c r="J1445" i="5"/>
  <c r="I1446" i="5"/>
  <c r="J1446" i="5"/>
  <c r="I1447" i="5"/>
  <c r="J1447" i="5"/>
  <c r="I1448" i="5"/>
  <c r="J1448" i="5"/>
  <c r="I1449" i="5"/>
  <c r="J1449" i="5"/>
  <c r="I1450" i="5"/>
  <c r="J1450" i="5"/>
  <c r="I1451" i="5"/>
  <c r="J1451" i="5"/>
  <c r="I1452" i="5"/>
  <c r="J1452" i="5"/>
  <c r="I1453" i="5"/>
  <c r="J1453" i="5"/>
  <c r="I1454" i="5"/>
  <c r="J1454" i="5"/>
  <c r="I1455" i="5"/>
  <c r="J1455" i="5"/>
  <c r="I1456" i="5"/>
  <c r="J1456" i="5"/>
  <c r="I1457" i="5"/>
  <c r="J1457" i="5"/>
  <c r="I1458" i="5"/>
  <c r="J1458" i="5"/>
  <c r="I1459" i="5"/>
  <c r="J1459" i="5"/>
  <c r="I1460" i="5"/>
  <c r="J1460" i="5"/>
  <c r="I1461" i="5"/>
  <c r="J1461" i="5"/>
  <c r="I1462" i="5"/>
  <c r="J1462" i="5"/>
  <c r="I1463" i="5"/>
  <c r="J1463" i="5"/>
  <c r="I1464" i="5"/>
  <c r="J1464" i="5"/>
  <c r="I1465" i="5"/>
  <c r="J1465" i="5"/>
  <c r="I1466" i="5"/>
  <c r="J1466" i="5"/>
  <c r="I1467" i="5"/>
  <c r="J1467" i="5"/>
  <c r="I1468" i="5"/>
  <c r="J1468" i="5"/>
  <c r="I1469" i="5"/>
  <c r="J1469" i="5"/>
  <c r="I1470" i="5"/>
  <c r="J1470" i="5"/>
  <c r="I1471" i="5"/>
  <c r="J1471" i="5"/>
  <c r="I1472" i="5"/>
  <c r="J1472" i="5"/>
  <c r="I1473" i="5"/>
  <c r="J1473" i="5"/>
  <c r="I1474" i="5"/>
  <c r="J1474" i="5"/>
  <c r="I1475" i="5"/>
  <c r="J1475" i="5"/>
  <c r="I1476" i="5"/>
  <c r="J1476" i="5"/>
  <c r="I1477" i="5"/>
  <c r="J1477" i="5"/>
  <c r="I1478" i="5"/>
  <c r="J1478" i="5"/>
  <c r="I1479" i="5"/>
  <c r="J1479" i="5"/>
  <c r="I1480" i="5"/>
  <c r="J1480" i="5"/>
  <c r="I1481" i="5"/>
  <c r="J1481" i="5"/>
  <c r="I1482" i="5"/>
  <c r="J1482" i="5"/>
  <c r="I1483" i="5"/>
  <c r="J1483" i="5"/>
  <c r="I1484" i="5"/>
  <c r="J1484" i="5"/>
  <c r="I1485" i="5"/>
  <c r="J1485" i="5"/>
  <c r="AW15" i="5"/>
  <c r="AW7" i="5"/>
  <c r="AW13" i="5"/>
  <c r="I1486" i="5"/>
  <c r="J1486" i="5"/>
  <c r="I1487" i="5"/>
  <c r="J1487" i="5"/>
  <c r="I1488" i="5"/>
  <c r="J1488" i="5"/>
  <c r="I1489" i="5"/>
  <c r="J1489" i="5"/>
  <c r="I1490" i="5"/>
  <c r="J1490" i="5"/>
  <c r="I1491" i="5"/>
  <c r="J1491" i="5"/>
  <c r="I1492" i="5"/>
  <c r="J1492" i="5"/>
  <c r="I1493" i="5"/>
  <c r="J1493" i="5"/>
  <c r="I1494" i="5"/>
  <c r="J1494" i="5"/>
  <c r="I1495" i="5"/>
  <c r="J1495" i="5"/>
  <c r="I1496" i="5"/>
  <c r="J1496" i="5"/>
  <c r="I1497" i="5"/>
  <c r="J1497" i="5"/>
  <c r="I1498" i="5"/>
  <c r="J1498" i="5"/>
  <c r="I1499" i="5"/>
  <c r="J1499" i="5"/>
  <c r="I1500" i="5"/>
  <c r="J1500" i="5"/>
  <c r="I1501" i="5"/>
  <c r="J1501" i="5"/>
  <c r="I1502" i="5"/>
  <c r="J1502" i="5"/>
  <c r="I1503" i="5"/>
  <c r="J1503" i="5"/>
  <c r="I1504" i="5"/>
  <c r="J1504" i="5"/>
  <c r="I1505" i="5"/>
  <c r="J1505" i="5"/>
  <c r="I1506" i="5"/>
  <c r="J1506" i="5"/>
  <c r="I1507" i="5"/>
  <c r="J1507" i="5"/>
  <c r="I1508" i="5"/>
  <c r="J1508" i="5"/>
  <c r="I1509" i="5"/>
  <c r="J1509" i="5"/>
  <c r="I1510" i="5"/>
  <c r="J1510" i="5"/>
  <c r="I1511" i="5"/>
  <c r="J1511" i="5"/>
  <c r="I1512" i="5"/>
  <c r="J1512" i="5"/>
  <c r="I1513" i="5"/>
  <c r="J1513" i="5"/>
  <c r="I1514" i="5"/>
  <c r="J1514" i="5"/>
  <c r="I1515" i="5"/>
  <c r="J1515" i="5"/>
  <c r="I1516" i="5"/>
  <c r="J1516" i="5"/>
  <c r="I1517" i="5"/>
  <c r="J1517" i="5"/>
  <c r="I1518" i="5"/>
  <c r="J1518" i="5"/>
  <c r="I1519" i="5"/>
  <c r="J1519" i="5"/>
  <c r="I1520" i="5"/>
  <c r="J1520" i="5"/>
  <c r="I1521" i="5"/>
  <c r="J1521" i="5"/>
  <c r="I1522" i="5"/>
  <c r="J1522" i="5"/>
  <c r="I1523" i="5"/>
  <c r="J1523" i="5"/>
  <c r="I1524" i="5"/>
  <c r="J1524" i="5"/>
  <c r="I1525" i="5"/>
  <c r="J1525" i="5"/>
  <c r="I1526" i="5"/>
  <c r="J1526" i="5"/>
  <c r="I1527" i="5"/>
  <c r="J1527" i="5"/>
  <c r="I1528" i="5"/>
  <c r="J1528" i="5"/>
  <c r="I1529" i="5"/>
  <c r="J1529" i="5"/>
  <c r="I1530" i="5"/>
  <c r="J1530" i="5"/>
  <c r="I1531" i="5"/>
  <c r="J1531" i="5"/>
  <c r="I1532" i="5"/>
  <c r="J1532" i="5"/>
  <c r="I1533" i="5"/>
  <c r="J1533" i="5"/>
  <c r="I1534" i="5"/>
  <c r="J1534" i="5"/>
  <c r="I1535" i="5"/>
  <c r="J1535" i="5"/>
  <c r="I1536" i="5"/>
  <c r="J1536" i="5"/>
  <c r="I1537" i="5"/>
  <c r="J1537" i="5"/>
  <c r="I1538" i="5"/>
  <c r="J1538" i="5"/>
  <c r="I1539" i="5"/>
  <c r="J1539" i="5"/>
  <c r="I1540" i="5"/>
  <c r="J1540" i="5"/>
  <c r="I1541" i="5"/>
  <c r="J1541" i="5"/>
  <c r="I1542" i="5"/>
  <c r="J1542" i="5"/>
  <c r="I1543" i="5"/>
  <c r="J1543" i="5"/>
  <c r="I1544" i="5"/>
  <c r="J1544" i="5"/>
  <c r="I1545" i="5"/>
  <c r="J1545" i="5"/>
  <c r="I1546" i="5"/>
  <c r="J1546" i="5"/>
  <c r="I1547" i="5"/>
  <c r="J1547" i="5"/>
  <c r="I1548" i="5"/>
  <c r="J1548" i="5"/>
  <c r="I1549" i="5"/>
  <c r="J1549" i="5"/>
  <c r="I1550" i="5"/>
  <c r="J1550" i="5"/>
  <c r="I1551" i="5"/>
  <c r="J1551" i="5"/>
  <c r="I1552" i="5"/>
  <c r="J1552" i="5"/>
  <c r="I1553" i="5"/>
  <c r="J1553" i="5"/>
  <c r="I1554" i="5"/>
  <c r="J1554" i="5"/>
  <c r="I1555" i="5"/>
  <c r="J1555" i="5"/>
  <c r="I1556" i="5"/>
  <c r="J1556" i="5"/>
  <c r="I1557" i="5"/>
  <c r="J1557" i="5"/>
  <c r="I1558" i="5"/>
  <c r="J1558" i="5"/>
  <c r="I1559" i="5"/>
  <c r="J1559" i="5"/>
  <c r="I1560" i="5"/>
  <c r="J1560" i="5"/>
  <c r="I1561" i="5"/>
  <c r="J1561" i="5"/>
  <c r="I1562" i="5"/>
  <c r="J1562" i="5"/>
  <c r="I1563" i="5"/>
  <c r="J1563" i="5"/>
  <c r="I1564" i="5"/>
  <c r="J1564" i="5"/>
  <c r="I1565" i="5"/>
  <c r="J1565" i="5"/>
  <c r="I1566" i="5"/>
  <c r="J1566" i="5"/>
  <c r="I1567" i="5"/>
  <c r="J1567" i="5"/>
  <c r="I1568" i="5"/>
  <c r="J1568" i="5"/>
  <c r="I1569" i="5"/>
  <c r="J1569" i="5"/>
  <c r="I1570" i="5"/>
  <c r="J1570" i="5"/>
  <c r="I1571" i="5"/>
  <c r="J1571" i="5"/>
  <c r="I1572" i="5"/>
  <c r="J1572" i="5"/>
  <c r="I1573" i="5"/>
  <c r="J1573" i="5"/>
  <c r="I1574" i="5"/>
  <c r="J1574" i="5"/>
  <c r="I1575" i="5"/>
  <c r="J1575" i="5"/>
  <c r="I1576" i="5"/>
  <c r="J1576" i="5"/>
  <c r="I1577" i="5"/>
  <c r="J1577" i="5"/>
  <c r="I1578" i="5"/>
  <c r="J1578" i="5"/>
  <c r="I1579" i="5"/>
  <c r="J1579" i="5"/>
  <c r="I1580" i="5"/>
  <c r="J1580" i="5"/>
  <c r="I1581" i="5"/>
  <c r="J1581" i="5"/>
  <c r="I1582" i="5"/>
  <c r="J1582" i="5"/>
  <c r="I1583" i="5"/>
  <c r="J1583" i="5"/>
  <c r="I1584" i="5"/>
  <c r="J1584" i="5"/>
  <c r="I1585" i="5"/>
  <c r="J1585" i="5"/>
  <c r="I1586" i="5"/>
  <c r="J1586" i="5"/>
  <c r="I1587" i="5"/>
  <c r="J1587" i="5"/>
  <c r="I1588" i="5"/>
  <c r="J1588" i="5"/>
  <c r="I1589" i="5"/>
  <c r="J1589" i="5"/>
  <c r="I1590" i="5"/>
  <c r="J1590" i="5"/>
  <c r="I1591" i="5"/>
  <c r="J1591" i="5"/>
  <c r="I1592" i="5"/>
  <c r="J1592" i="5"/>
  <c r="I1593" i="5"/>
  <c r="J1593" i="5"/>
  <c r="I1594" i="5"/>
  <c r="J1594" i="5"/>
  <c r="I1595" i="5"/>
  <c r="J1595" i="5"/>
  <c r="I1596" i="5"/>
  <c r="J1596" i="5"/>
  <c r="I1597" i="5"/>
  <c r="J1597" i="5"/>
  <c r="I1598" i="5"/>
  <c r="J1598" i="5"/>
  <c r="I1599" i="5"/>
  <c r="J1599" i="5"/>
  <c r="I1600" i="5"/>
  <c r="J1600" i="5"/>
  <c r="I1601" i="5"/>
  <c r="J1601" i="5"/>
  <c r="I1602" i="5"/>
  <c r="J1602" i="5"/>
  <c r="I1603" i="5"/>
  <c r="J1603" i="5"/>
  <c r="I1604" i="5"/>
  <c r="J1604" i="5"/>
  <c r="I1605" i="5"/>
  <c r="J1605" i="5"/>
  <c r="I1606" i="5"/>
  <c r="J1606" i="5"/>
  <c r="I1607" i="5"/>
  <c r="J1607" i="5"/>
  <c r="I1608" i="5"/>
  <c r="J1608" i="5"/>
  <c r="I1609" i="5"/>
  <c r="J1609" i="5"/>
  <c r="I1610" i="5"/>
  <c r="J1610" i="5"/>
  <c r="I1611" i="5"/>
  <c r="J1611" i="5"/>
  <c r="I1612" i="5"/>
  <c r="J1612" i="5"/>
  <c r="I1613" i="5"/>
  <c r="J1613" i="5"/>
  <c r="I1615" i="5"/>
  <c r="J1615" i="5"/>
  <c r="I1616" i="5"/>
  <c r="J1616" i="5"/>
  <c r="I1617" i="5"/>
  <c r="J1617" i="5"/>
  <c r="I1618" i="5"/>
  <c r="J1618" i="5"/>
  <c r="I1619" i="5"/>
  <c r="J1619" i="5"/>
  <c r="I1620" i="5"/>
  <c r="J1620" i="5"/>
  <c r="I1621" i="5"/>
  <c r="J1621" i="5"/>
  <c r="I1622" i="5"/>
  <c r="J1622" i="5"/>
  <c r="I1623" i="5"/>
  <c r="J1623" i="5"/>
  <c r="I1624" i="5"/>
  <c r="J1624" i="5"/>
  <c r="I1625" i="5"/>
  <c r="J1625" i="5"/>
  <c r="I1626" i="5"/>
  <c r="J1626" i="5"/>
  <c r="I1627" i="5"/>
  <c r="J1627" i="5"/>
  <c r="I1628" i="5"/>
  <c r="J1628" i="5"/>
  <c r="I1629" i="5"/>
  <c r="J1629" i="5"/>
  <c r="I1630" i="5"/>
  <c r="J1630" i="5"/>
  <c r="I1631" i="5"/>
  <c r="J1631" i="5"/>
  <c r="I1632" i="5"/>
  <c r="J1632" i="5"/>
  <c r="I1633" i="5"/>
  <c r="J1633" i="5"/>
  <c r="I1634" i="5"/>
  <c r="J1634" i="5"/>
  <c r="I1635" i="5"/>
  <c r="J1635" i="5"/>
  <c r="I1636" i="5"/>
  <c r="J1636" i="5"/>
  <c r="I1637" i="5"/>
  <c r="J1637" i="5"/>
  <c r="I1638" i="5"/>
  <c r="J1638" i="5"/>
  <c r="I1639" i="5"/>
  <c r="J1639" i="5"/>
  <c r="I1640" i="5"/>
  <c r="J1640" i="5"/>
  <c r="I1641" i="5"/>
  <c r="J1641" i="5"/>
  <c r="I1642" i="5"/>
  <c r="J1642" i="5"/>
  <c r="I1643" i="5"/>
  <c r="J1643" i="5"/>
  <c r="I1644" i="5"/>
  <c r="J1644" i="5"/>
  <c r="I1645" i="5"/>
  <c r="J1645" i="5"/>
  <c r="I1646" i="5"/>
  <c r="J1646" i="5"/>
  <c r="I1647" i="5"/>
  <c r="J1647" i="5"/>
  <c r="I1648" i="5"/>
  <c r="J1648" i="5"/>
  <c r="I1649" i="5"/>
  <c r="J1649" i="5"/>
  <c r="I1650" i="5"/>
  <c r="J1650" i="5"/>
  <c r="I1651" i="5"/>
  <c r="J1651" i="5"/>
  <c r="I1652" i="5"/>
  <c r="J1652" i="5"/>
  <c r="I1653" i="5"/>
  <c r="J1653" i="5"/>
  <c r="I1654" i="5"/>
  <c r="J1654" i="5"/>
  <c r="I1655" i="5"/>
  <c r="J1655" i="5"/>
  <c r="I1656" i="5"/>
  <c r="J1656" i="5"/>
  <c r="I1657" i="5"/>
  <c r="J1657" i="5"/>
  <c r="I1658" i="5"/>
  <c r="J1658" i="5"/>
  <c r="I1659" i="5"/>
  <c r="J1659" i="5"/>
  <c r="I1660" i="5"/>
  <c r="J1660" i="5"/>
  <c r="I1661" i="5"/>
  <c r="J1661" i="5"/>
  <c r="I1662" i="5"/>
  <c r="J1662" i="5"/>
  <c r="I1663" i="5"/>
  <c r="J1663" i="5"/>
  <c r="I1664" i="5"/>
  <c r="J1664" i="5"/>
  <c r="I1665" i="5"/>
  <c r="J1665" i="5"/>
  <c r="I1666" i="5"/>
  <c r="J1666" i="5"/>
  <c r="I1667" i="5"/>
  <c r="J1667" i="5"/>
  <c r="I1668" i="5"/>
  <c r="J1668" i="5"/>
  <c r="I1669" i="5"/>
  <c r="J1669" i="5"/>
  <c r="I1670" i="5"/>
  <c r="J1670" i="5"/>
  <c r="I1671" i="5"/>
  <c r="J1671" i="5"/>
  <c r="I1672" i="5"/>
  <c r="J1672" i="5"/>
  <c r="I1673" i="5"/>
  <c r="J1673" i="5"/>
  <c r="AY15" i="5"/>
  <c r="AY7" i="5"/>
  <c r="AY13" i="5"/>
  <c r="I1674" i="5"/>
  <c r="J1674" i="5"/>
  <c r="I1675" i="5"/>
  <c r="J1675" i="5"/>
  <c r="I1676" i="5"/>
  <c r="J1676" i="5"/>
  <c r="I1677" i="5"/>
  <c r="J1677" i="5"/>
  <c r="I1678" i="5"/>
  <c r="J1678" i="5"/>
  <c r="I1679" i="5"/>
  <c r="J1679" i="5"/>
  <c r="I1680" i="5"/>
  <c r="J1680" i="5"/>
  <c r="I1681" i="5"/>
  <c r="J1681" i="5"/>
  <c r="I1682" i="5"/>
  <c r="J1682" i="5"/>
  <c r="I1683" i="5"/>
  <c r="J1683" i="5"/>
  <c r="I1684" i="5"/>
  <c r="J1684" i="5"/>
  <c r="I1685" i="5"/>
  <c r="J1685" i="5"/>
  <c r="I1686" i="5"/>
  <c r="J1686" i="5"/>
  <c r="I1687" i="5"/>
  <c r="J1687" i="5"/>
  <c r="I1688" i="5"/>
  <c r="J1688" i="5"/>
  <c r="I1689" i="5"/>
  <c r="J1689" i="5"/>
  <c r="I1690" i="5"/>
  <c r="J1690" i="5"/>
  <c r="I1691" i="5"/>
  <c r="J1691" i="5"/>
  <c r="I1692" i="5"/>
  <c r="J1692" i="5"/>
  <c r="I1693" i="5"/>
  <c r="J1693" i="5"/>
  <c r="I1694" i="5"/>
  <c r="J1694" i="5"/>
  <c r="I1695" i="5"/>
  <c r="J1695" i="5"/>
  <c r="I1696" i="5"/>
  <c r="J1696" i="5"/>
  <c r="I1697" i="5"/>
  <c r="J1697" i="5"/>
  <c r="I1698" i="5"/>
  <c r="J1698" i="5"/>
  <c r="I1699" i="5"/>
  <c r="J1699" i="5"/>
  <c r="I1700" i="5"/>
  <c r="J1700" i="5"/>
  <c r="I1701" i="5"/>
  <c r="J1701" i="5"/>
  <c r="I1702" i="5"/>
  <c r="J1702" i="5"/>
  <c r="I1703" i="5"/>
  <c r="J1703" i="5"/>
  <c r="I1704" i="5"/>
  <c r="J1704" i="5"/>
  <c r="I1705" i="5"/>
  <c r="J1705" i="5"/>
  <c r="I1706" i="5"/>
  <c r="J1706" i="5"/>
  <c r="I1707" i="5"/>
  <c r="J1707" i="5"/>
  <c r="I1708" i="5"/>
  <c r="J1708" i="5"/>
  <c r="I1709" i="5"/>
  <c r="J1709" i="5"/>
  <c r="I1710" i="5"/>
  <c r="J1710" i="5"/>
  <c r="I1711" i="5"/>
  <c r="J1711" i="5"/>
  <c r="I1712" i="5"/>
  <c r="J1712" i="5"/>
  <c r="I1713" i="5"/>
  <c r="J1713" i="5"/>
  <c r="I1714" i="5"/>
  <c r="J1714" i="5"/>
  <c r="I1715" i="5"/>
  <c r="J1715" i="5"/>
  <c r="I1716" i="5"/>
  <c r="J1716" i="5"/>
  <c r="I1717" i="5"/>
  <c r="J1717" i="5"/>
  <c r="I1718" i="5"/>
  <c r="J1718" i="5"/>
  <c r="I1719" i="5"/>
  <c r="J1719" i="5"/>
  <c r="I1720" i="5"/>
  <c r="J1720" i="5"/>
  <c r="I1721" i="5"/>
  <c r="J1721" i="5"/>
  <c r="I1722" i="5"/>
  <c r="J1722" i="5"/>
  <c r="I1723" i="5"/>
  <c r="J1723" i="5"/>
  <c r="I1724" i="5"/>
  <c r="J1724" i="5"/>
  <c r="I1725" i="5"/>
  <c r="J1725" i="5"/>
  <c r="I1726" i="5"/>
  <c r="J1726" i="5"/>
  <c r="I1727" i="5"/>
  <c r="J1727" i="5"/>
  <c r="I1728" i="5"/>
  <c r="J1728" i="5"/>
  <c r="I1729" i="5"/>
  <c r="J1729" i="5"/>
  <c r="I1730" i="5"/>
  <c r="J1730" i="5"/>
  <c r="I1731" i="5"/>
  <c r="J1731" i="5"/>
  <c r="I1732" i="5"/>
  <c r="J1732" i="5"/>
  <c r="I1733" i="5"/>
  <c r="J1733" i="5"/>
  <c r="I1734" i="5"/>
  <c r="J1734" i="5"/>
  <c r="I1735" i="5"/>
  <c r="J1735" i="5"/>
  <c r="I1736" i="5"/>
  <c r="J1736" i="5"/>
  <c r="I1737" i="5"/>
  <c r="J1737" i="5"/>
  <c r="I1738" i="5"/>
  <c r="J1738" i="5"/>
  <c r="I1739" i="5"/>
  <c r="J1739" i="5"/>
  <c r="I1740" i="5"/>
  <c r="J1740" i="5"/>
  <c r="I1741" i="5"/>
  <c r="J1741" i="5"/>
  <c r="I1742" i="5"/>
  <c r="J1742" i="5"/>
  <c r="I1743" i="5"/>
  <c r="J1743" i="5"/>
  <c r="I1744" i="5"/>
  <c r="J1744" i="5"/>
  <c r="I1745" i="5"/>
  <c r="J1745" i="5"/>
  <c r="I1746" i="5"/>
  <c r="J1746" i="5"/>
  <c r="I1747" i="5"/>
  <c r="J1747" i="5"/>
  <c r="I1748" i="5"/>
  <c r="J1748" i="5"/>
  <c r="I1749" i="5"/>
  <c r="J1749" i="5"/>
  <c r="I1750" i="5"/>
  <c r="J1750" i="5"/>
  <c r="I1751" i="5"/>
  <c r="J1751" i="5"/>
  <c r="I1752" i="5"/>
  <c r="J1752" i="5"/>
  <c r="I1753" i="5"/>
  <c r="J1753" i="5"/>
  <c r="I1754" i="5"/>
  <c r="J1754" i="5"/>
  <c r="I1755" i="5"/>
  <c r="J1755" i="5"/>
  <c r="I1756" i="5"/>
  <c r="J1756" i="5"/>
  <c r="I1757" i="5"/>
  <c r="J1757" i="5"/>
  <c r="I1758" i="5"/>
  <c r="J1758" i="5"/>
  <c r="I1759" i="5"/>
  <c r="J1759" i="5"/>
  <c r="I1760" i="5"/>
  <c r="J1760" i="5"/>
  <c r="I1761" i="5"/>
  <c r="J1761" i="5"/>
  <c r="I1762" i="5"/>
  <c r="J1762" i="5"/>
  <c r="I1763" i="5"/>
  <c r="J1763" i="5"/>
  <c r="I1764" i="5"/>
  <c r="J1764" i="5"/>
  <c r="I1765" i="5"/>
  <c r="J1765" i="5"/>
  <c r="I1766" i="5"/>
  <c r="J1766" i="5"/>
  <c r="I1767" i="5"/>
  <c r="J1767" i="5"/>
  <c r="I1768" i="5"/>
  <c r="J1768" i="5"/>
  <c r="I1769" i="5"/>
  <c r="J1769" i="5"/>
  <c r="I1770" i="5"/>
  <c r="J1770" i="5"/>
  <c r="I1771" i="5"/>
  <c r="J1771" i="5"/>
  <c r="I1772" i="5"/>
  <c r="J1772" i="5"/>
  <c r="I1773" i="5"/>
  <c r="J1773" i="5"/>
  <c r="I1774" i="5"/>
  <c r="J1774" i="5"/>
  <c r="I1775" i="5"/>
  <c r="J1775" i="5"/>
  <c r="I1776" i="5"/>
  <c r="J1776" i="5"/>
  <c r="I1777" i="5"/>
  <c r="J1777" i="5"/>
  <c r="I1778" i="5"/>
  <c r="J1778" i="5"/>
  <c r="I1779" i="5"/>
  <c r="J1779" i="5"/>
  <c r="I1780" i="5"/>
  <c r="J1780" i="5"/>
  <c r="I1781" i="5"/>
  <c r="J1781" i="5"/>
  <c r="I1782" i="5"/>
  <c r="J1782" i="5"/>
  <c r="I1783" i="5"/>
  <c r="J1783" i="5"/>
  <c r="I1784" i="5"/>
  <c r="J1784" i="5"/>
  <c r="I1785" i="5"/>
  <c r="J1785" i="5"/>
  <c r="I1786" i="5"/>
  <c r="J1786" i="5"/>
  <c r="I1787" i="5"/>
  <c r="J1787" i="5"/>
  <c r="I1788" i="5"/>
  <c r="J1788" i="5"/>
  <c r="I1789" i="5"/>
  <c r="J1789" i="5"/>
  <c r="I1790" i="5"/>
  <c r="J1790" i="5"/>
  <c r="I1791" i="5"/>
  <c r="J1791" i="5"/>
  <c r="I1792" i="5"/>
  <c r="J1792" i="5"/>
  <c r="I1793" i="5"/>
  <c r="J1793" i="5"/>
  <c r="I1794" i="5"/>
  <c r="J1794" i="5"/>
  <c r="I1795" i="5"/>
  <c r="J1795" i="5"/>
  <c r="I1796" i="5"/>
  <c r="J1796" i="5"/>
  <c r="I1797" i="5"/>
  <c r="J1797" i="5"/>
  <c r="I1798" i="5"/>
  <c r="J1798" i="5"/>
  <c r="I1799" i="5"/>
  <c r="J1799" i="5"/>
  <c r="I1800" i="5"/>
  <c r="J1800" i="5"/>
  <c r="I1801" i="5"/>
  <c r="J1801" i="5"/>
  <c r="I1802" i="5"/>
  <c r="J1802" i="5"/>
  <c r="I1803" i="5"/>
  <c r="J1803" i="5"/>
  <c r="I1804" i="5"/>
  <c r="J1804" i="5"/>
  <c r="I1805" i="5"/>
  <c r="J1805" i="5"/>
  <c r="I1806" i="5"/>
  <c r="J1806" i="5"/>
  <c r="I1807" i="5"/>
  <c r="J1807" i="5"/>
  <c r="I1808" i="5"/>
  <c r="J1808" i="5"/>
  <c r="I1809" i="5"/>
  <c r="J1809" i="5"/>
  <c r="I1810" i="5"/>
  <c r="J1810" i="5"/>
  <c r="I1811" i="5"/>
  <c r="J1811" i="5"/>
  <c r="I1812" i="5"/>
  <c r="J1812" i="5"/>
  <c r="I1813" i="5"/>
  <c r="J1813" i="5"/>
  <c r="I1814" i="5"/>
  <c r="J1814" i="5"/>
  <c r="I1815" i="5"/>
  <c r="J1815" i="5"/>
  <c r="I1816" i="5"/>
  <c r="J1816" i="5"/>
  <c r="I1817" i="5"/>
  <c r="J1817" i="5"/>
  <c r="I1818" i="5"/>
  <c r="J1818" i="5"/>
  <c r="I1819" i="5"/>
  <c r="J1819" i="5"/>
  <c r="I1820" i="5"/>
  <c r="J1820" i="5"/>
  <c r="I1821" i="5"/>
  <c r="J1821" i="5"/>
  <c r="I1822" i="5"/>
  <c r="J1822" i="5"/>
  <c r="I1823" i="5"/>
  <c r="J1823" i="5"/>
  <c r="I1824" i="5"/>
  <c r="J1824" i="5"/>
  <c r="I1825" i="5"/>
  <c r="J1825" i="5"/>
  <c r="I1826" i="5"/>
  <c r="J1826" i="5"/>
  <c r="I1827" i="5"/>
  <c r="J1827" i="5"/>
  <c r="I1828" i="5"/>
  <c r="J1828" i="5"/>
  <c r="I1829" i="5"/>
  <c r="J1829" i="5"/>
  <c r="I1830" i="5"/>
  <c r="J1830" i="5"/>
  <c r="I1831" i="5"/>
  <c r="J1831" i="5"/>
  <c r="I1832" i="5"/>
  <c r="J1832" i="5"/>
  <c r="I1833" i="5"/>
  <c r="J1833" i="5"/>
  <c r="I1834" i="5"/>
  <c r="J1834" i="5"/>
  <c r="I1835" i="5"/>
  <c r="J1835" i="5"/>
  <c r="I1836" i="5"/>
  <c r="J1836" i="5"/>
  <c r="I1837" i="5"/>
  <c r="J1837" i="5"/>
  <c r="I1838" i="5"/>
  <c r="J1838" i="5"/>
  <c r="I1839" i="5"/>
  <c r="J1839" i="5"/>
  <c r="I1840" i="5"/>
  <c r="J1840" i="5"/>
  <c r="I1841" i="5"/>
  <c r="J1841" i="5"/>
  <c r="I1842" i="5"/>
  <c r="J1842" i="5"/>
  <c r="I1843" i="5"/>
  <c r="J1843" i="5"/>
  <c r="I1844" i="5"/>
  <c r="J1844" i="5"/>
  <c r="I1845" i="5"/>
  <c r="J1845" i="5"/>
  <c r="I1846" i="5"/>
  <c r="J1846" i="5"/>
  <c r="I1847" i="5"/>
  <c r="J1847" i="5"/>
  <c r="I1848" i="5"/>
  <c r="J1848" i="5"/>
  <c r="I1849" i="5"/>
  <c r="J1849" i="5"/>
  <c r="I1850" i="5"/>
  <c r="J1850" i="5"/>
  <c r="I1851" i="5"/>
  <c r="J1851" i="5"/>
  <c r="I1852" i="5"/>
  <c r="J1852" i="5"/>
  <c r="I1853" i="5"/>
  <c r="J1853" i="5"/>
  <c r="I1854" i="5"/>
  <c r="J1854" i="5"/>
  <c r="I1855" i="5"/>
  <c r="J1855" i="5"/>
  <c r="I1856" i="5"/>
  <c r="J1856" i="5"/>
  <c r="I1857" i="5"/>
  <c r="J1857" i="5"/>
  <c r="I1858" i="5"/>
  <c r="J1858" i="5"/>
  <c r="I1859" i="5"/>
  <c r="J1859" i="5"/>
  <c r="I1860" i="5"/>
  <c r="J1860" i="5"/>
  <c r="I1861" i="5"/>
  <c r="J1861" i="5"/>
  <c r="I1862" i="5"/>
  <c r="J1862" i="5"/>
  <c r="I1863" i="5"/>
  <c r="J1863" i="5"/>
  <c r="I1864" i="5"/>
  <c r="J1864" i="5"/>
  <c r="I1865" i="5"/>
  <c r="J1865" i="5"/>
  <c r="I1866" i="5"/>
  <c r="J1866" i="5"/>
  <c r="I1867" i="5"/>
  <c r="J1867" i="5"/>
  <c r="I1868" i="5"/>
  <c r="J1868" i="5"/>
  <c r="I1869" i="5"/>
  <c r="J1869" i="5"/>
  <c r="I1870" i="5"/>
  <c r="J1870" i="5"/>
  <c r="I1871" i="5"/>
  <c r="J1871" i="5"/>
  <c r="I1872" i="5"/>
  <c r="J1872" i="5"/>
  <c r="I1873" i="5"/>
  <c r="J1873" i="5"/>
  <c r="I1874" i="5"/>
  <c r="J1874" i="5"/>
  <c r="I1875" i="5"/>
  <c r="J1875" i="5"/>
  <c r="I1876" i="5"/>
  <c r="J1876" i="5"/>
  <c r="I1877" i="5"/>
  <c r="J1877" i="5"/>
  <c r="I1878" i="5"/>
  <c r="J1878" i="5"/>
  <c r="I1879" i="5"/>
  <c r="J1879" i="5"/>
  <c r="I1880" i="5"/>
  <c r="J1880" i="5"/>
  <c r="I1881" i="5"/>
  <c r="J1881" i="5"/>
  <c r="I1882" i="5"/>
  <c r="J1882" i="5"/>
  <c r="I1883" i="5"/>
  <c r="J1883" i="5"/>
  <c r="I1884" i="5"/>
  <c r="J1884" i="5"/>
  <c r="I1885" i="5"/>
  <c r="J1885" i="5"/>
  <c r="I1886" i="5"/>
  <c r="J1886" i="5"/>
  <c r="I1887" i="5"/>
  <c r="J1887" i="5"/>
  <c r="I1888" i="5"/>
  <c r="J1888" i="5"/>
  <c r="I1889" i="5"/>
  <c r="J1889" i="5"/>
  <c r="I1890" i="5"/>
  <c r="J1890" i="5"/>
  <c r="I1891" i="5"/>
  <c r="J1891" i="5"/>
  <c r="I1892" i="5"/>
  <c r="J1892" i="5"/>
  <c r="I1893" i="5"/>
  <c r="J1893" i="5"/>
  <c r="I1894" i="5"/>
  <c r="J1894" i="5"/>
  <c r="I1895" i="5"/>
  <c r="J1895" i="5"/>
  <c r="I1896" i="5"/>
  <c r="J1896" i="5"/>
  <c r="I1897" i="5"/>
  <c r="J1897" i="5"/>
  <c r="I1898" i="5"/>
  <c r="J1898" i="5"/>
  <c r="I1899" i="5"/>
  <c r="J1899" i="5"/>
  <c r="I1900" i="5"/>
  <c r="J1900" i="5"/>
  <c r="I1901" i="5"/>
  <c r="J1901" i="5"/>
  <c r="I1902" i="5"/>
  <c r="J1902" i="5"/>
  <c r="I1903" i="5"/>
  <c r="J1903" i="5"/>
  <c r="I1904" i="5"/>
  <c r="J1904" i="5"/>
  <c r="I1905" i="5"/>
  <c r="J1905" i="5"/>
  <c r="I1906" i="5"/>
  <c r="J1906" i="5"/>
  <c r="I1907" i="5"/>
  <c r="J1907" i="5"/>
  <c r="I1908" i="5"/>
  <c r="J1908" i="5"/>
  <c r="I1909" i="5"/>
  <c r="J1909" i="5"/>
  <c r="I1910" i="5"/>
  <c r="J1910" i="5"/>
  <c r="I1911" i="5"/>
  <c r="J1911" i="5"/>
  <c r="I1912" i="5"/>
  <c r="J1912" i="5"/>
  <c r="I1913" i="5"/>
  <c r="J1913" i="5"/>
  <c r="I1914" i="5"/>
  <c r="J1914" i="5"/>
  <c r="I1915" i="5"/>
  <c r="J1915" i="5"/>
  <c r="I1916" i="5"/>
  <c r="J1916" i="5"/>
  <c r="I1917" i="5"/>
  <c r="J1917" i="5"/>
  <c r="I1918" i="5"/>
  <c r="J1918" i="5"/>
  <c r="I1919" i="5"/>
  <c r="J1919" i="5"/>
  <c r="I1920" i="5"/>
  <c r="J1920" i="5"/>
  <c r="I1921" i="5"/>
  <c r="J1921" i="5"/>
  <c r="I1922" i="5"/>
  <c r="J1922" i="5"/>
  <c r="I1923" i="5"/>
  <c r="J1923" i="5"/>
  <c r="I1924" i="5"/>
  <c r="J1924" i="5"/>
  <c r="I1925" i="5"/>
  <c r="J1925" i="5"/>
  <c r="I1926" i="5"/>
  <c r="J1926" i="5"/>
  <c r="I1927" i="5"/>
  <c r="J1927" i="5"/>
  <c r="I1928" i="5"/>
  <c r="J1928" i="5"/>
  <c r="I1929" i="5"/>
  <c r="J1929" i="5"/>
  <c r="I1930" i="5"/>
  <c r="J1930" i="5"/>
  <c r="I1931" i="5"/>
  <c r="J1931" i="5"/>
  <c r="I1932" i="5"/>
  <c r="J1932" i="5"/>
  <c r="I1933" i="5"/>
  <c r="J1933" i="5"/>
  <c r="I1934" i="5"/>
  <c r="J1934" i="5"/>
  <c r="I1935" i="5"/>
  <c r="J1935" i="5"/>
  <c r="I1936" i="5"/>
  <c r="J1936" i="5"/>
  <c r="I1937" i="5"/>
  <c r="J1937" i="5"/>
  <c r="I1938" i="5"/>
  <c r="J1938" i="5"/>
  <c r="I1939" i="5"/>
  <c r="J1939" i="5"/>
  <c r="I1940" i="5"/>
  <c r="J1940" i="5"/>
  <c r="I1941" i="5"/>
  <c r="J1941" i="5"/>
  <c r="I1942" i="5"/>
  <c r="J1942" i="5"/>
  <c r="I1943" i="5"/>
  <c r="J1943" i="5"/>
  <c r="I1944" i="5"/>
  <c r="J1944" i="5"/>
  <c r="I1945" i="5"/>
  <c r="J1945" i="5"/>
  <c r="I1946" i="5"/>
  <c r="J1946" i="5"/>
  <c r="I1947" i="5"/>
  <c r="J1947" i="5"/>
  <c r="I1948" i="5"/>
  <c r="J1948" i="5"/>
  <c r="I1949" i="5"/>
  <c r="J1949" i="5"/>
  <c r="I1950" i="5"/>
  <c r="J1950" i="5"/>
  <c r="I1951" i="5"/>
  <c r="J1951" i="5"/>
  <c r="I1952" i="5"/>
  <c r="J1952" i="5"/>
  <c r="I1953" i="5"/>
  <c r="J1953" i="5"/>
  <c r="I1954" i="5"/>
  <c r="J1954" i="5"/>
  <c r="I1955" i="5"/>
  <c r="J1955" i="5"/>
  <c r="I1956" i="5"/>
  <c r="J1956" i="5"/>
  <c r="I1957" i="5"/>
  <c r="J1957" i="5"/>
  <c r="I1958" i="5"/>
  <c r="J1958" i="5"/>
  <c r="I1959" i="5"/>
  <c r="J1959" i="5"/>
  <c r="I1960" i="5"/>
  <c r="J1960" i="5"/>
  <c r="I1961" i="5"/>
  <c r="J1961" i="5"/>
  <c r="I1962" i="5"/>
  <c r="J1962" i="5"/>
  <c r="I1963" i="5"/>
  <c r="J1963" i="5"/>
  <c r="I1964" i="5"/>
  <c r="J1964" i="5"/>
  <c r="I1965" i="5"/>
  <c r="J1965" i="5"/>
  <c r="I1966" i="5"/>
  <c r="J1966" i="5"/>
  <c r="I1967" i="5"/>
  <c r="J1967" i="5"/>
  <c r="I1968" i="5"/>
  <c r="J1968" i="5"/>
  <c r="I1969" i="5"/>
  <c r="J1969" i="5"/>
  <c r="I1970" i="5"/>
  <c r="J1970" i="5"/>
  <c r="I1971" i="5"/>
  <c r="J1971" i="5"/>
  <c r="I1972" i="5"/>
  <c r="J1972" i="5"/>
  <c r="I1973" i="5"/>
  <c r="J1973" i="5"/>
  <c r="I1974" i="5"/>
  <c r="J1974" i="5"/>
  <c r="AZ15" i="5"/>
  <c r="AZ7" i="5"/>
  <c r="AZ13" i="5"/>
  <c r="I1975" i="5"/>
  <c r="J1975" i="5"/>
  <c r="I1976" i="5"/>
  <c r="J1976" i="5"/>
  <c r="I1977" i="5"/>
  <c r="J1977" i="5"/>
  <c r="I1978" i="5"/>
  <c r="J1978" i="5"/>
  <c r="I1979" i="5"/>
  <c r="J1979" i="5"/>
  <c r="I1980" i="5"/>
  <c r="J1980" i="5"/>
  <c r="I1981" i="5"/>
  <c r="J1981" i="5"/>
  <c r="I1982" i="5"/>
  <c r="J1982" i="5"/>
  <c r="I1983" i="5"/>
  <c r="J1983" i="5"/>
  <c r="I1984" i="5"/>
  <c r="J1984" i="5"/>
  <c r="I1985" i="5"/>
  <c r="J1985" i="5"/>
  <c r="I1986" i="5"/>
  <c r="J1986" i="5"/>
  <c r="I1987" i="5"/>
  <c r="J1987" i="5"/>
  <c r="I1988" i="5"/>
  <c r="J1988" i="5"/>
  <c r="I1989" i="5"/>
  <c r="J1989" i="5"/>
  <c r="I1990" i="5"/>
  <c r="J1990" i="5"/>
  <c r="I1991" i="5"/>
  <c r="J1991" i="5"/>
  <c r="I1992" i="5"/>
  <c r="J1992" i="5"/>
  <c r="I1993" i="5"/>
  <c r="J1993" i="5"/>
  <c r="I1994" i="5"/>
  <c r="J1994" i="5"/>
  <c r="I1995" i="5"/>
  <c r="J1995" i="5"/>
  <c r="I1996" i="5"/>
  <c r="J1996" i="5"/>
  <c r="I1997" i="5"/>
  <c r="J1997" i="5"/>
  <c r="I1998" i="5"/>
  <c r="J1998" i="5"/>
  <c r="I1999" i="5"/>
  <c r="J1999" i="5"/>
  <c r="I2000" i="5"/>
  <c r="J2000" i="5"/>
  <c r="I2001" i="5"/>
  <c r="J2001" i="5"/>
  <c r="I2002" i="5"/>
  <c r="J2002" i="5"/>
  <c r="I2003" i="5"/>
  <c r="J2003" i="5"/>
  <c r="I2004" i="5"/>
  <c r="J2004" i="5"/>
  <c r="I2005" i="5"/>
  <c r="J2005" i="5"/>
  <c r="I2006" i="5"/>
  <c r="J2006" i="5"/>
  <c r="I2007" i="5"/>
  <c r="J2007" i="5"/>
  <c r="I2008" i="5"/>
  <c r="J2008" i="5"/>
  <c r="I2009" i="5"/>
  <c r="J2009" i="5"/>
  <c r="I2010" i="5"/>
  <c r="J2010" i="5"/>
  <c r="I2011" i="5"/>
  <c r="J2011" i="5"/>
  <c r="I2012" i="5"/>
  <c r="J2012" i="5"/>
  <c r="I2013" i="5"/>
  <c r="J2013" i="5"/>
  <c r="I2014" i="5"/>
  <c r="J2014" i="5"/>
  <c r="I2015" i="5"/>
  <c r="J2015" i="5"/>
  <c r="I2016" i="5"/>
  <c r="J2016" i="5"/>
  <c r="I2017" i="5"/>
  <c r="J2017" i="5"/>
  <c r="I2018" i="5"/>
  <c r="J2018" i="5"/>
  <c r="I2019" i="5"/>
  <c r="J2019" i="5"/>
  <c r="I2020" i="5"/>
  <c r="J2020" i="5"/>
  <c r="I2021" i="5"/>
  <c r="J2021" i="5"/>
  <c r="I2022" i="5"/>
  <c r="J2022" i="5"/>
  <c r="I2023" i="5"/>
  <c r="J2023" i="5"/>
  <c r="I2024" i="5"/>
  <c r="J2024" i="5"/>
  <c r="I2025" i="5"/>
  <c r="J2025" i="5"/>
  <c r="I2026" i="5"/>
  <c r="J2026" i="5"/>
  <c r="I2027" i="5"/>
  <c r="J2027" i="5"/>
  <c r="I2028" i="5"/>
  <c r="J2028" i="5"/>
  <c r="I2029" i="5"/>
  <c r="J2029" i="5"/>
  <c r="I2030" i="5"/>
  <c r="J2030" i="5"/>
  <c r="I2031" i="5"/>
  <c r="J2031" i="5"/>
  <c r="I2032" i="5"/>
  <c r="J2032" i="5"/>
  <c r="I2033" i="5"/>
  <c r="J2033" i="5"/>
  <c r="I2034" i="5"/>
  <c r="J2034" i="5"/>
  <c r="I2035" i="5"/>
  <c r="J2035" i="5"/>
  <c r="I2036" i="5"/>
  <c r="J2036" i="5"/>
  <c r="I2037" i="5"/>
  <c r="J2037" i="5"/>
  <c r="I2038" i="5"/>
  <c r="J2038" i="5"/>
  <c r="I2039" i="5"/>
  <c r="J2039" i="5"/>
  <c r="I2040" i="5"/>
  <c r="J2040" i="5"/>
  <c r="I2041" i="5"/>
  <c r="J2041" i="5"/>
  <c r="I2042" i="5"/>
  <c r="J2042" i="5"/>
  <c r="I2043" i="5"/>
  <c r="J2043" i="5"/>
  <c r="I2044" i="5"/>
  <c r="J2044" i="5"/>
  <c r="I2045" i="5"/>
  <c r="J2045" i="5"/>
  <c r="I2046" i="5"/>
  <c r="J2046" i="5"/>
  <c r="I2047" i="5"/>
  <c r="J2047" i="5"/>
  <c r="I2048" i="5"/>
  <c r="J2048" i="5"/>
  <c r="I2049" i="5"/>
  <c r="J2049" i="5"/>
  <c r="I2050" i="5"/>
  <c r="J2050" i="5"/>
  <c r="I2051" i="5"/>
  <c r="J2051" i="5"/>
  <c r="I2052" i="5"/>
  <c r="J2052" i="5"/>
  <c r="I2053" i="5"/>
  <c r="J2053" i="5"/>
  <c r="I2054" i="5"/>
  <c r="J2054" i="5"/>
  <c r="I2055" i="5"/>
  <c r="J2055" i="5"/>
  <c r="I2056" i="5"/>
  <c r="J2056" i="5"/>
  <c r="I2057" i="5"/>
  <c r="J2057" i="5"/>
  <c r="I2058" i="5"/>
  <c r="J2058" i="5"/>
  <c r="I2059" i="5"/>
  <c r="J2059" i="5"/>
  <c r="I2060" i="5"/>
  <c r="J2060" i="5"/>
  <c r="I2061" i="5"/>
  <c r="J2061" i="5"/>
  <c r="I2062" i="5"/>
  <c r="J2062" i="5"/>
  <c r="I2063" i="5"/>
  <c r="J2063" i="5"/>
  <c r="I2064" i="5"/>
  <c r="J2064" i="5"/>
  <c r="I2065" i="5"/>
  <c r="J2065" i="5"/>
  <c r="I2066" i="5"/>
  <c r="J2066" i="5"/>
  <c r="I2067" i="5"/>
  <c r="J2067" i="5"/>
  <c r="I2068" i="5"/>
  <c r="J2068" i="5"/>
  <c r="I2069" i="5"/>
  <c r="J2069" i="5"/>
  <c r="I2070" i="5"/>
  <c r="J2070" i="5"/>
  <c r="I2071" i="5"/>
  <c r="J2071" i="5"/>
  <c r="I2072" i="5"/>
  <c r="J2072" i="5"/>
  <c r="I2073" i="5"/>
  <c r="J2073" i="5"/>
  <c r="I2074" i="5"/>
  <c r="J2074" i="5"/>
  <c r="I2075" i="5"/>
  <c r="J2075" i="5"/>
  <c r="I2076" i="5"/>
  <c r="J2076" i="5"/>
  <c r="I2077" i="5"/>
  <c r="J2077" i="5"/>
  <c r="I2078" i="5"/>
  <c r="J2078" i="5"/>
  <c r="I2079" i="5"/>
  <c r="J2079" i="5"/>
  <c r="I2080" i="5"/>
  <c r="J2080" i="5"/>
  <c r="I2081" i="5"/>
  <c r="J2081" i="5"/>
  <c r="I2082" i="5"/>
  <c r="J2082" i="5"/>
  <c r="I2083" i="5"/>
  <c r="J2083" i="5"/>
  <c r="I2084" i="5"/>
  <c r="J2084" i="5"/>
  <c r="I2085" i="5"/>
  <c r="J2085" i="5"/>
  <c r="I2086" i="5"/>
  <c r="J2086" i="5"/>
  <c r="I2087" i="5"/>
  <c r="J2087" i="5"/>
  <c r="I2088" i="5"/>
  <c r="J2088" i="5"/>
  <c r="I2089" i="5"/>
  <c r="J2089" i="5"/>
  <c r="I2090" i="5"/>
  <c r="J2090" i="5"/>
  <c r="I2091" i="5"/>
  <c r="J2091" i="5"/>
  <c r="I2092" i="5"/>
  <c r="J2092" i="5"/>
  <c r="I2093" i="5"/>
  <c r="J2093" i="5"/>
  <c r="I2094" i="5"/>
  <c r="J2094" i="5"/>
  <c r="I2095" i="5"/>
  <c r="J2095" i="5"/>
  <c r="I2096" i="5"/>
  <c r="J2096" i="5"/>
  <c r="I2097" i="5"/>
  <c r="J2097" i="5"/>
  <c r="I2098" i="5"/>
  <c r="J2098" i="5"/>
  <c r="AR15" i="5"/>
  <c r="AR7" i="5"/>
  <c r="AR13" i="5"/>
  <c r="I2099" i="5"/>
  <c r="J2099" i="5"/>
  <c r="I2100" i="5"/>
  <c r="J2100" i="5"/>
  <c r="I2101" i="5"/>
  <c r="J2101" i="5"/>
  <c r="I2102" i="5"/>
  <c r="J2102" i="5"/>
  <c r="I2103" i="5"/>
  <c r="J2103" i="5"/>
  <c r="I2104" i="5"/>
  <c r="J2104" i="5"/>
  <c r="I2105" i="5"/>
  <c r="J2105" i="5"/>
  <c r="I2106" i="5"/>
  <c r="J2106" i="5"/>
  <c r="I2107" i="5"/>
  <c r="J2107" i="5"/>
  <c r="I2108" i="5"/>
  <c r="J2108" i="5"/>
  <c r="I2109" i="5"/>
  <c r="J2109" i="5"/>
  <c r="I2110" i="5"/>
  <c r="J2110" i="5"/>
  <c r="I2111" i="5"/>
  <c r="J2111" i="5"/>
  <c r="I2112" i="5"/>
  <c r="J2112" i="5"/>
  <c r="I2113" i="5"/>
  <c r="J2113" i="5"/>
  <c r="I2114" i="5"/>
  <c r="J2114" i="5"/>
  <c r="I2115" i="5"/>
  <c r="J2115" i="5"/>
  <c r="I2116" i="5"/>
  <c r="J2116" i="5"/>
  <c r="I2117" i="5"/>
  <c r="J2117" i="5"/>
  <c r="I2118" i="5"/>
  <c r="J2118" i="5"/>
  <c r="I2119" i="5"/>
  <c r="J2119" i="5"/>
  <c r="I2120" i="5"/>
  <c r="J2120" i="5"/>
  <c r="I2121" i="5"/>
  <c r="J2121" i="5"/>
  <c r="I2122" i="5"/>
  <c r="J2122" i="5"/>
  <c r="I2123" i="5"/>
  <c r="J2123" i="5"/>
  <c r="I2124" i="5"/>
  <c r="J2124" i="5"/>
  <c r="I2125" i="5"/>
  <c r="J2125" i="5"/>
  <c r="AH15" i="5"/>
  <c r="AH7" i="5"/>
  <c r="AH13" i="5"/>
  <c r="I2126" i="5"/>
  <c r="J2126" i="5"/>
  <c r="I2127" i="5"/>
  <c r="J2127" i="5"/>
  <c r="I2128" i="5"/>
  <c r="J2128" i="5"/>
  <c r="I2129" i="5"/>
  <c r="J2129" i="5"/>
  <c r="I2130" i="5"/>
  <c r="J2130" i="5"/>
  <c r="I2131" i="5"/>
  <c r="J2131" i="5"/>
  <c r="I2132" i="5"/>
  <c r="J2132" i="5"/>
  <c r="I2133" i="5"/>
  <c r="J2133" i="5"/>
  <c r="I2134" i="5"/>
  <c r="J2134" i="5"/>
  <c r="I2135" i="5"/>
  <c r="J2135" i="5"/>
  <c r="I2136" i="5"/>
  <c r="J2136" i="5"/>
  <c r="I2137" i="5"/>
  <c r="J2137" i="5"/>
  <c r="I2138" i="5"/>
  <c r="J2138" i="5"/>
  <c r="I2139" i="5"/>
  <c r="J2139" i="5"/>
  <c r="I2140" i="5"/>
  <c r="J2140" i="5"/>
  <c r="I2141" i="5"/>
  <c r="J2141" i="5"/>
  <c r="I2142" i="5"/>
  <c r="J2142" i="5"/>
  <c r="I2143" i="5"/>
  <c r="J2143" i="5"/>
  <c r="I2144" i="5"/>
  <c r="J2144" i="5"/>
  <c r="I2145" i="5"/>
  <c r="J2145" i="5"/>
  <c r="I2146" i="5"/>
  <c r="J2146" i="5"/>
  <c r="I2147" i="5"/>
  <c r="J2147" i="5"/>
  <c r="I2148" i="5"/>
  <c r="J2148" i="5"/>
  <c r="I2149" i="5"/>
  <c r="J2149" i="5"/>
  <c r="I2150" i="5"/>
  <c r="J2150" i="5"/>
  <c r="I2151" i="5"/>
  <c r="J2151" i="5"/>
  <c r="I2152" i="5"/>
  <c r="J2152" i="5"/>
  <c r="I2153" i="5"/>
  <c r="J2153" i="5"/>
  <c r="I2154" i="5"/>
  <c r="J2154" i="5"/>
  <c r="I2155" i="5"/>
  <c r="J2155" i="5"/>
  <c r="I2156" i="5"/>
  <c r="J2156" i="5"/>
  <c r="I2157" i="5"/>
  <c r="J2157" i="5"/>
  <c r="I2158" i="5"/>
  <c r="J2158" i="5"/>
  <c r="I2159" i="5"/>
  <c r="J2159" i="5"/>
  <c r="I2160" i="5"/>
  <c r="J2160" i="5"/>
  <c r="I2161" i="5"/>
  <c r="J2161" i="5"/>
  <c r="I2162" i="5"/>
  <c r="J2162" i="5"/>
  <c r="I2163" i="5"/>
  <c r="J2163" i="5"/>
  <c r="I2164" i="5"/>
  <c r="J2164" i="5"/>
  <c r="I2165" i="5"/>
  <c r="J2165" i="5"/>
  <c r="I2166" i="5"/>
  <c r="J2166" i="5"/>
  <c r="I2167" i="5"/>
  <c r="J2167" i="5"/>
  <c r="I2168" i="5"/>
  <c r="J2168" i="5"/>
  <c r="I2169" i="5"/>
  <c r="J2169" i="5"/>
  <c r="I2170" i="5"/>
  <c r="J2170" i="5"/>
  <c r="AP15" i="5"/>
  <c r="AP7" i="5"/>
  <c r="AP13" i="5"/>
  <c r="I2171" i="5"/>
  <c r="J2171" i="5"/>
  <c r="I2172" i="5"/>
  <c r="J2172" i="5"/>
  <c r="I2173" i="5"/>
  <c r="J2173" i="5"/>
  <c r="I2174" i="5"/>
  <c r="J2174" i="5"/>
  <c r="I2175" i="5"/>
  <c r="J2175" i="5"/>
  <c r="I2176" i="5"/>
  <c r="J2176" i="5"/>
  <c r="I2177" i="5"/>
  <c r="J2177" i="5"/>
  <c r="I2178" i="5"/>
  <c r="J2178" i="5"/>
  <c r="I2179" i="5"/>
  <c r="J2179" i="5"/>
  <c r="I2180" i="5"/>
  <c r="J2180" i="5"/>
  <c r="I2181" i="5"/>
  <c r="J2181" i="5"/>
  <c r="I2182" i="5"/>
  <c r="J2182" i="5"/>
  <c r="I2183" i="5"/>
  <c r="J2183" i="5"/>
  <c r="I2184" i="5"/>
  <c r="J2184" i="5"/>
  <c r="I2185" i="5"/>
  <c r="J2185" i="5"/>
  <c r="I2186" i="5"/>
  <c r="J2186" i="5"/>
  <c r="I2187" i="5"/>
  <c r="J2187" i="5"/>
  <c r="I2188" i="5"/>
  <c r="J2188" i="5"/>
  <c r="I2189" i="5"/>
  <c r="J2189" i="5"/>
  <c r="I2190" i="5"/>
  <c r="J2190" i="5"/>
  <c r="I2191" i="5"/>
  <c r="J2191" i="5"/>
  <c r="I2192" i="5"/>
  <c r="J2192" i="5"/>
  <c r="I2193" i="5"/>
  <c r="J2193" i="5"/>
  <c r="I2194" i="5"/>
  <c r="J2194" i="5"/>
  <c r="I2195" i="5"/>
  <c r="J2195" i="5"/>
  <c r="I2196" i="5"/>
  <c r="J2196" i="5"/>
  <c r="I2197" i="5"/>
  <c r="J2197" i="5"/>
  <c r="I2198" i="5"/>
  <c r="J2198" i="5"/>
  <c r="I2199" i="5"/>
  <c r="J2199" i="5"/>
  <c r="I2200" i="5"/>
  <c r="J2200" i="5"/>
  <c r="I2201" i="5"/>
  <c r="J2201" i="5"/>
  <c r="I2202" i="5"/>
  <c r="J2202" i="5"/>
  <c r="I2203" i="5"/>
  <c r="J2203" i="5"/>
  <c r="I2204" i="5"/>
  <c r="J2204" i="5"/>
  <c r="I2205" i="5"/>
  <c r="J2205" i="5"/>
  <c r="I2206" i="5"/>
  <c r="J2206" i="5"/>
  <c r="I2207" i="5"/>
  <c r="J2207" i="5"/>
  <c r="I2208" i="5"/>
  <c r="J2208" i="5"/>
  <c r="I2209" i="5"/>
  <c r="J2209" i="5"/>
  <c r="I2210" i="5"/>
  <c r="J2210" i="5"/>
  <c r="I2211" i="5"/>
  <c r="J2211" i="5"/>
  <c r="I2212" i="5"/>
  <c r="J2212" i="5"/>
  <c r="I2213" i="5"/>
  <c r="J2213" i="5"/>
  <c r="I2214" i="5"/>
  <c r="J2214" i="5"/>
  <c r="I2215" i="5"/>
  <c r="J2215" i="5"/>
  <c r="I2216" i="5"/>
  <c r="J2216" i="5"/>
  <c r="I2217" i="5"/>
  <c r="J2217" i="5"/>
  <c r="I2218" i="5"/>
  <c r="J2218" i="5"/>
  <c r="I2219" i="5"/>
  <c r="J2219" i="5"/>
  <c r="I2220" i="5"/>
  <c r="J2220" i="5"/>
  <c r="AK19" i="1"/>
  <c r="AJ24" i="1" a="1"/>
  <c r="AJ24" i="1"/>
  <c r="AL24" i="1" a="1"/>
  <c r="AL24" i="1"/>
  <c r="H30" i="6"/>
  <c r="AL23" i="1"/>
  <c r="H206" i="5"/>
  <c r="H1421" i="5"/>
  <c r="AL22" i="1"/>
  <c r="AK20" i="1"/>
  <c r="AK24" i="1"/>
  <c r="AK23" i="1"/>
  <c r="AK22" i="1"/>
  <c r="AJ23" i="1"/>
  <c r="AJ22" i="1"/>
  <c r="AL8" i="1"/>
  <c r="AK3" i="1"/>
  <c r="AK8" i="1"/>
  <c r="H194" i="5"/>
  <c r="AK7" i="1"/>
  <c r="AJ9" i="1"/>
  <c r="AJ8" i="1"/>
  <c r="AJ7" i="1"/>
  <c r="J15" i="1"/>
  <c r="E37" i="6"/>
  <c r="K37" i="6"/>
  <c r="J47" i="1"/>
  <c r="J48" i="1"/>
  <c r="H37" i="6"/>
  <c r="L15" i="1"/>
  <c r="P37" i="6"/>
  <c r="G37" i="6"/>
  <c r="F37" i="6"/>
  <c r="L47" i="1"/>
  <c r="L48" i="1"/>
  <c r="N15" i="1"/>
  <c r="AE37" i="6"/>
  <c r="N47" i="1"/>
  <c r="N48" i="1"/>
  <c r="P15" i="1"/>
  <c r="AQ37" i="6"/>
  <c r="J37" i="6"/>
  <c r="P47" i="1"/>
  <c r="P48" i="1"/>
  <c r="W37" i="6"/>
  <c r="R15" i="1"/>
  <c r="AT37" i="6"/>
  <c r="O37" i="6"/>
  <c r="R47" i="1"/>
  <c r="R48" i="1"/>
  <c r="AL37" i="6"/>
  <c r="T15" i="1"/>
  <c r="AI37" i="6"/>
  <c r="Y37" i="6"/>
  <c r="T47" i="1"/>
  <c r="T48" i="1"/>
  <c r="V15" i="1"/>
  <c r="AO37" i="6"/>
  <c r="AN37" i="6"/>
  <c r="V47" i="1"/>
  <c r="V48" i="1"/>
  <c r="AV37" i="6"/>
  <c r="X9" i="1"/>
  <c r="X15" i="1"/>
  <c r="AY37" i="6"/>
  <c r="AS37" i="6"/>
  <c r="AX37" i="6"/>
  <c r="X47" i="1"/>
  <c r="X48" i="1"/>
  <c r="BC37" i="6"/>
  <c r="BB37" i="6"/>
  <c r="BA37" i="6"/>
  <c r="AZ37" i="6"/>
  <c r="AW37" i="6"/>
  <c r="AU37" i="6"/>
  <c r="AR37" i="6"/>
  <c r="AP37" i="6"/>
  <c r="AM37" i="6"/>
  <c r="AK37" i="6"/>
  <c r="AJ37" i="6"/>
  <c r="AH37" i="6"/>
  <c r="AG37" i="6"/>
  <c r="AF37" i="6"/>
  <c r="AD37" i="6"/>
  <c r="AC37" i="6"/>
  <c r="AB37" i="6"/>
  <c r="AA37" i="6"/>
  <c r="Z37" i="6"/>
  <c r="X37" i="6"/>
  <c r="V37" i="6"/>
  <c r="U37" i="6"/>
  <c r="T37" i="6"/>
  <c r="S37" i="6"/>
  <c r="R37" i="6"/>
  <c r="Q37" i="6"/>
  <c r="N37" i="6"/>
  <c r="L37" i="6"/>
  <c r="I37" i="6"/>
  <c r="D37" i="6"/>
  <c r="AJ5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C202" i="1"/>
  <c r="F202" i="1"/>
  <c r="G202" i="1"/>
  <c r="H202" i="1"/>
  <c r="C203" i="1"/>
  <c r="F203" i="1"/>
  <c r="G203" i="1"/>
  <c r="H203" i="1"/>
  <c r="C204" i="1"/>
  <c r="F204" i="1"/>
  <c r="G204" i="1"/>
  <c r="H204" i="1"/>
  <c r="C205" i="1"/>
  <c r="F205" i="1"/>
  <c r="G205" i="1"/>
  <c r="H205" i="1"/>
  <c r="C206" i="1"/>
  <c r="F206" i="1"/>
  <c r="G206" i="1"/>
  <c r="H206" i="1"/>
  <c r="C207" i="1"/>
  <c r="F207" i="1"/>
  <c r="G207" i="1"/>
  <c r="H207" i="1"/>
  <c r="C208" i="1"/>
  <c r="F208" i="1"/>
  <c r="G208" i="1"/>
  <c r="H208" i="1"/>
  <c r="C209" i="1"/>
  <c r="F209" i="1"/>
  <c r="G209" i="1"/>
  <c r="H209" i="1"/>
  <c r="C210" i="1"/>
  <c r="F210" i="1"/>
  <c r="G210" i="1"/>
  <c r="H210" i="1"/>
  <c r="C211" i="1"/>
  <c r="F211" i="1"/>
  <c r="G211" i="1"/>
  <c r="H211" i="1"/>
  <c r="C212" i="1"/>
  <c r="F212" i="1"/>
  <c r="G212" i="1"/>
  <c r="H212" i="1"/>
  <c r="C213" i="1"/>
  <c r="F213" i="1"/>
  <c r="G213" i="1"/>
  <c r="H213" i="1"/>
  <c r="C214" i="1"/>
  <c r="F214" i="1"/>
  <c r="G214" i="1"/>
  <c r="H214" i="1"/>
  <c r="C215" i="1"/>
  <c r="F215" i="1"/>
  <c r="G215" i="1"/>
  <c r="H215" i="1"/>
  <c r="C216" i="1"/>
  <c r="F216" i="1"/>
  <c r="G216" i="1"/>
  <c r="H216" i="1"/>
  <c r="C217" i="1"/>
  <c r="F217" i="1"/>
  <c r="G217" i="1"/>
  <c r="H217" i="1"/>
  <c r="C218" i="1"/>
  <c r="F218" i="1"/>
  <c r="G218" i="1"/>
  <c r="H218" i="1"/>
  <c r="C219" i="1"/>
  <c r="F219" i="1"/>
  <c r="G219" i="1"/>
  <c r="H219" i="1"/>
  <c r="C220" i="1"/>
  <c r="F220" i="1"/>
  <c r="G220" i="1"/>
  <c r="H220" i="1"/>
  <c r="C221" i="1"/>
  <c r="F221" i="1"/>
  <c r="G221" i="1"/>
  <c r="H221" i="1"/>
  <c r="C222" i="1"/>
  <c r="F222" i="1"/>
  <c r="G222" i="1"/>
  <c r="H222" i="1"/>
  <c r="C223" i="1"/>
  <c r="F223" i="1"/>
  <c r="G223" i="1"/>
  <c r="H223" i="1"/>
  <c r="C224" i="1"/>
  <c r="F224" i="1"/>
  <c r="G224" i="1"/>
  <c r="H224" i="1"/>
  <c r="C225" i="1"/>
  <c r="F225" i="1"/>
  <c r="G225" i="1"/>
  <c r="H225" i="1"/>
  <c r="C226" i="1"/>
  <c r="F226" i="1"/>
  <c r="G226" i="1"/>
  <c r="H226" i="1"/>
  <c r="C227" i="1"/>
  <c r="F227" i="1"/>
  <c r="G227" i="1"/>
  <c r="H227" i="1"/>
  <c r="C228" i="1"/>
  <c r="F228" i="1"/>
  <c r="G228" i="1"/>
  <c r="H228" i="1"/>
  <c r="C229" i="1"/>
  <c r="F229" i="1"/>
  <c r="G229" i="1"/>
  <c r="H229" i="1"/>
  <c r="C230" i="1"/>
  <c r="F230" i="1"/>
  <c r="G230" i="1"/>
  <c r="H230" i="1"/>
  <c r="C231" i="1"/>
  <c r="F231" i="1"/>
  <c r="G231" i="1"/>
  <c r="H231" i="1"/>
  <c r="C232" i="1"/>
  <c r="F232" i="1"/>
  <c r="G232" i="1"/>
  <c r="H232" i="1"/>
  <c r="C233" i="1"/>
  <c r="F233" i="1"/>
  <c r="G233" i="1"/>
  <c r="H233" i="1"/>
  <c r="C234" i="1"/>
  <c r="F234" i="1"/>
  <c r="G234" i="1"/>
  <c r="H234" i="1"/>
  <c r="C235" i="1"/>
  <c r="F235" i="1"/>
  <c r="G235" i="1"/>
  <c r="H235" i="1"/>
  <c r="C236" i="1"/>
  <c r="F236" i="1"/>
  <c r="G236" i="1"/>
  <c r="H236" i="1"/>
  <c r="C237" i="1"/>
  <c r="F237" i="1"/>
  <c r="G237" i="1"/>
  <c r="H237" i="1"/>
  <c r="C238" i="1"/>
  <c r="F238" i="1"/>
  <c r="G238" i="1"/>
  <c r="H238" i="1"/>
  <c r="C239" i="1"/>
  <c r="F239" i="1"/>
  <c r="G239" i="1"/>
  <c r="H239" i="1"/>
  <c r="C240" i="1"/>
  <c r="F240" i="1"/>
  <c r="G240" i="1"/>
  <c r="H240" i="1"/>
  <c r="C241" i="1"/>
  <c r="F241" i="1"/>
  <c r="G241" i="1"/>
  <c r="H241" i="1"/>
  <c r="C242" i="1"/>
  <c r="F242" i="1"/>
  <c r="G242" i="1"/>
  <c r="H242" i="1"/>
  <c r="C243" i="1"/>
  <c r="F243" i="1"/>
  <c r="G243" i="1"/>
  <c r="H243" i="1"/>
  <c r="C244" i="1"/>
  <c r="F244" i="1"/>
  <c r="G244" i="1"/>
  <c r="H244" i="1"/>
  <c r="C245" i="1"/>
  <c r="F245" i="1"/>
  <c r="G245" i="1"/>
  <c r="H245" i="1"/>
  <c r="C246" i="1"/>
  <c r="F246" i="1"/>
  <c r="G246" i="1"/>
  <c r="H246" i="1"/>
  <c r="C247" i="1"/>
  <c r="F247" i="1"/>
  <c r="G247" i="1"/>
  <c r="H247" i="1"/>
  <c r="C248" i="1"/>
  <c r="F248" i="1"/>
  <c r="G248" i="1"/>
  <c r="E249" i="1"/>
  <c r="H248" i="1"/>
  <c r="C249" i="1"/>
  <c r="F249" i="1"/>
  <c r="G249" i="1"/>
  <c r="AV50" i="6"/>
  <c r="AV51" i="6"/>
  <c r="H249" i="1"/>
  <c r="C250" i="1"/>
  <c r="E250" i="1"/>
  <c r="F250" i="1"/>
  <c r="G250" i="1"/>
  <c r="AY50" i="6"/>
  <c r="AY51" i="6"/>
  <c r="AS50" i="6"/>
  <c r="AS51" i="6"/>
  <c r="AX50" i="6"/>
  <c r="AX51" i="6"/>
  <c r="X59" i="1"/>
  <c r="X58" i="1"/>
  <c r="X57" i="1"/>
  <c r="X56" i="1"/>
  <c r="AV47" i="6"/>
  <c r="AY47" i="6"/>
  <c r="AS47" i="6"/>
  <c r="AX47" i="6"/>
  <c r="X55" i="1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X54" i="1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X53" i="1"/>
  <c r="X52" i="1"/>
  <c r="X51" i="1"/>
  <c r="AV38" i="6"/>
  <c r="AY38" i="6"/>
  <c r="AS38" i="6"/>
  <c r="AX38" i="6"/>
  <c r="X46" i="1"/>
  <c r="X45" i="1"/>
  <c r="X44" i="1"/>
  <c r="X43" i="1"/>
  <c r="X42" i="1"/>
  <c r="X41" i="1"/>
  <c r="X40" i="1"/>
  <c r="X39" i="1"/>
  <c r="X37" i="1"/>
  <c r="X36" i="1"/>
  <c r="X35" i="1"/>
  <c r="X34" i="1"/>
  <c r="X33" i="1"/>
  <c r="X32" i="1"/>
  <c r="X31" i="1"/>
  <c r="X30" i="1"/>
  <c r="X29" i="1"/>
  <c r="X28" i="1"/>
  <c r="X27" i="1"/>
  <c r="X25" i="1"/>
  <c r="X24" i="1"/>
  <c r="X23" i="1"/>
  <c r="X22" i="1"/>
  <c r="X21" i="1"/>
  <c r="X20" i="1"/>
  <c r="X19" i="1"/>
  <c r="H16" i="1"/>
  <c r="J16" i="1"/>
  <c r="L16" i="1"/>
  <c r="N16" i="1"/>
  <c r="P16" i="1"/>
  <c r="R16" i="1"/>
  <c r="T16" i="1"/>
  <c r="V16" i="1"/>
  <c r="X16" i="1"/>
  <c r="H10" i="1"/>
  <c r="V10" i="1"/>
  <c r="X10" i="1"/>
  <c r="J34" i="1"/>
  <c r="H250" i="1"/>
  <c r="C251" i="1"/>
  <c r="E251" i="1"/>
  <c r="F251" i="1"/>
  <c r="G251" i="1"/>
  <c r="H251" i="1"/>
  <c r="C252" i="1"/>
  <c r="E252" i="1"/>
  <c r="F252" i="1"/>
  <c r="G252" i="1"/>
  <c r="H252" i="1"/>
  <c r="C253" i="1"/>
  <c r="E253" i="1"/>
  <c r="F253" i="1"/>
  <c r="G253" i="1"/>
  <c r="H253" i="1"/>
  <c r="C254" i="1"/>
  <c r="E254" i="1"/>
  <c r="F254" i="1"/>
  <c r="G254" i="1"/>
  <c r="H254" i="1"/>
  <c r="B255" i="1"/>
  <c r="C255" i="1"/>
  <c r="D255" i="1"/>
  <c r="E255" i="1"/>
  <c r="F255" i="1"/>
  <c r="G255" i="1"/>
  <c r="H255" i="1"/>
  <c r="B256" i="1"/>
  <c r="C256" i="1"/>
  <c r="D256" i="1"/>
  <c r="E256" i="1"/>
  <c r="F256" i="1"/>
  <c r="G256" i="1"/>
  <c r="H256" i="1"/>
  <c r="B257" i="1"/>
  <c r="C257" i="1"/>
  <c r="D257" i="1"/>
  <c r="E257" i="1"/>
  <c r="F257" i="1"/>
  <c r="G257" i="1"/>
  <c r="H257" i="1"/>
  <c r="B258" i="1"/>
  <c r="C258" i="1"/>
  <c r="D258" i="1"/>
  <c r="E258" i="1"/>
  <c r="F258" i="1"/>
  <c r="G258" i="1"/>
  <c r="H258" i="1"/>
  <c r="B259" i="1"/>
  <c r="C259" i="1"/>
  <c r="D259" i="1"/>
  <c r="E259" i="1"/>
  <c r="F259" i="1"/>
  <c r="G259" i="1"/>
  <c r="H259" i="1"/>
  <c r="B260" i="1"/>
  <c r="C260" i="1"/>
  <c r="D260" i="1"/>
  <c r="E260" i="1"/>
  <c r="F260" i="1"/>
  <c r="G260" i="1"/>
  <c r="H260" i="1"/>
  <c r="B261" i="1"/>
  <c r="C261" i="1"/>
  <c r="D261" i="1"/>
  <c r="E261" i="1"/>
  <c r="F261" i="1"/>
  <c r="G261" i="1"/>
  <c r="H261" i="1"/>
  <c r="B262" i="1"/>
  <c r="C262" i="1"/>
  <c r="D262" i="1"/>
  <c r="E262" i="1"/>
  <c r="F262" i="1"/>
  <c r="G262" i="1"/>
  <c r="H262" i="1"/>
  <c r="B263" i="1"/>
  <c r="C263" i="1"/>
  <c r="D263" i="1"/>
  <c r="E263" i="1"/>
  <c r="F263" i="1"/>
  <c r="G263" i="1"/>
  <c r="H263" i="1"/>
  <c r="B264" i="1"/>
  <c r="C264" i="1"/>
  <c r="D264" i="1"/>
  <c r="E264" i="1"/>
  <c r="F264" i="1"/>
  <c r="G264" i="1"/>
  <c r="H264" i="1"/>
  <c r="B265" i="1"/>
  <c r="C265" i="1"/>
  <c r="D265" i="1"/>
  <c r="E265" i="1"/>
  <c r="F265" i="1"/>
  <c r="G265" i="1"/>
  <c r="H265" i="1"/>
  <c r="B266" i="1"/>
  <c r="C266" i="1"/>
  <c r="D266" i="1"/>
  <c r="E266" i="1"/>
  <c r="F266" i="1"/>
  <c r="G266" i="1"/>
  <c r="H266" i="1"/>
  <c r="B267" i="1"/>
  <c r="C267" i="1"/>
  <c r="D267" i="1"/>
  <c r="E267" i="1"/>
  <c r="F267" i="1"/>
  <c r="G267" i="1"/>
  <c r="H267" i="1"/>
  <c r="B268" i="1"/>
  <c r="C268" i="1"/>
  <c r="D268" i="1"/>
  <c r="E268" i="1"/>
  <c r="F268" i="1"/>
  <c r="G268" i="1"/>
  <c r="H268" i="1"/>
  <c r="B269" i="1"/>
  <c r="C269" i="1"/>
  <c r="D269" i="1"/>
  <c r="E269" i="1"/>
  <c r="F269" i="1"/>
  <c r="G269" i="1"/>
  <c r="H269" i="1"/>
  <c r="B270" i="1"/>
  <c r="C270" i="1"/>
  <c r="D270" i="1"/>
  <c r="E270" i="1"/>
  <c r="F270" i="1"/>
  <c r="G270" i="1"/>
  <c r="H270" i="1"/>
  <c r="B271" i="1"/>
  <c r="C271" i="1"/>
  <c r="D271" i="1"/>
  <c r="E271" i="1"/>
  <c r="F271" i="1"/>
  <c r="G271" i="1"/>
  <c r="H271" i="1"/>
  <c r="B272" i="1"/>
  <c r="C272" i="1"/>
  <c r="D272" i="1"/>
  <c r="E272" i="1"/>
  <c r="F272" i="1"/>
  <c r="G272" i="1"/>
  <c r="H272" i="1"/>
  <c r="B273" i="1"/>
  <c r="C273" i="1"/>
  <c r="D273" i="1"/>
  <c r="E273" i="1"/>
  <c r="F273" i="1"/>
  <c r="G273" i="1"/>
  <c r="H273" i="1"/>
  <c r="B274" i="1"/>
  <c r="C274" i="1"/>
  <c r="D274" i="1"/>
  <c r="E274" i="1"/>
  <c r="F274" i="1"/>
  <c r="G274" i="1"/>
  <c r="H274" i="1"/>
  <c r="B275" i="1"/>
  <c r="C275" i="1"/>
  <c r="D275" i="1"/>
  <c r="E275" i="1"/>
  <c r="F275" i="1"/>
  <c r="G275" i="1"/>
  <c r="H275" i="1"/>
  <c r="B276" i="1"/>
  <c r="C276" i="1"/>
  <c r="D276" i="1"/>
  <c r="E276" i="1"/>
  <c r="F276" i="1"/>
  <c r="G276" i="1"/>
  <c r="H276" i="1"/>
  <c r="B277" i="1"/>
  <c r="C277" i="1"/>
  <c r="D277" i="1"/>
  <c r="E277" i="1"/>
  <c r="F277" i="1"/>
  <c r="G277" i="1"/>
  <c r="H277" i="1"/>
  <c r="B278" i="1"/>
  <c r="C278" i="1"/>
  <c r="D278" i="1"/>
  <c r="E278" i="1"/>
  <c r="F278" i="1"/>
  <c r="G278" i="1"/>
  <c r="H278" i="1"/>
  <c r="B279" i="1"/>
  <c r="C279" i="1"/>
  <c r="D279" i="1"/>
  <c r="E279" i="1"/>
  <c r="F279" i="1"/>
  <c r="G279" i="1"/>
  <c r="H279" i="1"/>
  <c r="B280" i="1"/>
  <c r="C280" i="1"/>
  <c r="D280" i="1"/>
  <c r="E280" i="1"/>
  <c r="F280" i="1"/>
  <c r="G280" i="1"/>
  <c r="H280" i="1"/>
  <c r="B281" i="1"/>
  <c r="C281" i="1"/>
  <c r="D281" i="1"/>
  <c r="E281" i="1"/>
  <c r="F281" i="1"/>
  <c r="G281" i="1"/>
  <c r="H281" i="1"/>
  <c r="B282" i="1"/>
  <c r="C282" i="1"/>
  <c r="D282" i="1"/>
  <c r="E282" i="1"/>
  <c r="F282" i="1"/>
  <c r="G282" i="1"/>
  <c r="H282" i="1"/>
  <c r="B283" i="1"/>
  <c r="C283" i="1"/>
  <c r="D283" i="1"/>
  <c r="E283" i="1"/>
  <c r="F283" i="1"/>
  <c r="G283" i="1"/>
  <c r="H283" i="1"/>
  <c r="B284" i="1"/>
  <c r="C284" i="1"/>
  <c r="D284" i="1"/>
  <c r="E284" i="1"/>
  <c r="F284" i="1"/>
  <c r="G284" i="1"/>
  <c r="H284" i="1"/>
  <c r="B285" i="1"/>
  <c r="C285" i="1"/>
  <c r="D285" i="1"/>
  <c r="E285" i="1"/>
  <c r="F285" i="1"/>
  <c r="G285" i="1"/>
  <c r="H285" i="1"/>
  <c r="B286" i="1"/>
  <c r="C286" i="1"/>
  <c r="D286" i="1"/>
  <c r="E286" i="1"/>
  <c r="F286" i="1"/>
  <c r="G286" i="1"/>
  <c r="H286" i="1"/>
  <c r="B287" i="1"/>
  <c r="C287" i="1"/>
  <c r="D287" i="1"/>
  <c r="E287" i="1"/>
  <c r="F287" i="1"/>
  <c r="G287" i="1"/>
  <c r="H287" i="1"/>
  <c r="B288" i="1"/>
  <c r="C288" i="1"/>
  <c r="D288" i="1"/>
  <c r="E288" i="1"/>
  <c r="F288" i="1"/>
  <c r="G288" i="1"/>
  <c r="H288" i="1"/>
  <c r="B289" i="1"/>
  <c r="C289" i="1"/>
  <c r="D289" i="1"/>
  <c r="E289" i="1"/>
  <c r="F289" i="1"/>
  <c r="G289" i="1"/>
  <c r="H289" i="1"/>
  <c r="B290" i="1"/>
  <c r="C290" i="1"/>
  <c r="D290" i="1"/>
  <c r="E290" i="1"/>
  <c r="F290" i="1"/>
  <c r="G290" i="1"/>
  <c r="H290" i="1"/>
  <c r="B291" i="1"/>
  <c r="C291" i="1"/>
  <c r="D291" i="1"/>
  <c r="E291" i="1"/>
  <c r="F291" i="1"/>
  <c r="G291" i="1"/>
  <c r="H291" i="1"/>
  <c r="B292" i="1"/>
  <c r="C292" i="1"/>
  <c r="D292" i="1"/>
  <c r="E292" i="1"/>
  <c r="F292" i="1"/>
  <c r="G292" i="1"/>
  <c r="H292" i="1"/>
  <c r="B293" i="1"/>
  <c r="C293" i="1"/>
  <c r="D293" i="1"/>
  <c r="E293" i="1"/>
  <c r="F293" i="1"/>
  <c r="G293" i="1"/>
  <c r="H293" i="1"/>
  <c r="B294" i="1"/>
  <c r="C294" i="1"/>
  <c r="D294" i="1"/>
  <c r="E294" i="1"/>
  <c r="F294" i="1"/>
  <c r="G294" i="1"/>
  <c r="H294" i="1"/>
  <c r="B295" i="1"/>
  <c r="C295" i="1"/>
  <c r="D295" i="1"/>
  <c r="E295" i="1"/>
  <c r="F295" i="1"/>
  <c r="G295" i="1"/>
  <c r="H295" i="1"/>
  <c r="B296" i="1"/>
  <c r="C296" i="1"/>
  <c r="D296" i="1"/>
  <c r="E296" i="1"/>
  <c r="F296" i="1"/>
  <c r="G296" i="1"/>
  <c r="H296" i="1"/>
  <c r="B297" i="1"/>
  <c r="C297" i="1"/>
  <c r="D297" i="1"/>
  <c r="E297" i="1"/>
  <c r="F297" i="1"/>
  <c r="G297" i="1"/>
  <c r="H297" i="1"/>
  <c r="B298" i="1"/>
  <c r="C298" i="1"/>
  <c r="D298" i="1"/>
  <c r="E298" i="1"/>
  <c r="F298" i="1"/>
  <c r="G298" i="1"/>
  <c r="H298" i="1"/>
  <c r="B299" i="1"/>
  <c r="C299" i="1"/>
  <c r="D299" i="1"/>
  <c r="E299" i="1"/>
  <c r="F299" i="1"/>
  <c r="G299" i="1"/>
  <c r="H299" i="1"/>
  <c r="B300" i="1"/>
  <c r="C300" i="1"/>
  <c r="D300" i="1"/>
  <c r="E300" i="1"/>
  <c r="F300" i="1"/>
  <c r="G300" i="1"/>
  <c r="H300" i="1"/>
  <c r="B301" i="1"/>
  <c r="C301" i="1"/>
  <c r="D301" i="1"/>
  <c r="E301" i="1"/>
  <c r="F301" i="1"/>
  <c r="G301" i="1"/>
  <c r="H301" i="1"/>
  <c r="L34" i="1"/>
  <c r="N34" i="1"/>
  <c r="P34" i="1"/>
  <c r="R34" i="1"/>
  <c r="T34" i="1"/>
  <c r="V34" i="1"/>
  <c r="J35" i="1"/>
  <c r="L35" i="1"/>
  <c r="N35" i="1"/>
  <c r="P35" i="1"/>
  <c r="R35" i="1"/>
  <c r="T35" i="1"/>
  <c r="V35" i="1"/>
  <c r="J36" i="1"/>
  <c r="L36" i="1"/>
  <c r="N36" i="1"/>
  <c r="P36" i="1"/>
  <c r="R36" i="1"/>
  <c r="T36" i="1"/>
  <c r="V36" i="1"/>
  <c r="J37" i="1"/>
  <c r="L37" i="1"/>
  <c r="N37" i="1"/>
  <c r="P37" i="1"/>
  <c r="R37" i="1"/>
  <c r="T37" i="1"/>
  <c r="V37" i="1"/>
  <c r="J39" i="1"/>
  <c r="L39" i="1"/>
  <c r="N39" i="1"/>
  <c r="P39" i="1"/>
  <c r="R39" i="1"/>
  <c r="T39" i="1"/>
  <c r="V39" i="1"/>
  <c r="J40" i="1"/>
  <c r="L40" i="1"/>
  <c r="N40" i="1"/>
  <c r="P40" i="1"/>
  <c r="R40" i="1"/>
  <c r="T40" i="1"/>
  <c r="V40" i="1"/>
  <c r="J41" i="1"/>
  <c r="L41" i="1"/>
  <c r="N41" i="1"/>
  <c r="P41" i="1"/>
  <c r="R41" i="1"/>
  <c r="T41" i="1"/>
  <c r="V41" i="1"/>
  <c r="J42" i="1"/>
  <c r="L42" i="1"/>
  <c r="N42" i="1"/>
  <c r="P42" i="1"/>
  <c r="R42" i="1"/>
  <c r="T42" i="1"/>
  <c r="V42" i="1"/>
  <c r="J43" i="1"/>
  <c r="L43" i="1"/>
  <c r="N43" i="1"/>
  <c r="P43" i="1"/>
  <c r="R43" i="1"/>
  <c r="T43" i="1"/>
  <c r="V43" i="1"/>
  <c r="J44" i="1"/>
  <c r="L44" i="1"/>
  <c r="N44" i="1"/>
  <c r="P44" i="1"/>
  <c r="R44" i="1"/>
  <c r="T44" i="1"/>
  <c r="V44" i="1"/>
  <c r="J45" i="1"/>
  <c r="L45" i="1"/>
  <c r="N45" i="1"/>
  <c r="P45" i="1"/>
  <c r="R45" i="1"/>
  <c r="T45" i="1"/>
  <c r="V45" i="1"/>
  <c r="E38" i="6"/>
  <c r="M38" i="6"/>
  <c r="K38" i="6"/>
  <c r="J46" i="1"/>
  <c r="H38" i="6"/>
  <c r="P38" i="6"/>
  <c r="G38" i="6"/>
  <c r="F38" i="6"/>
  <c r="L46" i="1"/>
  <c r="AE38" i="6"/>
  <c r="N46" i="1"/>
  <c r="AQ38" i="6"/>
  <c r="J38" i="6"/>
  <c r="P46" i="1"/>
  <c r="W38" i="6"/>
  <c r="AT38" i="6"/>
  <c r="O38" i="6"/>
  <c r="R46" i="1"/>
  <c r="AL38" i="6"/>
  <c r="AI38" i="6"/>
  <c r="Y38" i="6"/>
  <c r="T46" i="1"/>
  <c r="AO38" i="6"/>
  <c r="AN38" i="6"/>
  <c r="V46" i="1"/>
  <c r="J51" i="1"/>
  <c r="L51" i="1"/>
  <c r="N51" i="1"/>
  <c r="P51" i="1"/>
  <c r="R51" i="1"/>
  <c r="T51" i="1"/>
  <c r="V51" i="1"/>
  <c r="J52" i="1"/>
  <c r="L52" i="1"/>
  <c r="N52" i="1"/>
  <c r="P52" i="1"/>
  <c r="R52" i="1"/>
  <c r="T52" i="1"/>
  <c r="V52" i="1"/>
  <c r="J53" i="1"/>
  <c r="L53" i="1"/>
  <c r="N53" i="1"/>
  <c r="P53" i="1"/>
  <c r="R53" i="1"/>
  <c r="T53" i="1"/>
  <c r="V53" i="1"/>
  <c r="J54" i="1"/>
  <c r="L54" i="1"/>
  <c r="N54" i="1"/>
  <c r="P54" i="1"/>
  <c r="R54" i="1"/>
  <c r="T54" i="1"/>
  <c r="V54" i="1"/>
  <c r="C47" i="6"/>
  <c r="E47" i="6"/>
  <c r="M47" i="6"/>
  <c r="K47" i="6"/>
  <c r="J55" i="1"/>
  <c r="H47" i="6"/>
  <c r="P47" i="6"/>
  <c r="G47" i="6"/>
  <c r="F47" i="6"/>
  <c r="L55" i="1"/>
  <c r="AE47" i="6"/>
  <c r="N55" i="1"/>
  <c r="AQ47" i="6"/>
  <c r="J47" i="6"/>
  <c r="P55" i="1"/>
  <c r="W47" i="6"/>
  <c r="AT47" i="6"/>
  <c r="O47" i="6"/>
  <c r="R55" i="1"/>
  <c r="AL47" i="6"/>
  <c r="AI47" i="6"/>
  <c r="Y47" i="6"/>
  <c r="T55" i="1"/>
  <c r="AO47" i="6"/>
  <c r="AN47" i="6"/>
  <c r="V55" i="1"/>
  <c r="J56" i="1"/>
  <c r="L56" i="1"/>
  <c r="N56" i="1"/>
  <c r="P56" i="1"/>
  <c r="R56" i="1"/>
  <c r="T56" i="1"/>
  <c r="V56" i="1"/>
  <c r="J57" i="1"/>
  <c r="L57" i="1"/>
  <c r="N57" i="1"/>
  <c r="P57" i="1"/>
  <c r="R57" i="1"/>
  <c r="T57" i="1"/>
  <c r="V57" i="1"/>
  <c r="C50" i="6"/>
  <c r="E50" i="6"/>
  <c r="M50" i="6"/>
  <c r="K50" i="6"/>
  <c r="J58" i="1"/>
  <c r="H50" i="6"/>
  <c r="P50" i="6"/>
  <c r="G50" i="6"/>
  <c r="F50" i="6"/>
  <c r="L58" i="1"/>
  <c r="AE50" i="6"/>
  <c r="N58" i="1"/>
  <c r="AQ50" i="6"/>
  <c r="P58" i="1"/>
  <c r="W50" i="6"/>
  <c r="AT50" i="6"/>
  <c r="J50" i="6"/>
  <c r="O50" i="6"/>
  <c r="R58" i="1"/>
  <c r="AL50" i="6"/>
  <c r="AI50" i="6"/>
  <c r="Y50" i="6"/>
  <c r="T58" i="1"/>
  <c r="AO50" i="6"/>
  <c r="AN50" i="6"/>
  <c r="V58" i="1"/>
  <c r="C51" i="6"/>
  <c r="E51" i="6"/>
  <c r="M51" i="6"/>
  <c r="K51" i="6"/>
  <c r="J59" i="1"/>
  <c r="H51" i="6"/>
  <c r="P51" i="6"/>
  <c r="G51" i="6"/>
  <c r="F51" i="6"/>
  <c r="L59" i="1"/>
  <c r="AE51" i="6"/>
  <c r="N59" i="1"/>
  <c r="AQ51" i="6"/>
  <c r="J51" i="6"/>
  <c r="P59" i="1"/>
  <c r="W51" i="6"/>
  <c r="AT51" i="6"/>
  <c r="O51" i="6"/>
  <c r="R59" i="1"/>
  <c r="AL51" i="6"/>
  <c r="AI51" i="6"/>
  <c r="Y51" i="6"/>
  <c r="T59" i="1"/>
  <c r="AO51" i="6"/>
  <c r="AN51" i="6"/>
  <c r="V59" i="1"/>
  <c r="J27" i="1"/>
  <c r="L27" i="1"/>
  <c r="N27" i="1"/>
  <c r="P27" i="1"/>
  <c r="R27" i="1"/>
  <c r="T27" i="1"/>
  <c r="V27" i="1"/>
  <c r="J28" i="1"/>
  <c r="L28" i="1"/>
  <c r="N28" i="1"/>
  <c r="P28" i="1"/>
  <c r="R28" i="1"/>
  <c r="T28" i="1"/>
  <c r="V28" i="1"/>
  <c r="J29" i="1"/>
  <c r="L29" i="1"/>
  <c r="N29" i="1"/>
  <c r="P29" i="1"/>
  <c r="R29" i="1"/>
  <c r="T29" i="1"/>
  <c r="V29" i="1"/>
  <c r="J30" i="1"/>
  <c r="L30" i="1"/>
  <c r="N30" i="1"/>
  <c r="P30" i="1"/>
  <c r="R30" i="1"/>
  <c r="T30" i="1"/>
  <c r="V30" i="1"/>
  <c r="J31" i="1"/>
  <c r="L31" i="1"/>
  <c r="N31" i="1"/>
  <c r="P31" i="1"/>
  <c r="R31" i="1"/>
  <c r="T31" i="1"/>
  <c r="V31" i="1"/>
  <c r="J32" i="1"/>
  <c r="L32" i="1"/>
  <c r="N32" i="1"/>
  <c r="P32" i="1"/>
  <c r="R32" i="1"/>
  <c r="T32" i="1"/>
  <c r="V32" i="1"/>
  <c r="J33" i="1"/>
  <c r="L33" i="1"/>
  <c r="N33" i="1"/>
  <c r="P33" i="1"/>
  <c r="R33" i="1"/>
  <c r="T33" i="1"/>
  <c r="V33" i="1"/>
  <c r="H35" i="1"/>
  <c r="H36" i="1"/>
  <c r="H37" i="1"/>
  <c r="H39" i="1"/>
  <c r="H40" i="1"/>
  <c r="H41" i="1"/>
  <c r="H42" i="1"/>
  <c r="H43" i="1"/>
  <c r="H44" i="1"/>
  <c r="H45" i="1"/>
  <c r="H46" i="1"/>
  <c r="H51" i="1"/>
  <c r="H52" i="1"/>
  <c r="H53" i="1"/>
  <c r="H54" i="1"/>
  <c r="H55" i="1"/>
  <c r="H56" i="1"/>
  <c r="H57" i="1"/>
  <c r="H58" i="1"/>
  <c r="H59" i="1"/>
  <c r="AN9" i="1"/>
  <c r="AN10" i="1"/>
  <c r="AN11" i="1"/>
  <c r="AN12" i="1"/>
  <c r="AR5" i="1"/>
  <c r="AS5" i="1"/>
  <c r="AT5" i="1"/>
  <c r="AT12" i="1"/>
  <c r="AS12" i="1"/>
  <c r="AR12" i="1"/>
  <c r="AQ12" i="1"/>
  <c r="AP12" i="1"/>
  <c r="AT11" i="1"/>
  <c r="AS11" i="1"/>
  <c r="AR11" i="1"/>
  <c r="AQ11" i="1"/>
  <c r="AP11" i="1"/>
  <c r="AT10" i="1"/>
  <c r="AS10" i="1"/>
  <c r="AR10" i="1"/>
  <c r="AQ10" i="1"/>
  <c r="AP10" i="1"/>
  <c r="AT9" i="1"/>
  <c r="AS9" i="1"/>
  <c r="AR9" i="1"/>
  <c r="AQ9" i="1"/>
  <c r="AP9" i="1"/>
  <c r="AN8" i="1"/>
  <c r="AT8" i="1"/>
  <c r="AS8" i="1"/>
  <c r="AR8" i="1"/>
  <c r="AQ8" i="1"/>
  <c r="AP8" i="1"/>
  <c r="AN7" i="1"/>
  <c r="AT7" i="1"/>
  <c r="AS7" i="1"/>
  <c r="AR7" i="1"/>
  <c r="AQ7" i="1"/>
  <c r="AP7" i="1"/>
  <c r="AN6" i="1"/>
  <c r="AT6" i="1"/>
  <c r="AS6" i="1"/>
  <c r="AR6" i="1"/>
  <c r="AQ6" i="1"/>
  <c r="AP6" i="1"/>
  <c r="AO12" i="1"/>
  <c r="AO11" i="1"/>
  <c r="AO10" i="1"/>
  <c r="AO9" i="1"/>
  <c r="AO8" i="1"/>
  <c r="AO7" i="1"/>
  <c r="AG6" i="1"/>
  <c r="AN18" i="5"/>
  <c r="AK25" i="14"/>
  <c r="AJ11" i="1"/>
  <c r="AK22" i="14"/>
  <c r="AK21" i="14"/>
  <c r="AK20" i="14"/>
  <c r="AN19" i="5"/>
  <c r="AN17" i="5"/>
  <c r="AN16" i="5"/>
  <c r="AK23" i="14"/>
  <c r="AK24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B81" i="1"/>
  <c r="B80" i="1"/>
  <c r="BC50" i="6"/>
  <c r="BB50" i="6"/>
  <c r="BA50" i="6"/>
  <c r="AZ50" i="6"/>
  <c r="AW50" i="6"/>
  <c r="AU50" i="6"/>
  <c r="AR50" i="6"/>
  <c r="AP50" i="6"/>
  <c r="AM50" i="6"/>
  <c r="AK50" i="6"/>
  <c r="AJ50" i="6"/>
  <c r="AH50" i="6"/>
  <c r="AG50" i="6"/>
  <c r="AF50" i="6"/>
  <c r="AD50" i="6"/>
  <c r="AC50" i="6"/>
  <c r="AB50" i="6"/>
  <c r="AA50" i="6"/>
  <c r="Z50" i="6"/>
  <c r="X50" i="6"/>
  <c r="V50" i="6"/>
  <c r="U50" i="6"/>
  <c r="T50" i="6"/>
  <c r="S50" i="6"/>
  <c r="R50" i="6"/>
  <c r="Q50" i="6"/>
  <c r="N50" i="6"/>
  <c r="L50" i="6"/>
  <c r="I50" i="6"/>
  <c r="D50" i="6"/>
  <c r="H27" i="1"/>
  <c r="AK10" i="14"/>
  <c r="AP10" i="5"/>
  <c r="AN10" i="5"/>
  <c r="AK8" i="14"/>
  <c r="AN8" i="5"/>
  <c r="H28" i="1"/>
  <c r="H29" i="1"/>
  <c r="H30" i="1"/>
  <c r="H31" i="1"/>
  <c r="H32" i="1"/>
  <c r="H33" i="1"/>
  <c r="H34" i="1"/>
  <c r="J19" i="1"/>
  <c r="L19" i="1"/>
  <c r="N19" i="1"/>
  <c r="P19" i="1"/>
  <c r="R19" i="1"/>
  <c r="T19" i="1"/>
  <c r="V19" i="1"/>
  <c r="J20" i="1"/>
  <c r="L20" i="1"/>
  <c r="N20" i="1"/>
  <c r="P20" i="1"/>
  <c r="R20" i="1"/>
  <c r="T20" i="1"/>
  <c r="V20" i="1"/>
  <c r="J21" i="1"/>
  <c r="L21" i="1"/>
  <c r="N21" i="1"/>
  <c r="P21" i="1"/>
  <c r="R21" i="1"/>
  <c r="T21" i="1"/>
  <c r="V21" i="1"/>
  <c r="J22" i="1"/>
  <c r="L22" i="1"/>
  <c r="N22" i="1"/>
  <c r="P22" i="1"/>
  <c r="R22" i="1"/>
  <c r="T22" i="1"/>
  <c r="V22" i="1"/>
  <c r="J23" i="1"/>
  <c r="L23" i="1"/>
  <c r="N23" i="1"/>
  <c r="P23" i="1"/>
  <c r="R23" i="1"/>
  <c r="T23" i="1"/>
  <c r="V23" i="1"/>
  <c r="AK15" i="14"/>
  <c r="AK13" i="14"/>
  <c r="J24" i="1"/>
  <c r="AK18" i="14"/>
  <c r="AK16" i="14"/>
  <c r="L24" i="1"/>
  <c r="N24" i="1"/>
  <c r="P24" i="1"/>
  <c r="R24" i="1"/>
  <c r="T24" i="1"/>
  <c r="V24" i="1"/>
  <c r="J25" i="1"/>
  <c r="L25" i="1"/>
  <c r="N25" i="1"/>
  <c r="P25" i="1"/>
  <c r="R25" i="1"/>
  <c r="T25" i="1"/>
  <c r="V25" i="1"/>
  <c r="H20" i="1"/>
  <c r="H21" i="1"/>
  <c r="H22" i="1"/>
  <c r="H23" i="1"/>
  <c r="H24" i="1"/>
  <c r="H25" i="1"/>
  <c r="H19" i="1"/>
  <c r="AK17" i="14"/>
  <c r="AK12" i="14"/>
  <c r="AP12" i="5"/>
  <c r="AN12" i="5"/>
  <c r="AP17" i="5"/>
  <c r="AP16" i="5"/>
  <c r="AK14" i="14"/>
  <c r="AN14" i="5"/>
  <c r="AK19" i="14"/>
  <c r="AP14" i="5"/>
  <c r="AK11" i="14"/>
  <c r="AN11" i="5"/>
  <c r="AP11" i="5"/>
  <c r="AK9" i="14"/>
  <c r="AN9" i="5"/>
  <c r="AP9" i="5"/>
  <c r="AP8" i="5"/>
  <c r="AK7" i="14"/>
  <c r="G22" i="2"/>
  <c r="H22" i="2"/>
  <c r="J95" i="2"/>
  <c r="U95" i="2"/>
  <c r="K95" i="2"/>
  <c r="V95" i="2"/>
  <c r="C22" i="2"/>
  <c r="J22" i="2"/>
  <c r="I22" i="2"/>
  <c r="K22" i="2"/>
  <c r="M6" i="5"/>
  <c r="N6" i="5"/>
  <c r="O6" i="5"/>
  <c r="P6" i="5"/>
  <c r="Q6" i="5"/>
  <c r="R6" i="5"/>
  <c r="Z6" i="5"/>
  <c r="AP6" i="5"/>
  <c r="AB6" i="5"/>
  <c r="AN6" i="5"/>
  <c r="S6" i="5"/>
  <c r="T6" i="5"/>
  <c r="U6" i="5"/>
  <c r="K6" i="14"/>
  <c r="L6" i="14"/>
  <c r="M6" i="14"/>
  <c r="N6" i="14"/>
  <c r="O6" i="14"/>
  <c r="W6" i="14"/>
  <c r="AM6" i="14"/>
  <c r="AK6" i="14"/>
  <c r="Y6" i="14"/>
  <c r="AF6" i="14"/>
  <c r="Q6" i="14"/>
  <c r="R6" i="14"/>
  <c r="P6" i="14"/>
  <c r="S6" i="14"/>
  <c r="D21" i="2"/>
  <c r="E21" i="2"/>
  <c r="F21" i="2"/>
  <c r="G21" i="2"/>
  <c r="H21" i="2"/>
  <c r="J94" i="2"/>
  <c r="U94" i="2"/>
  <c r="K94" i="2"/>
  <c r="V94" i="2"/>
  <c r="C21" i="2"/>
  <c r="J21" i="2"/>
  <c r="I21" i="2"/>
  <c r="K21" i="2"/>
  <c r="M5" i="5"/>
  <c r="N5" i="5"/>
  <c r="O5" i="5"/>
  <c r="P5" i="5"/>
  <c r="Q5" i="5"/>
  <c r="R5" i="5"/>
  <c r="Z5" i="5"/>
  <c r="AP5" i="5"/>
  <c r="AB5" i="5"/>
  <c r="AN5" i="5"/>
  <c r="S5" i="5"/>
  <c r="T5" i="5"/>
  <c r="U5" i="5"/>
  <c r="K5" i="14"/>
  <c r="L5" i="14"/>
  <c r="M5" i="14"/>
  <c r="N5" i="14"/>
  <c r="O5" i="14"/>
  <c r="W5" i="14"/>
  <c r="AM5" i="14"/>
  <c r="AK5" i="14"/>
  <c r="Y5" i="14"/>
  <c r="AF5" i="14"/>
  <c r="Q5" i="14"/>
  <c r="R5" i="14"/>
  <c r="P5" i="14"/>
  <c r="S5" i="14"/>
  <c r="L38" i="6"/>
  <c r="AG51" i="6"/>
  <c r="AB51" i="6"/>
  <c r="R51" i="6"/>
  <c r="BC51" i="6"/>
  <c r="BB51" i="6"/>
  <c r="BA51" i="6"/>
  <c r="AZ51" i="6"/>
  <c r="AW51" i="6"/>
  <c r="AU51" i="6"/>
  <c r="AR51" i="6"/>
  <c r="AP51" i="6"/>
  <c r="AM51" i="6"/>
  <c r="AK51" i="6"/>
  <c r="AJ51" i="6"/>
  <c r="AH51" i="6"/>
  <c r="AF51" i="6"/>
  <c r="AD51" i="6"/>
  <c r="AC51" i="6"/>
  <c r="AA51" i="6"/>
  <c r="Z51" i="6"/>
  <c r="X51" i="6"/>
  <c r="V51" i="6"/>
  <c r="U51" i="6"/>
  <c r="T51" i="6"/>
  <c r="S51" i="6"/>
  <c r="Q51" i="6"/>
  <c r="N51" i="6"/>
  <c r="L51" i="6"/>
  <c r="I51" i="6"/>
  <c r="D51" i="6"/>
  <c r="AA12" i="5"/>
  <c r="AA10" i="5"/>
  <c r="AA11" i="5"/>
  <c r="AA14" i="5"/>
  <c r="AJ4" i="1"/>
  <c r="AJ13" i="1"/>
  <c r="AX14" i="5"/>
  <c r="AX16" i="5"/>
  <c r="AA16" i="5"/>
  <c r="AX17" i="5"/>
  <c r="AA17" i="5"/>
  <c r="AU18" i="14"/>
  <c r="X18" i="14"/>
  <c r="AB13" i="14"/>
  <c r="AA13" i="14"/>
  <c r="AU13" i="14"/>
  <c r="X13" i="14"/>
  <c r="AU14" i="14"/>
  <c r="X14" i="14"/>
  <c r="AU41" i="14"/>
  <c r="X41" i="14"/>
  <c r="X40" i="14"/>
  <c r="AL4" i="1"/>
  <c r="AL11" i="1"/>
  <c r="AL12" i="1"/>
  <c r="AL13" i="1"/>
  <c r="AL14" i="1"/>
  <c r="AL15" i="1"/>
  <c r="AK4" i="1"/>
  <c r="AK11" i="1"/>
  <c r="AK12" i="1"/>
  <c r="AK13" i="1"/>
  <c r="AK14" i="1"/>
  <c r="AK15" i="1"/>
  <c r="AJ12" i="1"/>
  <c r="AJ14" i="1"/>
  <c r="AJ15" i="1"/>
  <c r="AL5" i="1"/>
  <c r="AP18" i="1"/>
  <c r="AK5" i="1"/>
  <c r="AP17" i="1"/>
  <c r="AP16" i="1"/>
  <c r="AN17" i="1"/>
  <c r="AN18" i="1"/>
  <c r="AN16" i="1"/>
  <c r="AX12" i="5"/>
  <c r="AB64" i="14"/>
  <c r="AA64" i="14"/>
  <c r="AU64" i="14"/>
  <c r="X64" i="14"/>
  <c r="AU37" i="14"/>
  <c r="X37" i="14"/>
  <c r="AU65" i="14"/>
  <c r="X65" i="14"/>
  <c r="AB63" i="14"/>
  <c r="AA63" i="14"/>
  <c r="AU63" i="14"/>
  <c r="X63" i="14"/>
  <c r="AU36" i="14"/>
  <c r="X36" i="14"/>
  <c r="AB62" i="14"/>
  <c r="AA62" i="14"/>
  <c r="AU62" i="14"/>
  <c r="X62" i="14"/>
  <c r="AU35" i="14"/>
  <c r="X35" i="14"/>
  <c r="AB61" i="14"/>
  <c r="AA61" i="14"/>
  <c r="AU61" i="14"/>
  <c r="X61" i="14"/>
  <c r="AU34" i="14"/>
  <c r="X34" i="14"/>
  <c r="AB60" i="14"/>
  <c r="AA60" i="14"/>
  <c r="AU60" i="14"/>
  <c r="X60" i="14"/>
  <c r="AU33" i="14"/>
  <c r="X33" i="14"/>
  <c r="AB59" i="14"/>
  <c r="AA59" i="14"/>
  <c r="AU59" i="14"/>
  <c r="X59" i="14"/>
  <c r="AU32" i="14"/>
  <c r="X32" i="14"/>
  <c r="AB58" i="14"/>
  <c r="AA58" i="14"/>
  <c r="AU58" i="14"/>
  <c r="X58" i="14"/>
  <c r="AU31" i="14"/>
  <c r="X31" i="14"/>
  <c r="AB57" i="14"/>
  <c r="AA57" i="14"/>
  <c r="AU57" i="14"/>
  <c r="X57" i="14"/>
  <c r="AU30" i="14"/>
  <c r="X30" i="14"/>
  <c r="AB56" i="14"/>
  <c r="AA56" i="14"/>
  <c r="AU56" i="14"/>
  <c r="X56" i="14"/>
  <c r="AU29" i="14"/>
  <c r="X29" i="14"/>
  <c r="AB55" i="14"/>
  <c r="AA55" i="14"/>
  <c r="AU55" i="14"/>
  <c r="X55" i="14"/>
  <c r="AU28" i="14"/>
  <c r="X28" i="14"/>
  <c r="AB54" i="14"/>
  <c r="AA54" i="14"/>
  <c r="AU54" i="14"/>
  <c r="X54" i="14"/>
  <c r="AU27" i="14"/>
  <c r="X27" i="14"/>
  <c r="AB53" i="14"/>
  <c r="AA53" i="14"/>
  <c r="AU53" i="14"/>
  <c r="X53" i="14"/>
  <c r="AU26" i="14"/>
  <c r="X26" i="14"/>
  <c r="AB52" i="14"/>
  <c r="AA52" i="14"/>
  <c r="AU52" i="14"/>
  <c r="X52" i="14"/>
  <c r="AU25" i="14"/>
  <c r="X25" i="14"/>
  <c r="AB51" i="14"/>
  <c r="AA51" i="14"/>
  <c r="AU51" i="14"/>
  <c r="X51" i="14"/>
  <c r="AU24" i="14"/>
  <c r="X24" i="14"/>
  <c r="AB50" i="14"/>
  <c r="AA50" i="14"/>
  <c r="AU50" i="14"/>
  <c r="X50" i="14"/>
  <c r="AU23" i="14"/>
  <c r="X23" i="14"/>
  <c r="AB49" i="14"/>
  <c r="AA49" i="14"/>
  <c r="AU49" i="14"/>
  <c r="X49" i="14"/>
  <c r="AU22" i="14"/>
  <c r="X22" i="14"/>
  <c r="AB48" i="14"/>
  <c r="AA48" i="14"/>
  <c r="AU48" i="14"/>
  <c r="X48" i="14"/>
  <c r="AU21" i="14"/>
  <c r="X21" i="14"/>
  <c r="AB47" i="14"/>
  <c r="AA47" i="14"/>
  <c r="AU47" i="14"/>
  <c r="X47" i="14"/>
  <c r="AU20" i="14"/>
  <c r="X20" i="14"/>
  <c r="AB46" i="14"/>
  <c r="AA46" i="14"/>
  <c r="AU46" i="14"/>
  <c r="X46" i="14"/>
  <c r="AU19" i="14"/>
  <c r="X19" i="14"/>
  <c r="AB45" i="14"/>
  <c r="AA45" i="14"/>
  <c r="AU45" i="14"/>
  <c r="X45" i="14"/>
  <c r="AB44" i="14"/>
  <c r="AA44" i="14"/>
  <c r="AU44" i="14"/>
  <c r="X44" i="14"/>
  <c r="AU17" i="14"/>
  <c r="X17" i="14"/>
  <c r="AB43" i="14"/>
  <c r="AA43" i="14"/>
  <c r="AU43" i="14"/>
  <c r="X43" i="14"/>
  <c r="AU16" i="14"/>
  <c r="X16" i="14"/>
  <c r="AB42" i="14"/>
  <c r="AA42" i="14"/>
  <c r="AU42" i="14"/>
  <c r="X42" i="14"/>
  <c r="AU15" i="14"/>
  <c r="X15" i="14"/>
  <c r="AB41" i="14"/>
  <c r="AA41" i="14"/>
  <c r="AB40" i="14"/>
  <c r="AA40" i="14"/>
  <c r="AU40" i="14"/>
  <c r="AB39" i="14"/>
  <c r="AA39" i="14"/>
  <c r="AU39" i="14"/>
  <c r="X39" i="14"/>
  <c r="AU12" i="14"/>
  <c r="X12" i="14"/>
  <c r="AB38" i="14"/>
  <c r="AA38" i="14"/>
  <c r="AU38" i="14"/>
  <c r="X38" i="14"/>
  <c r="AX11" i="5"/>
  <c r="AU11" i="14"/>
  <c r="X11" i="14"/>
  <c r="AB37" i="14"/>
  <c r="AA37" i="14"/>
  <c r="AX10" i="5"/>
  <c r="AU10" i="14"/>
  <c r="X10" i="14"/>
  <c r="AB36" i="14"/>
  <c r="AA36" i="14"/>
  <c r="AX9" i="5"/>
  <c r="AA9" i="5"/>
  <c r="AU9" i="14"/>
  <c r="X9" i="14"/>
  <c r="AB35" i="14"/>
  <c r="AA35" i="14"/>
  <c r="AX8" i="5"/>
  <c r="AA8" i="5"/>
  <c r="AU8" i="14"/>
  <c r="X8" i="14"/>
  <c r="AB34" i="14"/>
  <c r="AA34" i="14"/>
  <c r="AU7" i="14"/>
  <c r="X7" i="14"/>
  <c r="AB33" i="14"/>
  <c r="AA33" i="14"/>
  <c r="AX6" i="5"/>
  <c r="AA6" i="5"/>
  <c r="AU6" i="14"/>
  <c r="X6" i="14"/>
  <c r="AB32" i="14"/>
  <c r="AA32" i="14"/>
  <c r="AX5" i="5"/>
  <c r="AA5" i="5"/>
  <c r="AU5" i="14"/>
  <c r="X5" i="14"/>
  <c r="AB31" i="14"/>
  <c r="AA31" i="14"/>
  <c r="AB30" i="14"/>
  <c r="AA30" i="14"/>
  <c r="AB29" i="14"/>
  <c r="AA29" i="14"/>
  <c r="AB28" i="14"/>
  <c r="AA28" i="14"/>
  <c r="AB27" i="14"/>
  <c r="AA27" i="14"/>
  <c r="AB26" i="14"/>
  <c r="AA26" i="14"/>
  <c r="AB25" i="14"/>
  <c r="AA25" i="14"/>
  <c r="AB24" i="14"/>
  <c r="AA24" i="14"/>
  <c r="AB23" i="14"/>
  <c r="AA23" i="14"/>
  <c r="AB22" i="14"/>
  <c r="AA22" i="14"/>
  <c r="AB21" i="14"/>
  <c r="AA21" i="14"/>
  <c r="AB20" i="14"/>
  <c r="AA20" i="14"/>
  <c r="AB19" i="14"/>
  <c r="AA19" i="14"/>
  <c r="AB18" i="14"/>
  <c r="AA18" i="14"/>
  <c r="AB17" i="14"/>
  <c r="AA17" i="14"/>
  <c r="AB16" i="14"/>
  <c r="AA16" i="14"/>
  <c r="AB15" i="14"/>
  <c r="AA15" i="14"/>
  <c r="AB14" i="14"/>
  <c r="AA14" i="14"/>
  <c r="AB12" i="14"/>
  <c r="AA12" i="14"/>
  <c r="AB11" i="14"/>
  <c r="AA11" i="14"/>
  <c r="AB10" i="14"/>
  <c r="AA10" i="14"/>
  <c r="AB9" i="14"/>
  <c r="AA9" i="14"/>
  <c r="AB8" i="14"/>
  <c r="AA8" i="14"/>
  <c r="AB7" i="14"/>
  <c r="AA7" i="14"/>
  <c r="AB6" i="14"/>
  <c r="AA6" i="14"/>
  <c r="AB5" i="14"/>
  <c r="AA5" i="14"/>
  <c r="AB65" i="14"/>
  <c r="AA65" i="14"/>
  <c r="M20" i="5"/>
  <c r="N20" i="5"/>
  <c r="O20" i="5"/>
  <c r="P20" i="5"/>
  <c r="Q20" i="5"/>
  <c r="R20" i="5"/>
  <c r="Z20" i="5"/>
  <c r="AY20" i="5"/>
  <c r="AB20" i="5"/>
  <c r="AN20" i="5"/>
  <c r="AP20" i="5"/>
  <c r="AX20" i="5"/>
  <c r="AA20" i="5"/>
  <c r="S20" i="5"/>
  <c r="T20" i="5"/>
  <c r="U20" i="5"/>
  <c r="AY19" i="5"/>
  <c r="AP19" i="5"/>
  <c r="AX19" i="5"/>
  <c r="AA19" i="5"/>
  <c r="AY18" i="5"/>
  <c r="AP18" i="5"/>
  <c r="AX18" i="5"/>
  <c r="AA18" i="5"/>
  <c r="AY17" i="5"/>
  <c r="AY16" i="5"/>
  <c r="AV10" i="5"/>
  <c r="AY10" i="5"/>
  <c r="AT65" i="14"/>
  <c r="AT62" i="14"/>
  <c r="E63" i="8"/>
  <c r="AT64" i="14"/>
  <c r="AT61" i="14"/>
  <c r="E62" i="8"/>
  <c r="AT63" i="14"/>
  <c r="AT60" i="14"/>
  <c r="E61" i="8"/>
  <c r="AT59" i="14"/>
  <c r="E60" i="8"/>
  <c r="AT58" i="14"/>
  <c r="E59" i="8"/>
  <c r="AT57" i="14"/>
  <c r="E58" i="8"/>
  <c r="AT56" i="14"/>
  <c r="E57" i="8"/>
  <c r="AT55" i="14"/>
  <c r="E56" i="8"/>
  <c r="AT54" i="14"/>
  <c r="E55" i="8"/>
  <c r="AT53" i="14"/>
  <c r="E54" i="8"/>
  <c r="AT52" i="14"/>
  <c r="E53" i="8"/>
  <c r="AT51" i="14"/>
  <c r="E52" i="8"/>
  <c r="AT50" i="14"/>
  <c r="E51" i="8"/>
  <c r="AT49" i="14"/>
  <c r="E50" i="8"/>
  <c r="AT48" i="14"/>
  <c r="E49" i="8"/>
  <c r="AT47" i="14"/>
  <c r="E48" i="8"/>
  <c r="AT46" i="14"/>
  <c r="E47" i="8"/>
  <c r="AT45" i="14"/>
  <c r="E46" i="8"/>
  <c r="AT44" i="14"/>
  <c r="E45" i="8"/>
  <c r="AT43" i="14"/>
  <c r="E44" i="8"/>
  <c r="AT42" i="14"/>
  <c r="E43" i="8"/>
  <c r="AT41" i="14"/>
  <c r="E42" i="8"/>
  <c r="AT40" i="14"/>
  <c r="AT39" i="14"/>
  <c r="AT38" i="14"/>
  <c r="AT37" i="14"/>
  <c r="AT36" i="14"/>
  <c r="AT35" i="14"/>
  <c r="AT34" i="14"/>
  <c r="AT33" i="14"/>
  <c r="AT32" i="14"/>
  <c r="AT31" i="14"/>
  <c r="AT30" i="14"/>
  <c r="AT29" i="14"/>
  <c r="AT28" i="14"/>
  <c r="AT27" i="14"/>
  <c r="AT26" i="14"/>
  <c r="AT25" i="14"/>
  <c r="AT24" i="14"/>
  <c r="AT23" i="14"/>
  <c r="AT22" i="14"/>
  <c r="AT21" i="14"/>
  <c r="AT20" i="14"/>
  <c r="AT19" i="14"/>
  <c r="E20" i="8"/>
  <c r="AT18" i="14"/>
  <c r="E19" i="8"/>
  <c r="AT17" i="14"/>
  <c r="AV16" i="5"/>
  <c r="AV14" i="5"/>
  <c r="AY14" i="5"/>
  <c r="AT16" i="14"/>
  <c r="AT15" i="14"/>
  <c r="AV12" i="5"/>
  <c r="AY12" i="5"/>
  <c r="AW14" i="5"/>
  <c r="AV11" i="5"/>
  <c r="AY11" i="5"/>
  <c r="AK29" i="1"/>
  <c r="AE10" i="5"/>
  <c r="AE12" i="5"/>
  <c r="AE8" i="5"/>
  <c r="AQ10" i="5"/>
  <c r="AQ12" i="5"/>
  <c r="AQ8" i="5"/>
  <c r="AF10" i="5"/>
  <c r="AF12" i="5"/>
  <c r="AF8" i="5"/>
  <c r="AT10" i="5"/>
  <c r="AT12" i="5"/>
  <c r="AT8" i="5"/>
  <c r="AS10" i="5"/>
  <c r="AS12" i="5"/>
  <c r="AS8" i="5"/>
  <c r="AO10" i="5"/>
  <c r="AO12" i="5"/>
  <c r="AO8" i="5"/>
  <c r="AD10" i="5"/>
  <c r="AD12" i="5"/>
  <c r="AD8" i="5"/>
  <c r="AV8" i="5"/>
  <c r="AM10" i="5"/>
  <c r="AM12" i="5"/>
  <c r="AM8" i="5"/>
  <c r="AL10" i="5"/>
  <c r="AL12" i="5"/>
  <c r="AL8" i="5"/>
  <c r="AU10" i="5"/>
  <c r="AU12" i="5"/>
  <c r="AU8" i="5"/>
  <c r="AK10" i="5"/>
  <c r="AK12" i="5"/>
  <c r="AK8" i="5"/>
  <c r="AJ10" i="5"/>
  <c r="AJ12" i="5"/>
  <c r="AJ8" i="5"/>
  <c r="AC10" i="5"/>
  <c r="AC12" i="5"/>
  <c r="AC8" i="5"/>
  <c r="AG10" i="5"/>
  <c r="AG12" i="5"/>
  <c r="AG8" i="5"/>
  <c r="AI10" i="5"/>
  <c r="AI12" i="5"/>
  <c r="AI8" i="5"/>
  <c r="AW10" i="5"/>
  <c r="AW12" i="5"/>
  <c r="AW8" i="5"/>
  <c r="AY8" i="5"/>
  <c r="AZ10" i="5"/>
  <c r="AZ12" i="5"/>
  <c r="AZ8" i="5"/>
  <c r="AR10" i="5"/>
  <c r="AR12" i="5"/>
  <c r="AR8" i="5"/>
  <c r="AH10" i="5"/>
  <c r="AH12" i="5"/>
  <c r="AH8" i="5"/>
  <c r="AL34" i="1" a="1"/>
  <c r="AL34" i="1"/>
  <c r="H1495" i="5"/>
  <c r="H888" i="5"/>
  <c r="H1802" i="5"/>
  <c r="H192" i="5"/>
  <c r="H654" i="5"/>
  <c r="H216" i="5"/>
  <c r="H1608" i="5"/>
  <c r="H184" i="5"/>
  <c r="H782" i="5"/>
  <c r="AL35" i="1"/>
  <c r="AK35" i="1"/>
  <c r="AJ34" i="1" a="1"/>
  <c r="AJ34" i="1"/>
  <c r="AJ35" i="1"/>
  <c r="AK25" i="1"/>
  <c r="AL25" i="1"/>
  <c r="AJ25" i="1"/>
  <c r="AK9" i="1"/>
  <c r="AK10" i="1"/>
  <c r="AL9" i="1"/>
  <c r="AL10" i="1"/>
  <c r="AJ10" i="1"/>
  <c r="AW17" i="5"/>
  <c r="AV17" i="5"/>
  <c r="AW16" i="5"/>
  <c r="C7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E8" i="16"/>
  <c r="C8" i="16"/>
  <c r="E7" i="16"/>
  <c r="C9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C7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E7" i="12"/>
  <c r="C9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E9" i="12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F28" i="19"/>
  <c r="E28" i="19"/>
  <c r="C28" i="19"/>
  <c r="B28" i="19"/>
  <c r="F27" i="19"/>
  <c r="E27" i="19"/>
  <c r="C27" i="19"/>
  <c r="B27" i="19"/>
  <c r="F26" i="19"/>
  <c r="E26" i="19"/>
  <c r="C26" i="19"/>
  <c r="B26" i="19"/>
  <c r="F25" i="19"/>
  <c r="E25" i="19"/>
  <c r="C25" i="19"/>
  <c r="B25" i="19"/>
  <c r="F24" i="19"/>
  <c r="E24" i="19"/>
  <c r="C24" i="19"/>
  <c r="B24" i="19"/>
  <c r="F23" i="19"/>
  <c r="E23" i="19"/>
  <c r="C23" i="19"/>
  <c r="B23" i="19"/>
  <c r="F22" i="19"/>
  <c r="E22" i="19"/>
  <c r="C22" i="19"/>
  <c r="B22" i="19"/>
  <c r="F21" i="19"/>
  <c r="E21" i="19"/>
  <c r="C21" i="19"/>
  <c r="B21" i="19"/>
  <c r="F20" i="19"/>
  <c r="E20" i="19"/>
  <c r="C20" i="19"/>
  <c r="B20" i="19"/>
  <c r="F19" i="19"/>
  <c r="E19" i="19"/>
  <c r="C19" i="19"/>
  <c r="B19" i="19"/>
  <c r="F18" i="19"/>
  <c r="E18" i="19"/>
  <c r="C18" i="19"/>
  <c r="B18" i="19"/>
  <c r="F17" i="19"/>
  <c r="E17" i="19"/>
  <c r="C17" i="19"/>
  <c r="B17" i="19"/>
  <c r="F16" i="19"/>
  <c r="E16" i="19"/>
  <c r="C16" i="19"/>
  <c r="B16" i="19"/>
  <c r="F15" i="19"/>
  <c r="E15" i="19"/>
  <c r="C15" i="19"/>
  <c r="B15" i="19"/>
  <c r="F14" i="19"/>
  <c r="E14" i="19"/>
  <c r="C14" i="19"/>
  <c r="B14" i="19"/>
  <c r="F13" i="19"/>
  <c r="E13" i="19"/>
  <c r="C13" i="19"/>
  <c r="B13" i="19"/>
  <c r="F12" i="19"/>
  <c r="E12" i="19"/>
  <c r="C12" i="19"/>
  <c r="B12" i="19"/>
  <c r="F11" i="19"/>
  <c r="E11" i="19"/>
  <c r="C11" i="19"/>
  <c r="B11" i="19"/>
  <c r="F10" i="19"/>
  <c r="E10" i="19"/>
  <c r="C10" i="19"/>
  <c r="B10" i="19"/>
  <c r="F9" i="19"/>
  <c r="E9" i="19"/>
  <c r="C9" i="19"/>
  <c r="B9" i="19"/>
  <c r="F8" i="19"/>
  <c r="E8" i="19"/>
  <c r="C8" i="19"/>
  <c r="B8" i="19"/>
  <c r="F7" i="19"/>
  <c r="E7" i="19"/>
  <c r="C7" i="19"/>
  <c r="B7" i="19"/>
  <c r="F6" i="19"/>
  <c r="E6" i="19"/>
  <c r="C6" i="19"/>
  <c r="B6" i="19"/>
  <c r="F5" i="19"/>
  <c r="E5" i="19"/>
  <c r="C5" i="19"/>
  <c r="B5" i="19"/>
  <c r="F4" i="19"/>
  <c r="E4" i="19"/>
  <c r="C4" i="19"/>
  <c r="B4" i="19"/>
  <c r="F3" i="19"/>
  <c r="E3" i="19"/>
  <c r="C3" i="19"/>
  <c r="B3" i="19"/>
  <c r="F9" i="3"/>
  <c r="E9" i="3"/>
  <c r="C9" i="3"/>
  <c r="B9" i="3"/>
  <c r="F8" i="3"/>
  <c r="E8" i="3"/>
  <c r="C8" i="3"/>
  <c r="B8" i="3"/>
  <c r="F28" i="3"/>
  <c r="E28" i="3"/>
  <c r="C28" i="3"/>
  <c r="B28" i="3"/>
  <c r="F27" i="3"/>
  <c r="E27" i="3"/>
  <c r="C27" i="3"/>
  <c r="B27" i="3"/>
  <c r="F26" i="3"/>
  <c r="E26" i="3"/>
  <c r="C26" i="3"/>
  <c r="B26" i="3"/>
  <c r="F25" i="3"/>
  <c r="E25" i="3"/>
  <c r="C25" i="3"/>
  <c r="B25" i="3"/>
  <c r="F24" i="3"/>
  <c r="E24" i="3"/>
  <c r="C24" i="3"/>
  <c r="B24" i="3"/>
  <c r="F23" i="3"/>
  <c r="E23" i="3"/>
  <c r="C23" i="3"/>
  <c r="B23" i="3"/>
  <c r="F22" i="3"/>
  <c r="E22" i="3"/>
  <c r="C22" i="3"/>
  <c r="B22" i="3"/>
  <c r="F20" i="3"/>
  <c r="E20" i="3"/>
  <c r="C20" i="3"/>
  <c r="B20" i="3"/>
  <c r="F19" i="3"/>
  <c r="E19" i="3"/>
  <c r="C19" i="3"/>
  <c r="B19" i="3"/>
  <c r="F18" i="3"/>
  <c r="E18" i="3"/>
  <c r="C18" i="3"/>
  <c r="B18" i="3"/>
  <c r="F17" i="3"/>
  <c r="E17" i="3"/>
  <c r="C17" i="3"/>
  <c r="B17" i="3"/>
  <c r="F16" i="3"/>
  <c r="E16" i="3"/>
  <c r="C16" i="3"/>
  <c r="B16" i="3"/>
  <c r="F15" i="3"/>
  <c r="E15" i="3"/>
  <c r="C15" i="3"/>
  <c r="B15" i="3"/>
  <c r="F14" i="3"/>
  <c r="E14" i="3"/>
  <c r="C14" i="3"/>
  <c r="B14" i="3"/>
  <c r="F13" i="3"/>
  <c r="E13" i="3"/>
  <c r="C13" i="3"/>
  <c r="B13" i="3"/>
  <c r="F12" i="3"/>
  <c r="E12" i="3"/>
  <c r="C12" i="3"/>
  <c r="B12" i="3"/>
  <c r="F11" i="3"/>
  <c r="E11" i="3"/>
  <c r="C11" i="3"/>
  <c r="B11" i="3"/>
  <c r="F10" i="3"/>
  <c r="E10" i="3"/>
  <c r="C10" i="3"/>
  <c r="B10" i="3"/>
  <c r="F7" i="3"/>
  <c r="E7" i="3"/>
  <c r="C7" i="3"/>
  <c r="B7" i="3"/>
  <c r="F6" i="3"/>
  <c r="E6" i="3"/>
  <c r="C6" i="3"/>
  <c r="B6" i="3"/>
  <c r="F5" i="3"/>
  <c r="E5" i="3"/>
  <c r="C5" i="3"/>
  <c r="B5" i="3"/>
  <c r="F4" i="3"/>
  <c r="E4" i="3"/>
  <c r="C4" i="3"/>
  <c r="B4" i="3"/>
  <c r="F3" i="3"/>
  <c r="E3" i="3"/>
  <c r="C3" i="3"/>
  <c r="B3" i="3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D103" i="6" a="1"/>
  <c r="D103" i="6"/>
  <c r="C101" i="6"/>
  <c r="C103" i="6" a="1"/>
  <c r="C103" i="6"/>
  <c r="BC102" i="6" a="1"/>
  <c r="BC102" i="6"/>
  <c r="BB102" i="6" a="1"/>
  <c r="BB102" i="6"/>
  <c r="BA102" i="6" a="1"/>
  <c r="BA102" i="6"/>
  <c r="AZ102" i="6" a="1"/>
  <c r="AZ102" i="6"/>
  <c r="AY102" i="6" a="1"/>
  <c r="AY102" i="6"/>
  <c r="AX102" i="6" a="1"/>
  <c r="AX102" i="6"/>
  <c r="AW102" i="6" a="1"/>
  <c r="AW102" i="6"/>
  <c r="AV102" i="6" a="1"/>
  <c r="AV102" i="6"/>
  <c r="AU102" i="6" a="1"/>
  <c r="AU102" i="6"/>
  <c r="AT102" i="6" a="1"/>
  <c r="AT102" i="6"/>
  <c r="AS102" i="6" a="1"/>
  <c r="AS102" i="6"/>
  <c r="AR102" i="6" a="1"/>
  <c r="AR102" i="6"/>
  <c r="AQ102" i="6" a="1"/>
  <c r="AQ102" i="6"/>
  <c r="AP102" i="6" a="1"/>
  <c r="AP102" i="6"/>
  <c r="AO102" i="6" a="1"/>
  <c r="AO102" i="6"/>
  <c r="AN102" i="6" a="1"/>
  <c r="AN102" i="6"/>
  <c r="AM102" i="6" a="1"/>
  <c r="AM102" i="6"/>
  <c r="AL102" i="6" a="1"/>
  <c r="AL102" i="6"/>
  <c r="AK102" i="6" a="1"/>
  <c r="AK102" i="6"/>
  <c r="AJ102" i="6" a="1"/>
  <c r="AJ102" i="6"/>
  <c r="AI102" i="6" a="1"/>
  <c r="AI102" i="6"/>
  <c r="AH102" i="6" a="1"/>
  <c r="AH102" i="6"/>
  <c r="AG102" i="6" a="1"/>
  <c r="AG102" i="6"/>
  <c r="AF102" i="6" a="1"/>
  <c r="AF102" i="6"/>
  <c r="AE102" i="6" a="1"/>
  <c r="AE102" i="6"/>
  <c r="AD102" i="6" a="1"/>
  <c r="AD102" i="6"/>
  <c r="AC102" i="6" a="1"/>
  <c r="AC102" i="6"/>
  <c r="AB102" i="6" a="1"/>
  <c r="AB102" i="6"/>
  <c r="AA102" i="6" a="1"/>
  <c r="AA102" i="6"/>
  <c r="Z102" i="6" a="1"/>
  <c r="Z102" i="6"/>
  <c r="Y102" i="6" a="1"/>
  <c r="Y102" i="6"/>
  <c r="X102" i="6" a="1"/>
  <c r="X102" i="6"/>
  <c r="W102" i="6" a="1"/>
  <c r="W102" i="6"/>
  <c r="V102" i="6" a="1"/>
  <c r="V102" i="6"/>
  <c r="U102" i="6" a="1"/>
  <c r="U102" i="6"/>
  <c r="T102" i="6" a="1"/>
  <c r="T102" i="6"/>
  <c r="S102" i="6" a="1"/>
  <c r="S102" i="6"/>
  <c r="R102" i="6" a="1"/>
  <c r="R102" i="6"/>
  <c r="Q102" i="6" a="1"/>
  <c r="Q102" i="6"/>
  <c r="P102" i="6" a="1"/>
  <c r="P102" i="6"/>
  <c r="O102" i="6" a="1"/>
  <c r="O102" i="6"/>
  <c r="N102" i="6" a="1"/>
  <c r="N102" i="6"/>
  <c r="M102" i="6" a="1"/>
  <c r="M102" i="6"/>
  <c r="L102" i="6" a="1"/>
  <c r="L102" i="6"/>
  <c r="K102" i="6" a="1"/>
  <c r="K102" i="6"/>
  <c r="J102" i="6" a="1"/>
  <c r="J102" i="6"/>
  <c r="I102" i="6" a="1"/>
  <c r="I102" i="6"/>
  <c r="H102" i="6" a="1"/>
  <c r="H102" i="6"/>
  <c r="G102" i="6" a="1"/>
  <c r="G102" i="6"/>
  <c r="F102" i="6" a="1"/>
  <c r="F102" i="6"/>
  <c r="E102" i="6" a="1"/>
  <c r="E102" i="6"/>
  <c r="D102" i="6" a="1"/>
  <c r="D102" i="6"/>
  <c r="C102" i="6" a="1"/>
  <c r="C102" i="6"/>
  <c r="D111" i="6"/>
  <c r="E111" i="6"/>
  <c r="F111" i="6"/>
  <c r="G111" i="6"/>
  <c r="H111" i="6"/>
  <c r="I111" i="6"/>
  <c r="J111" i="6"/>
  <c r="K111" i="6"/>
  <c r="D92" i="6"/>
  <c r="L111" i="6"/>
  <c r="M111" i="6"/>
  <c r="N111" i="6"/>
  <c r="O111" i="6"/>
  <c r="B75" i="6"/>
  <c r="D93" i="6"/>
  <c r="D94" i="6"/>
  <c r="D95" i="6"/>
  <c r="D96" i="6"/>
  <c r="D97" i="6"/>
  <c r="D98" i="6"/>
  <c r="E93" i="6"/>
  <c r="E94" i="6"/>
  <c r="E95" i="6"/>
  <c r="E96" i="6"/>
  <c r="E97" i="6"/>
  <c r="E92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C88" i="6" a="1"/>
  <c r="C88" i="6"/>
  <c r="G92" i="6"/>
  <c r="E98" i="6"/>
  <c r="G97" i="6"/>
  <c r="G96" i="6"/>
  <c r="G95" i="6"/>
  <c r="G94" i="6"/>
  <c r="G93" i="6"/>
  <c r="F139" i="5"/>
  <c r="F140" i="5"/>
  <c r="F141" i="5"/>
  <c r="F142" i="5"/>
  <c r="F143" i="5"/>
  <c r="F145" i="5"/>
  <c r="F147" i="5"/>
  <c r="F148" i="5"/>
  <c r="F149" i="5"/>
  <c r="F151" i="5"/>
  <c r="F153" i="5"/>
  <c r="F154" i="5"/>
  <c r="F155" i="5"/>
  <c r="F156" i="5"/>
  <c r="F101" i="5"/>
  <c r="F102" i="5"/>
  <c r="F103" i="5"/>
  <c r="F104" i="5"/>
  <c r="F105" i="5"/>
  <c r="F106" i="5"/>
  <c r="F108" i="5"/>
  <c r="F109" i="5"/>
  <c r="F110" i="5"/>
  <c r="F112" i="5"/>
  <c r="F113" i="5"/>
  <c r="F114" i="5"/>
  <c r="F115" i="5"/>
  <c r="F116" i="5"/>
  <c r="F118" i="5"/>
  <c r="R105" i="5"/>
  <c r="R106" i="5"/>
  <c r="R107" i="5"/>
  <c r="R108" i="5"/>
  <c r="R109" i="5"/>
  <c r="R110" i="5"/>
  <c r="R111" i="5"/>
  <c r="R112" i="5"/>
  <c r="I75" i="6"/>
  <c r="K112" i="6"/>
  <c r="I76" i="6"/>
  <c r="K113" i="6"/>
  <c r="I77" i="6"/>
  <c r="K114" i="6"/>
  <c r="I78" i="6"/>
  <c r="K115" i="6"/>
  <c r="K116" i="6"/>
  <c r="L112" i="6"/>
  <c r="L113" i="6"/>
  <c r="L114" i="6"/>
  <c r="L115" i="6"/>
  <c r="L116" i="6"/>
  <c r="J112" i="6"/>
  <c r="J113" i="6"/>
  <c r="J114" i="6"/>
  <c r="J115" i="6"/>
  <c r="J116" i="6"/>
  <c r="D112" i="6"/>
  <c r="E112" i="6"/>
  <c r="F112" i="6"/>
  <c r="G112" i="6"/>
  <c r="H112" i="6"/>
  <c r="I112" i="6"/>
  <c r="D113" i="6"/>
  <c r="E113" i="6"/>
  <c r="F113" i="6"/>
  <c r="G113" i="6"/>
  <c r="H113" i="6"/>
  <c r="I113" i="6"/>
  <c r="D114" i="6"/>
  <c r="E114" i="6"/>
  <c r="F114" i="6"/>
  <c r="G114" i="6"/>
  <c r="H114" i="6"/>
  <c r="I114" i="6"/>
  <c r="D115" i="6"/>
  <c r="E115" i="6"/>
  <c r="F115" i="6"/>
  <c r="G115" i="6"/>
  <c r="H115" i="6"/>
  <c r="I115" i="6"/>
  <c r="D116" i="6"/>
  <c r="E116" i="6"/>
  <c r="F116" i="6"/>
  <c r="G116" i="6"/>
  <c r="H116" i="6"/>
  <c r="I116" i="6"/>
  <c r="I79" i="6"/>
  <c r="J79" i="6"/>
  <c r="J75" i="6"/>
  <c r="J76" i="6"/>
  <c r="J77" i="6"/>
  <c r="J78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C118" i="6"/>
  <c r="C119" i="6"/>
  <c r="C120" i="6"/>
  <c r="C121" i="6"/>
  <c r="C123" i="6"/>
  <c r="D117" i="6"/>
  <c r="D118" i="6"/>
  <c r="E117" i="6"/>
  <c r="E118" i="6"/>
  <c r="D119" i="6"/>
  <c r="E119" i="6"/>
  <c r="D120" i="6"/>
  <c r="E120" i="6"/>
  <c r="D121" i="6"/>
  <c r="E121" i="6"/>
  <c r="D122" i="6"/>
  <c r="E122" i="6"/>
  <c r="D123" i="6"/>
  <c r="E123" i="6"/>
  <c r="J53" i="11"/>
  <c r="I53" i="11"/>
  <c r="I54" i="11"/>
  <c r="J54" i="11"/>
  <c r="I55" i="11"/>
  <c r="J55" i="11"/>
  <c r="I56" i="11"/>
  <c r="J56" i="11"/>
  <c r="I57" i="11"/>
  <c r="J57" i="11"/>
  <c r="I58" i="11"/>
  <c r="J58" i="11"/>
  <c r="I59" i="11"/>
  <c r="J59" i="11"/>
  <c r="I60" i="11"/>
  <c r="J60" i="11"/>
  <c r="C56" i="6"/>
  <c r="L53" i="11"/>
  <c r="M53" i="11"/>
  <c r="N53" i="11"/>
  <c r="O53" i="11"/>
  <c r="D56" i="6"/>
  <c r="K54" i="11"/>
  <c r="L54" i="11"/>
  <c r="M54" i="11"/>
  <c r="N54" i="11"/>
  <c r="O54" i="11"/>
  <c r="E56" i="6"/>
  <c r="K55" i="11"/>
  <c r="L55" i="11"/>
  <c r="M55" i="11"/>
  <c r="N55" i="11"/>
  <c r="O55" i="11"/>
  <c r="F117" i="6"/>
  <c r="F118" i="6"/>
  <c r="F56" i="6"/>
  <c r="K56" i="11"/>
  <c r="L56" i="11"/>
  <c r="M56" i="11"/>
  <c r="N56" i="11"/>
  <c r="O56" i="11"/>
  <c r="G117" i="6"/>
  <c r="G118" i="6"/>
  <c r="G56" i="6"/>
  <c r="K57" i="11"/>
  <c r="L57" i="11"/>
  <c r="M57" i="11"/>
  <c r="N57" i="11"/>
  <c r="O57" i="11"/>
  <c r="H117" i="6"/>
  <c r="H118" i="6"/>
  <c r="H56" i="6"/>
  <c r="K58" i="11"/>
  <c r="L58" i="11"/>
  <c r="M58" i="11"/>
  <c r="N58" i="11"/>
  <c r="O58" i="11"/>
  <c r="I117" i="6"/>
  <c r="I118" i="6"/>
  <c r="I56" i="6"/>
  <c r="K59" i="11"/>
  <c r="L59" i="11"/>
  <c r="M59" i="11"/>
  <c r="N59" i="11"/>
  <c r="O59" i="11"/>
  <c r="K60" i="11"/>
  <c r="J117" i="6"/>
  <c r="J118" i="6"/>
  <c r="J56" i="6"/>
  <c r="L60" i="11"/>
  <c r="M60" i="11"/>
  <c r="N60" i="11"/>
  <c r="O60" i="11"/>
  <c r="I61" i="11"/>
  <c r="K61" i="11"/>
  <c r="J61" i="11"/>
  <c r="K117" i="6"/>
  <c r="K118" i="6"/>
  <c r="K56" i="6"/>
  <c r="L61" i="11"/>
  <c r="M61" i="11"/>
  <c r="N61" i="11"/>
  <c r="O61" i="11"/>
  <c r="I62" i="11"/>
  <c r="K62" i="11"/>
  <c r="J62" i="11"/>
  <c r="L117" i="6"/>
  <c r="L118" i="6"/>
  <c r="L56" i="6"/>
  <c r="L62" i="11"/>
  <c r="M62" i="11"/>
  <c r="N62" i="11"/>
  <c r="O62" i="11"/>
  <c r="I63" i="11"/>
  <c r="K63" i="11"/>
  <c r="J63" i="11"/>
  <c r="M117" i="6"/>
  <c r="M118" i="6"/>
  <c r="M56" i="6"/>
  <c r="L63" i="11"/>
  <c r="M63" i="11"/>
  <c r="N63" i="11"/>
  <c r="O63" i="11"/>
  <c r="I64" i="11"/>
  <c r="K64" i="11"/>
  <c r="J64" i="11"/>
  <c r="N117" i="6"/>
  <c r="N118" i="6"/>
  <c r="N56" i="6"/>
  <c r="L64" i="11"/>
  <c r="M64" i="11"/>
  <c r="N64" i="11"/>
  <c r="O64" i="11"/>
  <c r="I65" i="11"/>
  <c r="K65" i="11"/>
  <c r="J65" i="11"/>
  <c r="O117" i="6"/>
  <c r="O118" i="6"/>
  <c r="O56" i="6"/>
  <c r="L65" i="11"/>
  <c r="M65" i="11"/>
  <c r="N65" i="11"/>
  <c r="O65" i="11"/>
  <c r="I66" i="11"/>
  <c r="K66" i="11"/>
  <c r="J66" i="11"/>
  <c r="P117" i="6"/>
  <c r="P118" i="6"/>
  <c r="P56" i="6"/>
  <c r="L66" i="11"/>
  <c r="M66" i="11"/>
  <c r="N66" i="11"/>
  <c r="O66" i="11"/>
  <c r="I67" i="11"/>
  <c r="K67" i="11"/>
  <c r="J67" i="11"/>
  <c r="Q117" i="6"/>
  <c r="Q118" i="6"/>
  <c r="Q56" i="6"/>
  <c r="L67" i="11"/>
  <c r="M67" i="11"/>
  <c r="N67" i="11"/>
  <c r="O67" i="11"/>
  <c r="I68" i="11"/>
  <c r="K68" i="11"/>
  <c r="J68" i="11"/>
  <c r="R117" i="6"/>
  <c r="R118" i="6"/>
  <c r="R56" i="6"/>
  <c r="L68" i="11"/>
  <c r="M68" i="11"/>
  <c r="N68" i="11"/>
  <c r="O68" i="11"/>
  <c r="I69" i="11"/>
  <c r="K69" i="11"/>
  <c r="J69" i="11"/>
  <c r="S117" i="6"/>
  <c r="S118" i="6"/>
  <c r="S56" i="6"/>
  <c r="L69" i="11"/>
  <c r="M69" i="11"/>
  <c r="N69" i="11"/>
  <c r="O69" i="11"/>
  <c r="I70" i="11"/>
  <c r="K70" i="11"/>
  <c r="J70" i="11"/>
  <c r="T117" i="6"/>
  <c r="T118" i="6"/>
  <c r="T56" i="6"/>
  <c r="L70" i="11"/>
  <c r="M70" i="11"/>
  <c r="N70" i="11"/>
  <c r="O70" i="11"/>
  <c r="I71" i="11"/>
  <c r="K71" i="11"/>
  <c r="J71" i="11"/>
  <c r="U117" i="6"/>
  <c r="U118" i="6"/>
  <c r="U56" i="6"/>
  <c r="L71" i="11"/>
  <c r="M71" i="11"/>
  <c r="N71" i="11"/>
  <c r="O71" i="11"/>
  <c r="I72" i="11"/>
  <c r="K72" i="11"/>
  <c r="J72" i="11"/>
  <c r="V117" i="6"/>
  <c r="V118" i="6"/>
  <c r="V56" i="6"/>
  <c r="L72" i="11"/>
  <c r="M72" i="11"/>
  <c r="N72" i="11"/>
  <c r="O72" i="11"/>
  <c r="I73" i="11"/>
  <c r="K73" i="11"/>
  <c r="J73" i="11"/>
  <c r="W117" i="6"/>
  <c r="W118" i="6"/>
  <c r="W56" i="6"/>
  <c r="L73" i="11"/>
  <c r="M73" i="11"/>
  <c r="N73" i="11"/>
  <c r="O73" i="11"/>
  <c r="I74" i="11"/>
  <c r="K74" i="11"/>
  <c r="J74" i="11"/>
  <c r="X117" i="6"/>
  <c r="X118" i="6"/>
  <c r="X56" i="6"/>
  <c r="L74" i="11"/>
  <c r="M74" i="11"/>
  <c r="N74" i="11"/>
  <c r="O74" i="11"/>
  <c r="I75" i="11"/>
  <c r="K75" i="11"/>
  <c r="J75" i="11"/>
  <c r="Y117" i="6"/>
  <c r="Y118" i="6"/>
  <c r="Y56" i="6"/>
  <c r="L75" i="11"/>
  <c r="M75" i="11"/>
  <c r="N75" i="11"/>
  <c r="O75" i="11"/>
  <c r="I76" i="11"/>
  <c r="K76" i="11"/>
  <c r="J76" i="11"/>
  <c r="Z117" i="6"/>
  <c r="Z118" i="6"/>
  <c r="Z56" i="6"/>
  <c r="L76" i="11"/>
  <c r="M76" i="11"/>
  <c r="N76" i="11"/>
  <c r="O76" i="11"/>
  <c r="I77" i="11"/>
  <c r="K77" i="11"/>
  <c r="J77" i="11"/>
  <c r="AA117" i="6"/>
  <c r="AA118" i="6"/>
  <c r="AA56" i="6"/>
  <c r="L77" i="11"/>
  <c r="M77" i="11"/>
  <c r="N77" i="11"/>
  <c r="O77" i="11"/>
  <c r="I78" i="11"/>
  <c r="K78" i="11"/>
  <c r="J78" i="11"/>
  <c r="AB117" i="6"/>
  <c r="AB118" i="6"/>
  <c r="AB56" i="6"/>
  <c r="L78" i="11"/>
  <c r="M78" i="11"/>
  <c r="N78" i="11"/>
  <c r="O78" i="11"/>
  <c r="I79" i="11"/>
  <c r="K79" i="11"/>
  <c r="J79" i="11"/>
  <c r="AC117" i="6"/>
  <c r="AC118" i="6"/>
  <c r="AC56" i="6"/>
  <c r="L79" i="11"/>
  <c r="M79" i="11"/>
  <c r="N79" i="11"/>
  <c r="O79" i="11"/>
  <c r="I80" i="11"/>
  <c r="K80" i="11"/>
  <c r="J80" i="11"/>
  <c r="AD117" i="6"/>
  <c r="AD118" i="6"/>
  <c r="AD56" i="6"/>
  <c r="L80" i="11"/>
  <c r="M80" i="11"/>
  <c r="N80" i="11"/>
  <c r="O80" i="11"/>
  <c r="I81" i="11"/>
  <c r="K81" i="11"/>
  <c r="J81" i="11"/>
  <c r="AE117" i="6"/>
  <c r="AE118" i="6"/>
  <c r="AE56" i="6"/>
  <c r="L81" i="11"/>
  <c r="M81" i="11"/>
  <c r="N81" i="11"/>
  <c r="O81" i="11"/>
  <c r="I82" i="11"/>
  <c r="K82" i="11"/>
  <c r="J82" i="11"/>
  <c r="AF117" i="6"/>
  <c r="AF118" i="6"/>
  <c r="AF56" i="6"/>
  <c r="L82" i="11"/>
  <c r="M82" i="11"/>
  <c r="N82" i="11"/>
  <c r="O82" i="11"/>
  <c r="I83" i="11"/>
  <c r="K83" i="11"/>
  <c r="J83" i="11"/>
  <c r="AG117" i="6"/>
  <c r="AG118" i="6"/>
  <c r="AG56" i="6"/>
  <c r="L83" i="11"/>
  <c r="M83" i="11"/>
  <c r="N83" i="11"/>
  <c r="O83" i="11"/>
  <c r="I84" i="11"/>
  <c r="K84" i="11"/>
  <c r="J84" i="11"/>
  <c r="AH117" i="6"/>
  <c r="AH118" i="6"/>
  <c r="AH56" i="6"/>
  <c r="L84" i="11"/>
  <c r="M84" i="11"/>
  <c r="N84" i="11"/>
  <c r="O84" i="11"/>
  <c r="I85" i="11"/>
  <c r="K85" i="11"/>
  <c r="J85" i="11"/>
  <c r="AI117" i="6"/>
  <c r="AI118" i="6"/>
  <c r="AI56" i="6"/>
  <c r="L85" i="11"/>
  <c r="M85" i="11"/>
  <c r="N85" i="11"/>
  <c r="O85" i="11"/>
  <c r="I86" i="11"/>
  <c r="K86" i="11"/>
  <c r="J86" i="11"/>
  <c r="AJ117" i="6"/>
  <c r="AJ118" i="6"/>
  <c r="AJ56" i="6"/>
  <c r="L86" i="11"/>
  <c r="M86" i="11"/>
  <c r="N86" i="11"/>
  <c r="O86" i="11"/>
  <c r="I87" i="11"/>
  <c r="K87" i="11"/>
  <c r="J87" i="11"/>
  <c r="AK117" i="6"/>
  <c r="AK118" i="6"/>
  <c r="AK56" i="6"/>
  <c r="L87" i="11"/>
  <c r="M87" i="11"/>
  <c r="N87" i="11"/>
  <c r="O87" i="11"/>
  <c r="I88" i="11"/>
  <c r="K88" i="11"/>
  <c r="J88" i="11"/>
  <c r="AL117" i="6"/>
  <c r="AL118" i="6"/>
  <c r="AL56" i="6"/>
  <c r="L88" i="11"/>
  <c r="M88" i="11"/>
  <c r="N88" i="11"/>
  <c r="O88" i="11"/>
  <c r="I89" i="11"/>
  <c r="K89" i="11"/>
  <c r="J89" i="11"/>
  <c r="AM117" i="6"/>
  <c r="AM118" i="6"/>
  <c r="AM56" i="6"/>
  <c r="L89" i="11"/>
  <c r="M89" i="11"/>
  <c r="N89" i="11"/>
  <c r="O89" i="11"/>
  <c r="I90" i="11"/>
  <c r="K90" i="11"/>
  <c r="J90" i="11"/>
  <c r="AN117" i="6"/>
  <c r="AN118" i="6"/>
  <c r="AN56" i="6"/>
  <c r="L90" i="11"/>
  <c r="M90" i="11"/>
  <c r="N90" i="11"/>
  <c r="O90" i="11"/>
  <c r="I91" i="11"/>
  <c r="K91" i="11"/>
  <c r="J91" i="11"/>
  <c r="AO117" i="6"/>
  <c r="AO118" i="6"/>
  <c r="AO56" i="6"/>
  <c r="L91" i="11"/>
  <c r="M91" i="11"/>
  <c r="N91" i="11"/>
  <c r="O91" i="11"/>
  <c r="I92" i="11"/>
  <c r="K92" i="11"/>
  <c r="J92" i="11"/>
  <c r="AP117" i="6"/>
  <c r="AP118" i="6"/>
  <c r="AP56" i="6"/>
  <c r="L92" i="11"/>
  <c r="M92" i="11"/>
  <c r="N92" i="11"/>
  <c r="O92" i="11"/>
  <c r="I93" i="11"/>
  <c r="K93" i="11"/>
  <c r="M93" i="11"/>
  <c r="N93" i="11"/>
  <c r="O93" i="11"/>
  <c r="I94" i="11"/>
  <c r="K94" i="11"/>
  <c r="M94" i="11"/>
  <c r="N94" i="11"/>
  <c r="O94" i="11"/>
  <c r="I95" i="11"/>
  <c r="K95" i="11"/>
  <c r="M95" i="11"/>
  <c r="N95" i="11"/>
  <c r="O95" i="11"/>
  <c r="J93" i="11"/>
  <c r="J94" i="11"/>
  <c r="J95" i="11"/>
  <c r="O96" i="11"/>
  <c r="K92" i="6"/>
  <c r="I92" i="6"/>
  <c r="J92" i="6"/>
  <c r="F92" i="6"/>
  <c r="I93" i="6"/>
  <c r="J93" i="6"/>
  <c r="F93" i="6"/>
  <c r="I94" i="6"/>
  <c r="J94" i="6"/>
  <c r="F94" i="6"/>
  <c r="I95" i="6"/>
  <c r="J95" i="6"/>
  <c r="F95" i="6"/>
  <c r="I96" i="6"/>
  <c r="J96" i="6"/>
  <c r="F96" i="6"/>
  <c r="I97" i="6"/>
  <c r="J97" i="6"/>
  <c r="F97" i="6"/>
  <c r="F98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56" i="6"/>
  <c r="AQ67" i="6"/>
  <c r="AR56" i="6"/>
  <c r="AR67" i="6"/>
  <c r="AS56" i="6"/>
  <c r="AS67" i="6"/>
  <c r="AT56" i="6"/>
  <c r="AT67" i="6"/>
  <c r="AU56" i="6"/>
  <c r="AU67" i="6"/>
  <c r="AV56" i="6"/>
  <c r="AV67" i="6"/>
  <c r="AW56" i="6"/>
  <c r="AW67" i="6"/>
  <c r="AX56" i="6"/>
  <c r="AX67" i="6"/>
  <c r="AY56" i="6"/>
  <c r="AY67" i="6"/>
  <c r="AZ56" i="6"/>
  <c r="AZ67" i="6"/>
  <c r="BA56" i="6"/>
  <c r="BA67" i="6"/>
  <c r="BB56" i="6"/>
  <c r="BB67" i="6"/>
  <c r="BC56" i="6"/>
  <c r="BC67" i="6"/>
  <c r="C57" i="6"/>
  <c r="C68" i="6"/>
  <c r="D57" i="6"/>
  <c r="D68" i="6"/>
  <c r="E57" i="6"/>
  <c r="E68" i="6"/>
  <c r="F119" i="6"/>
  <c r="F57" i="6"/>
  <c r="F68" i="6"/>
  <c r="G119" i="6"/>
  <c r="G57" i="6"/>
  <c r="G68" i="6"/>
  <c r="H119" i="6"/>
  <c r="H57" i="6"/>
  <c r="H68" i="6"/>
  <c r="I119" i="6"/>
  <c r="I57" i="6"/>
  <c r="I68" i="6"/>
  <c r="J119" i="6"/>
  <c r="J57" i="6"/>
  <c r="J68" i="6"/>
  <c r="K119" i="6"/>
  <c r="K57" i="6"/>
  <c r="K68" i="6"/>
  <c r="L119" i="6"/>
  <c r="L57" i="6"/>
  <c r="L68" i="6"/>
  <c r="M119" i="6"/>
  <c r="M57" i="6"/>
  <c r="M68" i="6"/>
  <c r="N119" i="6"/>
  <c r="N57" i="6"/>
  <c r="N68" i="6"/>
  <c r="O119" i="6"/>
  <c r="O57" i="6"/>
  <c r="O68" i="6"/>
  <c r="P119" i="6"/>
  <c r="P57" i="6"/>
  <c r="P68" i="6"/>
  <c r="Q119" i="6"/>
  <c r="Q57" i="6"/>
  <c r="Q68" i="6"/>
  <c r="R119" i="6"/>
  <c r="R57" i="6"/>
  <c r="R68" i="6"/>
  <c r="S119" i="6"/>
  <c r="S57" i="6"/>
  <c r="S68" i="6"/>
  <c r="T119" i="6"/>
  <c r="T57" i="6"/>
  <c r="T68" i="6"/>
  <c r="U119" i="6"/>
  <c r="U57" i="6"/>
  <c r="U68" i="6"/>
  <c r="V119" i="6"/>
  <c r="V57" i="6"/>
  <c r="V68" i="6"/>
  <c r="W119" i="6"/>
  <c r="W57" i="6"/>
  <c r="W68" i="6"/>
  <c r="X119" i="6"/>
  <c r="X57" i="6"/>
  <c r="X68" i="6"/>
  <c r="Y119" i="6"/>
  <c r="Y57" i="6"/>
  <c r="Y68" i="6"/>
  <c r="Z119" i="6"/>
  <c r="Z57" i="6"/>
  <c r="Z68" i="6"/>
  <c r="AA119" i="6"/>
  <c r="AA57" i="6"/>
  <c r="AA68" i="6"/>
  <c r="AB119" i="6"/>
  <c r="AB57" i="6"/>
  <c r="AB68" i="6"/>
  <c r="AC119" i="6"/>
  <c r="AC57" i="6"/>
  <c r="AC68" i="6"/>
  <c r="AD119" i="6"/>
  <c r="AD57" i="6"/>
  <c r="AD68" i="6"/>
  <c r="AE119" i="6"/>
  <c r="AE57" i="6"/>
  <c r="AE68" i="6"/>
  <c r="AF119" i="6"/>
  <c r="AF57" i="6"/>
  <c r="AF68" i="6"/>
  <c r="AG119" i="6"/>
  <c r="AG57" i="6"/>
  <c r="AG68" i="6"/>
  <c r="AH119" i="6"/>
  <c r="AH57" i="6"/>
  <c r="AH68" i="6"/>
  <c r="AI119" i="6"/>
  <c r="AI57" i="6"/>
  <c r="AI68" i="6"/>
  <c r="AJ119" i="6"/>
  <c r="AJ57" i="6"/>
  <c r="AJ68" i="6"/>
  <c r="AK119" i="6"/>
  <c r="AK57" i="6"/>
  <c r="AK68" i="6"/>
  <c r="AL119" i="6"/>
  <c r="AL57" i="6"/>
  <c r="AL68" i="6"/>
  <c r="AM119" i="6"/>
  <c r="AM57" i="6"/>
  <c r="AM68" i="6"/>
  <c r="AN119" i="6"/>
  <c r="AN57" i="6"/>
  <c r="AN68" i="6"/>
  <c r="AO119" i="6"/>
  <c r="AO57" i="6"/>
  <c r="AO68" i="6"/>
  <c r="AP119" i="6"/>
  <c r="AP57" i="6"/>
  <c r="AP68" i="6"/>
  <c r="AQ117" i="6"/>
  <c r="AQ119" i="6"/>
  <c r="AQ57" i="6"/>
  <c r="AQ68" i="6"/>
  <c r="AR117" i="6"/>
  <c r="AR119" i="6"/>
  <c r="AR57" i="6"/>
  <c r="AR68" i="6"/>
  <c r="AS117" i="6"/>
  <c r="AS119" i="6"/>
  <c r="AS57" i="6"/>
  <c r="AS68" i="6"/>
  <c r="AT117" i="6"/>
  <c r="AT119" i="6"/>
  <c r="AT57" i="6"/>
  <c r="AT68" i="6"/>
  <c r="AU117" i="6"/>
  <c r="AU119" i="6"/>
  <c r="AU57" i="6"/>
  <c r="AU68" i="6"/>
  <c r="AV117" i="6"/>
  <c r="AV119" i="6"/>
  <c r="AV57" i="6"/>
  <c r="AV68" i="6"/>
  <c r="AW117" i="6"/>
  <c r="AW119" i="6"/>
  <c r="AW57" i="6"/>
  <c r="AW68" i="6"/>
  <c r="AX117" i="6"/>
  <c r="AX119" i="6"/>
  <c r="AX57" i="6"/>
  <c r="AX68" i="6"/>
  <c r="AY117" i="6"/>
  <c r="AY119" i="6"/>
  <c r="AY57" i="6"/>
  <c r="AY68" i="6"/>
  <c r="AZ117" i="6"/>
  <c r="AZ119" i="6"/>
  <c r="AZ57" i="6"/>
  <c r="AZ68" i="6"/>
  <c r="BA57" i="6"/>
  <c r="BA68" i="6"/>
  <c r="BB57" i="6"/>
  <c r="BB68" i="6"/>
  <c r="BC57" i="6"/>
  <c r="BC68" i="6"/>
  <c r="C58" i="6"/>
  <c r="C69" i="6"/>
  <c r="D58" i="6"/>
  <c r="D69" i="6"/>
  <c r="E58" i="6"/>
  <c r="E69" i="6"/>
  <c r="F120" i="6"/>
  <c r="F58" i="6"/>
  <c r="F69" i="6"/>
  <c r="G120" i="6"/>
  <c r="G58" i="6"/>
  <c r="G69" i="6"/>
  <c r="H120" i="6"/>
  <c r="H58" i="6"/>
  <c r="H69" i="6"/>
  <c r="I120" i="6"/>
  <c r="I58" i="6"/>
  <c r="I69" i="6"/>
  <c r="J120" i="6"/>
  <c r="J58" i="6"/>
  <c r="J69" i="6"/>
  <c r="K120" i="6"/>
  <c r="K58" i="6"/>
  <c r="K69" i="6"/>
  <c r="L120" i="6"/>
  <c r="L58" i="6"/>
  <c r="L69" i="6"/>
  <c r="M120" i="6"/>
  <c r="M58" i="6"/>
  <c r="M69" i="6"/>
  <c r="N120" i="6"/>
  <c r="N58" i="6"/>
  <c r="N69" i="6"/>
  <c r="O120" i="6"/>
  <c r="O58" i="6"/>
  <c r="O69" i="6"/>
  <c r="P120" i="6"/>
  <c r="P58" i="6"/>
  <c r="P69" i="6"/>
  <c r="Q120" i="6"/>
  <c r="Q58" i="6"/>
  <c r="Q69" i="6"/>
  <c r="R120" i="6"/>
  <c r="R58" i="6"/>
  <c r="R69" i="6"/>
  <c r="S120" i="6"/>
  <c r="S58" i="6"/>
  <c r="S69" i="6"/>
  <c r="T120" i="6"/>
  <c r="T58" i="6"/>
  <c r="T69" i="6"/>
  <c r="U120" i="6"/>
  <c r="U58" i="6"/>
  <c r="U69" i="6"/>
  <c r="V120" i="6"/>
  <c r="V58" i="6"/>
  <c r="V69" i="6"/>
  <c r="W120" i="6"/>
  <c r="W58" i="6"/>
  <c r="W69" i="6"/>
  <c r="X120" i="6"/>
  <c r="X58" i="6"/>
  <c r="X69" i="6"/>
  <c r="Y120" i="6"/>
  <c r="Y58" i="6"/>
  <c r="Y69" i="6"/>
  <c r="Z120" i="6"/>
  <c r="Z58" i="6"/>
  <c r="Z69" i="6"/>
  <c r="AA120" i="6"/>
  <c r="AA58" i="6"/>
  <c r="AA69" i="6"/>
  <c r="AB120" i="6"/>
  <c r="AB58" i="6"/>
  <c r="AB69" i="6"/>
  <c r="AC120" i="6"/>
  <c r="AC58" i="6"/>
  <c r="AC69" i="6"/>
  <c r="AD120" i="6"/>
  <c r="AD58" i="6"/>
  <c r="AD69" i="6"/>
  <c r="AE120" i="6"/>
  <c r="AE58" i="6"/>
  <c r="AE69" i="6"/>
  <c r="AF120" i="6"/>
  <c r="AF58" i="6"/>
  <c r="AF69" i="6"/>
  <c r="AG120" i="6"/>
  <c r="AG58" i="6"/>
  <c r="AG69" i="6"/>
  <c r="AH120" i="6"/>
  <c r="AH58" i="6"/>
  <c r="AH69" i="6"/>
  <c r="AI120" i="6"/>
  <c r="AI58" i="6"/>
  <c r="AI69" i="6"/>
  <c r="AJ120" i="6"/>
  <c r="AJ58" i="6"/>
  <c r="AJ69" i="6"/>
  <c r="AK120" i="6"/>
  <c r="AK58" i="6"/>
  <c r="AK69" i="6"/>
  <c r="AL120" i="6"/>
  <c r="AL58" i="6"/>
  <c r="AL69" i="6"/>
  <c r="AM120" i="6"/>
  <c r="AM58" i="6"/>
  <c r="AM69" i="6"/>
  <c r="AN120" i="6"/>
  <c r="AN58" i="6"/>
  <c r="AN69" i="6"/>
  <c r="AO120" i="6"/>
  <c r="AO58" i="6"/>
  <c r="AO69" i="6"/>
  <c r="AP120" i="6"/>
  <c r="AP58" i="6"/>
  <c r="AP69" i="6"/>
  <c r="AQ120" i="6"/>
  <c r="AQ58" i="6"/>
  <c r="AQ69" i="6"/>
  <c r="AR120" i="6"/>
  <c r="AR58" i="6"/>
  <c r="AR69" i="6"/>
  <c r="AS120" i="6"/>
  <c r="AS58" i="6"/>
  <c r="AS69" i="6"/>
  <c r="AT120" i="6"/>
  <c r="AT58" i="6"/>
  <c r="AT69" i="6"/>
  <c r="AU120" i="6"/>
  <c r="AU58" i="6"/>
  <c r="AU69" i="6"/>
  <c r="AV120" i="6"/>
  <c r="AV58" i="6"/>
  <c r="AV69" i="6"/>
  <c r="AW120" i="6"/>
  <c r="AW58" i="6"/>
  <c r="AW69" i="6"/>
  <c r="AX120" i="6"/>
  <c r="AX58" i="6"/>
  <c r="AX69" i="6"/>
  <c r="AY120" i="6"/>
  <c r="AY58" i="6"/>
  <c r="AY69" i="6"/>
  <c r="AZ120" i="6"/>
  <c r="AZ58" i="6"/>
  <c r="AZ69" i="6"/>
  <c r="BA117" i="6"/>
  <c r="BA120" i="6"/>
  <c r="BA58" i="6"/>
  <c r="BA69" i="6"/>
  <c r="BB117" i="6"/>
  <c r="BB120" i="6"/>
  <c r="BB58" i="6"/>
  <c r="BB69" i="6"/>
  <c r="BC117" i="6"/>
  <c r="BC120" i="6"/>
  <c r="BC58" i="6"/>
  <c r="BC69" i="6"/>
  <c r="C59" i="6"/>
  <c r="C70" i="6"/>
  <c r="D59" i="6"/>
  <c r="D70" i="6"/>
  <c r="E59" i="6"/>
  <c r="E70" i="6"/>
  <c r="F121" i="6"/>
  <c r="F59" i="6"/>
  <c r="F70" i="6"/>
  <c r="G121" i="6"/>
  <c r="G59" i="6"/>
  <c r="G70" i="6"/>
  <c r="H121" i="6"/>
  <c r="H59" i="6"/>
  <c r="H70" i="6"/>
  <c r="I121" i="6"/>
  <c r="I59" i="6"/>
  <c r="I70" i="6"/>
  <c r="J121" i="6"/>
  <c r="J59" i="6"/>
  <c r="J70" i="6"/>
  <c r="K121" i="6"/>
  <c r="K59" i="6"/>
  <c r="K70" i="6"/>
  <c r="L121" i="6"/>
  <c r="L59" i="6"/>
  <c r="L70" i="6"/>
  <c r="M121" i="6"/>
  <c r="M59" i="6"/>
  <c r="M70" i="6"/>
  <c r="N121" i="6"/>
  <c r="N59" i="6"/>
  <c r="N70" i="6"/>
  <c r="O121" i="6"/>
  <c r="O59" i="6"/>
  <c r="O70" i="6"/>
  <c r="P121" i="6"/>
  <c r="P59" i="6"/>
  <c r="P70" i="6"/>
  <c r="Q121" i="6"/>
  <c r="Q59" i="6"/>
  <c r="Q70" i="6"/>
  <c r="R121" i="6"/>
  <c r="R59" i="6"/>
  <c r="R70" i="6"/>
  <c r="S121" i="6"/>
  <c r="S59" i="6"/>
  <c r="S70" i="6"/>
  <c r="T121" i="6"/>
  <c r="T59" i="6"/>
  <c r="T70" i="6"/>
  <c r="U121" i="6"/>
  <c r="U59" i="6"/>
  <c r="U70" i="6"/>
  <c r="V121" i="6"/>
  <c r="V59" i="6"/>
  <c r="V70" i="6"/>
  <c r="W121" i="6"/>
  <c r="W59" i="6"/>
  <c r="W70" i="6"/>
  <c r="X121" i="6"/>
  <c r="X59" i="6"/>
  <c r="X70" i="6"/>
  <c r="Y121" i="6"/>
  <c r="Y59" i="6"/>
  <c r="Y70" i="6"/>
  <c r="Z121" i="6"/>
  <c r="Z59" i="6"/>
  <c r="Z70" i="6"/>
  <c r="AA121" i="6"/>
  <c r="AA59" i="6"/>
  <c r="AA70" i="6"/>
  <c r="AB121" i="6"/>
  <c r="AB59" i="6"/>
  <c r="AB70" i="6"/>
  <c r="AC121" i="6"/>
  <c r="AC59" i="6"/>
  <c r="AC70" i="6"/>
  <c r="AD121" i="6"/>
  <c r="AD59" i="6"/>
  <c r="AD70" i="6"/>
  <c r="AE121" i="6"/>
  <c r="AE59" i="6"/>
  <c r="AE70" i="6"/>
  <c r="AF121" i="6"/>
  <c r="AF59" i="6"/>
  <c r="AF70" i="6"/>
  <c r="AG121" i="6"/>
  <c r="AG59" i="6"/>
  <c r="AG70" i="6"/>
  <c r="AH121" i="6"/>
  <c r="AH59" i="6"/>
  <c r="AH70" i="6"/>
  <c r="AI121" i="6"/>
  <c r="AI59" i="6"/>
  <c r="AI70" i="6"/>
  <c r="AJ121" i="6"/>
  <c r="AJ59" i="6"/>
  <c r="AJ70" i="6"/>
  <c r="AK121" i="6"/>
  <c r="AK59" i="6"/>
  <c r="AK70" i="6"/>
  <c r="AL121" i="6"/>
  <c r="AL59" i="6"/>
  <c r="AL70" i="6"/>
  <c r="AM121" i="6"/>
  <c r="AM59" i="6"/>
  <c r="AM70" i="6"/>
  <c r="AN121" i="6"/>
  <c r="AN59" i="6"/>
  <c r="AN70" i="6"/>
  <c r="AO121" i="6"/>
  <c r="AO59" i="6"/>
  <c r="AO70" i="6"/>
  <c r="AP121" i="6"/>
  <c r="AP59" i="6"/>
  <c r="AP70" i="6"/>
  <c r="AQ121" i="6"/>
  <c r="AQ59" i="6"/>
  <c r="AQ70" i="6"/>
  <c r="AR121" i="6"/>
  <c r="AR59" i="6"/>
  <c r="AR70" i="6"/>
  <c r="AS121" i="6"/>
  <c r="AS59" i="6"/>
  <c r="AS70" i="6"/>
  <c r="AT121" i="6"/>
  <c r="AT59" i="6"/>
  <c r="AT70" i="6"/>
  <c r="AU121" i="6"/>
  <c r="AU59" i="6"/>
  <c r="AU70" i="6"/>
  <c r="AV121" i="6"/>
  <c r="AV59" i="6"/>
  <c r="AV70" i="6"/>
  <c r="AW121" i="6"/>
  <c r="AW59" i="6"/>
  <c r="AW70" i="6"/>
  <c r="AX121" i="6"/>
  <c r="AX59" i="6"/>
  <c r="AX70" i="6"/>
  <c r="AY121" i="6"/>
  <c r="AY59" i="6"/>
  <c r="AY70" i="6"/>
  <c r="AZ121" i="6"/>
  <c r="AZ59" i="6"/>
  <c r="AZ70" i="6"/>
  <c r="BA59" i="6"/>
  <c r="BA70" i="6"/>
  <c r="BB59" i="6"/>
  <c r="BB70" i="6"/>
  <c r="BC59" i="6"/>
  <c r="BC70" i="6"/>
  <c r="C71" i="6"/>
  <c r="D60" i="6"/>
  <c r="D71" i="6"/>
  <c r="E60" i="6"/>
  <c r="E71" i="6"/>
  <c r="F122" i="6"/>
  <c r="F60" i="6"/>
  <c r="F71" i="6"/>
  <c r="G122" i="6"/>
  <c r="G60" i="6"/>
  <c r="G71" i="6"/>
  <c r="H122" i="6"/>
  <c r="H60" i="6"/>
  <c r="H71" i="6"/>
  <c r="I122" i="6"/>
  <c r="I60" i="6"/>
  <c r="I71" i="6"/>
  <c r="J122" i="6"/>
  <c r="J60" i="6"/>
  <c r="J71" i="6"/>
  <c r="K122" i="6"/>
  <c r="K60" i="6"/>
  <c r="K71" i="6"/>
  <c r="L122" i="6"/>
  <c r="L60" i="6"/>
  <c r="L71" i="6"/>
  <c r="M122" i="6"/>
  <c r="M60" i="6"/>
  <c r="M71" i="6"/>
  <c r="N122" i="6"/>
  <c r="N60" i="6"/>
  <c r="N71" i="6"/>
  <c r="O122" i="6"/>
  <c r="O60" i="6"/>
  <c r="O71" i="6"/>
  <c r="P122" i="6"/>
  <c r="P60" i="6"/>
  <c r="P71" i="6"/>
  <c r="Q122" i="6"/>
  <c r="Q60" i="6"/>
  <c r="Q71" i="6"/>
  <c r="R122" i="6"/>
  <c r="R60" i="6"/>
  <c r="R71" i="6"/>
  <c r="S122" i="6"/>
  <c r="S60" i="6"/>
  <c r="S71" i="6"/>
  <c r="T122" i="6"/>
  <c r="T60" i="6"/>
  <c r="T71" i="6"/>
  <c r="U122" i="6"/>
  <c r="U60" i="6"/>
  <c r="U71" i="6"/>
  <c r="V122" i="6"/>
  <c r="V60" i="6"/>
  <c r="V71" i="6"/>
  <c r="W122" i="6"/>
  <c r="W60" i="6"/>
  <c r="W71" i="6"/>
  <c r="X122" i="6"/>
  <c r="X60" i="6"/>
  <c r="X71" i="6"/>
  <c r="Y122" i="6"/>
  <c r="Y60" i="6"/>
  <c r="Y71" i="6"/>
  <c r="Z122" i="6"/>
  <c r="Z60" i="6"/>
  <c r="Z71" i="6"/>
  <c r="AA122" i="6"/>
  <c r="AA60" i="6"/>
  <c r="AA71" i="6"/>
  <c r="AB122" i="6"/>
  <c r="AB60" i="6"/>
  <c r="AB71" i="6"/>
  <c r="AC122" i="6"/>
  <c r="AC60" i="6"/>
  <c r="AC71" i="6"/>
  <c r="AD122" i="6"/>
  <c r="AD60" i="6"/>
  <c r="AD71" i="6"/>
  <c r="AE122" i="6"/>
  <c r="AE60" i="6"/>
  <c r="AE71" i="6"/>
  <c r="AF122" i="6"/>
  <c r="AF60" i="6"/>
  <c r="AF71" i="6"/>
  <c r="AG122" i="6"/>
  <c r="AG60" i="6"/>
  <c r="AG71" i="6"/>
  <c r="AH122" i="6"/>
  <c r="AH60" i="6"/>
  <c r="AH71" i="6"/>
  <c r="AI122" i="6"/>
  <c r="AI60" i="6"/>
  <c r="AI71" i="6"/>
  <c r="AJ122" i="6"/>
  <c r="AJ60" i="6"/>
  <c r="AJ71" i="6"/>
  <c r="AK122" i="6"/>
  <c r="AK60" i="6"/>
  <c r="AK71" i="6"/>
  <c r="AL60" i="6"/>
  <c r="AL71" i="6"/>
  <c r="AM60" i="6"/>
  <c r="AM71" i="6"/>
  <c r="AN60" i="6"/>
  <c r="AN71" i="6"/>
  <c r="AO60" i="6"/>
  <c r="AO71" i="6"/>
  <c r="AP60" i="6"/>
  <c r="AP71" i="6"/>
  <c r="AQ60" i="6"/>
  <c r="AQ71" i="6"/>
  <c r="AR60" i="6"/>
  <c r="AR71" i="6"/>
  <c r="AS60" i="6"/>
  <c r="AS71" i="6"/>
  <c r="AT60" i="6"/>
  <c r="AT71" i="6"/>
  <c r="AU60" i="6"/>
  <c r="AU71" i="6"/>
  <c r="AV60" i="6"/>
  <c r="AV71" i="6"/>
  <c r="AW60" i="6"/>
  <c r="AW71" i="6"/>
  <c r="AX60" i="6"/>
  <c r="AX71" i="6"/>
  <c r="AY60" i="6"/>
  <c r="AY71" i="6"/>
  <c r="AZ60" i="6"/>
  <c r="AZ71" i="6"/>
  <c r="BA60" i="6"/>
  <c r="BA71" i="6"/>
  <c r="BB60" i="6"/>
  <c r="BB71" i="6"/>
  <c r="BC60" i="6"/>
  <c r="BC71" i="6"/>
  <c r="C61" i="6"/>
  <c r="C72" i="6"/>
  <c r="D61" i="6"/>
  <c r="D72" i="6"/>
  <c r="E61" i="6"/>
  <c r="E72" i="6"/>
  <c r="F123" i="6"/>
  <c r="F61" i="6"/>
  <c r="F72" i="6"/>
  <c r="G123" i="6"/>
  <c r="G61" i="6"/>
  <c r="G72" i="6"/>
  <c r="H123" i="6"/>
  <c r="H61" i="6"/>
  <c r="H72" i="6"/>
  <c r="I123" i="6"/>
  <c r="I61" i="6"/>
  <c r="I72" i="6"/>
  <c r="J123" i="6"/>
  <c r="J61" i="6"/>
  <c r="J72" i="6"/>
  <c r="K123" i="6"/>
  <c r="K61" i="6"/>
  <c r="K72" i="6"/>
  <c r="L123" i="6"/>
  <c r="L61" i="6"/>
  <c r="L72" i="6"/>
  <c r="M123" i="6"/>
  <c r="M61" i="6"/>
  <c r="M72" i="6"/>
  <c r="N123" i="6"/>
  <c r="N61" i="6"/>
  <c r="N72" i="6"/>
  <c r="O123" i="6"/>
  <c r="O61" i="6"/>
  <c r="O72" i="6"/>
  <c r="P123" i="6"/>
  <c r="P61" i="6"/>
  <c r="P72" i="6"/>
  <c r="Q123" i="6"/>
  <c r="Q61" i="6"/>
  <c r="Q72" i="6"/>
  <c r="R123" i="6"/>
  <c r="R61" i="6"/>
  <c r="R72" i="6"/>
  <c r="S123" i="6"/>
  <c r="S61" i="6"/>
  <c r="S72" i="6"/>
  <c r="T123" i="6"/>
  <c r="T61" i="6"/>
  <c r="T72" i="6"/>
  <c r="U123" i="6"/>
  <c r="U61" i="6"/>
  <c r="U72" i="6"/>
  <c r="V123" i="6"/>
  <c r="V61" i="6"/>
  <c r="V72" i="6"/>
  <c r="W123" i="6"/>
  <c r="W61" i="6"/>
  <c r="W72" i="6"/>
  <c r="X123" i="6"/>
  <c r="X61" i="6"/>
  <c r="X72" i="6"/>
  <c r="Y123" i="6"/>
  <c r="Y61" i="6"/>
  <c r="Y72" i="6"/>
  <c r="Z123" i="6"/>
  <c r="Z61" i="6"/>
  <c r="Z72" i="6"/>
  <c r="AA123" i="6"/>
  <c r="AA61" i="6"/>
  <c r="AA72" i="6"/>
  <c r="AB123" i="6"/>
  <c r="AB61" i="6"/>
  <c r="AB72" i="6"/>
  <c r="AC123" i="6"/>
  <c r="AC61" i="6"/>
  <c r="AC72" i="6"/>
  <c r="AD123" i="6"/>
  <c r="AD61" i="6"/>
  <c r="AD72" i="6"/>
  <c r="AE123" i="6"/>
  <c r="AE61" i="6"/>
  <c r="AE72" i="6"/>
  <c r="AF123" i="6"/>
  <c r="AF61" i="6"/>
  <c r="AF72" i="6"/>
  <c r="AG123" i="6"/>
  <c r="AG61" i="6"/>
  <c r="AG72" i="6"/>
  <c r="AH123" i="6"/>
  <c r="AH61" i="6"/>
  <c r="AH72" i="6"/>
  <c r="AI123" i="6"/>
  <c r="AI61" i="6"/>
  <c r="AI72" i="6"/>
  <c r="AJ123" i="6"/>
  <c r="AJ61" i="6"/>
  <c r="AJ72" i="6"/>
  <c r="AK123" i="6"/>
  <c r="AK61" i="6"/>
  <c r="AK72" i="6"/>
  <c r="AL123" i="6"/>
  <c r="AL61" i="6"/>
  <c r="AL72" i="6"/>
  <c r="AM123" i="6"/>
  <c r="AM61" i="6"/>
  <c r="AM72" i="6"/>
  <c r="AN123" i="6"/>
  <c r="AN61" i="6"/>
  <c r="AN72" i="6"/>
  <c r="AO123" i="6"/>
  <c r="AO61" i="6"/>
  <c r="AO72" i="6"/>
  <c r="AP123" i="6"/>
  <c r="AP61" i="6"/>
  <c r="AP72" i="6"/>
  <c r="AQ123" i="6"/>
  <c r="AQ61" i="6"/>
  <c r="AQ72" i="6"/>
  <c r="AR123" i="6"/>
  <c r="AR61" i="6"/>
  <c r="AR72" i="6"/>
  <c r="AS123" i="6"/>
  <c r="AS61" i="6"/>
  <c r="AS72" i="6"/>
  <c r="AT123" i="6"/>
  <c r="AT61" i="6"/>
  <c r="AT72" i="6"/>
  <c r="AU123" i="6"/>
  <c r="AU61" i="6"/>
  <c r="AU72" i="6"/>
  <c r="AV123" i="6"/>
  <c r="AV61" i="6"/>
  <c r="AV72" i="6"/>
  <c r="AW123" i="6"/>
  <c r="AW61" i="6"/>
  <c r="AW72" i="6"/>
  <c r="AX123" i="6"/>
  <c r="AX61" i="6"/>
  <c r="AX72" i="6"/>
  <c r="AY123" i="6"/>
  <c r="AY61" i="6"/>
  <c r="AY72" i="6"/>
  <c r="AZ123" i="6"/>
  <c r="AZ61" i="6"/>
  <c r="AZ72" i="6"/>
  <c r="BA123" i="6"/>
  <c r="BA61" i="6"/>
  <c r="BA72" i="6"/>
  <c r="BB123" i="6"/>
  <c r="BB61" i="6"/>
  <c r="BB72" i="6"/>
  <c r="BC123" i="6"/>
  <c r="BC61" i="6"/>
  <c r="BC72" i="6"/>
  <c r="C73" i="6"/>
  <c r="D62" i="6"/>
  <c r="D73" i="6"/>
  <c r="E62" i="6"/>
  <c r="E73" i="6"/>
  <c r="F62" i="6"/>
  <c r="F73" i="6"/>
  <c r="G62" i="6"/>
  <c r="G73" i="6"/>
  <c r="H62" i="6"/>
  <c r="H73" i="6"/>
  <c r="I62" i="6"/>
  <c r="I73" i="6"/>
  <c r="J62" i="6"/>
  <c r="J73" i="6"/>
  <c r="K62" i="6"/>
  <c r="K73" i="6"/>
  <c r="L62" i="6"/>
  <c r="L73" i="6"/>
  <c r="M62" i="6"/>
  <c r="M73" i="6"/>
  <c r="N62" i="6"/>
  <c r="N73" i="6"/>
  <c r="O62" i="6"/>
  <c r="O73" i="6"/>
  <c r="P62" i="6"/>
  <c r="P73" i="6"/>
  <c r="Q62" i="6"/>
  <c r="Q73" i="6"/>
  <c r="R62" i="6"/>
  <c r="R73" i="6"/>
  <c r="S62" i="6"/>
  <c r="S73" i="6"/>
  <c r="T62" i="6"/>
  <c r="T73" i="6"/>
  <c r="U62" i="6"/>
  <c r="U73" i="6"/>
  <c r="V62" i="6"/>
  <c r="V73" i="6"/>
  <c r="W62" i="6"/>
  <c r="W73" i="6"/>
  <c r="X62" i="6"/>
  <c r="X73" i="6"/>
  <c r="Y62" i="6"/>
  <c r="Y73" i="6"/>
  <c r="Z62" i="6"/>
  <c r="Z73" i="6"/>
  <c r="AA62" i="6"/>
  <c r="AA73" i="6"/>
  <c r="AB62" i="6"/>
  <c r="AB73" i="6"/>
  <c r="AC62" i="6"/>
  <c r="AC73" i="6"/>
  <c r="AD62" i="6"/>
  <c r="AD73" i="6"/>
  <c r="AE62" i="6"/>
  <c r="AE73" i="6"/>
  <c r="AF62" i="6"/>
  <c r="AF73" i="6"/>
  <c r="AG62" i="6"/>
  <c r="AG73" i="6"/>
  <c r="AH62" i="6"/>
  <c r="AH73" i="6"/>
  <c r="AI62" i="6"/>
  <c r="AI73" i="6"/>
  <c r="AJ62" i="6"/>
  <c r="AJ73" i="6"/>
  <c r="AK62" i="6"/>
  <c r="AK73" i="6"/>
  <c r="AL62" i="6"/>
  <c r="AL73" i="6"/>
  <c r="AM62" i="6"/>
  <c r="AM73" i="6"/>
  <c r="AN62" i="6"/>
  <c r="AN73" i="6"/>
  <c r="AO62" i="6"/>
  <c r="AO73" i="6"/>
  <c r="AP62" i="6"/>
  <c r="AP73" i="6"/>
  <c r="AQ62" i="6"/>
  <c r="AQ73" i="6"/>
  <c r="AR62" i="6"/>
  <c r="AR73" i="6"/>
  <c r="AS62" i="6"/>
  <c r="AS73" i="6"/>
  <c r="AT62" i="6"/>
  <c r="AT73" i="6"/>
  <c r="AU62" i="6"/>
  <c r="AU73" i="6"/>
  <c r="AV62" i="6"/>
  <c r="AV73" i="6"/>
  <c r="AW62" i="6"/>
  <c r="AW73" i="6"/>
  <c r="AX62" i="6"/>
  <c r="AX73" i="6"/>
  <c r="AY62" i="6"/>
  <c r="AY73" i="6"/>
  <c r="AZ62" i="6"/>
  <c r="AZ73" i="6"/>
  <c r="BA62" i="6"/>
  <c r="BA73" i="6"/>
  <c r="BB62" i="6"/>
  <c r="BB73" i="6"/>
  <c r="BC62" i="6"/>
  <c r="BC73" i="6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5" i="5"/>
  <c r="H186" i="5"/>
  <c r="H187" i="5"/>
  <c r="H188" i="5"/>
  <c r="H189" i="5"/>
  <c r="H190" i="5"/>
  <c r="H191" i="5"/>
  <c r="H193" i="5"/>
  <c r="H195" i="5"/>
  <c r="H196" i="5"/>
  <c r="H197" i="5"/>
  <c r="H198" i="5"/>
  <c r="H199" i="5"/>
  <c r="H200" i="5"/>
  <c r="H201" i="5"/>
  <c r="H202" i="5"/>
  <c r="H203" i="5"/>
  <c r="H204" i="5"/>
  <c r="H205" i="5"/>
  <c r="H207" i="5"/>
  <c r="H208" i="5"/>
  <c r="H209" i="5"/>
  <c r="H210" i="5"/>
  <c r="H211" i="5"/>
  <c r="H212" i="5"/>
  <c r="H213" i="5"/>
  <c r="H214" i="5"/>
  <c r="H215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F335" i="5"/>
  <c r="F338" i="5"/>
  <c r="F339" i="5"/>
  <c r="F340" i="5"/>
  <c r="F341" i="5"/>
  <c r="F342" i="5"/>
  <c r="F343" i="5"/>
  <c r="F344" i="5"/>
  <c r="F345" i="5"/>
  <c r="F346" i="5"/>
  <c r="F347" i="5"/>
  <c r="F351" i="5"/>
  <c r="F352" i="5"/>
  <c r="AL30" i="1"/>
  <c r="AJ30" i="1"/>
  <c r="AK30" i="1"/>
  <c r="AL20" i="1"/>
  <c r="AJ20" i="1"/>
  <c r="F78" i="5"/>
  <c r="F80" i="5"/>
  <c r="F81" i="5"/>
  <c r="F82" i="5"/>
  <c r="F83" i="5"/>
  <c r="F84" i="5"/>
  <c r="F85" i="5"/>
  <c r="F86" i="5"/>
  <c r="F87" i="5"/>
  <c r="F89" i="5"/>
  <c r="F91" i="5"/>
  <c r="F92" i="5"/>
  <c r="F93" i="5"/>
  <c r="F94" i="5"/>
  <c r="F95" i="5"/>
  <c r="F97" i="5"/>
  <c r="F98" i="5"/>
  <c r="F99" i="5"/>
  <c r="F100" i="5"/>
  <c r="F119" i="5"/>
  <c r="F120" i="5"/>
  <c r="F121" i="5"/>
  <c r="F122" i="5"/>
  <c r="F124" i="5"/>
  <c r="F125" i="5"/>
  <c r="F126" i="5"/>
  <c r="F128" i="5"/>
  <c r="F129" i="5"/>
  <c r="F131" i="5"/>
  <c r="F132" i="5"/>
  <c r="F133" i="5"/>
  <c r="F134" i="5"/>
  <c r="F135" i="5"/>
  <c r="F136" i="5"/>
  <c r="F137" i="5"/>
  <c r="F138" i="5"/>
  <c r="F157" i="5"/>
  <c r="F158" i="5"/>
  <c r="F159" i="5"/>
  <c r="F160" i="5"/>
  <c r="F161" i="5"/>
  <c r="F162" i="5"/>
  <c r="F163" i="5"/>
  <c r="F165" i="5"/>
  <c r="F166" i="5"/>
  <c r="F167" i="5"/>
  <c r="F168" i="5"/>
  <c r="F169" i="5"/>
  <c r="F171" i="5"/>
  <c r="F172" i="5"/>
  <c r="F173" i="5"/>
  <c r="F174" i="5"/>
  <c r="F175" i="5"/>
  <c r="F176" i="5"/>
  <c r="F177" i="5"/>
  <c r="F178" i="5"/>
  <c r="F179" i="5"/>
  <c r="F180" i="5"/>
  <c r="F182" i="5"/>
  <c r="F183" i="5"/>
  <c r="F184" i="5"/>
  <c r="F185" i="5"/>
  <c r="F186" i="5"/>
  <c r="F188" i="5"/>
  <c r="F189" i="5"/>
  <c r="F190" i="5"/>
  <c r="F191" i="5"/>
  <c r="F192" i="5"/>
  <c r="F195" i="5"/>
  <c r="F196" i="5"/>
  <c r="F197" i="5"/>
  <c r="F198" i="5"/>
  <c r="F200" i="5"/>
  <c r="F202" i="5"/>
  <c r="F205" i="5"/>
  <c r="F206" i="5"/>
  <c r="F207" i="5"/>
  <c r="F208" i="5"/>
  <c r="F209" i="5"/>
  <c r="F210" i="5"/>
  <c r="F211" i="5"/>
  <c r="F212" i="5"/>
  <c r="F214" i="5"/>
  <c r="F215" i="5"/>
  <c r="F216" i="5"/>
  <c r="F217" i="5"/>
  <c r="F218" i="5"/>
  <c r="F220" i="5"/>
  <c r="F222" i="5"/>
  <c r="F223" i="5"/>
  <c r="F225" i="5"/>
  <c r="F228" i="5"/>
  <c r="F230" i="5"/>
  <c r="F231" i="5"/>
  <c r="F232" i="5"/>
  <c r="F233" i="5"/>
  <c r="F234" i="5"/>
  <c r="F236" i="5"/>
  <c r="F237" i="5"/>
  <c r="F238" i="5"/>
  <c r="F239" i="5"/>
  <c r="F240" i="5"/>
  <c r="F241" i="5"/>
  <c r="F242" i="5"/>
  <c r="F243" i="5"/>
  <c r="F245" i="5"/>
  <c r="F246" i="5"/>
  <c r="F248" i="5"/>
  <c r="F249" i="5"/>
  <c r="F251" i="5"/>
  <c r="F252" i="5"/>
  <c r="F253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70" i="5"/>
  <c r="F272" i="5"/>
  <c r="F274" i="5"/>
  <c r="F276" i="5"/>
  <c r="F277" i="5"/>
  <c r="F280" i="5"/>
  <c r="F282" i="5"/>
  <c r="F284" i="5"/>
  <c r="F285" i="5"/>
  <c r="F287" i="5"/>
  <c r="F288" i="5"/>
  <c r="F289" i="5"/>
  <c r="F290" i="5"/>
  <c r="F291" i="5"/>
  <c r="F292" i="5"/>
  <c r="F294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10" i="5"/>
  <c r="F311" i="5"/>
  <c r="F312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8" i="5"/>
  <c r="F329" i="5"/>
  <c r="F330" i="5"/>
  <c r="F331" i="5"/>
  <c r="F332" i="5"/>
  <c r="F333" i="5"/>
  <c r="F334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9" i="5"/>
  <c r="F390" i="5"/>
  <c r="F391" i="5"/>
  <c r="F394" i="5"/>
  <c r="F395" i="5"/>
  <c r="F396" i="5"/>
  <c r="F397" i="5"/>
  <c r="F398" i="5"/>
  <c r="F399" i="5"/>
  <c r="F400" i="5"/>
  <c r="F401" i="5"/>
  <c r="F402" i="5"/>
  <c r="F404" i="5"/>
  <c r="F406" i="5"/>
  <c r="F407" i="5"/>
  <c r="F408" i="5"/>
  <c r="F409" i="5"/>
  <c r="F410" i="5"/>
  <c r="F411" i="5"/>
  <c r="F412" i="5"/>
  <c r="F413" i="5"/>
  <c r="F414" i="5"/>
  <c r="F415" i="5"/>
  <c r="F416" i="5"/>
  <c r="F418" i="5"/>
  <c r="F419" i="5"/>
  <c r="F420" i="5"/>
  <c r="F421" i="5"/>
  <c r="F422" i="5"/>
  <c r="F423" i="5"/>
  <c r="F424" i="5"/>
  <c r="F425" i="5"/>
  <c r="F426" i="5"/>
  <c r="F427" i="5"/>
  <c r="F428" i="5"/>
  <c r="F430" i="5"/>
  <c r="F431" i="5"/>
  <c r="F432" i="5"/>
  <c r="F433" i="5"/>
  <c r="F434" i="5"/>
  <c r="F435" i="5"/>
  <c r="F436" i="5"/>
  <c r="F437" i="5"/>
  <c r="F439" i="5"/>
  <c r="F440" i="5"/>
  <c r="F442" i="5"/>
  <c r="F443" i="5"/>
  <c r="F444" i="5"/>
  <c r="F445" i="5"/>
  <c r="F446" i="5"/>
  <c r="F447" i="5"/>
  <c r="F448" i="5"/>
  <c r="F449" i="5"/>
  <c r="F451" i="5"/>
  <c r="F453" i="5"/>
  <c r="F454" i="5"/>
  <c r="F458" i="5"/>
  <c r="F459" i="5"/>
  <c r="F460" i="5"/>
  <c r="F461" i="5"/>
  <c r="F463" i="5"/>
  <c r="F464" i="5"/>
  <c r="F468" i="5"/>
  <c r="F469" i="5"/>
  <c r="F471" i="5"/>
  <c r="F472" i="5"/>
  <c r="F473" i="5"/>
  <c r="F474" i="5"/>
  <c r="F475" i="5"/>
  <c r="F477" i="5"/>
  <c r="F478" i="5"/>
  <c r="F482" i="5"/>
  <c r="F483" i="5"/>
  <c r="F484" i="5"/>
  <c r="F485" i="5"/>
  <c r="F489" i="5"/>
  <c r="F490" i="5"/>
  <c r="F491" i="5"/>
  <c r="F492" i="5"/>
  <c r="F493" i="5"/>
  <c r="F494" i="5"/>
  <c r="F496" i="5"/>
  <c r="F497" i="5"/>
  <c r="F498" i="5"/>
  <c r="F499" i="5"/>
  <c r="F501" i="5"/>
  <c r="F502" i="5"/>
  <c r="F503" i="5"/>
  <c r="F504" i="5"/>
  <c r="F506" i="5"/>
  <c r="F507" i="5"/>
  <c r="F508" i="5"/>
  <c r="F509" i="5"/>
  <c r="F510" i="5"/>
  <c r="F511" i="5"/>
  <c r="F512" i="5"/>
  <c r="F515" i="5"/>
  <c r="F517" i="5"/>
  <c r="F519" i="5"/>
  <c r="F520" i="5"/>
  <c r="F521" i="5"/>
  <c r="F523" i="5"/>
  <c r="F524" i="5"/>
  <c r="F525" i="5"/>
  <c r="F526" i="5"/>
  <c r="F527" i="5"/>
  <c r="F528" i="5"/>
  <c r="F529" i="5"/>
  <c r="F530" i="5"/>
  <c r="F532" i="5"/>
  <c r="F533" i="5"/>
  <c r="F534" i="5"/>
  <c r="F535" i="5"/>
  <c r="F536" i="5"/>
  <c r="F537" i="5"/>
  <c r="F538" i="5"/>
  <c r="F539" i="5"/>
  <c r="F540" i="5"/>
  <c r="F543" i="5"/>
  <c r="F544" i="5"/>
  <c r="F547" i="5"/>
  <c r="F550" i="5"/>
  <c r="F552" i="5"/>
  <c r="F553" i="5"/>
  <c r="F555" i="5"/>
  <c r="F556" i="5"/>
  <c r="F557" i="5"/>
  <c r="F558" i="5"/>
  <c r="F560" i="5"/>
  <c r="F561" i="5"/>
  <c r="F562" i="5"/>
  <c r="F564" i="5"/>
  <c r="F565" i="5"/>
  <c r="F566" i="5"/>
  <c r="F567" i="5"/>
  <c r="F568" i="5"/>
  <c r="F569" i="5"/>
  <c r="F570" i="5"/>
  <c r="F572" i="5"/>
  <c r="F573" i="5"/>
  <c r="F574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5" i="5"/>
  <c r="F598" i="5"/>
  <c r="F599" i="5"/>
  <c r="F600" i="5"/>
  <c r="F601" i="5"/>
  <c r="F602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5" i="5"/>
  <c r="F626" i="5"/>
  <c r="F627" i="5"/>
  <c r="F629" i="5"/>
  <c r="F630" i="5"/>
  <c r="F631" i="5"/>
  <c r="F632" i="5"/>
  <c r="F633" i="5"/>
  <c r="F635" i="5"/>
  <c r="F636" i="5"/>
  <c r="F637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5" i="5"/>
  <c r="F656" i="5"/>
  <c r="F658" i="5"/>
  <c r="F659" i="5"/>
  <c r="F660" i="5"/>
  <c r="F661" i="5"/>
  <c r="F662" i="5"/>
  <c r="F663" i="5"/>
  <c r="F664" i="5"/>
  <c r="F665" i="5"/>
  <c r="F667" i="5"/>
  <c r="F668" i="5"/>
  <c r="F669" i="5"/>
  <c r="F670" i="5"/>
  <c r="F671" i="5"/>
  <c r="F673" i="5"/>
  <c r="F674" i="5"/>
  <c r="F675" i="5"/>
  <c r="F676" i="5"/>
  <c r="F677" i="5"/>
  <c r="F678" i="5"/>
  <c r="F679" i="5"/>
  <c r="F680" i="5"/>
  <c r="F681" i="5"/>
  <c r="F683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2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8" i="5"/>
  <c r="F719" i="5"/>
  <c r="F720" i="5"/>
  <c r="F721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40" i="5"/>
  <c r="F744" i="5"/>
  <c r="F745" i="5"/>
  <c r="F746" i="5"/>
  <c r="F747" i="5"/>
  <c r="F748" i="5"/>
  <c r="F749" i="5"/>
  <c r="F750" i="5"/>
  <c r="F753" i="5"/>
  <c r="F755" i="5"/>
  <c r="F756" i="5"/>
  <c r="F757" i="5"/>
  <c r="F758" i="5"/>
  <c r="F760" i="5"/>
  <c r="F761" i="5"/>
  <c r="F763" i="5"/>
  <c r="F766" i="5"/>
  <c r="F767" i="5"/>
  <c r="F770" i="5"/>
  <c r="F771" i="5"/>
  <c r="F772" i="5"/>
  <c r="F773" i="5"/>
  <c r="F775" i="5"/>
  <c r="F776" i="5"/>
  <c r="F777" i="5"/>
  <c r="F778" i="5"/>
  <c r="F779" i="5"/>
  <c r="F780" i="5"/>
  <c r="F782" i="5"/>
  <c r="F783" i="5"/>
  <c r="F784" i="5"/>
  <c r="F785" i="5"/>
  <c r="F788" i="5"/>
  <c r="F789" i="5"/>
  <c r="F790" i="5"/>
  <c r="F791" i="5"/>
  <c r="F792" i="5"/>
  <c r="F796" i="5"/>
  <c r="F799" i="5"/>
  <c r="F803" i="5"/>
  <c r="F804" i="5"/>
  <c r="F805" i="5"/>
  <c r="F806" i="5"/>
  <c r="F807" i="5"/>
  <c r="F811" i="5"/>
  <c r="F812" i="5"/>
  <c r="F813" i="5"/>
  <c r="F814" i="5"/>
  <c r="F815" i="5"/>
  <c r="F818" i="5"/>
  <c r="F819" i="5"/>
  <c r="F820" i="5"/>
  <c r="F821" i="5"/>
  <c r="F823" i="5"/>
  <c r="F824" i="5"/>
  <c r="F827" i="5"/>
  <c r="F828" i="5"/>
  <c r="F829" i="5"/>
  <c r="F830" i="5"/>
  <c r="F833" i="5"/>
  <c r="F837" i="5"/>
  <c r="F838" i="5"/>
  <c r="F839" i="5"/>
  <c r="F840" i="5"/>
  <c r="F841" i="5"/>
  <c r="F842" i="5"/>
  <c r="F844" i="5"/>
  <c r="F845" i="5"/>
  <c r="F846" i="5"/>
  <c r="F848" i="5"/>
  <c r="F849" i="5"/>
  <c r="F850" i="5"/>
  <c r="F851" i="5"/>
  <c r="F853" i="5"/>
  <c r="F854" i="5"/>
  <c r="F855" i="5"/>
  <c r="F856" i="5"/>
  <c r="F859" i="5"/>
  <c r="F860" i="5"/>
  <c r="F862" i="5"/>
  <c r="F865" i="5"/>
  <c r="F867" i="5"/>
  <c r="F868" i="5"/>
  <c r="F869" i="5"/>
  <c r="F870" i="5"/>
  <c r="F871" i="5"/>
  <c r="F872" i="5"/>
  <c r="F873" i="5"/>
  <c r="F875" i="5"/>
  <c r="F876" i="5"/>
  <c r="F878" i="5"/>
  <c r="F879" i="5"/>
  <c r="F880" i="5"/>
  <c r="F881" i="5"/>
  <c r="F883" i="5"/>
  <c r="F885" i="5"/>
  <c r="F888" i="5"/>
  <c r="F889" i="5"/>
  <c r="F890" i="5"/>
  <c r="F892" i="5"/>
  <c r="F893" i="5"/>
  <c r="F894" i="5"/>
  <c r="F895" i="5"/>
  <c r="F896" i="5"/>
  <c r="F897" i="5"/>
  <c r="F898" i="5"/>
  <c r="F899" i="5"/>
  <c r="F900" i="5"/>
  <c r="F901" i="5"/>
  <c r="F903" i="5"/>
  <c r="F904" i="5"/>
  <c r="F905" i="5"/>
  <c r="F908" i="5"/>
  <c r="F909" i="5"/>
  <c r="F910" i="5"/>
  <c r="F911" i="5"/>
  <c r="F912" i="5"/>
  <c r="F913" i="5"/>
  <c r="F915" i="5"/>
  <c r="F916" i="5"/>
  <c r="F917" i="5"/>
  <c r="F918" i="5"/>
  <c r="F919" i="5"/>
  <c r="F920" i="5"/>
  <c r="F921" i="5"/>
  <c r="F922" i="5"/>
  <c r="F923" i="5"/>
  <c r="F924" i="5"/>
  <c r="F927" i="5"/>
  <c r="F928" i="5"/>
  <c r="F929" i="5"/>
  <c r="F932" i="5"/>
  <c r="F933" i="5"/>
  <c r="F934" i="5"/>
  <c r="F936" i="5"/>
  <c r="F937" i="5"/>
  <c r="F939" i="5"/>
  <c r="F940" i="5"/>
  <c r="F941" i="5"/>
  <c r="F942" i="5"/>
  <c r="F943" i="5"/>
  <c r="F944" i="5"/>
  <c r="F946" i="5"/>
  <c r="F947" i="5"/>
  <c r="F948" i="5"/>
  <c r="F949" i="5"/>
  <c r="F950" i="5"/>
  <c r="F952" i="5"/>
  <c r="F953" i="5"/>
  <c r="F954" i="5"/>
  <c r="F955" i="5"/>
  <c r="F956" i="5"/>
  <c r="F957" i="5"/>
  <c r="F958" i="5"/>
  <c r="F962" i="5"/>
  <c r="F964" i="5"/>
  <c r="F965" i="5"/>
  <c r="F966" i="5"/>
  <c r="F967" i="5"/>
  <c r="F968" i="5"/>
  <c r="F969" i="5"/>
  <c r="F970" i="5"/>
  <c r="F972" i="5"/>
  <c r="F973" i="5"/>
  <c r="F974" i="5"/>
  <c r="F975" i="5"/>
  <c r="F976" i="5"/>
  <c r="F978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7" i="5"/>
  <c r="F1028" i="5"/>
  <c r="F1029" i="5"/>
  <c r="F1030" i="5"/>
  <c r="F1031" i="5"/>
  <c r="F1032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9" i="5"/>
  <c r="F1050" i="5"/>
  <c r="F1051" i="5"/>
  <c r="F1052" i="5"/>
  <c r="F1053" i="5"/>
  <c r="F1054" i="5"/>
  <c r="F1055" i="5"/>
  <c r="F1056" i="5"/>
  <c r="F1058" i="5"/>
  <c r="F1059" i="5"/>
  <c r="F1061" i="5"/>
  <c r="F1062" i="5"/>
  <c r="F1063" i="5"/>
  <c r="F1064" i="5"/>
  <c r="F1065" i="5"/>
  <c r="F1066" i="5"/>
  <c r="F1068" i="5"/>
  <c r="F1069" i="5"/>
  <c r="F1070" i="5"/>
  <c r="F1071" i="5"/>
  <c r="F1072" i="5"/>
  <c r="F1073" i="5"/>
  <c r="F1074" i="5"/>
  <c r="F1075" i="5"/>
  <c r="F1076" i="5"/>
  <c r="F1077" i="5"/>
  <c r="F1078" i="5"/>
  <c r="F1080" i="5"/>
  <c r="F1081" i="5"/>
  <c r="F1082" i="5"/>
  <c r="F1083" i="5"/>
  <c r="F1084" i="5"/>
  <c r="F1086" i="5"/>
  <c r="F1087" i="5"/>
  <c r="F1088" i="5"/>
  <c r="F1089" i="5"/>
  <c r="F1090" i="5"/>
  <c r="F1092" i="5"/>
  <c r="F1093" i="5"/>
  <c r="F1094" i="5"/>
  <c r="F1097" i="5"/>
  <c r="F1098" i="5"/>
  <c r="F1100" i="5"/>
  <c r="F1101" i="5"/>
  <c r="F1102" i="5"/>
  <c r="F1103" i="5"/>
  <c r="F1104" i="5"/>
  <c r="F1105" i="5"/>
  <c r="F1109" i="5"/>
  <c r="F1112" i="5"/>
  <c r="F1113" i="5"/>
  <c r="F1116" i="5"/>
  <c r="F1119" i="5"/>
  <c r="F1120" i="5"/>
  <c r="F1121" i="5"/>
  <c r="F1122" i="5"/>
  <c r="F1123" i="5"/>
  <c r="F1125" i="5"/>
  <c r="F1126" i="5"/>
  <c r="F1128" i="5"/>
  <c r="F1129" i="5"/>
  <c r="F1130" i="5"/>
  <c r="F1133" i="5"/>
  <c r="F1134" i="5"/>
  <c r="F1135" i="5"/>
  <c r="F1136" i="5"/>
  <c r="F1138" i="5"/>
  <c r="F1139" i="5"/>
  <c r="F1141" i="5"/>
  <c r="F1142" i="5"/>
  <c r="F1143" i="5"/>
  <c r="F1144" i="5"/>
  <c r="F1146" i="5"/>
  <c r="F1147" i="5"/>
  <c r="F1148" i="5"/>
  <c r="F1149" i="5"/>
  <c r="F1151" i="5"/>
  <c r="F1152" i="5"/>
  <c r="F1153" i="5"/>
  <c r="F1155" i="5"/>
  <c r="F1156" i="5"/>
  <c r="F1157" i="5"/>
  <c r="F1158" i="5"/>
  <c r="F1160" i="5"/>
  <c r="F1161" i="5"/>
  <c r="F1162" i="5"/>
  <c r="F1163" i="5"/>
  <c r="F1164" i="5"/>
  <c r="F1165" i="5"/>
  <c r="F1167" i="5"/>
  <c r="F1168" i="5"/>
  <c r="F1169" i="5"/>
  <c r="F1170" i="5"/>
  <c r="F1171" i="5"/>
  <c r="F1172" i="5"/>
  <c r="F1174" i="5"/>
  <c r="F1175" i="5"/>
  <c r="F1177" i="5"/>
  <c r="F1178" i="5"/>
  <c r="F1179" i="5"/>
  <c r="F1183" i="5"/>
  <c r="F1186" i="5"/>
  <c r="F1187" i="5"/>
  <c r="F1188" i="5"/>
  <c r="F1190" i="5"/>
  <c r="F1191" i="5"/>
  <c r="F1193" i="5"/>
  <c r="F1194" i="5"/>
  <c r="F1195" i="5"/>
  <c r="F1197" i="5"/>
  <c r="F1198" i="5"/>
  <c r="F1199" i="5"/>
  <c r="F1200" i="5"/>
  <c r="F1201" i="5"/>
  <c r="F1202" i="5"/>
  <c r="F1203" i="5"/>
  <c r="F1205" i="5"/>
  <c r="F1206" i="5"/>
  <c r="F1208" i="5"/>
  <c r="F1209" i="5"/>
  <c r="F1211" i="5"/>
  <c r="F1212" i="5"/>
  <c r="F1214" i="5"/>
  <c r="F1215" i="5"/>
  <c r="F1216" i="5"/>
  <c r="F1217" i="5"/>
  <c r="F1218" i="5"/>
  <c r="F1220" i="5"/>
  <c r="F1221" i="5"/>
  <c r="F1222" i="5"/>
  <c r="F1223" i="5"/>
  <c r="F1224" i="5"/>
  <c r="F1226" i="5"/>
  <c r="F1227" i="5"/>
  <c r="F1228" i="5"/>
  <c r="F1230" i="5"/>
  <c r="F1231" i="5"/>
  <c r="F1232" i="5"/>
  <c r="F1234" i="5"/>
  <c r="F1236" i="5"/>
  <c r="F1239" i="5"/>
  <c r="F1240" i="5"/>
  <c r="F1242" i="5"/>
  <c r="F1243" i="5"/>
  <c r="F1244" i="5"/>
  <c r="F1245" i="5"/>
  <c r="F1247" i="5"/>
  <c r="F1249" i="5"/>
  <c r="F1250" i="5"/>
  <c r="F1254" i="5"/>
  <c r="F1255" i="5"/>
  <c r="F1256" i="5"/>
  <c r="F1258" i="5"/>
  <c r="F1260" i="5"/>
  <c r="F1263" i="5"/>
  <c r="F1264" i="5"/>
  <c r="F1265" i="5"/>
  <c r="F1266" i="5"/>
  <c r="F1267" i="5"/>
  <c r="F1269" i="5"/>
  <c r="F1270" i="5"/>
  <c r="F1271" i="5"/>
  <c r="F1272" i="5"/>
  <c r="F1273" i="5"/>
  <c r="F1274" i="5"/>
  <c r="F1277" i="5"/>
  <c r="F1278" i="5"/>
  <c r="F1280" i="5"/>
  <c r="F1282" i="5"/>
  <c r="F1283" i="5"/>
  <c r="F1285" i="5"/>
  <c r="F1286" i="5"/>
  <c r="F1287" i="5"/>
  <c r="F1288" i="5"/>
  <c r="F1291" i="5"/>
  <c r="F1293" i="5"/>
  <c r="F1294" i="5"/>
  <c r="F1295" i="5"/>
  <c r="F1296" i="5"/>
  <c r="F1297" i="5"/>
  <c r="F1298" i="5"/>
  <c r="F1299" i="5"/>
  <c r="F1300" i="5"/>
  <c r="F1301" i="5"/>
  <c r="F1302" i="5"/>
  <c r="F1303" i="5"/>
  <c r="F1305" i="5"/>
  <c r="F1306" i="5"/>
  <c r="F1307" i="5"/>
  <c r="F1308" i="5"/>
  <c r="F1309" i="5"/>
  <c r="F1310" i="5"/>
  <c r="F1312" i="5"/>
  <c r="F1315" i="5"/>
  <c r="F1317" i="5"/>
  <c r="F1318" i="5"/>
  <c r="F1319" i="5"/>
  <c r="F1321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2" i="5"/>
  <c r="F1353" i="5"/>
  <c r="F1355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6" i="5"/>
  <c r="F1377" i="5"/>
  <c r="F1378" i="5"/>
  <c r="F1379" i="5"/>
  <c r="F1380" i="5"/>
  <c r="F1381" i="5"/>
  <c r="F1382" i="5"/>
  <c r="F1383" i="5"/>
  <c r="F1384" i="5"/>
  <c r="F1385" i="5"/>
  <c r="F1386" i="5"/>
  <c r="F1388" i="5"/>
  <c r="F1389" i="5"/>
  <c r="F1390" i="5"/>
  <c r="F1391" i="5"/>
  <c r="F1393" i="5"/>
  <c r="F1394" i="5"/>
  <c r="F1395" i="5"/>
  <c r="F1397" i="5"/>
  <c r="F1398" i="5"/>
  <c r="F1400" i="5"/>
  <c r="F1401" i="5"/>
  <c r="F1402" i="5"/>
  <c r="F1404" i="5"/>
  <c r="F1405" i="5"/>
  <c r="F1406" i="5"/>
  <c r="F1407" i="5"/>
  <c r="F1408" i="5"/>
  <c r="F1409" i="5"/>
  <c r="F1410" i="5"/>
  <c r="F1412" i="5"/>
  <c r="F1413" i="5"/>
  <c r="F1414" i="5"/>
  <c r="F1415" i="5"/>
  <c r="F1416" i="5"/>
  <c r="F1418" i="5"/>
  <c r="F1419" i="5"/>
  <c r="F1420" i="5"/>
  <c r="F1421" i="5"/>
  <c r="F1422" i="5"/>
  <c r="F1423" i="5"/>
  <c r="F1424" i="5"/>
  <c r="F1426" i="5"/>
  <c r="F1428" i="5"/>
  <c r="F1429" i="5"/>
  <c r="F1430" i="5"/>
  <c r="F1433" i="5"/>
  <c r="F1434" i="5"/>
  <c r="F1435" i="5"/>
  <c r="F1436" i="5"/>
  <c r="F1437" i="5"/>
  <c r="F1438" i="5"/>
  <c r="F1439" i="5"/>
  <c r="F1440" i="5"/>
  <c r="F1441" i="5"/>
  <c r="F1442" i="5"/>
  <c r="F1444" i="5"/>
  <c r="F1445" i="5"/>
  <c r="F1446" i="5"/>
  <c r="F1449" i="5"/>
  <c r="F1450" i="5"/>
  <c r="F1451" i="5"/>
  <c r="F1454" i="5"/>
  <c r="F1455" i="5"/>
  <c r="F1456" i="5"/>
  <c r="F1457" i="5"/>
  <c r="F1458" i="5"/>
  <c r="F1459" i="5"/>
  <c r="F1460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5" i="5"/>
  <c r="F1476" i="5"/>
  <c r="F1477" i="5"/>
  <c r="F1478" i="5"/>
  <c r="F1479" i="5"/>
  <c r="F1480" i="5"/>
  <c r="F1481" i="5"/>
  <c r="F1482" i="5"/>
  <c r="F1483" i="5"/>
  <c r="F1485" i="5"/>
  <c r="F1486" i="5"/>
  <c r="F1487" i="5"/>
  <c r="F1488" i="5"/>
  <c r="F1489" i="5"/>
  <c r="F1490" i="5"/>
  <c r="F1491" i="5"/>
  <c r="F1494" i="5"/>
  <c r="F1495" i="5"/>
  <c r="F1497" i="5"/>
  <c r="F1498" i="5"/>
  <c r="F1499" i="5"/>
  <c r="F1500" i="5"/>
  <c r="F1501" i="5"/>
  <c r="F1503" i="5"/>
  <c r="F1504" i="5"/>
  <c r="F1505" i="5"/>
  <c r="F1506" i="5"/>
  <c r="F1507" i="5"/>
  <c r="F1508" i="5"/>
  <c r="F1510" i="5"/>
  <c r="F1511" i="5"/>
  <c r="F1512" i="5"/>
  <c r="F1513" i="5"/>
  <c r="F1514" i="5"/>
  <c r="F1515" i="5"/>
  <c r="F1517" i="5"/>
  <c r="F1518" i="5"/>
  <c r="F1519" i="5"/>
  <c r="F1520" i="5"/>
  <c r="F1521" i="5"/>
  <c r="F1522" i="5"/>
  <c r="F1523" i="5"/>
  <c r="F1525" i="5"/>
  <c r="F1527" i="5"/>
  <c r="F1528" i="5"/>
  <c r="F1529" i="5"/>
  <c r="F1530" i="5"/>
  <c r="F1531" i="5"/>
  <c r="F1532" i="5"/>
  <c r="F1533" i="5"/>
  <c r="F1536" i="5"/>
  <c r="F1539" i="5"/>
  <c r="F1540" i="5"/>
  <c r="F1543" i="5"/>
  <c r="F1544" i="5"/>
  <c r="F1545" i="5"/>
  <c r="F1547" i="5"/>
  <c r="F1548" i="5"/>
  <c r="F1549" i="5"/>
  <c r="F1550" i="5"/>
  <c r="F1551" i="5"/>
  <c r="F1552" i="5"/>
  <c r="F1553" i="5"/>
  <c r="F1555" i="5"/>
  <c r="F1557" i="5"/>
  <c r="F1558" i="5"/>
  <c r="F1560" i="5"/>
  <c r="F1561" i="5"/>
  <c r="F1563" i="5"/>
  <c r="F1564" i="5"/>
  <c r="F1565" i="5"/>
  <c r="F1567" i="5"/>
  <c r="F1568" i="5"/>
  <c r="F1569" i="5"/>
  <c r="F1571" i="5"/>
  <c r="F1573" i="5"/>
  <c r="F1574" i="5"/>
  <c r="F1575" i="5"/>
  <c r="F1577" i="5"/>
  <c r="F1578" i="5"/>
  <c r="F1579" i="5"/>
  <c r="F1580" i="5"/>
  <c r="F1581" i="5"/>
  <c r="F1582" i="5"/>
  <c r="F1583" i="5"/>
  <c r="F1584" i="5"/>
  <c r="F1587" i="5"/>
  <c r="F1589" i="5"/>
  <c r="F1590" i="5"/>
  <c r="F1591" i="5"/>
  <c r="F1592" i="5"/>
  <c r="F1593" i="5"/>
  <c r="F1594" i="5"/>
  <c r="F1595" i="5"/>
  <c r="F1596" i="5"/>
  <c r="F1598" i="5"/>
  <c r="F1599" i="5"/>
  <c r="F1601" i="5"/>
  <c r="F1602" i="5"/>
  <c r="F1603" i="5"/>
  <c r="F1604" i="5"/>
  <c r="F1606" i="5"/>
  <c r="F1608" i="5"/>
  <c r="F1609" i="5"/>
  <c r="F1610" i="5"/>
  <c r="F1611" i="5"/>
  <c r="F1613" i="5"/>
  <c r="F1614" i="5"/>
  <c r="F1615" i="5"/>
  <c r="F1616" i="5"/>
  <c r="F1617" i="5"/>
  <c r="F1618" i="5"/>
  <c r="F1619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4" i="5"/>
  <c r="F1635" i="5"/>
  <c r="F1637" i="5"/>
  <c r="F1638" i="5"/>
  <c r="F1639" i="5"/>
  <c r="F1640" i="5"/>
  <c r="F1641" i="5"/>
  <c r="F1642" i="5"/>
  <c r="F1643" i="5"/>
  <c r="F1645" i="5"/>
  <c r="F1646" i="5"/>
  <c r="F1647" i="5"/>
  <c r="F1648" i="5"/>
  <c r="F1649" i="5"/>
  <c r="F1650" i="5"/>
  <c r="F1651" i="5"/>
  <c r="F1652" i="5"/>
  <c r="F1653" i="5"/>
  <c r="F1654" i="5"/>
  <c r="F1655" i="5"/>
  <c r="F1657" i="5"/>
  <c r="F1659" i="5"/>
  <c r="F1661" i="5"/>
  <c r="F1662" i="5"/>
  <c r="F1667" i="5"/>
  <c r="F1669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9" i="5"/>
  <c r="F1700" i="5"/>
  <c r="F1701" i="5"/>
  <c r="F1702" i="5"/>
  <c r="F1703" i="5"/>
  <c r="F1704" i="5"/>
  <c r="F1705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4" i="5"/>
  <c r="F1755" i="5"/>
  <c r="F1756" i="5"/>
  <c r="F1757" i="5"/>
  <c r="F1758" i="5"/>
  <c r="F1759" i="5"/>
  <c r="F1760" i="5"/>
  <c r="F1762" i="5"/>
  <c r="F1763" i="5"/>
  <c r="F1764" i="5"/>
  <c r="F1765" i="5"/>
  <c r="F1766" i="5"/>
  <c r="F1768" i="5"/>
  <c r="F1769" i="5"/>
  <c r="F1770" i="5"/>
  <c r="F1771" i="5"/>
  <c r="F1772" i="5"/>
  <c r="F1773" i="5"/>
  <c r="F1774" i="5"/>
  <c r="F1775" i="5"/>
  <c r="F1777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2" i="5"/>
  <c r="F1803" i="5"/>
  <c r="F1804" i="5"/>
  <c r="F1805" i="5"/>
  <c r="F1806" i="5"/>
  <c r="F1807" i="5"/>
  <c r="F1809" i="5"/>
  <c r="F1810" i="5"/>
  <c r="F1811" i="5"/>
  <c r="F1814" i="5"/>
  <c r="F1815" i="5"/>
  <c r="F1816" i="5"/>
  <c r="F1817" i="5"/>
  <c r="F1818" i="5"/>
  <c r="F1819" i="5"/>
  <c r="F1820" i="5"/>
  <c r="F1821" i="5"/>
  <c r="F1822" i="5"/>
  <c r="F1823" i="5"/>
  <c r="F1824" i="5"/>
  <c r="F1826" i="5"/>
  <c r="F1828" i="5"/>
  <c r="F1829" i="5"/>
  <c r="F1830" i="5"/>
  <c r="F1831" i="5"/>
  <c r="F1832" i="5"/>
  <c r="F1833" i="5"/>
  <c r="F1834" i="5"/>
  <c r="F1835" i="5"/>
  <c r="F1836" i="5"/>
  <c r="F1837" i="5"/>
  <c r="F1838" i="5"/>
  <c r="F1840" i="5"/>
  <c r="F1841" i="5"/>
  <c r="F1842" i="5"/>
  <c r="F1843" i="5"/>
  <c r="F1844" i="5"/>
  <c r="F1845" i="5"/>
  <c r="F1846" i="5"/>
  <c r="F1847" i="5"/>
  <c r="F1849" i="5"/>
  <c r="F1850" i="5"/>
  <c r="F1853" i="5"/>
  <c r="F1854" i="5"/>
  <c r="F1855" i="5"/>
  <c r="F1856" i="5"/>
  <c r="F1858" i="5"/>
  <c r="F1860" i="5"/>
  <c r="F1861" i="5"/>
  <c r="F1862" i="5"/>
  <c r="F1863" i="5"/>
  <c r="F1865" i="5"/>
  <c r="F1866" i="5"/>
  <c r="F1867" i="5"/>
  <c r="F1868" i="5"/>
  <c r="F1869" i="5"/>
  <c r="F1870" i="5"/>
  <c r="F1873" i="5"/>
  <c r="F1874" i="5"/>
  <c r="F1875" i="5"/>
  <c r="F1878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3" i="5"/>
  <c r="F1904" i="5"/>
  <c r="F1906" i="5"/>
  <c r="F1908" i="5"/>
  <c r="F1909" i="5"/>
  <c r="F1910" i="5"/>
  <c r="F1911" i="5"/>
  <c r="F1912" i="5"/>
  <c r="F1913" i="5"/>
  <c r="F1914" i="5"/>
  <c r="F1915" i="5"/>
  <c r="F1925" i="5"/>
  <c r="F1926" i="5"/>
  <c r="F1927" i="5"/>
  <c r="F1928" i="5"/>
  <c r="F1929" i="5"/>
  <c r="F1931" i="5"/>
  <c r="F1932" i="5"/>
  <c r="F1933" i="5"/>
  <c r="F1934" i="5"/>
  <c r="F1935" i="5"/>
  <c r="F1936" i="5"/>
  <c r="F1937" i="5"/>
  <c r="F1938" i="5"/>
  <c r="F1939" i="5"/>
  <c r="F1940" i="5"/>
  <c r="F1941" i="5"/>
  <c r="F1943" i="5"/>
  <c r="F1945" i="5"/>
  <c r="F1946" i="5"/>
  <c r="F1947" i="5"/>
  <c r="F1948" i="5"/>
  <c r="F1949" i="5"/>
  <c r="F1950" i="5"/>
  <c r="F1951" i="5"/>
  <c r="F1952" i="5"/>
  <c r="F1953" i="5"/>
  <c r="F1954" i="5"/>
  <c r="F1956" i="5"/>
  <c r="F1957" i="5"/>
  <c r="F1958" i="5"/>
  <c r="F1959" i="5"/>
  <c r="F1961" i="5"/>
  <c r="F1962" i="5"/>
  <c r="F1963" i="5"/>
  <c r="F1964" i="5"/>
  <c r="F1965" i="5"/>
  <c r="F1966" i="5"/>
  <c r="F1967" i="5"/>
  <c r="F1968" i="5"/>
  <c r="F1969" i="5"/>
  <c r="F1971" i="5"/>
  <c r="F1972" i="5"/>
  <c r="F1973" i="5"/>
  <c r="F1974" i="5"/>
  <c r="F1975" i="5"/>
  <c r="F1976" i="5"/>
  <c r="F1978" i="5"/>
  <c r="F1979" i="5"/>
  <c r="F1980" i="5"/>
  <c r="F1982" i="5"/>
  <c r="F1983" i="5"/>
  <c r="F1984" i="5"/>
  <c r="F1985" i="5"/>
  <c r="F1986" i="5"/>
  <c r="F1987" i="5"/>
  <c r="F1990" i="5"/>
  <c r="F1992" i="5"/>
  <c r="F1993" i="5"/>
  <c r="F1994" i="5"/>
  <c r="F1995" i="5"/>
  <c r="F1996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1" i="5"/>
  <c r="F2032" i="5"/>
  <c r="F2033" i="5"/>
  <c r="F2034" i="5"/>
  <c r="F2036" i="5"/>
  <c r="F2038" i="5"/>
  <c r="F2040" i="5"/>
  <c r="F2044" i="5"/>
  <c r="F2046" i="5"/>
  <c r="F2048" i="5"/>
  <c r="F2050" i="5"/>
  <c r="F2051" i="5"/>
  <c r="F2052" i="5"/>
  <c r="F2053" i="5"/>
  <c r="F2054" i="5"/>
  <c r="F2055" i="5"/>
  <c r="F2056" i="5"/>
  <c r="F2057" i="5"/>
  <c r="F2058" i="5"/>
  <c r="F2059" i="5"/>
  <c r="F2064" i="5"/>
  <c r="F2065" i="5"/>
  <c r="F2066" i="5"/>
  <c r="F2067" i="5"/>
  <c r="F2068" i="5"/>
  <c r="F2069" i="5"/>
  <c r="F2071" i="5"/>
  <c r="F2074" i="5"/>
  <c r="F2076" i="5"/>
  <c r="F2077" i="5"/>
  <c r="F2078" i="5"/>
  <c r="F2080" i="5"/>
  <c r="F2081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9" i="5"/>
  <c r="F2100" i="5"/>
  <c r="F2102" i="5"/>
  <c r="F2104" i="5"/>
  <c r="F2106" i="5"/>
  <c r="F2107" i="5"/>
  <c r="F2108" i="5"/>
  <c r="F2109" i="5"/>
  <c r="F2113" i="5"/>
  <c r="F2114" i="5"/>
  <c r="F2115" i="5"/>
  <c r="F2116" i="5"/>
  <c r="F2117" i="5"/>
  <c r="F2118" i="5"/>
  <c r="F2119" i="5"/>
  <c r="F2121" i="5"/>
  <c r="F2122" i="5"/>
  <c r="F2126" i="5"/>
  <c r="F2127" i="5"/>
  <c r="F2128" i="5"/>
  <c r="F2131" i="5"/>
  <c r="F2132" i="5"/>
  <c r="F2134" i="5"/>
  <c r="F2135" i="5"/>
  <c r="F2136" i="5"/>
  <c r="F2137" i="5"/>
  <c r="F2138" i="5"/>
  <c r="F2140" i="5"/>
  <c r="F2141" i="5"/>
  <c r="F2142" i="5"/>
  <c r="F2144" i="5"/>
  <c r="F2145" i="5"/>
  <c r="F2146" i="5"/>
  <c r="F2147" i="5"/>
  <c r="F2148" i="5"/>
  <c r="F2149" i="5"/>
  <c r="F2150" i="5"/>
  <c r="F2151" i="5"/>
  <c r="F2153" i="5"/>
  <c r="F2154" i="5"/>
  <c r="F2155" i="5"/>
  <c r="F2156" i="5"/>
  <c r="F2158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4" i="5"/>
  <c r="F2175" i="5"/>
  <c r="F2176" i="5"/>
  <c r="F2177" i="5"/>
  <c r="F2180" i="5"/>
  <c r="F2181" i="5"/>
  <c r="F2182" i="5"/>
  <c r="F2183" i="5"/>
  <c r="F2184" i="5"/>
  <c r="F2185" i="5"/>
  <c r="F2186" i="5"/>
  <c r="F2187" i="5"/>
  <c r="F2188" i="5"/>
  <c r="F2190" i="5"/>
  <c r="F2191" i="5"/>
  <c r="F2192" i="5"/>
  <c r="F2193" i="5"/>
  <c r="F2194" i="5"/>
  <c r="F2195" i="5"/>
  <c r="F2201" i="5"/>
  <c r="F2202" i="5"/>
  <c r="F2203" i="5"/>
  <c r="F2204" i="5"/>
  <c r="F2206" i="5"/>
  <c r="F2207" i="5"/>
  <c r="F2208" i="5"/>
  <c r="F2209" i="5"/>
  <c r="F2210" i="5"/>
  <c r="F2211" i="5"/>
  <c r="F2212" i="5"/>
  <c r="F2213" i="5"/>
  <c r="F2214" i="5"/>
  <c r="F2216" i="5"/>
  <c r="F2217" i="5"/>
  <c r="F2218" i="5"/>
  <c r="F2220" i="5"/>
  <c r="R162" i="5"/>
  <c r="R163" i="5"/>
  <c r="R164" i="5"/>
  <c r="R165" i="5"/>
  <c r="R166" i="5"/>
  <c r="R167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295" i="5"/>
  <c r="R296" i="5"/>
  <c r="R297" i="5"/>
  <c r="R298" i="5"/>
  <c r="R299" i="5"/>
  <c r="R300" i="5"/>
  <c r="R301" i="5"/>
  <c r="R302" i="5"/>
  <c r="R273" i="5"/>
  <c r="R274" i="5"/>
  <c r="R275" i="5"/>
  <c r="R276" i="5"/>
  <c r="R277" i="5"/>
  <c r="R278" i="5"/>
  <c r="R279" i="5"/>
  <c r="R280" i="5"/>
  <c r="R281" i="5"/>
  <c r="R282" i="5"/>
  <c r="R283" i="5"/>
  <c r="R124" i="5"/>
  <c r="R125" i="5"/>
  <c r="R126" i="5"/>
  <c r="R127" i="5"/>
  <c r="R251" i="5"/>
  <c r="R252" i="5"/>
  <c r="R253" i="5"/>
  <c r="R254" i="5"/>
  <c r="R255" i="5"/>
  <c r="R256" i="5"/>
  <c r="R257" i="5"/>
  <c r="R258" i="5"/>
  <c r="R259" i="5"/>
  <c r="R260" i="5"/>
  <c r="R261" i="5"/>
  <c r="R404" i="5"/>
  <c r="R405" i="5"/>
  <c r="R406" i="5"/>
  <c r="R407" i="5"/>
  <c r="AW5" i="5"/>
  <c r="AV5" i="5"/>
  <c r="AY5" i="5"/>
  <c r="AW6" i="5"/>
  <c r="AV6" i="5"/>
  <c r="AY6" i="5"/>
  <c r="AW9" i="5"/>
  <c r="AV9" i="5"/>
  <c r="AY9" i="5"/>
  <c r="AW11" i="5"/>
  <c r="AW18" i="5"/>
  <c r="AV18" i="5"/>
  <c r="AW19" i="5"/>
  <c r="AV19" i="5"/>
  <c r="AW20" i="5"/>
  <c r="AV20" i="5"/>
  <c r="M21" i="5"/>
  <c r="N21" i="5"/>
  <c r="O21" i="5"/>
  <c r="P21" i="5"/>
  <c r="Q21" i="5"/>
  <c r="Z21" i="5"/>
  <c r="AB21" i="5"/>
  <c r="AW21" i="5"/>
  <c r="AV21" i="5"/>
  <c r="AY21" i="5"/>
  <c r="AN21" i="5"/>
  <c r="AP21" i="5"/>
  <c r="AX21" i="5"/>
  <c r="AA21" i="5"/>
  <c r="S21" i="5"/>
  <c r="T21" i="5"/>
  <c r="M22" i="5"/>
  <c r="N22" i="5"/>
  <c r="O22" i="5"/>
  <c r="P22" i="5"/>
  <c r="Q22" i="5"/>
  <c r="Z22" i="5"/>
  <c r="AB22" i="5"/>
  <c r="AW22" i="5"/>
  <c r="AV22" i="5"/>
  <c r="AY22" i="5"/>
  <c r="AN22" i="5"/>
  <c r="AP22" i="5"/>
  <c r="AX22" i="5"/>
  <c r="AA22" i="5"/>
  <c r="S22" i="5"/>
  <c r="T22" i="5"/>
  <c r="M23" i="5"/>
  <c r="N23" i="5"/>
  <c r="O23" i="5"/>
  <c r="P23" i="5"/>
  <c r="Q23" i="5"/>
  <c r="Z23" i="5"/>
  <c r="AB23" i="5"/>
  <c r="AW23" i="5"/>
  <c r="AV23" i="5"/>
  <c r="AY23" i="5"/>
  <c r="AN23" i="5"/>
  <c r="AP23" i="5"/>
  <c r="AX23" i="5"/>
  <c r="AA23" i="5"/>
  <c r="S23" i="5"/>
  <c r="T23" i="5"/>
  <c r="M24" i="5"/>
  <c r="N24" i="5"/>
  <c r="O24" i="5"/>
  <c r="P24" i="5"/>
  <c r="Q24" i="5"/>
  <c r="Z24" i="5"/>
  <c r="AB24" i="5"/>
  <c r="AW24" i="5"/>
  <c r="AV24" i="5"/>
  <c r="AY24" i="5"/>
  <c r="AN24" i="5"/>
  <c r="AP24" i="5"/>
  <c r="AX24" i="5"/>
  <c r="AA24" i="5"/>
  <c r="S24" i="5"/>
  <c r="T24" i="5"/>
  <c r="M25" i="5"/>
  <c r="N25" i="5"/>
  <c r="O25" i="5"/>
  <c r="P25" i="5"/>
  <c r="Q25" i="5"/>
  <c r="Z25" i="5"/>
  <c r="AB25" i="5"/>
  <c r="AW25" i="5"/>
  <c r="AV25" i="5"/>
  <c r="AY25" i="5"/>
  <c r="AN25" i="5"/>
  <c r="AP25" i="5"/>
  <c r="AX25" i="5"/>
  <c r="AA25" i="5"/>
  <c r="S25" i="5"/>
  <c r="T25" i="5"/>
  <c r="M26" i="5"/>
  <c r="N26" i="5"/>
  <c r="O26" i="5"/>
  <c r="P26" i="5"/>
  <c r="Q26" i="5"/>
  <c r="Z26" i="5"/>
  <c r="AB26" i="5"/>
  <c r="AW26" i="5"/>
  <c r="AV26" i="5"/>
  <c r="AY26" i="5"/>
  <c r="AN26" i="5"/>
  <c r="AP26" i="5"/>
  <c r="AX26" i="5"/>
  <c r="AA26" i="5"/>
  <c r="S26" i="5"/>
  <c r="T26" i="5"/>
  <c r="M27" i="5"/>
  <c r="N27" i="5"/>
  <c r="O27" i="5"/>
  <c r="P27" i="5"/>
  <c r="Q27" i="5"/>
  <c r="Z27" i="5"/>
  <c r="AB27" i="5"/>
  <c r="AW27" i="5"/>
  <c r="AV27" i="5"/>
  <c r="AY27" i="5"/>
  <c r="AN27" i="5"/>
  <c r="AP27" i="5"/>
  <c r="AX27" i="5"/>
  <c r="AA27" i="5"/>
  <c r="S27" i="5"/>
  <c r="T27" i="5"/>
  <c r="M28" i="5"/>
  <c r="N28" i="5"/>
  <c r="O28" i="5"/>
  <c r="P28" i="5"/>
  <c r="Q28" i="5"/>
  <c r="Z28" i="5"/>
  <c r="AB28" i="5"/>
  <c r="AW28" i="5"/>
  <c r="AV28" i="5"/>
  <c r="AY28" i="5"/>
  <c r="AN28" i="5"/>
  <c r="AP28" i="5"/>
  <c r="AX28" i="5"/>
  <c r="AA28" i="5"/>
  <c r="S28" i="5"/>
  <c r="T28" i="5"/>
  <c r="M29" i="5"/>
  <c r="N29" i="5"/>
  <c r="O29" i="5"/>
  <c r="P29" i="5"/>
  <c r="Q29" i="5"/>
  <c r="Z29" i="5"/>
  <c r="AB29" i="5"/>
  <c r="AW29" i="5"/>
  <c r="AV29" i="5"/>
  <c r="AY29" i="5"/>
  <c r="AN29" i="5"/>
  <c r="AP29" i="5"/>
  <c r="AX29" i="5"/>
  <c r="AA29" i="5"/>
  <c r="S29" i="5"/>
  <c r="T29" i="5"/>
  <c r="M30" i="5"/>
  <c r="N30" i="5"/>
  <c r="O30" i="5"/>
  <c r="P30" i="5"/>
  <c r="Q30" i="5"/>
  <c r="Z30" i="5"/>
  <c r="AB30" i="5"/>
  <c r="AW30" i="5"/>
  <c r="AV30" i="5"/>
  <c r="AY30" i="5"/>
  <c r="AN30" i="5"/>
  <c r="AP30" i="5"/>
  <c r="AX30" i="5"/>
  <c r="AA30" i="5"/>
  <c r="S30" i="5"/>
  <c r="T30" i="5"/>
  <c r="M31" i="5"/>
  <c r="N31" i="5"/>
  <c r="O31" i="5"/>
  <c r="P31" i="5"/>
  <c r="Q31" i="5"/>
  <c r="Z31" i="5"/>
  <c r="AB31" i="5"/>
  <c r="AW31" i="5"/>
  <c r="AV31" i="5"/>
  <c r="AY31" i="5"/>
  <c r="AN31" i="5"/>
  <c r="AP31" i="5"/>
  <c r="AX31" i="5"/>
  <c r="AA31" i="5"/>
  <c r="S31" i="5"/>
  <c r="T31" i="5"/>
  <c r="M32" i="5"/>
  <c r="N32" i="5"/>
  <c r="O32" i="5"/>
  <c r="P32" i="5"/>
  <c r="Q32" i="5"/>
  <c r="Z32" i="5"/>
  <c r="AB32" i="5"/>
  <c r="AW32" i="5"/>
  <c r="AV32" i="5"/>
  <c r="AY32" i="5"/>
  <c r="AN32" i="5"/>
  <c r="AP32" i="5"/>
  <c r="AX32" i="5"/>
  <c r="AA32" i="5"/>
  <c r="S32" i="5"/>
  <c r="T32" i="5"/>
  <c r="M33" i="5"/>
  <c r="N33" i="5"/>
  <c r="O33" i="5"/>
  <c r="P33" i="5"/>
  <c r="Q33" i="5"/>
  <c r="Z33" i="5"/>
  <c r="AB33" i="5"/>
  <c r="AW33" i="5"/>
  <c r="AV33" i="5"/>
  <c r="AY33" i="5"/>
  <c r="AN33" i="5"/>
  <c r="AP33" i="5"/>
  <c r="AX33" i="5"/>
  <c r="AA33" i="5"/>
  <c r="S33" i="5"/>
  <c r="T33" i="5"/>
  <c r="M34" i="5"/>
  <c r="N34" i="5"/>
  <c r="O34" i="5"/>
  <c r="P34" i="5"/>
  <c r="Q34" i="5"/>
  <c r="Z34" i="5"/>
  <c r="AB34" i="5"/>
  <c r="AW34" i="5"/>
  <c r="AV34" i="5"/>
  <c r="AY34" i="5"/>
  <c r="AN34" i="5"/>
  <c r="AP34" i="5"/>
  <c r="AX34" i="5"/>
  <c r="AA34" i="5"/>
  <c r="S34" i="5"/>
  <c r="T34" i="5"/>
  <c r="M35" i="5"/>
  <c r="N35" i="5"/>
  <c r="O35" i="5"/>
  <c r="P35" i="5"/>
  <c r="Q35" i="5"/>
  <c r="Z35" i="5"/>
  <c r="AB35" i="5"/>
  <c r="AW35" i="5"/>
  <c r="AV35" i="5"/>
  <c r="AY35" i="5"/>
  <c r="AN35" i="5"/>
  <c r="AP35" i="5"/>
  <c r="AX35" i="5"/>
  <c r="AA35" i="5"/>
  <c r="S35" i="5"/>
  <c r="T35" i="5"/>
  <c r="M36" i="5"/>
  <c r="N36" i="5"/>
  <c r="O36" i="5"/>
  <c r="P36" i="5"/>
  <c r="Q36" i="5"/>
  <c r="Z36" i="5"/>
  <c r="AB36" i="5"/>
  <c r="AW36" i="5"/>
  <c r="AV36" i="5"/>
  <c r="AY36" i="5"/>
  <c r="AN36" i="5"/>
  <c r="AP36" i="5"/>
  <c r="AX36" i="5"/>
  <c r="AA36" i="5"/>
  <c r="S36" i="5"/>
  <c r="T36" i="5"/>
  <c r="M37" i="5"/>
  <c r="N37" i="5"/>
  <c r="O37" i="5"/>
  <c r="P37" i="5"/>
  <c r="Q37" i="5"/>
  <c r="Z37" i="5"/>
  <c r="AB37" i="5"/>
  <c r="AW37" i="5"/>
  <c r="AV37" i="5"/>
  <c r="AY37" i="5"/>
  <c r="AN37" i="5"/>
  <c r="AP37" i="5"/>
  <c r="AX37" i="5"/>
  <c r="AA37" i="5"/>
  <c r="S37" i="5"/>
  <c r="T37" i="5"/>
  <c r="M38" i="5"/>
  <c r="N38" i="5"/>
  <c r="O38" i="5"/>
  <c r="P38" i="5"/>
  <c r="Q38" i="5"/>
  <c r="Z38" i="5"/>
  <c r="AB38" i="5"/>
  <c r="AW38" i="5"/>
  <c r="AV38" i="5"/>
  <c r="AY38" i="5"/>
  <c r="AN38" i="5"/>
  <c r="AP38" i="5"/>
  <c r="AX38" i="5"/>
  <c r="AA38" i="5"/>
  <c r="S38" i="5"/>
  <c r="T38" i="5"/>
  <c r="M39" i="5"/>
  <c r="N39" i="5"/>
  <c r="O39" i="5"/>
  <c r="P39" i="5"/>
  <c r="Q39" i="5"/>
  <c r="Z39" i="5"/>
  <c r="AB39" i="5"/>
  <c r="AW39" i="5"/>
  <c r="AV39" i="5"/>
  <c r="AY39" i="5"/>
  <c r="AN39" i="5"/>
  <c r="AP39" i="5"/>
  <c r="AX39" i="5"/>
  <c r="AA39" i="5"/>
  <c r="S39" i="5"/>
  <c r="T39" i="5"/>
  <c r="M40" i="5"/>
  <c r="N40" i="5"/>
  <c r="O40" i="5"/>
  <c r="P40" i="5"/>
  <c r="Q40" i="5"/>
  <c r="Z40" i="5"/>
  <c r="AB40" i="5"/>
  <c r="AW40" i="5"/>
  <c r="AV40" i="5"/>
  <c r="AY40" i="5"/>
  <c r="AN40" i="5"/>
  <c r="AP40" i="5"/>
  <c r="AX40" i="5"/>
  <c r="AA40" i="5"/>
  <c r="S40" i="5"/>
  <c r="T40" i="5"/>
  <c r="M41" i="5"/>
  <c r="N41" i="5"/>
  <c r="O41" i="5"/>
  <c r="P41" i="5"/>
  <c r="Q41" i="5"/>
  <c r="Z41" i="5"/>
  <c r="AB41" i="5"/>
  <c r="AW41" i="5"/>
  <c r="AV41" i="5"/>
  <c r="AY41" i="5"/>
  <c r="AN41" i="5"/>
  <c r="AP41" i="5"/>
  <c r="AX41" i="5"/>
  <c r="AA41" i="5"/>
  <c r="S41" i="5"/>
  <c r="T41" i="5"/>
  <c r="M42" i="5"/>
  <c r="N42" i="5"/>
  <c r="O42" i="5"/>
  <c r="P42" i="5"/>
  <c r="Q42" i="5"/>
  <c r="Z42" i="5"/>
  <c r="AB42" i="5"/>
  <c r="AW42" i="5"/>
  <c r="AV42" i="5"/>
  <c r="AY42" i="5"/>
  <c r="AN42" i="5"/>
  <c r="AP42" i="5"/>
  <c r="AX42" i="5"/>
  <c r="AA42" i="5"/>
  <c r="S42" i="5"/>
  <c r="T42" i="5"/>
  <c r="M43" i="5"/>
  <c r="N43" i="5"/>
  <c r="O43" i="5"/>
  <c r="P43" i="5"/>
  <c r="Q43" i="5"/>
  <c r="Z43" i="5"/>
  <c r="AB43" i="5"/>
  <c r="AW43" i="5"/>
  <c r="AV43" i="5"/>
  <c r="AY43" i="5"/>
  <c r="AN43" i="5"/>
  <c r="AP43" i="5"/>
  <c r="AX43" i="5"/>
  <c r="AA43" i="5"/>
  <c r="S43" i="5"/>
  <c r="T43" i="5"/>
  <c r="M44" i="5"/>
  <c r="N44" i="5"/>
  <c r="O44" i="5"/>
  <c r="P44" i="5"/>
  <c r="Q44" i="5"/>
  <c r="Z44" i="5"/>
  <c r="AB44" i="5"/>
  <c r="AW44" i="5"/>
  <c r="AV44" i="5"/>
  <c r="AY44" i="5"/>
  <c r="AN44" i="5"/>
  <c r="AP44" i="5"/>
  <c r="AX44" i="5"/>
  <c r="AA44" i="5"/>
  <c r="S44" i="5"/>
  <c r="T44" i="5"/>
  <c r="M45" i="5"/>
  <c r="N45" i="5"/>
  <c r="O45" i="5"/>
  <c r="P45" i="5"/>
  <c r="Q45" i="5"/>
  <c r="Z45" i="5"/>
  <c r="AB45" i="5"/>
  <c r="AW45" i="5"/>
  <c r="AV45" i="5"/>
  <c r="AY45" i="5"/>
  <c r="AN45" i="5"/>
  <c r="AP45" i="5"/>
  <c r="AX45" i="5"/>
  <c r="AA45" i="5"/>
  <c r="S45" i="5"/>
  <c r="T45" i="5"/>
  <c r="M46" i="5"/>
  <c r="N46" i="5"/>
  <c r="O46" i="5"/>
  <c r="P46" i="5"/>
  <c r="Q46" i="5"/>
  <c r="Z46" i="5"/>
  <c r="R113" i="5"/>
  <c r="AB46" i="5"/>
  <c r="AW46" i="5"/>
  <c r="AV46" i="5"/>
  <c r="AY46" i="5"/>
  <c r="AN46" i="5"/>
  <c r="AP46" i="5"/>
  <c r="AX46" i="5"/>
  <c r="AA46" i="5"/>
  <c r="S46" i="5"/>
  <c r="T46" i="5"/>
  <c r="M47" i="5"/>
  <c r="N47" i="5"/>
  <c r="O47" i="5"/>
  <c r="P47" i="5"/>
  <c r="Q47" i="5"/>
  <c r="Z47" i="5"/>
  <c r="AB47" i="5"/>
  <c r="AW47" i="5"/>
  <c r="AV47" i="5"/>
  <c r="AY47" i="5"/>
  <c r="AN47" i="5"/>
  <c r="AP47" i="5"/>
  <c r="AX47" i="5"/>
  <c r="AA47" i="5"/>
  <c r="S47" i="5"/>
  <c r="T47" i="5"/>
  <c r="M48" i="5"/>
  <c r="N48" i="5"/>
  <c r="O48" i="5"/>
  <c r="P48" i="5"/>
  <c r="Q48" i="5"/>
  <c r="Z48" i="5"/>
  <c r="AB48" i="5"/>
  <c r="AW48" i="5"/>
  <c r="AV48" i="5"/>
  <c r="AY48" i="5"/>
  <c r="AN48" i="5"/>
  <c r="AP48" i="5"/>
  <c r="AX48" i="5"/>
  <c r="AA48" i="5"/>
  <c r="S48" i="5"/>
  <c r="T48" i="5"/>
  <c r="M49" i="5"/>
  <c r="N49" i="5"/>
  <c r="O49" i="5"/>
  <c r="P49" i="5"/>
  <c r="Q49" i="5"/>
  <c r="Z49" i="5"/>
  <c r="AB49" i="5"/>
  <c r="AW49" i="5"/>
  <c r="AV49" i="5"/>
  <c r="AY49" i="5"/>
  <c r="AN49" i="5"/>
  <c r="AP49" i="5"/>
  <c r="AX49" i="5"/>
  <c r="AA49" i="5"/>
  <c r="S49" i="5"/>
  <c r="T49" i="5"/>
  <c r="M50" i="5"/>
  <c r="N50" i="5"/>
  <c r="O50" i="5"/>
  <c r="P50" i="5"/>
  <c r="Q50" i="5"/>
  <c r="Z50" i="5"/>
  <c r="AB50" i="5"/>
  <c r="AW50" i="5"/>
  <c r="AV50" i="5"/>
  <c r="AY50" i="5"/>
  <c r="AN50" i="5"/>
  <c r="AP50" i="5"/>
  <c r="AX50" i="5"/>
  <c r="AA50" i="5"/>
  <c r="S50" i="5"/>
  <c r="T50" i="5"/>
  <c r="M51" i="5"/>
  <c r="N51" i="5"/>
  <c r="O51" i="5"/>
  <c r="P51" i="5"/>
  <c r="Q51" i="5"/>
  <c r="Z51" i="5"/>
  <c r="AB51" i="5"/>
  <c r="AW51" i="5"/>
  <c r="AV51" i="5"/>
  <c r="AY51" i="5"/>
  <c r="AN51" i="5"/>
  <c r="AP51" i="5"/>
  <c r="AX51" i="5"/>
  <c r="AA51" i="5"/>
  <c r="S51" i="5"/>
  <c r="T51" i="5"/>
  <c r="M52" i="5"/>
  <c r="N52" i="5"/>
  <c r="O52" i="5"/>
  <c r="P52" i="5"/>
  <c r="Q52" i="5"/>
  <c r="Z52" i="5"/>
  <c r="AB52" i="5"/>
  <c r="AW52" i="5"/>
  <c r="AV52" i="5"/>
  <c r="AY52" i="5"/>
  <c r="AN52" i="5"/>
  <c r="AP52" i="5"/>
  <c r="AX52" i="5"/>
  <c r="AA52" i="5"/>
  <c r="S52" i="5"/>
  <c r="T52" i="5"/>
  <c r="M53" i="5"/>
  <c r="N53" i="5"/>
  <c r="O53" i="5"/>
  <c r="P53" i="5"/>
  <c r="Q53" i="5"/>
  <c r="Z53" i="5"/>
  <c r="AB53" i="5"/>
  <c r="AW53" i="5"/>
  <c r="AV53" i="5"/>
  <c r="AY53" i="5"/>
  <c r="AN53" i="5"/>
  <c r="AP53" i="5"/>
  <c r="AX53" i="5"/>
  <c r="AA53" i="5"/>
  <c r="S53" i="5"/>
  <c r="T53" i="5"/>
  <c r="M54" i="5"/>
  <c r="N54" i="5"/>
  <c r="O54" i="5"/>
  <c r="P54" i="5"/>
  <c r="Q54" i="5"/>
  <c r="Z54" i="5"/>
  <c r="AB54" i="5"/>
  <c r="AW54" i="5"/>
  <c r="AV54" i="5"/>
  <c r="AY54" i="5"/>
  <c r="AN54" i="5"/>
  <c r="AP54" i="5"/>
  <c r="AX54" i="5"/>
  <c r="AA54" i="5"/>
  <c r="S54" i="5"/>
  <c r="T54" i="5"/>
  <c r="M55" i="5"/>
  <c r="N55" i="5"/>
  <c r="O55" i="5"/>
  <c r="P55" i="5"/>
  <c r="Q55" i="5"/>
  <c r="Z55" i="5"/>
  <c r="AB55" i="5"/>
  <c r="AW55" i="5"/>
  <c r="AV55" i="5"/>
  <c r="AY55" i="5"/>
  <c r="AN55" i="5"/>
  <c r="AP55" i="5"/>
  <c r="AX55" i="5"/>
  <c r="AA55" i="5"/>
  <c r="S55" i="5"/>
  <c r="T55" i="5"/>
  <c r="M56" i="5"/>
  <c r="N56" i="5"/>
  <c r="O56" i="5"/>
  <c r="P56" i="5"/>
  <c r="Q56" i="5"/>
  <c r="Z56" i="5"/>
  <c r="AB56" i="5"/>
  <c r="AW56" i="5"/>
  <c r="AV56" i="5"/>
  <c r="AY56" i="5"/>
  <c r="AN56" i="5"/>
  <c r="AP56" i="5"/>
  <c r="AX56" i="5"/>
  <c r="AA56" i="5"/>
  <c r="S56" i="5"/>
  <c r="T56" i="5"/>
  <c r="M57" i="5"/>
  <c r="N57" i="5"/>
  <c r="O57" i="5"/>
  <c r="P57" i="5"/>
  <c r="Q57" i="5"/>
  <c r="Z57" i="5"/>
  <c r="AB57" i="5"/>
  <c r="AW57" i="5"/>
  <c r="AV57" i="5"/>
  <c r="AY57" i="5"/>
  <c r="AN57" i="5"/>
  <c r="AP57" i="5"/>
  <c r="AX57" i="5"/>
  <c r="AA57" i="5"/>
  <c r="S57" i="5"/>
  <c r="T57" i="5"/>
  <c r="M58" i="5"/>
  <c r="N58" i="5"/>
  <c r="O58" i="5"/>
  <c r="P58" i="5"/>
  <c r="Q58" i="5"/>
  <c r="Z58" i="5"/>
  <c r="AB58" i="5"/>
  <c r="AW58" i="5"/>
  <c r="AV58" i="5"/>
  <c r="AY58" i="5"/>
  <c r="AN58" i="5"/>
  <c r="AP58" i="5"/>
  <c r="AX58" i="5"/>
  <c r="AA58" i="5"/>
  <c r="S58" i="5"/>
  <c r="T58" i="5"/>
  <c r="M59" i="5"/>
  <c r="N59" i="5"/>
  <c r="O59" i="5"/>
  <c r="P59" i="5"/>
  <c r="Q59" i="5"/>
  <c r="Z59" i="5"/>
  <c r="AB59" i="5"/>
  <c r="AW59" i="5"/>
  <c r="AV59" i="5"/>
  <c r="AY59" i="5"/>
  <c r="AN59" i="5"/>
  <c r="AP59" i="5"/>
  <c r="AX59" i="5"/>
  <c r="AA59" i="5"/>
  <c r="S59" i="5"/>
  <c r="T59" i="5"/>
  <c r="M60" i="5"/>
  <c r="N60" i="5"/>
  <c r="O60" i="5"/>
  <c r="P60" i="5"/>
  <c r="Q60" i="5"/>
  <c r="Z60" i="5"/>
  <c r="AB60" i="5"/>
  <c r="AW60" i="5"/>
  <c r="AV60" i="5"/>
  <c r="AY60" i="5"/>
  <c r="AN60" i="5"/>
  <c r="AP60" i="5"/>
  <c r="AX60" i="5"/>
  <c r="AA60" i="5"/>
  <c r="S60" i="5"/>
  <c r="T60" i="5"/>
  <c r="M61" i="5"/>
  <c r="N61" i="5"/>
  <c r="O61" i="5"/>
  <c r="P61" i="5"/>
  <c r="Q61" i="5"/>
  <c r="Z61" i="5"/>
  <c r="AB61" i="5"/>
  <c r="AW61" i="5"/>
  <c r="AV61" i="5"/>
  <c r="AY61" i="5"/>
  <c r="AN61" i="5"/>
  <c r="AP61" i="5"/>
  <c r="AX61" i="5"/>
  <c r="AA61" i="5"/>
  <c r="S61" i="5"/>
  <c r="T61" i="5"/>
  <c r="M62" i="5"/>
  <c r="N62" i="5"/>
  <c r="O62" i="5"/>
  <c r="P62" i="5"/>
  <c r="Q62" i="5"/>
  <c r="Z62" i="5"/>
  <c r="AB62" i="5"/>
  <c r="AW62" i="5"/>
  <c r="AV62" i="5"/>
  <c r="AY62" i="5"/>
  <c r="AN62" i="5"/>
  <c r="AP62" i="5"/>
  <c r="AX62" i="5"/>
  <c r="AA62" i="5"/>
  <c r="S62" i="5"/>
  <c r="T62" i="5"/>
  <c r="M63" i="5"/>
  <c r="N63" i="5"/>
  <c r="O63" i="5"/>
  <c r="P63" i="5"/>
  <c r="Q63" i="5"/>
  <c r="Z63" i="5"/>
  <c r="AB63" i="5"/>
  <c r="AW63" i="5"/>
  <c r="AV63" i="5"/>
  <c r="AY63" i="5"/>
  <c r="AN63" i="5"/>
  <c r="AP63" i="5"/>
  <c r="AX63" i="5"/>
  <c r="AA63" i="5"/>
  <c r="S63" i="5"/>
  <c r="T63" i="5"/>
  <c r="M64" i="5"/>
  <c r="N64" i="5"/>
  <c r="O64" i="5"/>
  <c r="P64" i="5"/>
  <c r="Q64" i="5"/>
  <c r="Z64" i="5"/>
  <c r="AB64" i="5"/>
  <c r="AW64" i="5"/>
  <c r="AV64" i="5"/>
  <c r="AY64" i="5"/>
  <c r="AN64" i="5"/>
  <c r="AP64" i="5"/>
  <c r="AX64" i="5"/>
  <c r="AA64" i="5"/>
  <c r="S64" i="5"/>
  <c r="T64" i="5"/>
  <c r="M65" i="5"/>
  <c r="N65" i="5"/>
  <c r="O65" i="5"/>
  <c r="P65" i="5"/>
  <c r="Q65" i="5"/>
  <c r="Z65" i="5"/>
  <c r="AB65" i="5"/>
  <c r="AW65" i="5"/>
  <c r="AV65" i="5"/>
  <c r="AY65" i="5"/>
  <c r="AN65" i="5"/>
  <c r="AP65" i="5"/>
  <c r="AX65" i="5"/>
  <c r="AA65" i="5"/>
  <c r="S65" i="5"/>
  <c r="T65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9" i="5"/>
  <c r="H1610" i="5"/>
  <c r="H1611" i="5"/>
  <c r="H1612" i="5"/>
  <c r="H1613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J63" i="10"/>
  <c r="I63" i="10"/>
  <c r="I64" i="10"/>
  <c r="J64" i="10"/>
  <c r="I65" i="10"/>
  <c r="J65" i="10"/>
  <c r="I66" i="10"/>
  <c r="J66" i="10"/>
  <c r="I67" i="10"/>
  <c r="J67" i="10"/>
  <c r="I68" i="10"/>
  <c r="J68" i="10"/>
  <c r="I69" i="10"/>
  <c r="J69" i="10"/>
  <c r="I70" i="10"/>
  <c r="J70" i="10"/>
  <c r="I71" i="10"/>
  <c r="J71" i="10"/>
  <c r="I72" i="10"/>
  <c r="J72" i="10"/>
  <c r="I73" i="10"/>
  <c r="J73" i="10"/>
  <c r="I74" i="10"/>
  <c r="J74" i="10"/>
  <c r="I75" i="10"/>
  <c r="J75" i="10"/>
  <c r="I76" i="10"/>
  <c r="J76" i="10"/>
  <c r="I77" i="10"/>
  <c r="J77" i="10"/>
  <c r="I78" i="10"/>
  <c r="J78" i="10"/>
  <c r="I79" i="10"/>
  <c r="J79" i="10"/>
  <c r="I80" i="10"/>
  <c r="J80" i="10"/>
  <c r="I81" i="10"/>
  <c r="J81" i="10"/>
  <c r="I82" i="10"/>
  <c r="J82" i="10"/>
  <c r="I83" i="10"/>
  <c r="J83" i="10"/>
  <c r="I84" i="10"/>
  <c r="J84" i="10"/>
  <c r="I85" i="10"/>
  <c r="J85" i="10"/>
  <c r="I86" i="10"/>
  <c r="J86" i="10"/>
  <c r="I87" i="10"/>
  <c r="J87" i="10"/>
  <c r="I88" i="10"/>
  <c r="J88" i="10"/>
  <c r="I89" i="10"/>
  <c r="J89" i="10"/>
  <c r="I90" i="10"/>
  <c r="J90" i="10"/>
  <c r="I91" i="10"/>
  <c r="J91" i="10"/>
  <c r="I92" i="10"/>
  <c r="J92" i="10"/>
  <c r="I93" i="10"/>
  <c r="J93" i="10"/>
  <c r="I94" i="10"/>
  <c r="J94" i="10"/>
  <c r="I95" i="10"/>
  <c r="J95" i="10"/>
  <c r="I96" i="10"/>
  <c r="J96" i="10"/>
  <c r="I97" i="10"/>
  <c r="J97" i="10"/>
  <c r="I98" i="10"/>
  <c r="J98" i="10"/>
  <c r="I99" i="10"/>
  <c r="J99" i="10"/>
  <c r="I100" i="10"/>
  <c r="J100" i="10"/>
  <c r="F2221" i="5"/>
  <c r="L63" i="10"/>
  <c r="M63" i="10"/>
  <c r="N63" i="10"/>
  <c r="O63" i="10"/>
  <c r="K64" i="10"/>
  <c r="L64" i="10"/>
  <c r="M64" i="10"/>
  <c r="N64" i="10"/>
  <c r="O64" i="10"/>
  <c r="K65" i="10"/>
  <c r="L65" i="10"/>
  <c r="M65" i="10"/>
  <c r="N65" i="10"/>
  <c r="O65" i="10"/>
  <c r="K66" i="10"/>
  <c r="L66" i="10"/>
  <c r="M66" i="10"/>
  <c r="N66" i="10"/>
  <c r="O66" i="10"/>
  <c r="K67" i="10"/>
  <c r="L67" i="10"/>
  <c r="M67" i="10"/>
  <c r="N67" i="10"/>
  <c r="O67" i="10"/>
  <c r="K68" i="10"/>
  <c r="L68" i="10"/>
  <c r="M68" i="10"/>
  <c r="N68" i="10"/>
  <c r="O68" i="10"/>
  <c r="K69" i="10"/>
  <c r="L69" i="10"/>
  <c r="M69" i="10"/>
  <c r="N69" i="10"/>
  <c r="O69" i="10"/>
  <c r="K70" i="10"/>
  <c r="L70" i="10"/>
  <c r="M70" i="10"/>
  <c r="N70" i="10"/>
  <c r="O70" i="10"/>
  <c r="K71" i="10"/>
  <c r="L71" i="10"/>
  <c r="M71" i="10"/>
  <c r="N71" i="10"/>
  <c r="O71" i="10"/>
  <c r="K72" i="10"/>
  <c r="L72" i="10"/>
  <c r="M72" i="10"/>
  <c r="N72" i="10"/>
  <c r="O72" i="10"/>
  <c r="K73" i="10"/>
  <c r="L73" i="10"/>
  <c r="M73" i="10"/>
  <c r="N73" i="10"/>
  <c r="O73" i="10"/>
  <c r="K74" i="10"/>
  <c r="L74" i="10"/>
  <c r="M74" i="10"/>
  <c r="N74" i="10"/>
  <c r="O74" i="10"/>
  <c r="K75" i="10"/>
  <c r="L75" i="10"/>
  <c r="M75" i="10"/>
  <c r="N75" i="10"/>
  <c r="O75" i="10"/>
  <c r="K76" i="10"/>
  <c r="L76" i="10"/>
  <c r="M76" i="10"/>
  <c r="N76" i="10"/>
  <c r="O76" i="10"/>
  <c r="K77" i="10"/>
  <c r="L77" i="10"/>
  <c r="M77" i="10"/>
  <c r="N77" i="10"/>
  <c r="O77" i="10"/>
  <c r="K78" i="10"/>
  <c r="L78" i="10"/>
  <c r="M78" i="10"/>
  <c r="N78" i="10"/>
  <c r="O78" i="10"/>
  <c r="K79" i="10"/>
  <c r="L79" i="10"/>
  <c r="M79" i="10"/>
  <c r="N79" i="10"/>
  <c r="O79" i="10"/>
  <c r="K80" i="10"/>
  <c r="L80" i="10"/>
  <c r="M80" i="10"/>
  <c r="N80" i="10"/>
  <c r="O80" i="10"/>
  <c r="K81" i="10"/>
  <c r="L81" i="10"/>
  <c r="M81" i="10"/>
  <c r="N81" i="10"/>
  <c r="O81" i="10"/>
  <c r="K82" i="10"/>
  <c r="L82" i="10"/>
  <c r="M82" i="10"/>
  <c r="N82" i="10"/>
  <c r="O82" i="10"/>
  <c r="K83" i="10"/>
  <c r="L83" i="10"/>
  <c r="M83" i="10"/>
  <c r="N83" i="10"/>
  <c r="O83" i="10"/>
  <c r="K84" i="10"/>
  <c r="L84" i="10"/>
  <c r="M84" i="10"/>
  <c r="N84" i="10"/>
  <c r="O84" i="10"/>
  <c r="K85" i="10"/>
  <c r="L85" i="10"/>
  <c r="M85" i="10"/>
  <c r="N85" i="10"/>
  <c r="O85" i="10"/>
  <c r="K86" i="10"/>
  <c r="L86" i="10"/>
  <c r="M86" i="10"/>
  <c r="N86" i="10"/>
  <c r="O86" i="10"/>
  <c r="K87" i="10"/>
  <c r="L87" i="10"/>
  <c r="M87" i="10"/>
  <c r="N87" i="10"/>
  <c r="O87" i="10"/>
  <c r="K88" i="10"/>
  <c r="L88" i="10"/>
  <c r="M88" i="10"/>
  <c r="N88" i="10"/>
  <c r="O88" i="10"/>
  <c r="K89" i="10"/>
  <c r="L89" i="10"/>
  <c r="M89" i="10"/>
  <c r="N89" i="10"/>
  <c r="O89" i="10"/>
  <c r="K90" i="10"/>
  <c r="L90" i="10"/>
  <c r="M90" i="10"/>
  <c r="N90" i="10"/>
  <c r="O90" i="10"/>
  <c r="K91" i="10"/>
  <c r="L91" i="10"/>
  <c r="M91" i="10"/>
  <c r="N91" i="10"/>
  <c r="O91" i="10"/>
  <c r="K92" i="10"/>
  <c r="L92" i="10"/>
  <c r="M92" i="10"/>
  <c r="N92" i="10"/>
  <c r="O92" i="10"/>
  <c r="K93" i="10"/>
  <c r="L93" i="10"/>
  <c r="M93" i="10"/>
  <c r="N93" i="10"/>
  <c r="O93" i="10"/>
  <c r="K94" i="10"/>
  <c r="L94" i="10"/>
  <c r="M94" i="10"/>
  <c r="N94" i="10"/>
  <c r="O94" i="10"/>
  <c r="K95" i="10"/>
  <c r="L95" i="10"/>
  <c r="M95" i="10"/>
  <c r="N95" i="10"/>
  <c r="O95" i="10"/>
  <c r="K96" i="10"/>
  <c r="L96" i="10"/>
  <c r="M96" i="10"/>
  <c r="N96" i="10"/>
  <c r="O96" i="10"/>
  <c r="K97" i="10"/>
  <c r="L97" i="10"/>
  <c r="M97" i="10"/>
  <c r="N97" i="10"/>
  <c r="O97" i="10"/>
  <c r="K98" i="10"/>
  <c r="L98" i="10"/>
  <c r="M98" i="10"/>
  <c r="N98" i="10"/>
  <c r="O98" i="10"/>
  <c r="K99" i="10"/>
  <c r="L99" i="10"/>
  <c r="M99" i="10"/>
  <c r="N99" i="10"/>
  <c r="O99" i="10"/>
  <c r="I101" i="10"/>
  <c r="J101" i="10"/>
  <c r="I102" i="10"/>
  <c r="J102" i="10"/>
  <c r="I103" i="10"/>
  <c r="J103" i="10"/>
  <c r="I104" i="10"/>
  <c r="J104" i="10"/>
  <c r="I105" i="10"/>
  <c r="J105" i="10"/>
  <c r="K100" i="10"/>
  <c r="L100" i="10"/>
  <c r="M100" i="10"/>
  <c r="N100" i="10"/>
  <c r="O100" i="10"/>
  <c r="K101" i="10"/>
  <c r="L101" i="10"/>
  <c r="M101" i="10"/>
  <c r="N101" i="10"/>
  <c r="O101" i="10"/>
  <c r="K102" i="10"/>
  <c r="L102" i="10"/>
  <c r="M102" i="10"/>
  <c r="N102" i="10"/>
  <c r="O102" i="10"/>
  <c r="K103" i="10"/>
  <c r="L103" i="10"/>
  <c r="M103" i="10"/>
  <c r="N103" i="10"/>
  <c r="O103" i="10"/>
  <c r="K104" i="10"/>
  <c r="L104" i="10"/>
  <c r="M104" i="10"/>
  <c r="N104" i="10"/>
  <c r="O104" i="10"/>
  <c r="K105" i="10"/>
  <c r="L105" i="10"/>
  <c r="M105" i="10"/>
  <c r="N105" i="10"/>
  <c r="O105" i="10"/>
  <c r="O106" i="10"/>
  <c r="K97" i="6"/>
  <c r="AQ71" i="9"/>
  <c r="AS71" i="9"/>
  <c r="AP71" i="9"/>
  <c r="AP72" i="9"/>
  <c r="AQ72" i="9"/>
  <c r="F71" i="9"/>
  <c r="AR72" i="9"/>
  <c r="AS72" i="9"/>
  <c r="AP73" i="9"/>
  <c r="AQ73" i="9"/>
  <c r="AR73" i="9"/>
  <c r="AS73" i="9"/>
  <c r="AP74" i="9"/>
  <c r="AQ74" i="9"/>
  <c r="AR74" i="9"/>
  <c r="AS74" i="9"/>
  <c r="AP75" i="9"/>
  <c r="AQ75" i="9"/>
  <c r="AR75" i="9"/>
  <c r="AS75" i="9"/>
  <c r="AP76" i="9"/>
  <c r="AQ76" i="9"/>
  <c r="AR76" i="9"/>
  <c r="AS76" i="9"/>
  <c r="AP77" i="9"/>
  <c r="AQ77" i="9"/>
  <c r="AR77" i="9"/>
  <c r="AS77" i="9"/>
  <c r="AP78" i="9"/>
  <c r="AR78" i="9"/>
  <c r="AQ78" i="9"/>
  <c r="AS78" i="9"/>
  <c r="AP79" i="9"/>
  <c r="AR79" i="9"/>
  <c r="AQ79" i="9"/>
  <c r="AS79" i="9"/>
  <c r="AP80" i="9"/>
  <c r="AR80" i="9"/>
  <c r="AQ80" i="9"/>
  <c r="AS80" i="9"/>
  <c r="AP81" i="9"/>
  <c r="AR81" i="9"/>
  <c r="AQ81" i="9"/>
  <c r="AS81" i="9"/>
  <c r="AP82" i="9"/>
  <c r="AR82" i="9"/>
  <c r="AQ82" i="9"/>
  <c r="AS82" i="9"/>
  <c r="AP83" i="9"/>
  <c r="AR83" i="9"/>
  <c r="AQ83" i="9"/>
  <c r="AS83" i="9"/>
  <c r="AP84" i="9"/>
  <c r="AR84" i="9"/>
  <c r="AQ84" i="9"/>
  <c r="AS84" i="9"/>
  <c r="AP85" i="9"/>
  <c r="AR85" i="9"/>
  <c r="AQ85" i="9"/>
  <c r="AS85" i="9"/>
  <c r="AP86" i="9"/>
  <c r="AR86" i="9"/>
  <c r="AQ86" i="9"/>
  <c r="AS86" i="9"/>
  <c r="AP87" i="9"/>
  <c r="AR87" i="9"/>
  <c r="AQ87" i="9"/>
  <c r="AS87" i="9"/>
  <c r="AP88" i="9"/>
  <c r="AR88" i="9"/>
  <c r="AQ88" i="9"/>
  <c r="AS88" i="9"/>
  <c r="AP89" i="9"/>
  <c r="AR89" i="9"/>
  <c r="AQ89" i="9"/>
  <c r="AS89" i="9"/>
  <c r="AP90" i="9"/>
  <c r="AR90" i="9"/>
  <c r="AQ90" i="9"/>
  <c r="AS90" i="9"/>
  <c r="AP91" i="9"/>
  <c r="AR91" i="9"/>
  <c r="AQ91" i="9"/>
  <c r="AS91" i="9"/>
  <c r="AP92" i="9"/>
  <c r="AR92" i="9"/>
  <c r="AQ92" i="9"/>
  <c r="AS92" i="9"/>
  <c r="AP93" i="9"/>
  <c r="AR93" i="9"/>
  <c r="AQ93" i="9"/>
  <c r="AS93" i="9"/>
  <c r="AP94" i="9"/>
  <c r="AR94" i="9"/>
  <c r="AQ94" i="9"/>
  <c r="AS94" i="9"/>
  <c r="AP95" i="9"/>
  <c r="AR95" i="9"/>
  <c r="AQ95" i="9"/>
  <c r="AS95" i="9"/>
  <c r="AP96" i="9"/>
  <c r="AR96" i="9"/>
  <c r="AQ96" i="9"/>
  <c r="AS96" i="9"/>
  <c r="AP97" i="9"/>
  <c r="AR97" i="9"/>
  <c r="AQ97" i="9"/>
  <c r="AS97" i="9"/>
  <c r="AP98" i="9"/>
  <c r="AR98" i="9"/>
  <c r="AQ98" i="9"/>
  <c r="AS98" i="9"/>
  <c r="AP99" i="9"/>
  <c r="AR99" i="9"/>
  <c r="AQ99" i="9"/>
  <c r="AS99" i="9"/>
  <c r="AP100" i="9"/>
  <c r="AR100" i="9"/>
  <c r="AQ100" i="9"/>
  <c r="AS100" i="9"/>
  <c r="AP101" i="9"/>
  <c r="AR101" i="9"/>
  <c r="AQ101" i="9"/>
  <c r="AS101" i="9"/>
  <c r="AP102" i="9"/>
  <c r="AR102" i="9"/>
  <c r="AQ102" i="9"/>
  <c r="AS102" i="9"/>
  <c r="AP103" i="9"/>
  <c r="AR103" i="9"/>
  <c r="AQ103" i="9"/>
  <c r="AS103" i="9"/>
  <c r="AP104" i="9"/>
  <c r="AR104" i="9"/>
  <c r="AQ104" i="9"/>
  <c r="AS104" i="9"/>
  <c r="AP105" i="9"/>
  <c r="AR105" i="9"/>
  <c r="AQ105" i="9"/>
  <c r="AS105" i="9"/>
  <c r="AP106" i="9"/>
  <c r="AR106" i="9"/>
  <c r="AS106" i="9"/>
  <c r="AP107" i="9"/>
  <c r="AR107" i="9"/>
  <c r="AS107" i="9"/>
  <c r="AP108" i="9"/>
  <c r="AR108" i="9"/>
  <c r="AS108" i="9"/>
  <c r="AP109" i="9"/>
  <c r="AR109" i="9"/>
  <c r="AS109" i="9"/>
  <c r="AP110" i="9"/>
  <c r="AR110" i="9"/>
  <c r="AS110" i="9"/>
  <c r="AP111" i="9"/>
  <c r="AR111" i="9"/>
  <c r="AS111" i="9"/>
  <c r="AP112" i="9"/>
  <c r="AR112" i="9"/>
  <c r="AS112" i="9"/>
  <c r="AP113" i="9"/>
  <c r="AR113" i="9"/>
  <c r="AS113" i="9"/>
  <c r="AE71" i="9"/>
  <c r="AG71" i="9"/>
  <c r="AD71" i="9"/>
  <c r="AD72" i="9"/>
  <c r="AE72" i="9"/>
  <c r="AF72" i="9"/>
  <c r="AG72" i="9"/>
  <c r="AD73" i="9"/>
  <c r="AE73" i="9"/>
  <c r="AF73" i="9"/>
  <c r="AG73" i="9"/>
  <c r="AD74" i="9"/>
  <c r="AE74" i="9"/>
  <c r="AF74" i="9"/>
  <c r="AG74" i="9"/>
  <c r="AD75" i="9"/>
  <c r="AE75" i="9"/>
  <c r="AF75" i="9"/>
  <c r="AG75" i="9"/>
  <c r="AD76" i="9"/>
  <c r="AE76" i="9"/>
  <c r="AF76" i="9"/>
  <c r="AG76" i="9"/>
  <c r="AD77" i="9"/>
  <c r="AE77" i="9"/>
  <c r="AF77" i="9"/>
  <c r="AG77" i="9"/>
  <c r="AD78" i="9"/>
  <c r="AE78" i="9"/>
  <c r="AF78" i="9"/>
  <c r="AG78" i="9"/>
  <c r="AD79" i="9"/>
  <c r="AE79" i="9"/>
  <c r="AF79" i="9"/>
  <c r="AG79" i="9"/>
  <c r="AD80" i="9"/>
  <c r="AE80" i="9"/>
  <c r="AF80" i="9"/>
  <c r="AG80" i="9"/>
  <c r="AD81" i="9"/>
  <c r="AE81" i="9"/>
  <c r="AF81" i="9"/>
  <c r="AG81" i="9"/>
  <c r="AD82" i="9"/>
  <c r="AE82" i="9"/>
  <c r="AF82" i="9"/>
  <c r="AG82" i="9"/>
  <c r="AD83" i="9"/>
  <c r="AE83" i="9"/>
  <c r="AF83" i="9"/>
  <c r="AG83" i="9"/>
  <c r="AD84" i="9"/>
  <c r="AE84" i="9"/>
  <c r="AF84" i="9"/>
  <c r="AG84" i="9"/>
  <c r="AD85" i="9"/>
  <c r="AE85" i="9"/>
  <c r="AF85" i="9"/>
  <c r="AG85" i="9"/>
  <c r="AD86" i="9"/>
  <c r="AE86" i="9"/>
  <c r="AF86" i="9"/>
  <c r="AG86" i="9"/>
  <c r="AD87" i="9"/>
  <c r="AE87" i="9"/>
  <c r="AF87" i="9"/>
  <c r="AG87" i="9"/>
  <c r="AD88" i="9"/>
  <c r="AE88" i="9"/>
  <c r="AF88" i="9"/>
  <c r="AG88" i="9"/>
  <c r="AD89" i="9"/>
  <c r="AE89" i="9"/>
  <c r="AF89" i="9"/>
  <c r="AG89" i="9"/>
  <c r="AD90" i="9"/>
  <c r="AE90" i="9"/>
  <c r="AF90" i="9"/>
  <c r="AG90" i="9"/>
  <c r="AD91" i="9"/>
  <c r="AE91" i="9"/>
  <c r="AF91" i="9"/>
  <c r="AG91" i="9"/>
  <c r="AD92" i="9"/>
  <c r="AE92" i="9"/>
  <c r="AF92" i="9"/>
  <c r="AG92" i="9"/>
  <c r="AD93" i="9"/>
  <c r="AF93" i="9"/>
  <c r="AE93" i="9"/>
  <c r="AG93" i="9"/>
  <c r="AD94" i="9"/>
  <c r="AF94" i="9"/>
  <c r="AE94" i="9"/>
  <c r="AG94" i="9"/>
  <c r="AD95" i="9"/>
  <c r="AF95" i="9"/>
  <c r="AE95" i="9"/>
  <c r="AG95" i="9"/>
  <c r="AD96" i="9"/>
  <c r="AF96" i="9"/>
  <c r="AE96" i="9"/>
  <c r="AG96" i="9"/>
  <c r="AD97" i="9"/>
  <c r="AF97" i="9"/>
  <c r="AE97" i="9"/>
  <c r="AG97" i="9"/>
  <c r="AD98" i="9"/>
  <c r="AF98" i="9"/>
  <c r="AE98" i="9"/>
  <c r="AG98" i="9"/>
  <c r="AD99" i="9"/>
  <c r="AF99" i="9"/>
  <c r="AE99" i="9"/>
  <c r="AG99" i="9"/>
  <c r="AD100" i="9"/>
  <c r="AF100" i="9"/>
  <c r="AE100" i="9"/>
  <c r="AG100" i="9"/>
  <c r="AD101" i="9"/>
  <c r="AF101" i="9"/>
  <c r="AE101" i="9"/>
  <c r="AG101" i="9"/>
  <c r="AD102" i="9"/>
  <c r="AF102" i="9"/>
  <c r="AE102" i="9"/>
  <c r="AG102" i="9"/>
  <c r="AD103" i="9"/>
  <c r="AF103" i="9"/>
  <c r="AE103" i="9"/>
  <c r="AG103" i="9"/>
  <c r="AD104" i="9"/>
  <c r="AF104" i="9"/>
  <c r="AE104" i="9"/>
  <c r="AG104" i="9"/>
  <c r="AD105" i="9"/>
  <c r="AF105" i="9"/>
  <c r="AE105" i="9"/>
  <c r="AG105" i="9"/>
  <c r="AD106" i="9"/>
  <c r="AF106" i="9"/>
  <c r="AE106" i="9"/>
  <c r="AG106" i="9"/>
  <c r="AD107" i="9"/>
  <c r="AF107" i="9"/>
  <c r="AE107" i="9"/>
  <c r="AG107" i="9"/>
  <c r="AD108" i="9"/>
  <c r="AF108" i="9"/>
  <c r="AE108" i="9"/>
  <c r="AG108" i="9"/>
  <c r="AD109" i="9"/>
  <c r="AF109" i="9"/>
  <c r="AE109" i="9"/>
  <c r="AG109" i="9"/>
  <c r="AD110" i="9"/>
  <c r="AF110" i="9"/>
  <c r="AE110" i="9"/>
  <c r="AG110" i="9"/>
  <c r="AD111" i="9"/>
  <c r="AF111" i="9"/>
  <c r="AE111" i="9"/>
  <c r="AG111" i="9"/>
  <c r="AD112" i="9"/>
  <c r="AF112" i="9"/>
  <c r="AE112" i="9"/>
  <c r="AG112" i="9"/>
  <c r="AD113" i="9"/>
  <c r="AF113" i="9"/>
  <c r="AE113" i="9"/>
  <c r="AG113" i="9"/>
  <c r="P102" i="10"/>
  <c r="P103" i="10"/>
  <c r="P104" i="10"/>
  <c r="P105" i="10"/>
  <c r="P106" i="10"/>
  <c r="K63" i="10"/>
  <c r="N106" i="10"/>
  <c r="AT71" i="9"/>
  <c r="AU71" i="9"/>
  <c r="AV71" i="9"/>
  <c r="AT72" i="9"/>
  <c r="AU72" i="9"/>
  <c r="AV72" i="9"/>
  <c r="AT73" i="9"/>
  <c r="AU73" i="9"/>
  <c r="AV73" i="9"/>
  <c r="AT74" i="9"/>
  <c r="AU74" i="9"/>
  <c r="AV74" i="9"/>
  <c r="AT75" i="9"/>
  <c r="AU75" i="9"/>
  <c r="AV75" i="9"/>
  <c r="AT76" i="9"/>
  <c r="AU76" i="9"/>
  <c r="AV76" i="9"/>
  <c r="AT77" i="9"/>
  <c r="AU77" i="9"/>
  <c r="AV77" i="9"/>
  <c r="AQ106" i="9"/>
  <c r="AQ107" i="9"/>
  <c r="AQ108" i="9"/>
  <c r="AQ109" i="9"/>
  <c r="AQ110" i="9"/>
  <c r="AQ111" i="9"/>
  <c r="AQ112" i="9"/>
  <c r="AQ113" i="9"/>
  <c r="AT78" i="9"/>
  <c r="AU78" i="9"/>
  <c r="AV78" i="9"/>
  <c r="AT79" i="9"/>
  <c r="AU79" i="9"/>
  <c r="AV79" i="9"/>
  <c r="AT80" i="9"/>
  <c r="AU80" i="9"/>
  <c r="AV80" i="9"/>
  <c r="AT81" i="9"/>
  <c r="AU81" i="9"/>
  <c r="AV81" i="9"/>
  <c r="AT82" i="9"/>
  <c r="AU82" i="9"/>
  <c r="AV82" i="9"/>
  <c r="AT83" i="9"/>
  <c r="AU83" i="9"/>
  <c r="AV83" i="9"/>
  <c r="AT84" i="9"/>
  <c r="AU84" i="9"/>
  <c r="AV84" i="9"/>
  <c r="AT85" i="9"/>
  <c r="AU85" i="9"/>
  <c r="AV85" i="9"/>
  <c r="AT86" i="9"/>
  <c r="AU86" i="9"/>
  <c r="AV86" i="9"/>
  <c r="AT87" i="9"/>
  <c r="AU87" i="9"/>
  <c r="AV87" i="9"/>
  <c r="AT88" i="9"/>
  <c r="AU88" i="9"/>
  <c r="AV88" i="9"/>
  <c r="AT89" i="9"/>
  <c r="AU89" i="9"/>
  <c r="AV89" i="9"/>
  <c r="AT90" i="9"/>
  <c r="AU90" i="9"/>
  <c r="AV90" i="9"/>
  <c r="AT91" i="9"/>
  <c r="AU91" i="9"/>
  <c r="AV91" i="9"/>
  <c r="AT92" i="9"/>
  <c r="AU92" i="9"/>
  <c r="AV92" i="9"/>
  <c r="AT93" i="9"/>
  <c r="AU93" i="9"/>
  <c r="AV93" i="9"/>
  <c r="AT94" i="9"/>
  <c r="AU94" i="9"/>
  <c r="AV94" i="9"/>
  <c r="AT95" i="9"/>
  <c r="AU95" i="9"/>
  <c r="AV95" i="9"/>
  <c r="AT96" i="9"/>
  <c r="AU96" i="9"/>
  <c r="AV96" i="9"/>
  <c r="AT97" i="9"/>
  <c r="AU97" i="9"/>
  <c r="AV97" i="9"/>
  <c r="AT98" i="9"/>
  <c r="AU98" i="9"/>
  <c r="AV98" i="9"/>
  <c r="AT99" i="9"/>
  <c r="AU99" i="9"/>
  <c r="AV99" i="9"/>
  <c r="AT100" i="9"/>
  <c r="AU100" i="9"/>
  <c r="AV100" i="9"/>
  <c r="AT101" i="9"/>
  <c r="AU101" i="9"/>
  <c r="AV101" i="9"/>
  <c r="AT102" i="9"/>
  <c r="AU102" i="9"/>
  <c r="AV102" i="9"/>
  <c r="AT103" i="9"/>
  <c r="AU103" i="9"/>
  <c r="AV103" i="9"/>
  <c r="AT104" i="9"/>
  <c r="AU104" i="9"/>
  <c r="AV104" i="9"/>
  <c r="AT105" i="9"/>
  <c r="AU105" i="9"/>
  <c r="AV105" i="9"/>
  <c r="AT106" i="9"/>
  <c r="AU106" i="9"/>
  <c r="AV106" i="9"/>
  <c r="AT107" i="9"/>
  <c r="AU107" i="9"/>
  <c r="AV107" i="9"/>
  <c r="AT108" i="9"/>
  <c r="AU108" i="9"/>
  <c r="AV108" i="9"/>
  <c r="AT109" i="9"/>
  <c r="AU109" i="9"/>
  <c r="AV109" i="9"/>
  <c r="AT110" i="9"/>
  <c r="AU110" i="9"/>
  <c r="AV110" i="9"/>
  <c r="AT111" i="9"/>
  <c r="AU111" i="9"/>
  <c r="AV111" i="9"/>
  <c r="AT112" i="9"/>
  <c r="AU112" i="9"/>
  <c r="AV112" i="9"/>
  <c r="AT113" i="9"/>
  <c r="AU113" i="9"/>
  <c r="AV113" i="9"/>
  <c r="AV114" i="9"/>
  <c r="K96" i="6"/>
  <c r="AW110" i="9"/>
  <c r="AW111" i="9"/>
  <c r="AW112" i="9"/>
  <c r="AW113" i="9"/>
  <c r="AW114" i="9"/>
  <c r="AR71" i="9"/>
  <c r="AU114" i="9"/>
  <c r="AH71" i="9"/>
  <c r="AI71" i="9"/>
  <c r="AJ71" i="9"/>
  <c r="AH72" i="9"/>
  <c r="AI72" i="9"/>
  <c r="AJ72" i="9"/>
  <c r="AH73" i="9"/>
  <c r="AI73" i="9"/>
  <c r="AJ73" i="9"/>
  <c r="AH74" i="9"/>
  <c r="AI74" i="9"/>
  <c r="AJ74" i="9"/>
  <c r="AH75" i="9"/>
  <c r="AI75" i="9"/>
  <c r="AJ75" i="9"/>
  <c r="AH76" i="9"/>
  <c r="AI76" i="9"/>
  <c r="AJ76" i="9"/>
  <c r="AH77" i="9"/>
  <c r="AI77" i="9"/>
  <c r="AJ77" i="9"/>
  <c r="AH78" i="9"/>
  <c r="AI78" i="9"/>
  <c r="AJ78" i="9"/>
  <c r="AH79" i="9"/>
  <c r="AI79" i="9"/>
  <c r="AJ79" i="9"/>
  <c r="AH80" i="9"/>
  <c r="AI80" i="9"/>
  <c r="AJ80" i="9"/>
  <c r="AH81" i="9"/>
  <c r="AI81" i="9"/>
  <c r="AJ81" i="9"/>
  <c r="AH82" i="9"/>
  <c r="AI82" i="9"/>
  <c r="AJ82" i="9"/>
  <c r="AH83" i="9"/>
  <c r="AI83" i="9"/>
  <c r="AJ83" i="9"/>
  <c r="AH84" i="9"/>
  <c r="AI84" i="9"/>
  <c r="AJ84" i="9"/>
  <c r="AH85" i="9"/>
  <c r="AI85" i="9"/>
  <c r="AJ85" i="9"/>
  <c r="AH86" i="9"/>
  <c r="AI86" i="9"/>
  <c r="AJ86" i="9"/>
  <c r="AH87" i="9"/>
  <c r="AI87" i="9"/>
  <c r="AJ87" i="9"/>
  <c r="AH88" i="9"/>
  <c r="AI88" i="9"/>
  <c r="AJ88" i="9"/>
  <c r="AH89" i="9"/>
  <c r="AI89" i="9"/>
  <c r="AJ89" i="9"/>
  <c r="AH90" i="9"/>
  <c r="AI90" i="9"/>
  <c r="AJ90" i="9"/>
  <c r="AH91" i="9"/>
  <c r="AI91" i="9"/>
  <c r="AJ91" i="9"/>
  <c r="AH92" i="9"/>
  <c r="AI92" i="9"/>
  <c r="AJ92" i="9"/>
  <c r="AH93" i="9"/>
  <c r="AI93" i="9"/>
  <c r="AJ93" i="9"/>
  <c r="AH94" i="9"/>
  <c r="AI94" i="9"/>
  <c r="AJ94" i="9"/>
  <c r="AH95" i="9"/>
  <c r="AI95" i="9"/>
  <c r="AJ95" i="9"/>
  <c r="AH96" i="9"/>
  <c r="AI96" i="9"/>
  <c r="AJ96" i="9"/>
  <c r="AH97" i="9"/>
  <c r="AI97" i="9"/>
  <c r="AJ97" i="9"/>
  <c r="AH98" i="9"/>
  <c r="AI98" i="9"/>
  <c r="AJ98" i="9"/>
  <c r="AH99" i="9"/>
  <c r="AI99" i="9"/>
  <c r="AJ99" i="9"/>
  <c r="AH100" i="9"/>
  <c r="AI100" i="9"/>
  <c r="AJ100" i="9"/>
  <c r="AH101" i="9"/>
  <c r="AI101" i="9"/>
  <c r="AJ101" i="9"/>
  <c r="AH102" i="9"/>
  <c r="AI102" i="9"/>
  <c r="AJ102" i="9"/>
  <c r="AH103" i="9"/>
  <c r="AI103" i="9"/>
  <c r="AJ103" i="9"/>
  <c r="AH104" i="9"/>
  <c r="AI104" i="9"/>
  <c r="AJ104" i="9"/>
  <c r="AH105" i="9"/>
  <c r="AI105" i="9"/>
  <c r="AJ105" i="9"/>
  <c r="AH106" i="9"/>
  <c r="AI106" i="9"/>
  <c r="AJ106" i="9"/>
  <c r="AH107" i="9"/>
  <c r="AI107" i="9"/>
  <c r="AJ107" i="9"/>
  <c r="AH108" i="9"/>
  <c r="AI108" i="9"/>
  <c r="AJ108" i="9"/>
  <c r="AH109" i="9"/>
  <c r="AI109" i="9"/>
  <c r="AJ109" i="9"/>
  <c r="AH110" i="9"/>
  <c r="AI110" i="9"/>
  <c r="AJ110" i="9"/>
  <c r="AH111" i="9"/>
  <c r="AI111" i="9"/>
  <c r="AJ111" i="9"/>
  <c r="AH112" i="9"/>
  <c r="AI112" i="9"/>
  <c r="AJ112" i="9"/>
  <c r="AH113" i="9"/>
  <c r="AI113" i="9"/>
  <c r="AJ113" i="9"/>
  <c r="AJ114" i="9"/>
  <c r="K95" i="6"/>
  <c r="AK110" i="9"/>
  <c r="AK111" i="9"/>
  <c r="AK112" i="9"/>
  <c r="AK113" i="9"/>
  <c r="AK114" i="9"/>
  <c r="AF71" i="9"/>
  <c r="AI114" i="9"/>
  <c r="L95" i="6"/>
  <c r="L96" i="6"/>
  <c r="L97" i="6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I71" i="9"/>
  <c r="J71" i="9"/>
  <c r="K71" i="9"/>
  <c r="L71" i="9"/>
  <c r="H72" i="9"/>
  <c r="I72" i="9"/>
  <c r="J72" i="9"/>
  <c r="K72" i="9"/>
  <c r="L72" i="9"/>
  <c r="H73" i="9"/>
  <c r="I73" i="9"/>
  <c r="J73" i="9"/>
  <c r="K73" i="9"/>
  <c r="L73" i="9"/>
  <c r="H74" i="9"/>
  <c r="I74" i="9"/>
  <c r="J74" i="9"/>
  <c r="K74" i="9"/>
  <c r="L74" i="9"/>
  <c r="H75" i="9"/>
  <c r="I75" i="9"/>
  <c r="J75" i="9"/>
  <c r="K75" i="9"/>
  <c r="L75" i="9"/>
  <c r="H76" i="9"/>
  <c r="I76" i="9"/>
  <c r="J76" i="9"/>
  <c r="K76" i="9"/>
  <c r="L76" i="9"/>
  <c r="H77" i="9"/>
  <c r="I77" i="9"/>
  <c r="J77" i="9"/>
  <c r="K77" i="9"/>
  <c r="L77" i="9"/>
  <c r="H78" i="9"/>
  <c r="I78" i="9"/>
  <c r="J78" i="9"/>
  <c r="K78" i="9"/>
  <c r="L78" i="9"/>
  <c r="H79" i="9"/>
  <c r="I79" i="9"/>
  <c r="J79" i="9"/>
  <c r="K79" i="9"/>
  <c r="L79" i="9"/>
  <c r="H80" i="9"/>
  <c r="I80" i="9"/>
  <c r="J80" i="9"/>
  <c r="K80" i="9"/>
  <c r="L80" i="9"/>
  <c r="H81" i="9"/>
  <c r="I81" i="9"/>
  <c r="J81" i="9"/>
  <c r="K81" i="9"/>
  <c r="L81" i="9"/>
  <c r="H82" i="9"/>
  <c r="I82" i="9"/>
  <c r="J82" i="9"/>
  <c r="K82" i="9"/>
  <c r="L82" i="9"/>
  <c r="H83" i="9"/>
  <c r="I83" i="9"/>
  <c r="J83" i="9"/>
  <c r="K83" i="9"/>
  <c r="L83" i="9"/>
  <c r="H84" i="9"/>
  <c r="I84" i="9"/>
  <c r="J84" i="9"/>
  <c r="K84" i="9"/>
  <c r="L84" i="9"/>
  <c r="H85" i="9"/>
  <c r="I85" i="9"/>
  <c r="J85" i="9"/>
  <c r="K85" i="9"/>
  <c r="L85" i="9"/>
  <c r="H86" i="9"/>
  <c r="I86" i="9"/>
  <c r="J86" i="9"/>
  <c r="K86" i="9"/>
  <c r="L86" i="9"/>
  <c r="H87" i="9"/>
  <c r="I87" i="9"/>
  <c r="J87" i="9"/>
  <c r="K87" i="9"/>
  <c r="L87" i="9"/>
  <c r="H88" i="9"/>
  <c r="I88" i="9"/>
  <c r="J88" i="9"/>
  <c r="K88" i="9"/>
  <c r="L88" i="9"/>
  <c r="H89" i="9"/>
  <c r="I89" i="9"/>
  <c r="J89" i="9"/>
  <c r="K89" i="9"/>
  <c r="L89" i="9"/>
  <c r="H90" i="9"/>
  <c r="I90" i="9"/>
  <c r="J90" i="9"/>
  <c r="K90" i="9"/>
  <c r="L90" i="9"/>
  <c r="H91" i="9"/>
  <c r="I91" i="9"/>
  <c r="J91" i="9"/>
  <c r="K91" i="9"/>
  <c r="L91" i="9"/>
  <c r="H92" i="9"/>
  <c r="I92" i="9"/>
  <c r="J92" i="9"/>
  <c r="K92" i="9"/>
  <c r="L92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F107" i="9"/>
  <c r="G107" i="9"/>
  <c r="F108" i="9"/>
  <c r="G108" i="9"/>
  <c r="F109" i="9"/>
  <c r="G109" i="9"/>
  <c r="F110" i="9"/>
  <c r="G110" i="9"/>
  <c r="F111" i="9"/>
  <c r="G111" i="9"/>
  <c r="F112" i="9"/>
  <c r="G112" i="9"/>
  <c r="F113" i="9"/>
  <c r="G113" i="9"/>
  <c r="H93" i="9"/>
  <c r="I93" i="9"/>
  <c r="J93" i="9"/>
  <c r="K93" i="9"/>
  <c r="L93" i="9"/>
  <c r="H94" i="9"/>
  <c r="I94" i="9"/>
  <c r="J94" i="9"/>
  <c r="K94" i="9"/>
  <c r="L94" i="9"/>
  <c r="H95" i="9"/>
  <c r="I95" i="9"/>
  <c r="J95" i="9"/>
  <c r="K95" i="9"/>
  <c r="L95" i="9"/>
  <c r="H96" i="9"/>
  <c r="I96" i="9"/>
  <c r="J96" i="9"/>
  <c r="K96" i="9"/>
  <c r="L96" i="9"/>
  <c r="H97" i="9"/>
  <c r="I97" i="9"/>
  <c r="J97" i="9"/>
  <c r="K97" i="9"/>
  <c r="L97" i="9"/>
  <c r="H98" i="9"/>
  <c r="I98" i="9"/>
  <c r="J98" i="9"/>
  <c r="K98" i="9"/>
  <c r="L98" i="9"/>
  <c r="H99" i="9"/>
  <c r="I99" i="9"/>
  <c r="J99" i="9"/>
  <c r="K99" i="9"/>
  <c r="L99" i="9"/>
  <c r="H100" i="9"/>
  <c r="I100" i="9"/>
  <c r="J100" i="9"/>
  <c r="K100" i="9"/>
  <c r="L100" i="9"/>
  <c r="H101" i="9"/>
  <c r="I101" i="9"/>
  <c r="J101" i="9"/>
  <c r="K101" i="9"/>
  <c r="L101" i="9"/>
  <c r="H102" i="9"/>
  <c r="I102" i="9"/>
  <c r="J102" i="9"/>
  <c r="K102" i="9"/>
  <c r="L102" i="9"/>
  <c r="H103" i="9"/>
  <c r="I103" i="9"/>
  <c r="J103" i="9"/>
  <c r="K103" i="9"/>
  <c r="L103" i="9"/>
  <c r="H104" i="9"/>
  <c r="I104" i="9"/>
  <c r="J104" i="9"/>
  <c r="K104" i="9"/>
  <c r="L104" i="9"/>
  <c r="H105" i="9"/>
  <c r="I105" i="9"/>
  <c r="J105" i="9"/>
  <c r="K105" i="9"/>
  <c r="L105" i="9"/>
  <c r="H106" i="9"/>
  <c r="I106" i="9"/>
  <c r="J106" i="9"/>
  <c r="K106" i="9"/>
  <c r="L106" i="9"/>
  <c r="H107" i="9"/>
  <c r="I107" i="9"/>
  <c r="J107" i="9"/>
  <c r="K107" i="9"/>
  <c r="L107" i="9"/>
  <c r="H108" i="9"/>
  <c r="I108" i="9"/>
  <c r="J108" i="9"/>
  <c r="K108" i="9"/>
  <c r="L108" i="9"/>
  <c r="H109" i="9"/>
  <c r="I109" i="9"/>
  <c r="J109" i="9"/>
  <c r="K109" i="9"/>
  <c r="L109" i="9"/>
  <c r="H110" i="9"/>
  <c r="I110" i="9"/>
  <c r="J110" i="9"/>
  <c r="K110" i="9"/>
  <c r="L110" i="9"/>
  <c r="H111" i="9"/>
  <c r="I111" i="9"/>
  <c r="J111" i="9"/>
  <c r="K111" i="9"/>
  <c r="L111" i="9"/>
  <c r="H112" i="9"/>
  <c r="I112" i="9"/>
  <c r="J112" i="9"/>
  <c r="K112" i="9"/>
  <c r="L112" i="9"/>
  <c r="H113" i="9"/>
  <c r="I113" i="9"/>
  <c r="J113" i="9"/>
  <c r="K113" i="9"/>
  <c r="L113" i="9"/>
  <c r="L114" i="9"/>
  <c r="K93" i="6"/>
  <c r="S71" i="9"/>
  <c r="R71" i="9"/>
  <c r="R72" i="9"/>
  <c r="S72" i="9"/>
  <c r="R73" i="9"/>
  <c r="S73" i="9"/>
  <c r="R74" i="9"/>
  <c r="S74" i="9"/>
  <c r="R75" i="9"/>
  <c r="S75" i="9"/>
  <c r="R76" i="9"/>
  <c r="S76" i="9"/>
  <c r="R77" i="9"/>
  <c r="S77" i="9"/>
  <c r="R78" i="9"/>
  <c r="S78" i="9"/>
  <c r="R79" i="9"/>
  <c r="S79" i="9"/>
  <c r="R80" i="9"/>
  <c r="S80" i="9"/>
  <c r="R81" i="9"/>
  <c r="S81" i="9"/>
  <c r="R82" i="9"/>
  <c r="S82" i="9"/>
  <c r="R83" i="9"/>
  <c r="S83" i="9"/>
  <c r="R84" i="9"/>
  <c r="S84" i="9"/>
  <c r="R85" i="9"/>
  <c r="S85" i="9"/>
  <c r="R86" i="9"/>
  <c r="S86" i="9"/>
  <c r="R87" i="9"/>
  <c r="S87" i="9"/>
  <c r="R88" i="9"/>
  <c r="S88" i="9"/>
  <c r="R89" i="9"/>
  <c r="S89" i="9"/>
  <c r="R90" i="9"/>
  <c r="S90" i="9"/>
  <c r="R91" i="9"/>
  <c r="S91" i="9"/>
  <c r="R92" i="9"/>
  <c r="S92" i="9"/>
  <c r="R93" i="9"/>
  <c r="S93" i="9"/>
  <c r="R94" i="9"/>
  <c r="S94" i="9"/>
  <c r="R95" i="9"/>
  <c r="S95" i="9"/>
  <c r="R96" i="9"/>
  <c r="S96" i="9"/>
  <c r="R97" i="9"/>
  <c r="S97" i="9"/>
  <c r="R98" i="9"/>
  <c r="S98" i="9"/>
  <c r="R99" i="9"/>
  <c r="S99" i="9"/>
  <c r="R100" i="9"/>
  <c r="S100" i="9"/>
  <c r="R101" i="9"/>
  <c r="S101" i="9"/>
  <c r="R102" i="9"/>
  <c r="S102" i="9"/>
  <c r="R103" i="9"/>
  <c r="S103" i="9"/>
  <c r="R104" i="9"/>
  <c r="S104" i="9"/>
  <c r="R105" i="9"/>
  <c r="S105" i="9"/>
  <c r="R106" i="9"/>
  <c r="S106" i="9"/>
  <c r="R107" i="9"/>
  <c r="S107" i="9"/>
  <c r="R108" i="9"/>
  <c r="S108" i="9"/>
  <c r="U71" i="9"/>
  <c r="V71" i="9"/>
  <c r="W71" i="9"/>
  <c r="X71" i="9"/>
  <c r="T72" i="9"/>
  <c r="U72" i="9"/>
  <c r="V72" i="9"/>
  <c r="W72" i="9"/>
  <c r="X72" i="9"/>
  <c r="T73" i="9"/>
  <c r="U73" i="9"/>
  <c r="V73" i="9"/>
  <c r="W73" i="9"/>
  <c r="X73" i="9"/>
  <c r="T74" i="9"/>
  <c r="U74" i="9"/>
  <c r="V74" i="9"/>
  <c r="W74" i="9"/>
  <c r="X74" i="9"/>
  <c r="T75" i="9"/>
  <c r="U75" i="9"/>
  <c r="V75" i="9"/>
  <c r="W75" i="9"/>
  <c r="X75" i="9"/>
  <c r="T76" i="9"/>
  <c r="U76" i="9"/>
  <c r="V76" i="9"/>
  <c r="W76" i="9"/>
  <c r="X76" i="9"/>
  <c r="T77" i="9"/>
  <c r="U77" i="9"/>
  <c r="V77" i="9"/>
  <c r="W77" i="9"/>
  <c r="X77" i="9"/>
  <c r="T78" i="9"/>
  <c r="U78" i="9"/>
  <c r="V78" i="9"/>
  <c r="W78" i="9"/>
  <c r="X78" i="9"/>
  <c r="T79" i="9"/>
  <c r="U79" i="9"/>
  <c r="V79" i="9"/>
  <c r="W79" i="9"/>
  <c r="X79" i="9"/>
  <c r="T80" i="9"/>
  <c r="U80" i="9"/>
  <c r="V80" i="9"/>
  <c r="W80" i="9"/>
  <c r="X80" i="9"/>
  <c r="T81" i="9"/>
  <c r="U81" i="9"/>
  <c r="V81" i="9"/>
  <c r="W81" i="9"/>
  <c r="X81" i="9"/>
  <c r="T82" i="9"/>
  <c r="U82" i="9"/>
  <c r="V82" i="9"/>
  <c r="W82" i="9"/>
  <c r="X82" i="9"/>
  <c r="T83" i="9"/>
  <c r="U83" i="9"/>
  <c r="V83" i="9"/>
  <c r="W83" i="9"/>
  <c r="X83" i="9"/>
  <c r="T84" i="9"/>
  <c r="U84" i="9"/>
  <c r="V84" i="9"/>
  <c r="W84" i="9"/>
  <c r="X84" i="9"/>
  <c r="T85" i="9"/>
  <c r="U85" i="9"/>
  <c r="V85" i="9"/>
  <c r="W85" i="9"/>
  <c r="X85" i="9"/>
  <c r="T86" i="9"/>
  <c r="U86" i="9"/>
  <c r="V86" i="9"/>
  <c r="W86" i="9"/>
  <c r="X86" i="9"/>
  <c r="T87" i="9"/>
  <c r="U87" i="9"/>
  <c r="V87" i="9"/>
  <c r="W87" i="9"/>
  <c r="X87" i="9"/>
  <c r="T88" i="9"/>
  <c r="U88" i="9"/>
  <c r="V88" i="9"/>
  <c r="W88" i="9"/>
  <c r="X88" i="9"/>
  <c r="T89" i="9"/>
  <c r="U89" i="9"/>
  <c r="V89" i="9"/>
  <c r="W89" i="9"/>
  <c r="X89" i="9"/>
  <c r="T90" i="9"/>
  <c r="U90" i="9"/>
  <c r="V90" i="9"/>
  <c r="W90" i="9"/>
  <c r="X90" i="9"/>
  <c r="T91" i="9"/>
  <c r="U91" i="9"/>
  <c r="V91" i="9"/>
  <c r="W91" i="9"/>
  <c r="X91" i="9"/>
  <c r="T92" i="9"/>
  <c r="U92" i="9"/>
  <c r="V92" i="9"/>
  <c r="W92" i="9"/>
  <c r="X92" i="9"/>
  <c r="T93" i="9"/>
  <c r="U93" i="9"/>
  <c r="V93" i="9"/>
  <c r="W93" i="9"/>
  <c r="X93" i="9"/>
  <c r="T94" i="9"/>
  <c r="U94" i="9"/>
  <c r="V94" i="9"/>
  <c r="W94" i="9"/>
  <c r="X94" i="9"/>
  <c r="T95" i="9"/>
  <c r="U95" i="9"/>
  <c r="V95" i="9"/>
  <c r="W95" i="9"/>
  <c r="X95" i="9"/>
  <c r="T96" i="9"/>
  <c r="U96" i="9"/>
  <c r="V96" i="9"/>
  <c r="W96" i="9"/>
  <c r="X96" i="9"/>
  <c r="T97" i="9"/>
  <c r="U97" i="9"/>
  <c r="V97" i="9"/>
  <c r="W97" i="9"/>
  <c r="X97" i="9"/>
  <c r="T98" i="9"/>
  <c r="U98" i="9"/>
  <c r="V98" i="9"/>
  <c r="W98" i="9"/>
  <c r="X98" i="9"/>
  <c r="T99" i="9"/>
  <c r="U99" i="9"/>
  <c r="V99" i="9"/>
  <c r="W99" i="9"/>
  <c r="X99" i="9"/>
  <c r="T100" i="9"/>
  <c r="U100" i="9"/>
  <c r="V100" i="9"/>
  <c r="W100" i="9"/>
  <c r="X100" i="9"/>
  <c r="T101" i="9"/>
  <c r="U101" i="9"/>
  <c r="V101" i="9"/>
  <c r="W101" i="9"/>
  <c r="X101" i="9"/>
  <c r="T102" i="9"/>
  <c r="U102" i="9"/>
  <c r="V102" i="9"/>
  <c r="W102" i="9"/>
  <c r="X102" i="9"/>
  <c r="T103" i="9"/>
  <c r="U103" i="9"/>
  <c r="V103" i="9"/>
  <c r="W103" i="9"/>
  <c r="X103" i="9"/>
  <c r="T104" i="9"/>
  <c r="U104" i="9"/>
  <c r="V104" i="9"/>
  <c r="W104" i="9"/>
  <c r="X104" i="9"/>
  <c r="T105" i="9"/>
  <c r="U105" i="9"/>
  <c r="V105" i="9"/>
  <c r="W105" i="9"/>
  <c r="X105" i="9"/>
  <c r="T106" i="9"/>
  <c r="U106" i="9"/>
  <c r="V106" i="9"/>
  <c r="W106" i="9"/>
  <c r="X106" i="9"/>
  <c r="T107" i="9"/>
  <c r="U107" i="9"/>
  <c r="V107" i="9"/>
  <c r="W107" i="9"/>
  <c r="X107" i="9"/>
  <c r="R109" i="9"/>
  <c r="S109" i="9"/>
  <c r="R110" i="9"/>
  <c r="S110" i="9"/>
  <c r="R111" i="9"/>
  <c r="S111" i="9"/>
  <c r="R112" i="9"/>
  <c r="S112" i="9"/>
  <c r="R113" i="9"/>
  <c r="S113" i="9"/>
  <c r="T108" i="9"/>
  <c r="U108" i="9"/>
  <c r="V108" i="9"/>
  <c r="W108" i="9"/>
  <c r="X108" i="9"/>
  <c r="T109" i="9"/>
  <c r="U109" i="9"/>
  <c r="V109" i="9"/>
  <c r="W109" i="9"/>
  <c r="X109" i="9"/>
  <c r="T110" i="9"/>
  <c r="U110" i="9"/>
  <c r="V110" i="9"/>
  <c r="W110" i="9"/>
  <c r="X110" i="9"/>
  <c r="T111" i="9"/>
  <c r="U111" i="9"/>
  <c r="V111" i="9"/>
  <c r="W111" i="9"/>
  <c r="X111" i="9"/>
  <c r="T112" i="9"/>
  <c r="U112" i="9"/>
  <c r="V112" i="9"/>
  <c r="W112" i="9"/>
  <c r="X112" i="9"/>
  <c r="T113" i="9"/>
  <c r="U113" i="9"/>
  <c r="V113" i="9"/>
  <c r="W113" i="9"/>
  <c r="X113" i="9"/>
  <c r="X114" i="9"/>
  <c r="K94" i="6"/>
  <c r="K98" i="6"/>
  <c r="L98" i="6"/>
  <c r="L94" i="6"/>
  <c r="Y110" i="9"/>
  <c r="Y111" i="9"/>
  <c r="Y112" i="9"/>
  <c r="Y113" i="9"/>
  <c r="Y114" i="9"/>
  <c r="T71" i="9"/>
  <c r="W114" i="9"/>
  <c r="H71" i="9"/>
  <c r="L93" i="6"/>
  <c r="M110" i="9"/>
  <c r="M111" i="9"/>
  <c r="M112" i="9"/>
  <c r="M113" i="9"/>
  <c r="M114" i="9"/>
  <c r="K114" i="9"/>
  <c r="L93" i="11"/>
  <c r="L94" i="11"/>
  <c r="L95" i="11"/>
  <c r="L92" i="6"/>
  <c r="N96" i="11"/>
  <c r="P92" i="11"/>
  <c r="P93" i="11"/>
  <c r="P94" i="11"/>
  <c r="P95" i="11"/>
  <c r="P96" i="11"/>
  <c r="K53" i="11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D64" i="6"/>
  <c r="E64" i="6"/>
  <c r="F64" i="6"/>
  <c r="G64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A119" i="6"/>
  <c r="BB119" i="6"/>
  <c r="BC119" i="6"/>
  <c r="BA121" i="6"/>
  <c r="BB121" i="6"/>
  <c r="BC121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C62" i="6"/>
  <c r="C64" i="6"/>
  <c r="H92" i="6"/>
  <c r="H93" i="6"/>
  <c r="H94" i="6"/>
  <c r="H95" i="6"/>
  <c r="H96" i="6"/>
  <c r="H97" i="6"/>
  <c r="H98" i="6"/>
  <c r="G98" i="6"/>
  <c r="C89" i="6"/>
  <c r="F12" i="16"/>
  <c r="C21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F37" i="16"/>
  <c r="C37" i="16"/>
  <c r="F36" i="16"/>
  <c r="C36" i="16"/>
  <c r="F35" i="16"/>
  <c r="C35" i="16"/>
  <c r="F34" i="16"/>
  <c r="C34" i="16"/>
  <c r="F33" i="16"/>
  <c r="C33" i="16"/>
  <c r="F32" i="16"/>
  <c r="C32" i="16"/>
  <c r="F31" i="16"/>
  <c r="C31" i="16"/>
  <c r="F30" i="16"/>
  <c r="C30" i="16"/>
  <c r="F29" i="16"/>
  <c r="C29" i="16"/>
  <c r="F28" i="16"/>
  <c r="C28" i="16"/>
  <c r="F27" i="16"/>
  <c r="C27" i="16"/>
  <c r="F26" i="16"/>
  <c r="C26" i="16"/>
  <c r="F25" i="16"/>
  <c r="C25" i="16"/>
  <c r="F24" i="16"/>
  <c r="C24" i="16"/>
  <c r="F23" i="16"/>
  <c r="C23" i="16"/>
  <c r="F22" i="16"/>
  <c r="C22" i="16"/>
  <c r="F21" i="16"/>
  <c r="F20" i="16"/>
  <c r="C20" i="16"/>
  <c r="F19" i="16"/>
  <c r="C19" i="16"/>
  <c r="F18" i="16"/>
  <c r="C18" i="16"/>
  <c r="F17" i="16"/>
  <c r="C17" i="16"/>
  <c r="F16" i="16"/>
  <c r="C16" i="16"/>
  <c r="F15" i="16"/>
  <c r="C15" i="16"/>
  <c r="F14" i="16"/>
  <c r="C14" i="16"/>
  <c r="F13" i="16"/>
  <c r="C13" i="16"/>
  <c r="C12" i="16"/>
  <c r="BA38" i="6"/>
  <c r="AZ45" i="6"/>
  <c r="BA45" i="6"/>
  <c r="AZ46" i="6"/>
  <c r="BA46" i="6"/>
  <c r="BA47" i="6"/>
  <c r="AG38" i="6"/>
  <c r="AG47" i="6"/>
  <c r="AB38" i="6"/>
  <c r="AB47" i="6"/>
  <c r="R38" i="6"/>
  <c r="R47" i="6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G107" i="2"/>
  <c r="I103" i="15"/>
  <c r="G108" i="15"/>
  <c r="I95" i="15"/>
  <c r="I96" i="15"/>
  <c r="I97" i="15"/>
  <c r="I98" i="15"/>
  <c r="I99" i="15"/>
  <c r="I100" i="15"/>
  <c r="I101" i="15"/>
  <c r="I102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D84" i="15"/>
  <c r="E84" i="15"/>
  <c r="F84" i="15"/>
  <c r="G84" i="15"/>
  <c r="H84" i="15"/>
  <c r="D83" i="15"/>
  <c r="E83" i="15"/>
  <c r="F83" i="15"/>
  <c r="G83" i="15"/>
  <c r="H83" i="15"/>
  <c r="D82" i="15"/>
  <c r="E82" i="15"/>
  <c r="F82" i="15"/>
  <c r="G82" i="15"/>
  <c r="H82" i="15"/>
  <c r="C92" i="15"/>
  <c r="C91" i="15"/>
  <c r="S156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R156" i="15"/>
  <c r="X155" i="15"/>
  <c r="X154" i="15"/>
  <c r="X153" i="15"/>
  <c r="X152" i="15"/>
  <c r="X151" i="15"/>
  <c r="X150" i="15"/>
  <c r="X149" i="15"/>
  <c r="X148" i="15"/>
  <c r="X147" i="15"/>
  <c r="X146" i="15"/>
  <c r="X145" i="15"/>
  <c r="X144" i="15"/>
  <c r="X143" i="15"/>
  <c r="X142" i="15"/>
  <c r="X141" i="15"/>
  <c r="X140" i="15"/>
  <c r="X139" i="15"/>
  <c r="X138" i="15"/>
  <c r="X137" i="15"/>
  <c r="X136" i="15"/>
  <c r="X135" i="15"/>
  <c r="X134" i="15"/>
  <c r="X133" i="15"/>
  <c r="X132" i="15"/>
  <c r="X131" i="15"/>
  <c r="X130" i="15"/>
  <c r="X129" i="15"/>
  <c r="X128" i="15"/>
  <c r="X127" i="15"/>
  <c r="X126" i="15"/>
  <c r="X125" i="15"/>
  <c r="X124" i="15"/>
  <c r="X123" i="15"/>
  <c r="X122" i="15"/>
  <c r="X121" i="15"/>
  <c r="D95" i="15"/>
  <c r="D99" i="15"/>
  <c r="D100" i="15"/>
  <c r="D102" i="15"/>
  <c r="C114" i="15"/>
  <c r="D116" i="15"/>
  <c r="C115" i="15"/>
  <c r="D117" i="15"/>
  <c r="D118" i="15"/>
  <c r="D119" i="15"/>
  <c r="D121" i="15"/>
  <c r="X120" i="15"/>
  <c r="X119" i="15"/>
  <c r="X118" i="15"/>
  <c r="X117" i="15"/>
  <c r="C117" i="15"/>
  <c r="X116" i="15"/>
  <c r="X115" i="15"/>
  <c r="X114" i="15"/>
  <c r="X113" i="15"/>
  <c r="G113" i="15"/>
  <c r="X112" i="15"/>
  <c r="G112" i="15"/>
  <c r="X111" i="15"/>
  <c r="X110" i="15"/>
  <c r="X109" i="15"/>
  <c r="X108" i="15"/>
  <c r="X107" i="15"/>
  <c r="X106" i="15"/>
  <c r="G106" i="15"/>
  <c r="X105" i="15"/>
  <c r="X104" i="15"/>
  <c r="X103" i="15"/>
  <c r="X102" i="15"/>
  <c r="X101" i="15"/>
  <c r="G101" i="15"/>
  <c r="C101" i="15"/>
  <c r="X100" i="15"/>
  <c r="X99" i="15"/>
  <c r="X98" i="15"/>
  <c r="G98" i="15"/>
  <c r="D98" i="15"/>
  <c r="X97" i="15"/>
  <c r="D97" i="15"/>
  <c r="X96" i="15"/>
  <c r="D96" i="15"/>
  <c r="X95" i="15"/>
  <c r="C8" i="14"/>
  <c r="C8" i="5"/>
  <c r="AE6" i="5"/>
  <c r="AE9" i="5"/>
  <c r="AE11" i="5"/>
  <c r="AE14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R168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5" i="5"/>
  <c r="F76" i="14"/>
  <c r="F78" i="14"/>
  <c r="F79" i="14"/>
  <c r="F80" i="14"/>
  <c r="F81" i="14"/>
  <c r="F82" i="14"/>
  <c r="F83" i="14"/>
  <c r="F84" i="14"/>
  <c r="F85" i="14"/>
  <c r="F87" i="14"/>
  <c r="F89" i="14"/>
  <c r="F90" i="14"/>
  <c r="F91" i="14"/>
  <c r="F92" i="14"/>
  <c r="F93" i="14"/>
  <c r="F95" i="14"/>
  <c r="F96" i="14"/>
  <c r="F97" i="14"/>
  <c r="F98" i="14"/>
  <c r="F99" i="14"/>
  <c r="F100" i="14"/>
  <c r="F101" i="14"/>
  <c r="F102" i="14"/>
  <c r="F103" i="14"/>
  <c r="F104" i="14"/>
  <c r="F106" i="14"/>
  <c r="F107" i="14"/>
  <c r="F108" i="14"/>
  <c r="F110" i="14"/>
  <c r="F111" i="14"/>
  <c r="F112" i="14"/>
  <c r="F113" i="14"/>
  <c r="F114" i="14"/>
  <c r="F116" i="14"/>
  <c r="F117" i="14"/>
  <c r="F118" i="14"/>
  <c r="F119" i="14"/>
  <c r="F120" i="14"/>
  <c r="F122" i="14"/>
  <c r="F123" i="14"/>
  <c r="F124" i="14"/>
  <c r="F126" i="14"/>
  <c r="F127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3" i="14"/>
  <c r="F145" i="14"/>
  <c r="F146" i="14"/>
  <c r="F147" i="14"/>
  <c r="F149" i="14"/>
  <c r="F151" i="14"/>
  <c r="F152" i="14"/>
  <c r="F153" i="14"/>
  <c r="F154" i="14"/>
  <c r="F155" i="14"/>
  <c r="F156" i="14"/>
  <c r="F157" i="14"/>
  <c r="F158" i="14"/>
  <c r="F159" i="14"/>
  <c r="F160" i="14"/>
  <c r="F161" i="14"/>
  <c r="F163" i="14"/>
  <c r="F164" i="14"/>
  <c r="F165" i="14"/>
  <c r="F166" i="14"/>
  <c r="F167" i="14"/>
  <c r="F169" i="14"/>
  <c r="F170" i="14"/>
  <c r="F171" i="14"/>
  <c r="F172" i="14"/>
  <c r="F173" i="14"/>
  <c r="F174" i="14"/>
  <c r="F175" i="14"/>
  <c r="F176" i="14"/>
  <c r="F177" i="14"/>
  <c r="F178" i="14"/>
  <c r="F180" i="14"/>
  <c r="F181" i="14"/>
  <c r="F182" i="14"/>
  <c r="F183" i="14"/>
  <c r="F184" i="14"/>
  <c r="F186" i="14"/>
  <c r="F187" i="14"/>
  <c r="F188" i="14"/>
  <c r="F189" i="14"/>
  <c r="F190" i="14"/>
  <c r="F193" i="14"/>
  <c r="F194" i="14"/>
  <c r="F195" i="14"/>
  <c r="F196" i="14"/>
  <c r="F198" i="14"/>
  <c r="F200" i="14"/>
  <c r="F203" i="14"/>
  <c r="F204" i="14"/>
  <c r="F205" i="14"/>
  <c r="F206" i="14"/>
  <c r="F207" i="14"/>
  <c r="F208" i="14"/>
  <c r="F209" i="14"/>
  <c r="F210" i="14"/>
  <c r="F212" i="14"/>
  <c r="F213" i="14"/>
  <c r="F214" i="14"/>
  <c r="F215" i="14"/>
  <c r="F216" i="14"/>
  <c r="F218" i="14"/>
  <c r="F220" i="14"/>
  <c r="F221" i="14"/>
  <c r="F223" i="14"/>
  <c r="F226" i="14"/>
  <c r="F228" i="14"/>
  <c r="F229" i="14"/>
  <c r="F230" i="14"/>
  <c r="F231" i="14"/>
  <c r="F232" i="14"/>
  <c r="F234" i="14"/>
  <c r="F235" i="14"/>
  <c r="F236" i="14"/>
  <c r="F237" i="14"/>
  <c r="F238" i="14"/>
  <c r="F239" i="14"/>
  <c r="F240" i="14"/>
  <c r="F241" i="14"/>
  <c r="F243" i="14"/>
  <c r="F244" i="14"/>
  <c r="F246" i="14"/>
  <c r="F247" i="14"/>
  <c r="F249" i="14"/>
  <c r="F250" i="14"/>
  <c r="F251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8" i="14"/>
  <c r="F270" i="14"/>
  <c r="F272" i="14"/>
  <c r="F274" i="14"/>
  <c r="F275" i="14"/>
  <c r="F278" i="14"/>
  <c r="F280" i="14"/>
  <c r="F282" i="14"/>
  <c r="F283" i="14"/>
  <c r="F285" i="14"/>
  <c r="F286" i="14"/>
  <c r="F287" i="14"/>
  <c r="F288" i="14"/>
  <c r="F289" i="14"/>
  <c r="F290" i="14"/>
  <c r="F292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8" i="14"/>
  <c r="F309" i="14"/>
  <c r="F310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6" i="14"/>
  <c r="F327" i="14"/>
  <c r="F328" i="14"/>
  <c r="F329" i="14"/>
  <c r="F330" i="14"/>
  <c r="F331" i="14"/>
  <c r="F332" i="14"/>
  <c r="F333" i="14"/>
  <c r="F336" i="14"/>
  <c r="F337" i="14"/>
  <c r="F338" i="14"/>
  <c r="F339" i="14"/>
  <c r="F340" i="14"/>
  <c r="F341" i="14"/>
  <c r="F342" i="14"/>
  <c r="F343" i="14"/>
  <c r="F344" i="14"/>
  <c r="F345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7" i="14"/>
  <c r="F388" i="14"/>
  <c r="F389" i="14"/>
  <c r="F392" i="14"/>
  <c r="F393" i="14"/>
  <c r="F394" i="14"/>
  <c r="F395" i="14"/>
  <c r="F396" i="14"/>
  <c r="F397" i="14"/>
  <c r="F398" i="14"/>
  <c r="F399" i="14"/>
  <c r="F400" i="14"/>
  <c r="F402" i="14"/>
  <c r="F404" i="14"/>
  <c r="F405" i="14"/>
  <c r="F406" i="14"/>
  <c r="F407" i="14"/>
  <c r="F408" i="14"/>
  <c r="F409" i="14"/>
  <c r="F410" i="14"/>
  <c r="F411" i="14"/>
  <c r="F412" i="14"/>
  <c r="F413" i="14"/>
  <c r="F414" i="14"/>
  <c r="F416" i="14"/>
  <c r="F417" i="14"/>
  <c r="F418" i="14"/>
  <c r="F419" i="14"/>
  <c r="F420" i="14"/>
  <c r="F421" i="14"/>
  <c r="F422" i="14"/>
  <c r="F423" i="14"/>
  <c r="F424" i="14"/>
  <c r="F425" i="14"/>
  <c r="F426" i="14"/>
  <c r="F428" i="14"/>
  <c r="F429" i="14"/>
  <c r="F430" i="14"/>
  <c r="F431" i="14"/>
  <c r="F432" i="14"/>
  <c r="F433" i="14"/>
  <c r="F434" i="14"/>
  <c r="F435" i="14"/>
  <c r="F437" i="14"/>
  <c r="F438" i="14"/>
  <c r="F440" i="14"/>
  <c r="F441" i="14"/>
  <c r="F442" i="14"/>
  <c r="F443" i="14"/>
  <c r="F444" i="14"/>
  <c r="F445" i="14"/>
  <c r="F446" i="14"/>
  <c r="F447" i="14"/>
  <c r="F449" i="14"/>
  <c r="F451" i="14"/>
  <c r="F452" i="14"/>
  <c r="F456" i="14"/>
  <c r="F457" i="14"/>
  <c r="F458" i="14"/>
  <c r="F459" i="14"/>
  <c r="F461" i="14"/>
  <c r="F462" i="14"/>
  <c r="F466" i="14"/>
  <c r="F467" i="14"/>
  <c r="F469" i="14"/>
  <c r="F470" i="14"/>
  <c r="F471" i="14"/>
  <c r="F472" i="14"/>
  <c r="F473" i="14"/>
  <c r="F475" i="14"/>
  <c r="F476" i="14"/>
  <c r="F480" i="14"/>
  <c r="F481" i="14"/>
  <c r="F482" i="14"/>
  <c r="F483" i="14"/>
  <c r="F487" i="14"/>
  <c r="F488" i="14"/>
  <c r="F489" i="14"/>
  <c r="F490" i="14"/>
  <c r="F491" i="14"/>
  <c r="F492" i="14"/>
  <c r="F494" i="14"/>
  <c r="F495" i="14"/>
  <c r="F496" i="14"/>
  <c r="F497" i="14"/>
  <c r="F499" i="14"/>
  <c r="F500" i="14"/>
  <c r="F501" i="14"/>
  <c r="F502" i="14"/>
  <c r="F504" i="14"/>
  <c r="F505" i="14"/>
  <c r="F506" i="14"/>
  <c r="F507" i="14"/>
  <c r="F508" i="14"/>
  <c r="F509" i="14"/>
  <c r="F510" i="14"/>
  <c r="F513" i="14"/>
  <c r="F515" i="14"/>
  <c r="F517" i="14"/>
  <c r="F518" i="14"/>
  <c r="F519" i="14"/>
  <c r="F521" i="14"/>
  <c r="F522" i="14"/>
  <c r="F523" i="14"/>
  <c r="F524" i="14"/>
  <c r="F525" i="14"/>
  <c r="F526" i="14"/>
  <c r="F527" i="14"/>
  <c r="F528" i="14"/>
  <c r="F530" i="14"/>
  <c r="F531" i="14"/>
  <c r="F532" i="14"/>
  <c r="F533" i="14"/>
  <c r="F534" i="14"/>
  <c r="F535" i="14"/>
  <c r="F536" i="14"/>
  <c r="F537" i="14"/>
  <c r="F538" i="14"/>
  <c r="F541" i="14"/>
  <c r="F542" i="14"/>
  <c r="F545" i="14"/>
  <c r="F548" i="14"/>
  <c r="F550" i="14"/>
  <c r="F551" i="14"/>
  <c r="F553" i="14"/>
  <c r="F554" i="14"/>
  <c r="F555" i="14"/>
  <c r="F556" i="14"/>
  <c r="F558" i="14"/>
  <c r="F559" i="14"/>
  <c r="F560" i="14"/>
  <c r="F562" i="14"/>
  <c r="F563" i="14"/>
  <c r="F564" i="14"/>
  <c r="F565" i="14"/>
  <c r="F566" i="14"/>
  <c r="F567" i="14"/>
  <c r="F568" i="14"/>
  <c r="F570" i="14"/>
  <c r="F571" i="14"/>
  <c r="F572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3" i="14"/>
  <c r="F596" i="14"/>
  <c r="F597" i="14"/>
  <c r="F598" i="14"/>
  <c r="F599" i="14"/>
  <c r="F600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3" i="14"/>
  <c r="F624" i="14"/>
  <c r="F625" i="14"/>
  <c r="F627" i="14"/>
  <c r="F628" i="14"/>
  <c r="F629" i="14"/>
  <c r="F630" i="14"/>
  <c r="F631" i="14"/>
  <c r="F633" i="14"/>
  <c r="F634" i="14"/>
  <c r="F635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3" i="14"/>
  <c r="F654" i="14"/>
  <c r="F656" i="14"/>
  <c r="F657" i="14"/>
  <c r="F658" i="14"/>
  <c r="F659" i="14"/>
  <c r="F660" i="14"/>
  <c r="F661" i="14"/>
  <c r="F662" i="14"/>
  <c r="F663" i="14"/>
  <c r="F665" i="14"/>
  <c r="F666" i="14"/>
  <c r="F667" i="14"/>
  <c r="F668" i="14"/>
  <c r="F669" i="14"/>
  <c r="F671" i="14"/>
  <c r="F672" i="14"/>
  <c r="F673" i="14"/>
  <c r="F674" i="14"/>
  <c r="F675" i="14"/>
  <c r="F676" i="14"/>
  <c r="F677" i="14"/>
  <c r="F678" i="14"/>
  <c r="F679" i="14"/>
  <c r="F681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700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6" i="14"/>
  <c r="F717" i="14"/>
  <c r="F718" i="14"/>
  <c r="F719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8" i="14"/>
  <c r="F742" i="14"/>
  <c r="F743" i="14"/>
  <c r="F744" i="14"/>
  <c r="F745" i="14"/>
  <c r="F746" i="14"/>
  <c r="F747" i="14"/>
  <c r="F748" i="14"/>
  <c r="F751" i="14"/>
  <c r="F753" i="14"/>
  <c r="F754" i="14"/>
  <c r="F755" i="14"/>
  <c r="F756" i="14"/>
  <c r="F758" i="14"/>
  <c r="F759" i="14"/>
  <c r="F761" i="14"/>
  <c r="F764" i="14"/>
  <c r="F765" i="14"/>
  <c r="F768" i="14"/>
  <c r="F769" i="14"/>
  <c r="F770" i="14"/>
  <c r="F771" i="14"/>
  <c r="F773" i="14"/>
  <c r="F774" i="14"/>
  <c r="F775" i="14"/>
  <c r="F776" i="14"/>
  <c r="F777" i="14"/>
  <c r="F778" i="14"/>
  <c r="F780" i="14"/>
  <c r="F781" i="14"/>
  <c r="F782" i="14"/>
  <c r="F783" i="14"/>
  <c r="F786" i="14"/>
  <c r="F787" i="14"/>
  <c r="F788" i="14"/>
  <c r="F789" i="14"/>
  <c r="F790" i="14"/>
  <c r="F794" i="14"/>
  <c r="F797" i="14"/>
  <c r="F801" i="14"/>
  <c r="F802" i="14"/>
  <c r="F803" i="14"/>
  <c r="F804" i="14"/>
  <c r="F805" i="14"/>
  <c r="F809" i="14"/>
  <c r="F810" i="14"/>
  <c r="F811" i="14"/>
  <c r="F812" i="14"/>
  <c r="F813" i="14"/>
  <c r="F816" i="14"/>
  <c r="F817" i="14"/>
  <c r="F818" i="14"/>
  <c r="F819" i="14"/>
  <c r="F821" i="14"/>
  <c r="F822" i="14"/>
  <c r="F825" i="14"/>
  <c r="F826" i="14"/>
  <c r="F827" i="14"/>
  <c r="F828" i="14"/>
  <c r="F831" i="14"/>
  <c r="F835" i="14"/>
  <c r="F836" i="14"/>
  <c r="F837" i="14"/>
  <c r="F838" i="14"/>
  <c r="F839" i="14"/>
  <c r="F840" i="14"/>
  <c r="F842" i="14"/>
  <c r="F843" i="14"/>
  <c r="F844" i="14"/>
  <c r="F846" i="14"/>
  <c r="F847" i="14"/>
  <c r="F848" i="14"/>
  <c r="F849" i="14"/>
  <c r="F851" i="14"/>
  <c r="F852" i="14"/>
  <c r="F853" i="14"/>
  <c r="F854" i="14"/>
  <c r="F857" i="14"/>
  <c r="F858" i="14"/>
  <c r="F860" i="14"/>
  <c r="F863" i="14"/>
  <c r="F865" i="14"/>
  <c r="F866" i="14"/>
  <c r="F867" i="14"/>
  <c r="F868" i="14"/>
  <c r="F869" i="14"/>
  <c r="F870" i="14"/>
  <c r="F871" i="14"/>
  <c r="F873" i="14"/>
  <c r="F874" i="14"/>
  <c r="F876" i="14"/>
  <c r="F877" i="14"/>
  <c r="F878" i="14"/>
  <c r="F879" i="14"/>
  <c r="F881" i="14"/>
  <c r="F883" i="14"/>
  <c r="F886" i="14"/>
  <c r="F887" i="14"/>
  <c r="F888" i="14"/>
  <c r="F890" i="14"/>
  <c r="F891" i="14"/>
  <c r="F892" i="14"/>
  <c r="F893" i="14"/>
  <c r="F894" i="14"/>
  <c r="F895" i="14"/>
  <c r="F896" i="14"/>
  <c r="F897" i="14"/>
  <c r="F898" i="14"/>
  <c r="F899" i="14"/>
  <c r="F901" i="14"/>
  <c r="F902" i="14"/>
  <c r="F903" i="14"/>
  <c r="F906" i="14"/>
  <c r="F907" i="14"/>
  <c r="F908" i="14"/>
  <c r="F909" i="14"/>
  <c r="F910" i="14"/>
  <c r="F911" i="14"/>
  <c r="F913" i="14"/>
  <c r="F914" i="14"/>
  <c r="F915" i="14"/>
  <c r="F916" i="14"/>
  <c r="F917" i="14"/>
  <c r="F918" i="14"/>
  <c r="F919" i="14"/>
  <c r="F920" i="14"/>
  <c r="F921" i="14"/>
  <c r="F922" i="14"/>
  <c r="F925" i="14"/>
  <c r="F926" i="14"/>
  <c r="F927" i="14"/>
  <c r="F930" i="14"/>
  <c r="F931" i="14"/>
  <c r="F932" i="14"/>
  <c r="F934" i="14"/>
  <c r="F935" i="14"/>
  <c r="F937" i="14"/>
  <c r="F938" i="14"/>
  <c r="F939" i="14"/>
  <c r="F940" i="14"/>
  <c r="F941" i="14"/>
  <c r="F942" i="14"/>
  <c r="F944" i="14"/>
  <c r="F945" i="14"/>
  <c r="F946" i="14"/>
  <c r="F947" i="14"/>
  <c r="F948" i="14"/>
  <c r="F950" i="14"/>
  <c r="F951" i="14"/>
  <c r="F952" i="14"/>
  <c r="F953" i="14"/>
  <c r="F954" i="14"/>
  <c r="F955" i="14"/>
  <c r="F956" i="14"/>
  <c r="F960" i="14"/>
  <c r="F962" i="14"/>
  <c r="F963" i="14"/>
  <c r="F964" i="14"/>
  <c r="F965" i="14"/>
  <c r="F966" i="14"/>
  <c r="F967" i="14"/>
  <c r="F968" i="14"/>
  <c r="F970" i="14"/>
  <c r="F971" i="14"/>
  <c r="F972" i="14"/>
  <c r="F973" i="14"/>
  <c r="F974" i="14"/>
  <c r="F976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5" i="14"/>
  <c r="F1026" i="14"/>
  <c r="F1027" i="14"/>
  <c r="F1028" i="14"/>
  <c r="F1029" i="14"/>
  <c r="F1030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7" i="14"/>
  <c r="F1048" i="14"/>
  <c r="F1049" i="14"/>
  <c r="F1050" i="14"/>
  <c r="F1051" i="14"/>
  <c r="F1052" i="14"/>
  <c r="F1053" i="14"/>
  <c r="F1054" i="14"/>
  <c r="F1056" i="14"/>
  <c r="F1057" i="14"/>
  <c r="F1059" i="14"/>
  <c r="F1060" i="14"/>
  <c r="F1061" i="14"/>
  <c r="F1062" i="14"/>
  <c r="F1063" i="14"/>
  <c r="F1064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8" i="14"/>
  <c r="F1079" i="14"/>
  <c r="F1080" i="14"/>
  <c r="F1081" i="14"/>
  <c r="F1082" i="14"/>
  <c r="F1084" i="14"/>
  <c r="F1085" i="14"/>
  <c r="F1086" i="14"/>
  <c r="F1087" i="14"/>
  <c r="F1088" i="14"/>
  <c r="F1090" i="14"/>
  <c r="F1091" i="14"/>
  <c r="F1092" i="14"/>
  <c r="F1095" i="14"/>
  <c r="F1096" i="14"/>
  <c r="F1098" i="14"/>
  <c r="F1099" i="14"/>
  <c r="F1100" i="14"/>
  <c r="F1101" i="14"/>
  <c r="F1102" i="14"/>
  <c r="F1103" i="14"/>
  <c r="F1107" i="14"/>
  <c r="F1110" i="14"/>
  <c r="F1111" i="14"/>
  <c r="F1114" i="14"/>
  <c r="F1117" i="14"/>
  <c r="F1118" i="14"/>
  <c r="F1119" i="14"/>
  <c r="F1120" i="14"/>
  <c r="F1121" i="14"/>
  <c r="F1123" i="14"/>
  <c r="F1124" i="14"/>
  <c r="F1126" i="14"/>
  <c r="F1127" i="14"/>
  <c r="F1128" i="14"/>
  <c r="F1131" i="14"/>
  <c r="F1132" i="14"/>
  <c r="F1133" i="14"/>
  <c r="F1134" i="14"/>
  <c r="F1136" i="14"/>
  <c r="F1137" i="14"/>
  <c r="F1139" i="14"/>
  <c r="F1140" i="14"/>
  <c r="F1141" i="14"/>
  <c r="F1142" i="14"/>
  <c r="F1144" i="14"/>
  <c r="F1145" i="14"/>
  <c r="F1146" i="14"/>
  <c r="F1147" i="14"/>
  <c r="F1149" i="14"/>
  <c r="F1150" i="14"/>
  <c r="F1151" i="14"/>
  <c r="F1153" i="14"/>
  <c r="F1154" i="14"/>
  <c r="F1155" i="14"/>
  <c r="F1156" i="14"/>
  <c r="F1158" i="14"/>
  <c r="F1159" i="14"/>
  <c r="F1160" i="14"/>
  <c r="F1161" i="14"/>
  <c r="F1162" i="14"/>
  <c r="F1163" i="14"/>
  <c r="F1165" i="14"/>
  <c r="F1166" i="14"/>
  <c r="F1167" i="14"/>
  <c r="F1168" i="14"/>
  <c r="F1169" i="14"/>
  <c r="F1170" i="14"/>
  <c r="F1172" i="14"/>
  <c r="F1173" i="14"/>
  <c r="F1175" i="14"/>
  <c r="F1176" i="14"/>
  <c r="F1177" i="14"/>
  <c r="F1181" i="14"/>
  <c r="F1184" i="14"/>
  <c r="F1185" i="14"/>
  <c r="F1186" i="14"/>
  <c r="F1188" i="14"/>
  <c r="F1189" i="14"/>
  <c r="F1191" i="14"/>
  <c r="F1192" i="14"/>
  <c r="F1193" i="14"/>
  <c r="F1195" i="14"/>
  <c r="F1196" i="14"/>
  <c r="F1197" i="14"/>
  <c r="F1198" i="14"/>
  <c r="F1199" i="14"/>
  <c r="F1200" i="14"/>
  <c r="F1201" i="14"/>
  <c r="F1203" i="14"/>
  <c r="F1204" i="14"/>
  <c r="F1206" i="14"/>
  <c r="F1207" i="14"/>
  <c r="F1209" i="14"/>
  <c r="F1210" i="14"/>
  <c r="F1212" i="14"/>
  <c r="F1213" i="14"/>
  <c r="F1214" i="14"/>
  <c r="F1215" i="14"/>
  <c r="F1216" i="14"/>
  <c r="F1218" i="14"/>
  <c r="F1219" i="14"/>
  <c r="F1220" i="14"/>
  <c r="F1221" i="14"/>
  <c r="F1222" i="14"/>
  <c r="F1224" i="14"/>
  <c r="F1225" i="14"/>
  <c r="F1226" i="14"/>
  <c r="F1228" i="14"/>
  <c r="F1229" i="14"/>
  <c r="F1230" i="14"/>
  <c r="F1232" i="14"/>
  <c r="F1234" i="14"/>
  <c r="F1237" i="14"/>
  <c r="F1238" i="14"/>
  <c r="F1240" i="14"/>
  <c r="F1241" i="14"/>
  <c r="F1242" i="14"/>
  <c r="F1243" i="14"/>
  <c r="F1245" i="14"/>
  <c r="F1247" i="14"/>
  <c r="F1248" i="14"/>
  <c r="F1252" i="14"/>
  <c r="F1253" i="14"/>
  <c r="F1254" i="14"/>
  <c r="F1256" i="14"/>
  <c r="F1258" i="14"/>
  <c r="F1261" i="14"/>
  <c r="F1262" i="14"/>
  <c r="F1263" i="14"/>
  <c r="F1264" i="14"/>
  <c r="F1265" i="14"/>
  <c r="F1267" i="14"/>
  <c r="F1268" i="14"/>
  <c r="F1269" i="14"/>
  <c r="F1270" i="14"/>
  <c r="F1271" i="14"/>
  <c r="F1272" i="14"/>
  <c r="F1275" i="14"/>
  <c r="F1276" i="14"/>
  <c r="F1278" i="14"/>
  <c r="F1280" i="14"/>
  <c r="F1281" i="14"/>
  <c r="F1283" i="14"/>
  <c r="F1284" i="14"/>
  <c r="F1285" i="14"/>
  <c r="F1286" i="14"/>
  <c r="F1289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3" i="14"/>
  <c r="F1304" i="14"/>
  <c r="F1305" i="14"/>
  <c r="F1306" i="14"/>
  <c r="F1307" i="14"/>
  <c r="F1308" i="14"/>
  <c r="F1310" i="14"/>
  <c r="F1313" i="14"/>
  <c r="F1315" i="14"/>
  <c r="F1316" i="14"/>
  <c r="F1317" i="14"/>
  <c r="F1319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50" i="14"/>
  <c r="F1351" i="14"/>
  <c r="F1353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6" i="14"/>
  <c r="F1387" i="14"/>
  <c r="F1388" i="14"/>
  <c r="F1389" i="14"/>
  <c r="F1391" i="14"/>
  <c r="F1392" i="14"/>
  <c r="F1393" i="14"/>
  <c r="F1395" i="14"/>
  <c r="F1396" i="14"/>
  <c r="F1398" i="14"/>
  <c r="F1399" i="14"/>
  <c r="F1400" i="14"/>
  <c r="F1402" i="14"/>
  <c r="F1403" i="14"/>
  <c r="F1404" i="14"/>
  <c r="F1405" i="14"/>
  <c r="F1406" i="14"/>
  <c r="F1407" i="14"/>
  <c r="F1408" i="14"/>
  <c r="F1410" i="14"/>
  <c r="F1411" i="14"/>
  <c r="F1412" i="14"/>
  <c r="F1413" i="14"/>
  <c r="F1414" i="14"/>
  <c r="F1416" i="14"/>
  <c r="F1417" i="14"/>
  <c r="F1418" i="14"/>
  <c r="F1419" i="14"/>
  <c r="F1420" i="14"/>
  <c r="F1421" i="14"/>
  <c r="F1422" i="14"/>
  <c r="F1424" i="14"/>
  <c r="F1426" i="14"/>
  <c r="F1427" i="14"/>
  <c r="F1428" i="14"/>
  <c r="F1431" i="14"/>
  <c r="F1432" i="14"/>
  <c r="F1433" i="14"/>
  <c r="F1434" i="14"/>
  <c r="F1435" i="14"/>
  <c r="F1436" i="14"/>
  <c r="F1437" i="14"/>
  <c r="F1438" i="14"/>
  <c r="F1439" i="14"/>
  <c r="F1440" i="14"/>
  <c r="F1442" i="14"/>
  <c r="F1443" i="14"/>
  <c r="F1444" i="14"/>
  <c r="F1447" i="14"/>
  <c r="F1448" i="14"/>
  <c r="F1449" i="14"/>
  <c r="F1452" i="14"/>
  <c r="F1453" i="14"/>
  <c r="F1454" i="14"/>
  <c r="F1455" i="14"/>
  <c r="F1456" i="14"/>
  <c r="F1457" i="14"/>
  <c r="F1458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3" i="14"/>
  <c r="F1474" i="14"/>
  <c r="F1475" i="14"/>
  <c r="F1476" i="14"/>
  <c r="F1477" i="14"/>
  <c r="F1478" i="14"/>
  <c r="F1479" i="14"/>
  <c r="F1480" i="14"/>
  <c r="F1481" i="14"/>
  <c r="F1483" i="14"/>
  <c r="F1484" i="14"/>
  <c r="F1485" i="14"/>
  <c r="F1486" i="14"/>
  <c r="F1487" i="14"/>
  <c r="F1488" i="14"/>
  <c r="F1489" i="14"/>
  <c r="F1492" i="14"/>
  <c r="F1493" i="14"/>
  <c r="F1495" i="14"/>
  <c r="F1496" i="14"/>
  <c r="F1497" i="14"/>
  <c r="F1498" i="14"/>
  <c r="F1499" i="14"/>
  <c r="F1501" i="14"/>
  <c r="F1502" i="14"/>
  <c r="F1503" i="14"/>
  <c r="F1504" i="14"/>
  <c r="F1505" i="14"/>
  <c r="F1506" i="14"/>
  <c r="F1508" i="14"/>
  <c r="F1509" i="14"/>
  <c r="F1510" i="14"/>
  <c r="F1511" i="14"/>
  <c r="F1512" i="14"/>
  <c r="F1513" i="14"/>
  <c r="F1515" i="14"/>
  <c r="F1516" i="14"/>
  <c r="F1517" i="14"/>
  <c r="F1518" i="14"/>
  <c r="F1519" i="14"/>
  <c r="F1520" i="14"/>
  <c r="F1521" i="14"/>
  <c r="F1523" i="14"/>
  <c r="F1525" i="14"/>
  <c r="F1526" i="14"/>
  <c r="F1527" i="14"/>
  <c r="F1528" i="14"/>
  <c r="F1529" i="14"/>
  <c r="F1530" i="14"/>
  <c r="F1531" i="14"/>
  <c r="F1534" i="14"/>
  <c r="F1537" i="14"/>
  <c r="F1538" i="14"/>
  <c r="F1541" i="14"/>
  <c r="F1542" i="14"/>
  <c r="F1543" i="14"/>
  <c r="F1545" i="14"/>
  <c r="F1546" i="14"/>
  <c r="F1547" i="14"/>
  <c r="F1548" i="14"/>
  <c r="F1549" i="14"/>
  <c r="F1550" i="14"/>
  <c r="F1551" i="14"/>
  <c r="F1553" i="14"/>
  <c r="F1555" i="14"/>
  <c r="F1556" i="14"/>
  <c r="F1558" i="14"/>
  <c r="F1559" i="14"/>
  <c r="F1561" i="14"/>
  <c r="F1562" i="14"/>
  <c r="F1563" i="14"/>
  <c r="F1565" i="14"/>
  <c r="F1566" i="14"/>
  <c r="F1567" i="14"/>
  <c r="F1569" i="14"/>
  <c r="F1571" i="14"/>
  <c r="F1572" i="14"/>
  <c r="F1573" i="14"/>
  <c r="F1575" i="14"/>
  <c r="F1576" i="14"/>
  <c r="F1577" i="14"/>
  <c r="F1578" i="14"/>
  <c r="F1579" i="14"/>
  <c r="F1580" i="14"/>
  <c r="F1581" i="14"/>
  <c r="F1582" i="14"/>
  <c r="F1585" i="14"/>
  <c r="F1587" i="14"/>
  <c r="F1588" i="14"/>
  <c r="F1589" i="14"/>
  <c r="F1590" i="14"/>
  <c r="F1591" i="14"/>
  <c r="F1592" i="14"/>
  <c r="F1593" i="14"/>
  <c r="F1594" i="14"/>
  <c r="F1596" i="14"/>
  <c r="F1597" i="14"/>
  <c r="F1599" i="14"/>
  <c r="F1600" i="14"/>
  <c r="F1601" i="14"/>
  <c r="F1602" i="14"/>
  <c r="F1604" i="14"/>
  <c r="F1606" i="14"/>
  <c r="F1607" i="14"/>
  <c r="F1608" i="14"/>
  <c r="F1609" i="14"/>
  <c r="F1611" i="14"/>
  <c r="F1612" i="14"/>
  <c r="F1613" i="14"/>
  <c r="F1614" i="14"/>
  <c r="F1615" i="14"/>
  <c r="F1616" i="14"/>
  <c r="F1617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2" i="14"/>
  <c r="F1633" i="14"/>
  <c r="F1635" i="14"/>
  <c r="F1636" i="14"/>
  <c r="F1637" i="14"/>
  <c r="F1638" i="14"/>
  <c r="F1639" i="14"/>
  <c r="F1640" i="14"/>
  <c r="F1641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5" i="14"/>
  <c r="F1657" i="14"/>
  <c r="F1659" i="14"/>
  <c r="F1660" i="14"/>
  <c r="F1665" i="14"/>
  <c r="F1667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7" i="14"/>
  <c r="F1698" i="14"/>
  <c r="F1699" i="14"/>
  <c r="F1700" i="14"/>
  <c r="F1701" i="14"/>
  <c r="F1702" i="14"/>
  <c r="F1703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2" i="14"/>
  <c r="F1753" i="14"/>
  <c r="F1754" i="14"/>
  <c r="F1755" i="14"/>
  <c r="F1756" i="14"/>
  <c r="F1757" i="14"/>
  <c r="F1758" i="14"/>
  <c r="F1760" i="14"/>
  <c r="F1761" i="14"/>
  <c r="F1762" i="14"/>
  <c r="F1763" i="14"/>
  <c r="F1764" i="14"/>
  <c r="F1766" i="14"/>
  <c r="F1767" i="14"/>
  <c r="F1768" i="14"/>
  <c r="F1769" i="14"/>
  <c r="F1770" i="14"/>
  <c r="F1771" i="14"/>
  <c r="F1772" i="14"/>
  <c r="F1773" i="14"/>
  <c r="F1775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800" i="14"/>
  <c r="F1801" i="14"/>
  <c r="F1802" i="14"/>
  <c r="F1803" i="14"/>
  <c r="F1804" i="14"/>
  <c r="F1805" i="14"/>
  <c r="F1807" i="14"/>
  <c r="F1808" i="14"/>
  <c r="F1809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4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8" i="14"/>
  <c r="F1839" i="14"/>
  <c r="F1840" i="14"/>
  <c r="F1841" i="14"/>
  <c r="F1842" i="14"/>
  <c r="F1843" i="14"/>
  <c r="F1844" i="14"/>
  <c r="F1845" i="14"/>
  <c r="F1847" i="14"/>
  <c r="F1848" i="14"/>
  <c r="F1851" i="14"/>
  <c r="F1852" i="14"/>
  <c r="F1853" i="14"/>
  <c r="F1854" i="14"/>
  <c r="F1856" i="14"/>
  <c r="F1858" i="14"/>
  <c r="F1859" i="14"/>
  <c r="F1860" i="14"/>
  <c r="F1861" i="14"/>
  <c r="F1863" i="14"/>
  <c r="F1864" i="14"/>
  <c r="F1865" i="14"/>
  <c r="F1866" i="14"/>
  <c r="F1867" i="14"/>
  <c r="F1868" i="14"/>
  <c r="F1871" i="14"/>
  <c r="F1872" i="14"/>
  <c r="F1873" i="14"/>
  <c r="F1876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1" i="14"/>
  <c r="F1902" i="14"/>
  <c r="F1904" i="14"/>
  <c r="F1906" i="14"/>
  <c r="F1907" i="14"/>
  <c r="F1908" i="14"/>
  <c r="F1909" i="14"/>
  <c r="F1910" i="14"/>
  <c r="F1911" i="14"/>
  <c r="F1912" i="14"/>
  <c r="F1913" i="14"/>
  <c r="F1923" i="14"/>
  <c r="F1924" i="14"/>
  <c r="F1925" i="14"/>
  <c r="F1926" i="14"/>
  <c r="F1927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1" i="14"/>
  <c r="F1943" i="14"/>
  <c r="F1944" i="14"/>
  <c r="F1945" i="14"/>
  <c r="F1946" i="14"/>
  <c r="F1947" i="14"/>
  <c r="F1948" i="14"/>
  <c r="F1949" i="14"/>
  <c r="F1950" i="14"/>
  <c r="F1951" i="14"/>
  <c r="F1952" i="14"/>
  <c r="F1954" i="14"/>
  <c r="F1955" i="14"/>
  <c r="F1956" i="14"/>
  <c r="F1957" i="14"/>
  <c r="F1959" i="14"/>
  <c r="F1960" i="14"/>
  <c r="F1961" i="14"/>
  <c r="F1962" i="14"/>
  <c r="F1963" i="14"/>
  <c r="F1964" i="14"/>
  <c r="F1965" i="14"/>
  <c r="F1966" i="14"/>
  <c r="F1967" i="14"/>
  <c r="F1969" i="14"/>
  <c r="F1970" i="14"/>
  <c r="F1971" i="14"/>
  <c r="F1972" i="14"/>
  <c r="F1973" i="14"/>
  <c r="F1974" i="14"/>
  <c r="F1976" i="14"/>
  <c r="F1977" i="14"/>
  <c r="F1978" i="14"/>
  <c r="F1980" i="14"/>
  <c r="F1981" i="14"/>
  <c r="F1982" i="14"/>
  <c r="F1983" i="14"/>
  <c r="F1984" i="14"/>
  <c r="F1985" i="14"/>
  <c r="F1988" i="14"/>
  <c r="F1990" i="14"/>
  <c r="F1991" i="14"/>
  <c r="F1992" i="14"/>
  <c r="F1993" i="14"/>
  <c r="F1994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9" i="14"/>
  <c r="F2030" i="14"/>
  <c r="F2031" i="14"/>
  <c r="F2032" i="14"/>
  <c r="F2034" i="14"/>
  <c r="F2036" i="14"/>
  <c r="F2038" i="14"/>
  <c r="F2042" i="14"/>
  <c r="F2044" i="14"/>
  <c r="F2046" i="14"/>
  <c r="F2048" i="14"/>
  <c r="F2049" i="14"/>
  <c r="F2050" i="14"/>
  <c r="F2051" i="14"/>
  <c r="F2052" i="14"/>
  <c r="F2053" i="14"/>
  <c r="F2054" i="14"/>
  <c r="F2055" i="14"/>
  <c r="F2056" i="14"/>
  <c r="F2057" i="14"/>
  <c r="F2062" i="14"/>
  <c r="F2063" i="14"/>
  <c r="F2064" i="14"/>
  <c r="F2065" i="14"/>
  <c r="F2066" i="14"/>
  <c r="F2067" i="14"/>
  <c r="F2069" i="14"/>
  <c r="F2072" i="14"/>
  <c r="F2074" i="14"/>
  <c r="F2075" i="14"/>
  <c r="F2076" i="14"/>
  <c r="F2078" i="14"/>
  <c r="F2079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7" i="14"/>
  <c r="F2098" i="14"/>
  <c r="F2100" i="14"/>
  <c r="F2102" i="14"/>
  <c r="F2104" i="14"/>
  <c r="F2105" i="14"/>
  <c r="F2106" i="14"/>
  <c r="F2107" i="14"/>
  <c r="F2111" i="14"/>
  <c r="F2112" i="14"/>
  <c r="F2113" i="14"/>
  <c r="F2114" i="14"/>
  <c r="F2115" i="14"/>
  <c r="F2116" i="14"/>
  <c r="F2117" i="14"/>
  <c r="F2119" i="14"/>
  <c r="F2120" i="14"/>
  <c r="F2124" i="14"/>
  <c r="F2125" i="14"/>
  <c r="F2126" i="14"/>
  <c r="F2129" i="14"/>
  <c r="F2130" i="14"/>
  <c r="F2132" i="14"/>
  <c r="F2133" i="14"/>
  <c r="F2134" i="14"/>
  <c r="F2135" i="14"/>
  <c r="F2136" i="14"/>
  <c r="F2138" i="14"/>
  <c r="F2139" i="14"/>
  <c r="F2140" i="14"/>
  <c r="F2142" i="14"/>
  <c r="F2143" i="14"/>
  <c r="F2144" i="14"/>
  <c r="F2145" i="14"/>
  <c r="F2146" i="14"/>
  <c r="F2147" i="14"/>
  <c r="F2148" i="14"/>
  <c r="F2149" i="14"/>
  <c r="F2151" i="14"/>
  <c r="F2152" i="14"/>
  <c r="F2153" i="14"/>
  <c r="F2154" i="14"/>
  <c r="F2156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2" i="14"/>
  <c r="F2173" i="14"/>
  <c r="F2174" i="14"/>
  <c r="F2175" i="14"/>
  <c r="F2178" i="14"/>
  <c r="F2179" i="14"/>
  <c r="F2180" i="14"/>
  <c r="F2181" i="14"/>
  <c r="F2182" i="14"/>
  <c r="F2183" i="14"/>
  <c r="F2184" i="14"/>
  <c r="F2185" i="14"/>
  <c r="F2186" i="14"/>
  <c r="F2188" i="14"/>
  <c r="F2189" i="14"/>
  <c r="F2190" i="14"/>
  <c r="F2191" i="14"/>
  <c r="F2192" i="14"/>
  <c r="F2193" i="14"/>
  <c r="F2199" i="14"/>
  <c r="F2200" i="14"/>
  <c r="F2201" i="14"/>
  <c r="F2202" i="14"/>
  <c r="F2204" i="14"/>
  <c r="F2205" i="14"/>
  <c r="F2206" i="14"/>
  <c r="F2207" i="14"/>
  <c r="F2208" i="14"/>
  <c r="F2209" i="14"/>
  <c r="F2210" i="14"/>
  <c r="F2211" i="14"/>
  <c r="F2212" i="14"/>
  <c r="F2214" i="14"/>
  <c r="F2215" i="14"/>
  <c r="F2216" i="14"/>
  <c r="F2218" i="14"/>
  <c r="F2219" i="14"/>
  <c r="L674" i="14"/>
  <c r="L654" i="14"/>
  <c r="L635" i="14"/>
  <c r="L610" i="14"/>
  <c r="L600" i="14"/>
  <c r="L576" i="14"/>
  <c r="L552" i="14"/>
  <c r="L522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7" i="14"/>
  <c r="L492" i="14"/>
  <c r="L493" i="14"/>
  <c r="L472" i="14"/>
  <c r="L442" i="14"/>
  <c r="L402" i="14"/>
  <c r="L403" i="14"/>
  <c r="L404" i="14"/>
  <c r="L405" i="14"/>
  <c r="L406" i="14"/>
  <c r="L418" i="14"/>
  <c r="L396" i="14"/>
  <c r="L372" i="14"/>
  <c r="L350" i="14"/>
  <c r="L331" i="14"/>
  <c r="L329" i="14" a="1"/>
  <c r="L329" i="14"/>
  <c r="L327" i="14"/>
  <c r="L321" i="14"/>
  <c r="L323" i="14"/>
  <c r="L293" i="14"/>
  <c r="L294" i="14"/>
  <c r="L295" i="14"/>
  <c r="L296" i="14"/>
  <c r="L297" i="14"/>
  <c r="L298" i="14"/>
  <c r="L299" i="14"/>
  <c r="L300" i="14"/>
  <c r="L301" i="14"/>
  <c r="L309" i="14"/>
  <c r="L302" i="14"/>
  <c r="L271" i="14"/>
  <c r="L272" i="14"/>
  <c r="L273" i="14"/>
  <c r="L274" i="14"/>
  <c r="L275" i="14"/>
  <c r="L276" i="14"/>
  <c r="L277" i="14"/>
  <c r="L278" i="14"/>
  <c r="L279" i="14"/>
  <c r="L280" i="14"/>
  <c r="L281" i="14"/>
  <c r="L287" i="14"/>
  <c r="L282" i="14"/>
  <c r="L249" i="14"/>
  <c r="L250" i="14"/>
  <c r="L251" i="14"/>
  <c r="L252" i="14"/>
  <c r="L253" i="14"/>
  <c r="L254" i="14"/>
  <c r="L255" i="14"/>
  <c r="L256" i="14"/>
  <c r="L257" i="14"/>
  <c r="L258" i="14"/>
  <c r="L259" i="14"/>
  <c r="L265" i="14"/>
  <c r="L260" i="14"/>
  <c r="L261" i="14"/>
  <c r="L243" i="14"/>
  <c r="L219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5" i="14"/>
  <c r="L160" i="14"/>
  <c r="L161" i="14"/>
  <c r="L162" i="14"/>
  <c r="L163" i="14"/>
  <c r="L164" i="14"/>
  <c r="L165" i="14"/>
  <c r="L173" i="14"/>
  <c r="L166" i="14"/>
  <c r="L167" i="14"/>
  <c r="L168" i="14"/>
  <c r="L169" i="14"/>
  <c r="L170" i="14"/>
  <c r="L171" i="14"/>
  <c r="L154" i="14"/>
  <c r="L122" i="14"/>
  <c r="L123" i="14"/>
  <c r="L124" i="14"/>
  <c r="L125" i="14"/>
  <c r="L126" i="14"/>
  <c r="L135" i="14"/>
  <c r="L103" i="14"/>
  <c r="L104" i="14"/>
  <c r="L105" i="14"/>
  <c r="L106" i="14"/>
  <c r="L107" i="14"/>
  <c r="L108" i="14"/>
  <c r="L109" i="14"/>
  <c r="L110" i="14"/>
  <c r="L116" i="14"/>
  <c r="L111" i="14"/>
  <c r="L112" i="14"/>
  <c r="L113" i="14"/>
  <c r="L97" i="14"/>
  <c r="K66" i="14"/>
  <c r="AX65" i="14"/>
  <c r="AW65" i="14"/>
  <c r="AV65" i="14"/>
  <c r="AS65" i="14"/>
  <c r="AR65" i="14"/>
  <c r="AQ65" i="14"/>
  <c r="AP65" i="14"/>
  <c r="AO65" i="14"/>
  <c r="AN65" i="14"/>
  <c r="AL65" i="14"/>
  <c r="AJ65" i="14"/>
  <c r="AI65" i="14"/>
  <c r="AH65" i="14"/>
  <c r="AG65" i="14"/>
  <c r="AE65" i="14"/>
  <c r="AD65" i="14"/>
  <c r="AC65" i="14"/>
  <c r="Z65" i="14"/>
  <c r="AX64" i="14"/>
  <c r="AW64" i="14"/>
  <c r="AV64" i="14"/>
  <c r="AS64" i="14"/>
  <c r="AR64" i="14"/>
  <c r="AQ64" i="14"/>
  <c r="AP64" i="14"/>
  <c r="AO64" i="14"/>
  <c r="AN64" i="14"/>
  <c r="AL64" i="14"/>
  <c r="AJ64" i="14"/>
  <c r="AI64" i="14"/>
  <c r="AH64" i="14"/>
  <c r="AG64" i="14"/>
  <c r="AE64" i="14"/>
  <c r="AD64" i="14"/>
  <c r="AC64" i="14"/>
  <c r="Z64" i="14"/>
  <c r="AX63" i="14"/>
  <c r="AW63" i="14"/>
  <c r="AV63" i="14"/>
  <c r="AS63" i="14"/>
  <c r="AR63" i="14"/>
  <c r="AQ63" i="14"/>
  <c r="AP63" i="14"/>
  <c r="AO63" i="14"/>
  <c r="AN63" i="14"/>
  <c r="AL63" i="14"/>
  <c r="AJ63" i="14"/>
  <c r="AI63" i="14"/>
  <c r="AH63" i="14"/>
  <c r="AG63" i="14"/>
  <c r="AE63" i="14"/>
  <c r="AD63" i="14"/>
  <c r="AC63" i="14"/>
  <c r="Z63" i="14"/>
  <c r="AX62" i="14"/>
  <c r="AW62" i="14"/>
  <c r="AV62" i="14"/>
  <c r="AS62" i="14"/>
  <c r="AR62" i="14"/>
  <c r="AQ62" i="14"/>
  <c r="AP62" i="14"/>
  <c r="AO62" i="14"/>
  <c r="AN62" i="14"/>
  <c r="AL62" i="14"/>
  <c r="AJ62" i="14"/>
  <c r="AI62" i="14"/>
  <c r="AH62" i="14"/>
  <c r="AG62" i="14"/>
  <c r="AE62" i="14"/>
  <c r="AD62" i="14"/>
  <c r="AC62" i="14"/>
  <c r="Z62" i="14"/>
  <c r="AX61" i="14"/>
  <c r="AW61" i="14"/>
  <c r="AV61" i="14"/>
  <c r="AS61" i="14"/>
  <c r="AR61" i="14"/>
  <c r="AQ61" i="14"/>
  <c r="AP61" i="14"/>
  <c r="AO61" i="14"/>
  <c r="AN61" i="14"/>
  <c r="AL61" i="14"/>
  <c r="AJ61" i="14"/>
  <c r="AI61" i="14"/>
  <c r="AH61" i="14"/>
  <c r="AG61" i="14"/>
  <c r="AE61" i="14"/>
  <c r="AD61" i="14"/>
  <c r="AC61" i="14"/>
  <c r="Z61" i="14"/>
  <c r="AX60" i="14"/>
  <c r="AW60" i="14"/>
  <c r="AV60" i="14"/>
  <c r="AS60" i="14"/>
  <c r="AR60" i="14"/>
  <c r="AQ60" i="14"/>
  <c r="AP60" i="14"/>
  <c r="AO60" i="14"/>
  <c r="AN60" i="14"/>
  <c r="AL60" i="14"/>
  <c r="AJ60" i="14"/>
  <c r="AI60" i="14"/>
  <c r="AH60" i="14"/>
  <c r="AG60" i="14"/>
  <c r="AE60" i="14"/>
  <c r="AD60" i="14"/>
  <c r="AC60" i="14"/>
  <c r="Z60" i="14"/>
  <c r="AX59" i="14"/>
  <c r="AW59" i="14"/>
  <c r="AV59" i="14"/>
  <c r="AS59" i="14"/>
  <c r="AR59" i="14"/>
  <c r="AQ59" i="14"/>
  <c r="AP59" i="14"/>
  <c r="AO59" i="14"/>
  <c r="AN59" i="14"/>
  <c r="AL59" i="14"/>
  <c r="AJ59" i="14"/>
  <c r="AI59" i="14"/>
  <c r="AH59" i="14"/>
  <c r="AG59" i="14"/>
  <c r="AE59" i="14"/>
  <c r="AD59" i="14"/>
  <c r="AC59" i="14"/>
  <c r="Z59" i="14"/>
  <c r="AX58" i="14"/>
  <c r="AW58" i="14"/>
  <c r="AV58" i="14"/>
  <c r="AS58" i="14"/>
  <c r="AR58" i="14"/>
  <c r="AQ58" i="14"/>
  <c r="AP58" i="14"/>
  <c r="AO58" i="14"/>
  <c r="AN58" i="14"/>
  <c r="AL58" i="14"/>
  <c r="AJ58" i="14"/>
  <c r="AI58" i="14"/>
  <c r="AH58" i="14"/>
  <c r="AG58" i="14"/>
  <c r="AE58" i="14"/>
  <c r="AD58" i="14"/>
  <c r="AC58" i="14"/>
  <c r="Z58" i="14"/>
  <c r="AX57" i="14"/>
  <c r="AW57" i="14"/>
  <c r="AV57" i="14"/>
  <c r="AS57" i="14"/>
  <c r="AR57" i="14"/>
  <c r="AQ57" i="14"/>
  <c r="AP57" i="14"/>
  <c r="AO57" i="14"/>
  <c r="AN57" i="14"/>
  <c r="AL57" i="14"/>
  <c r="AJ57" i="14"/>
  <c r="AI57" i="14"/>
  <c r="AH57" i="14"/>
  <c r="AG57" i="14"/>
  <c r="AE57" i="14"/>
  <c r="AD57" i="14"/>
  <c r="AC57" i="14"/>
  <c r="Z57" i="14"/>
  <c r="AX56" i="14"/>
  <c r="AW56" i="14"/>
  <c r="AV56" i="14"/>
  <c r="AS56" i="14"/>
  <c r="AR56" i="14"/>
  <c r="AQ56" i="14"/>
  <c r="AP56" i="14"/>
  <c r="AO56" i="14"/>
  <c r="AN56" i="14"/>
  <c r="AL56" i="14"/>
  <c r="AJ56" i="14"/>
  <c r="AI56" i="14"/>
  <c r="AH56" i="14"/>
  <c r="AG56" i="14"/>
  <c r="AE56" i="14"/>
  <c r="AD56" i="14"/>
  <c r="AC56" i="14"/>
  <c r="Z56" i="14"/>
  <c r="AX55" i="14"/>
  <c r="AW55" i="14"/>
  <c r="AV55" i="14"/>
  <c r="AS55" i="14"/>
  <c r="AR55" i="14"/>
  <c r="AQ55" i="14"/>
  <c r="AP55" i="14"/>
  <c r="AO55" i="14"/>
  <c r="AN55" i="14"/>
  <c r="AL55" i="14"/>
  <c r="AJ55" i="14"/>
  <c r="AI55" i="14"/>
  <c r="AH55" i="14"/>
  <c r="AG55" i="14"/>
  <c r="AE55" i="14"/>
  <c r="AD55" i="14"/>
  <c r="AC55" i="14"/>
  <c r="Z55" i="14"/>
  <c r="AX54" i="14"/>
  <c r="AW54" i="14"/>
  <c r="AV54" i="14"/>
  <c r="AS54" i="14"/>
  <c r="AR54" i="14"/>
  <c r="AQ54" i="14"/>
  <c r="AP54" i="14"/>
  <c r="AO54" i="14"/>
  <c r="AN54" i="14"/>
  <c r="AL54" i="14"/>
  <c r="AJ54" i="14"/>
  <c r="AI54" i="14"/>
  <c r="AH54" i="14"/>
  <c r="AG54" i="14"/>
  <c r="AE54" i="14"/>
  <c r="AD54" i="14"/>
  <c r="AC54" i="14"/>
  <c r="Z54" i="14"/>
  <c r="AX53" i="14"/>
  <c r="AW53" i="14"/>
  <c r="AV53" i="14"/>
  <c r="AS53" i="14"/>
  <c r="AR53" i="14"/>
  <c r="AQ53" i="14"/>
  <c r="AP53" i="14"/>
  <c r="AO53" i="14"/>
  <c r="AN53" i="14"/>
  <c r="AL53" i="14"/>
  <c r="AJ53" i="14"/>
  <c r="AI53" i="14"/>
  <c r="AH53" i="14"/>
  <c r="AG53" i="14"/>
  <c r="AE53" i="14"/>
  <c r="AD53" i="14"/>
  <c r="AC53" i="14"/>
  <c r="Z53" i="14"/>
  <c r="AX52" i="14"/>
  <c r="AW52" i="14"/>
  <c r="AV52" i="14"/>
  <c r="AS52" i="14"/>
  <c r="AR52" i="14"/>
  <c r="AQ52" i="14"/>
  <c r="AP52" i="14"/>
  <c r="AO52" i="14"/>
  <c r="AN52" i="14"/>
  <c r="AL52" i="14"/>
  <c r="AJ52" i="14"/>
  <c r="AI52" i="14"/>
  <c r="AH52" i="14"/>
  <c r="AG52" i="14"/>
  <c r="AE52" i="14"/>
  <c r="AD52" i="14"/>
  <c r="AC52" i="14"/>
  <c r="Z52" i="14"/>
  <c r="AX51" i="14"/>
  <c r="AW51" i="14"/>
  <c r="AV51" i="14"/>
  <c r="AS51" i="14"/>
  <c r="AR51" i="14"/>
  <c r="AQ51" i="14"/>
  <c r="AP51" i="14"/>
  <c r="AO51" i="14"/>
  <c r="AN51" i="14"/>
  <c r="AL51" i="14"/>
  <c r="AJ51" i="14"/>
  <c r="AI51" i="14"/>
  <c r="AH51" i="14"/>
  <c r="AG51" i="14"/>
  <c r="AE51" i="14"/>
  <c r="AD51" i="14"/>
  <c r="AC51" i="14"/>
  <c r="Z51" i="14"/>
  <c r="AX50" i="14"/>
  <c r="AW50" i="14"/>
  <c r="AV50" i="14"/>
  <c r="AS50" i="14"/>
  <c r="AR50" i="14"/>
  <c r="AQ50" i="14"/>
  <c r="AP50" i="14"/>
  <c r="AO50" i="14"/>
  <c r="AN50" i="14"/>
  <c r="AL50" i="14"/>
  <c r="AJ50" i="14"/>
  <c r="AI50" i="14"/>
  <c r="AH50" i="14"/>
  <c r="AG50" i="14"/>
  <c r="AE50" i="14"/>
  <c r="AD50" i="14"/>
  <c r="AC50" i="14"/>
  <c r="Z50" i="14"/>
  <c r="AX49" i="14"/>
  <c r="AW49" i="14"/>
  <c r="AV49" i="14"/>
  <c r="AS49" i="14"/>
  <c r="AR49" i="14"/>
  <c r="AQ49" i="14"/>
  <c r="AP49" i="14"/>
  <c r="AO49" i="14"/>
  <c r="AN49" i="14"/>
  <c r="AL49" i="14"/>
  <c r="AJ49" i="14"/>
  <c r="AI49" i="14"/>
  <c r="AH49" i="14"/>
  <c r="AG49" i="14"/>
  <c r="AE49" i="14"/>
  <c r="AD49" i="14"/>
  <c r="AC49" i="14"/>
  <c r="Z49" i="14"/>
  <c r="AX48" i="14"/>
  <c r="AW48" i="14"/>
  <c r="AV48" i="14"/>
  <c r="AS48" i="14"/>
  <c r="AR48" i="14"/>
  <c r="AQ48" i="14"/>
  <c r="AP48" i="14"/>
  <c r="AO48" i="14"/>
  <c r="AN48" i="14"/>
  <c r="AL48" i="14"/>
  <c r="AJ48" i="14"/>
  <c r="AI48" i="14"/>
  <c r="AH48" i="14"/>
  <c r="AG48" i="14"/>
  <c r="AE48" i="14"/>
  <c r="AD48" i="14"/>
  <c r="AC48" i="14"/>
  <c r="Z48" i="14"/>
  <c r="AX47" i="14"/>
  <c r="AW47" i="14"/>
  <c r="AV47" i="14"/>
  <c r="AS47" i="14"/>
  <c r="AR47" i="14"/>
  <c r="AQ47" i="14"/>
  <c r="AP47" i="14"/>
  <c r="AO47" i="14"/>
  <c r="AN47" i="14"/>
  <c r="AL47" i="14"/>
  <c r="AJ47" i="14"/>
  <c r="AI47" i="14"/>
  <c r="AH47" i="14"/>
  <c r="AG47" i="14"/>
  <c r="AE47" i="14"/>
  <c r="AD47" i="14"/>
  <c r="AC47" i="14"/>
  <c r="Z47" i="14"/>
  <c r="AX46" i="14"/>
  <c r="AW46" i="14"/>
  <c r="AV46" i="14"/>
  <c r="AS46" i="14"/>
  <c r="AR46" i="14"/>
  <c r="AQ46" i="14"/>
  <c r="AP46" i="14"/>
  <c r="AO46" i="14"/>
  <c r="AN46" i="14"/>
  <c r="AL46" i="14"/>
  <c r="AJ46" i="14"/>
  <c r="AI46" i="14"/>
  <c r="AH46" i="14"/>
  <c r="AG46" i="14"/>
  <c r="AE46" i="14"/>
  <c r="AD46" i="14"/>
  <c r="AC46" i="14"/>
  <c r="Z46" i="14"/>
  <c r="AX45" i="14"/>
  <c r="AW45" i="14"/>
  <c r="AV45" i="14"/>
  <c r="AS45" i="14"/>
  <c r="AR45" i="14"/>
  <c r="AQ45" i="14"/>
  <c r="AP45" i="14"/>
  <c r="AO45" i="14"/>
  <c r="AN45" i="14"/>
  <c r="AL45" i="14"/>
  <c r="AJ45" i="14"/>
  <c r="AI45" i="14"/>
  <c r="AH45" i="14"/>
  <c r="AG45" i="14"/>
  <c r="AE45" i="14"/>
  <c r="AD45" i="14"/>
  <c r="AC45" i="14"/>
  <c r="Z45" i="14"/>
  <c r="AX44" i="14"/>
  <c r="AW44" i="14"/>
  <c r="AV44" i="14"/>
  <c r="AS44" i="14"/>
  <c r="AR44" i="14"/>
  <c r="AQ44" i="14"/>
  <c r="AP44" i="14"/>
  <c r="AO44" i="14"/>
  <c r="AN44" i="14"/>
  <c r="AL44" i="14"/>
  <c r="AJ44" i="14"/>
  <c r="AI44" i="14"/>
  <c r="AH44" i="14"/>
  <c r="AG44" i="14"/>
  <c r="AE44" i="14"/>
  <c r="AD44" i="14"/>
  <c r="AC44" i="14"/>
  <c r="Z44" i="14"/>
  <c r="AX43" i="14"/>
  <c r="AW43" i="14"/>
  <c r="AV43" i="14"/>
  <c r="AS43" i="14"/>
  <c r="AR43" i="14"/>
  <c r="AQ43" i="14"/>
  <c r="AP43" i="14"/>
  <c r="AO43" i="14"/>
  <c r="AN43" i="14"/>
  <c r="AL43" i="14"/>
  <c r="AJ43" i="14"/>
  <c r="AI43" i="14"/>
  <c r="AH43" i="14"/>
  <c r="AG43" i="14"/>
  <c r="AE43" i="14"/>
  <c r="AD43" i="14"/>
  <c r="AC43" i="14"/>
  <c r="Z43" i="14"/>
  <c r="AX42" i="14"/>
  <c r="AW42" i="14"/>
  <c r="AV42" i="14"/>
  <c r="AS42" i="14"/>
  <c r="AR42" i="14"/>
  <c r="AQ42" i="14"/>
  <c r="AP42" i="14"/>
  <c r="AO42" i="14"/>
  <c r="AN42" i="14"/>
  <c r="AL42" i="14"/>
  <c r="AJ42" i="14"/>
  <c r="AI42" i="14"/>
  <c r="AH42" i="14"/>
  <c r="AG42" i="14"/>
  <c r="AE42" i="14"/>
  <c r="AD42" i="14"/>
  <c r="AC42" i="14"/>
  <c r="Z42" i="14"/>
  <c r="AX41" i="14"/>
  <c r="AW41" i="14"/>
  <c r="AV41" i="14"/>
  <c r="AS41" i="14"/>
  <c r="AR41" i="14"/>
  <c r="AQ41" i="14"/>
  <c r="AP41" i="14"/>
  <c r="AO41" i="14"/>
  <c r="AN41" i="14"/>
  <c r="AL41" i="14"/>
  <c r="AJ41" i="14"/>
  <c r="AI41" i="14"/>
  <c r="AH41" i="14"/>
  <c r="AG41" i="14"/>
  <c r="AE41" i="14"/>
  <c r="AD41" i="14"/>
  <c r="AC41" i="14"/>
  <c r="Z41" i="14"/>
  <c r="AX40" i="14"/>
  <c r="AW40" i="14"/>
  <c r="AV40" i="14"/>
  <c r="AS40" i="14"/>
  <c r="AR40" i="14"/>
  <c r="AQ40" i="14"/>
  <c r="AP40" i="14"/>
  <c r="AO40" i="14"/>
  <c r="AN40" i="14"/>
  <c r="AL40" i="14"/>
  <c r="AJ40" i="14"/>
  <c r="AI40" i="14"/>
  <c r="AH40" i="14"/>
  <c r="AG40" i="14"/>
  <c r="AE40" i="14"/>
  <c r="AD40" i="14"/>
  <c r="AC40" i="14"/>
  <c r="Z40" i="14"/>
  <c r="AX39" i="14"/>
  <c r="AW39" i="14"/>
  <c r="AV39" i="14"/>
  <c r="AS39" i="14"/>
  <c r="AR39" i="14"/>
  <c r="AQ39" i="14"/>
  <c r="AP39" i="14"/>
  <c r="AO39" i="14"/>
  <c r="AN39" i="14"/>
  <c r="AL39" i="14"/>
  <c r="AJ39" i="14"/>
  <c r="AI39" i="14"/>
  <c r="AH39" i="14"/>
  <c r="AG39" i="14"/>
  <c r="AE39" i="14"/>
  <c r="AD39" i="14"/>
  <c r="AC39" i="14"/>
  <c r="Z39" i="14"/>
  <c r="AX38" i="14"/>
  <c r="AW38" i="14"/>
  <c r="AV38" i="14"/>
  <c r="AS38" i="14"/>
  <c r="AR38" i="14"/>
  <c r="AQ38" i="14"/>
  <c r="AP38" i="14"/>
  <c r="AO38" i="14"/>
  <c r="AN38" i="14"/>
  <c r="AL38" i="14"/>
  <c r="AJ38" i="14"/>
  <c r="AI38" i="14"/>
  <c r="AH38" i="14"/>
  <c r="AG38" i="14"/>
  <c r="AE38" i="14"/>
  <c r="AD38" i="14"/>
  <c r="AC38" i="14"/>
  <c r="Z38" i="14"/>
  <c r="AX37" i="14"/>
  <c r="AW37" i="14"/>
  <c r="AV37" i="14"/>
  <c r="AS37" i="14"/>
  <c r="AR37" i="14"/>
  <c r="AQ37" i="14"/>
  <c r="AP37" i="14"/>
  <c r="AO37" i="14"/>
  <c r="AN37" i="14"/>
  <c r="AL37" i="14"/>
  <c r="AJ37" i="14"/>
  <c r="AI37" i="14"/>
  <c r="AH37" i="14"/>
  <c r="AG37" i="14"/>
  <c r="AE37" i="14"/>
  <c r="AD37" i="14"/>
  <c r="AC37" i="14"/>
  <c r="Z37" i="14"/>
  <c r="AX36" i="14"/>
  <c r="AW36" i="14"/>
  <c r="AV36" i="14"/>
  <c r="AS36" i="14"/>
  <c r="AR36" i="14"/>
  <c r="AQ36" i="14"/>
  <c r="AP36" i="14"/>
  <c r="AO36" i="14"/>
  <c r="AN36" i="14"/>
  <c r="AL36" i="14"/>
  <c r="AJ36" i="14"/>
  <c r="AI36" i="14"/>
  <c r="AH36" i="14"/>
  <c r="AG36" i="14"/>
  <c r="AE36" i="14"/>
  <c r="AD36" i="14"/>
  <c r="AC36" i="14"/>
  <c r="Z36" i="14"/>
  <c r="AX35" i="14"/>
  <c r="AW35" i="14"/>
  <c r="AV35" i="14"/>
  <c r="AS35" i="14"/>
  <c r="AR35" i="14"/>
  <c r="AQ35" i="14"/>
  <c r="AP35" i="14"/>
  <c r="AO35" i="14"/>
  <c r="AN35" i="14"/>
  <c r="AL35" i="14"/>
  <c r="AJ35" i="14"/>
  <c r="AI35" i="14"/>
  <c r="AH35" i="14"/>
  <c r="AG35" i="14"/>
  <c r="AE35" i="14"/>
  <c r="AD35" i="14"/>
  <c r="AC35" i="14"/>
  <c r="Z35" i="14"/>
  <c r="AX34" i="14"/>
  <c r="AW34" i="14"/>
  <c r="AV34" i="14"/>
  <c r="AS34" i="14"/>
  <c r="AR34" i="14"/>
  <c r="AQ34" i="14"/>
  <c r="AP34" i="14"/>
  <c r="AO34" i="14"/>
  <c r="AN34" i="14"/>
  <c r="AL34" i="14"/>
  <c r="AJ34" i="14"/>
  <c r="AI34" i="14"/>
  <c r="AH34" i="14"/>
  <c r="AG34" i="14"/>
  <c r="AE34" i="14"/>
  <c r="AD34" i="14"/>
  <c r="AC34" i="14"/>
  <c r="Z34" i="14"/>
  <c r="AX33" i="14"/>
  <c r="AW33" i="14"/>
  <c r="AV33" i="14"/>
  <c r="AS33" i="14"/>
  <c r="AR33" i="14"/>
  <c r="AQ33" i="14"/>
  <c r="AP33" i="14"/>
  <c r="AO33" i="14"/>
  <c r="AN33" i="14"/>
  <c r="AL33" i="14"/>
  <c r="AJ33" i="14"/>
  <c r="AI33" i="14"/>
  <c r="AH33" i="14"/>
  <c r="AG33" i="14"/>
  <c r="AE33" i="14"/>
  <c r="AD33" i="14"/>
  <c r="AC33" i="14"/>
  <c r="Z33" i="14"/>
  <c r="AX32" i="14"/>
  <c r="AW32" i="14"/>
  <c r="AV32" i="14"/>
  <c r="AS32" i="14"/>
  <c r="AR32" i="14"/>
  <c r="AQ32" i="14"/>
  <c r="AP32" i="14"/>
  <c r="AO32" i="14"/>
  <c r="AN32" i="14"/>
  <c r="AL32" i="14"/>
  <c r="AJ32" i="14"/>
  <c r="AI32" i="14"/>
  <c r="AH32" i="14"/>
  <c r="AG32" i="14"/>
  <c r="AE32" i="14"/>
  <c r="AD32" i="14"/>
  <c r="AC32" i="14"/>
  <c r="Z32" i="14"/>
  <c r="AX31" i="14"/>
  <c r="AW31" i="14"/>
  <c r="AV31" i="14"/>
  <c r="AS31" i="14"/>
  <c r="AR31" i="14"/>
  <c r="AQ31" i="14"/>
  <c r="AP31" i="14"/>
  <c r="AO31" i="14"/>
  <c r="AN31" i="14"/>
  <c r="AL31" i="14"/>
  <c r="AJ31" i="14"/>
  <c r="AI31" i="14"/>
  <c r="AH31" i="14"/>
  <c r="AG31" i="14"/>
  <c r="AE31" i="14"/>
  <c r="AD31" i="14"/>
  <c r="AC31" i="14"/>
  <c r="Z31" i="14"/>
  <c r="AX30" i="14"/>
  <c r="AW30" i="14"/>
  <c r="AV30" i="14"/>
  <c r="AS30" i="14"/>
  <c r="AR30" i="14"/>
  <c r="AQ30" i="14"/>
  <c r="AP30" i="14"/>
  <c r="AO30" i="14"/>
  <c r="AN30" i="14"/>
  <c r="AL30" i="14"/>
  <c r="AJ30" i="14"/>
  <c r="AI30" i="14"/>
  <c r="AH30" i="14"/>
  <c r="AG30" i="14"/>
  <c r="AE30" i="14"/>
  <c r="AD30" i="14"/>
  <c r="AC30" i="14"/>
  <c r="Z30" i="14"/>
  <c r="AX29" i="14"/>
  <c r="AW29" i="14"/>
  <c r="AV29" i="14"/>
  <c r="AS29" i="14"/>
  <c r="AR29" i="14"/>
  <c r="AQ29" i="14"/>
  <c r="AP29" i="14"/>
  <c r="AO29" i="14"/>
  <c r="AN29" i="14"/>
  <c r="AL29" i="14"/>
  <c r="AJ29" i="14"/>
  <c r="AI29" i="14"/>
  <c r="AH29" i="14"/>
  <c r="AG29" i="14"/>
  <c r="AE29" i="14"/>
  <c r="AD29" i="14"/>
  <c r="AC29" i="14"/>
  <c r="Z29" i="14"/>
  <c r="AX28" i="14"/>
  <c r="AW28" i="14"/>
  <c r="AV28" i="14"/>
  <c r="AS28" i="14"/>
  <c r="AR28" i="14"/>
  <c r="AQ28" i="14"/>
  <c r="AP28" i="14"/>
  <c r="AO28" i="14"/>
  <c r="AN28" i="14"/>
  <c r="AL28" i="14"/>
  <c r="AJ28" i="14"/>
  <c r="AI28" i="14"/>
  <c r="AH28" i="14"/>
  <c r="AG28" i="14"/>
  <c r="AE28" i="14"/>
  <c r="AD28" i="14"/>
  <c r="AC28" i="14"/>
  <c r="Z28" i="14"/>
  <c r="AX27" i="14"/>
  <c r="AW27" i="14"/>
  <c r="AV27" i="14"/>
  <c r="AS27" i="14"/>
  <c r="AR27" i="14"/>
  <c r="AQ27" i="14"/>
  <c r="AP27" i="14"/>
  <c r="AO27" i="14"/>
  <c r="AN27" i="14"/>
  <c r="AL27" i="14"/>
  <c r="AJ27" i="14"/>
  <c r="AI27" i="14"/>
  <c r="AH27" i="14"/>
  <c r="AG27" i="14"/>
  <c r="AE27" i="14"/>
  <c r="AD27" i="14"/>
  <c r="AC27" i="14"/>
  <c r="Z27" i="14"/>
  <c r="C27" i="14"/>
  <c r="AX26" i="14"/>
  <c r="AW26" i="14"/>
  <c r="AV26" i="14"/>
  <c r="AS26" i="14"/>
  <c r="AR26" i="14"/>
  <c r="AQ26" i="14"/>
  <c r="AP26" i="14"/>
  <c r="AO26" i="14"/>
  <c r="AN26" i="14"/>
  <c r="AL26" i="14"/>
  <c r="AJ26" i="14"/>
  <c r="AI26" i="14"/>
  <c r="AH26" i="14"/>
  <c r="AG26" i="14"/>
  <c r="AE26" i="14"/>
  <c r="AD26" i="14"/>
  <c r="AC26" i="14"/>
  <c r="Z26" i="14"/>
  <c r="AX25" i="14"/>
  <c r="AW25" i="14"/>
  <c r="AV25" i="14"/>
  <c r="AS25" i="14"/>
  <c r="AR25" i="14"/>
  <c r="AQ25" i="14"/>
  <c r="AP25" i="14"/>
  <c r="AO25" i="14"/>
  <c r="AN25" i="14"/>
  <c r="AL25" i="14"/>
  <c r="AJ25" i="14"/>
  <c r="AI25" i="14"/>
  <c r="AH25" i="14"/>
  <c r="AG25" i="14"/>
  <c r="AE25" i="14"/>
  <c r="AD25" i="14"/>
  <c r="AC25" i="14"/>
  <c r="Z25" i="14"/>
  <c r="AX24" i="14"/>
  <c r="AW24" i="14"/>
  <c r="AV24" i="14"/>
  <c r="AS24" i="14"/>
  <c r="AR24" i="14"/>
  <c r="AQ24" i="14"/>
  <c r="AP24" i="14"/>
  <c r="AO24" i="14"/>
  <c r="AN24" i="14"/>
  <c r="AL24" i="14"/>
  <c r="AJ24" i="14"/>
  <c r="AI24" i="14"/>
  <c r="AH24" i="14"/>
  <c r="AG24" i="14"/>
  <c r="AE24" i="14"/>
  <c r="AD24" i="14"/>
  <c r="AC24" i="14"/>
  <c r="Z24" i="14"/>
  <c r="AX23" i="14"/>
  <c r="AW23" i="14"/>
  <c r="AV23" i="14"/>
  <c r="AS23" i="14"/>
  <c r="AR23" i="14"/>
  <c r="AQ23" i="14"/>
  <c r="AP23" i="14"/>
  <c r="AO23" i="14"/>
  <c r="AN23" i="14"/>
  <c r="AL23" i="14"/>
  <c r="AJ23" i="14"/>
  <c r="AI23" i="14"/>
  <c r="AH23" i="14"/>
  <c r="AG23" i="14"/>
  <c r="AE23" i="14"/>
  <c r="AD23" i="14"/>
  <c r="AC23" i="14"/>
  <c r="Z23" i="14"/>
  <c r="AX22" i="14"/>
  <c r="AW22" i="14"/>
  <c r="AV22" i="14"/>
  <c r="AS22" i="14"/>
  <c r="AR22" i="14"/>
  <c r="AQ22" i="14"/>
  <c r="AP22" i="14"/>
  <c r="AO22" i="14"/>
  <c r="AN22" i="14"/>
  <c r="AL22" i="14"/>
  <c r="AJ22" i="14"/>
  <c r="AI22" i="14"/>
  <c r="AH22" i="14"/>
  <c r="AG22" i="14"/>
  <c r="AE22" i="14"/>
  <c r="AD22" i="14"/>
  <c r="AC22" i="14"/>
  <c r="Z22" i="14"/>
  <c r="AX21" i="14"/>
  <c r="AW21" i="14"/>
  <c r="AV21" i="14"/>
  <c r="AS21" i="14"/>
  <c r="AR21" i="14"/>
  <c r="AQ21" i="14"/>
  <c r="AP21" i="14"/>
  <c r="AO21" i="14"/>
  <c r="AN21" i="14"/>
  <c r="AL21" i="14"/>
  <c r="AJ21" i="14"/>
  <c r="AI21" i="14"/>
  <c r="AH21" i="14"/>
  <c r="AG21" i="14"/>
  <c r="AE21" i="14"/>
  <c r="AD21" i="14"/>
  <c r="AC21" i="14"/>
  <c r="Z21" i="14"/>
  <c r="AX20" i="14"/>
  <c r="AW20" i="14"/>
  <c r="AV20" i="14"/>
  <c r="AS20" i="14"/>
  <c r="AR20" i="14"/>
  <c r="AQ20" i="14"/>
  <c r="AP20" i="14"/>
  <c r="AO20" i="14"/>
  <c r="AN20" i="14"/>
  <c r="AL20" i="14"/>
  <c r="AJ20" i="14"/>
  <c r="AI20" i="14"/>
  <c r="AH20" i="14"/>
  <c r="AG20" i="14"/>
  <c r="AE20" i="14"/>
  <c r="AD20" i="14"/>
  <c r="AC20" i="14"/>
  <c r="Z20" i="14"/>
  <c r="AX19" i="14"/>
  <c r="AW19" i="14"/>
  <c r="AV19" i="14"/>
  <c r="AS19" i="14"/>
  <c r="AR19" i="14"/>
  <c r="AQ19" i="14"/>
  <c r="AP19" i="14"/>
  <c r="AO19" i="14"/>
  <c r="AN19" i="14"/>
  <c r="AL19" i="14"/>
  <c r="AJ19" i="14"/>
  <c r="AI19" i="14"/>
  <c r="AH19" i="14"/>
  <c r="AG19" i="14"/>
  <c r="AE19" i="14"/>
  <c r="AD19" i="14"/>
  <c r="AC19" i="14"/>
  <c r="Z19" i="14"/>
  <c r="AX18" i="14"/>
  <c r="AW18" i="14"/>
  <c r="AV18" i="14"/>
  <c r="AS18" i="14"/>
  <c r="AR18" i="14"/>
  <c r="AQ18" i="14"/>
  <c r="AP18" i="14"/>
  <c r="AO18" i="14"/>
  <c r="AN18" i="14"/>
  <c r="AL18" i="14"/>
  <c r="AJ18" i="14"/>
  <c r="AI18" i="14"/>
  <c r="AH18" i="14"/>
  <c r="AG18" i="14"/>
  <c r="AE18" i="14"/>
  <c r="AD18" i="14"/>
  <c r="AC18" i="14"/>
  <c r="Z18" i="14"/>
  <c r="AX17" i="14"/>
  <c r="AW17" i="14"/>
  <c r="AV17" i="14"/>
  <c r="AS17" i="14"/>
  <c r="AR17" i="14"/>
  <c r="AQ17" i="14"/>
  <c r="AP17" i="14"/>
  <c r="AO17" i="14"/>
  <c r="AN17" i="14"/>
  <c r="AL17" i="14"/>
  <c r="AJ17" i="14"/>
  <c r="AI17" i="14"/>
  <c r="AH17" i="14"/>
  <c r="AG17" i="14"/>
  <c r="AE17" i="14"/>
  <c r="AD17" i="14"/>
  <c r="AC17" i="14"/>
  <c r="Z17" i="14"/>
  <c r="AX16" i="14"/>
  <c r="AW16" i="14"/>
  <c r="AV16" i="14"/>
  <c r="AS16" i="14"/>
  <c r="AR16" i="14"/>
  <c r="AQ16" i="14"/>
  <c r="AP16" i="14"/>
  <c r="AO16" i="14"/>
  <c r="AN16" i="14"/>
  <c r="AL16" i="14"/>
  <c r="AJ16" i="14"/>
  <c r="AI16" i="14"/>
  <c r="AH16" i="14"/>
  <c r="AG16" i="14"/>
  <c r="AE16" i="14"/>
  <c r="AD16" i="14"/>
  <c r="AC16" i="14"/>
  <c r="Z16" i="14"/>
  <c r="AX15" i="14"/>
  <c r="AW15" i="14"/>
  <c r="AV15" i="14"/>
  <c r="AS15" i="14"/>
  <c r="AR15" i="14"/>
  <c r="AQ15" i="14"/>
  <c r="AP15" i="14"/>
  <c r="AO15" i="14"/>
  <c r="AN15" i="14"/>
  <c r="AL15" i="14"/>
  <c r="AJ15" i="14"/>
  <c r="AI15" i="14"/>
  <c r="AH15" i="14"/>
  <c r="AG15" i="14"/>
  <c r="AE15" i="14"/>
  <c r="AD15" i="14"/>
  <c r="AC15" i="14"/>
  <c r="Z15" i="14"/>
  <c r="AX14" i="14"/>
  <c r="AW14" i="14"/>
  <c r="AV14" i="14"/>
  <c r="AT14" i="14"/>
  <c r="AS14" i="14"/>
  <c r="AR14" i="14"/>
  <c r="AQ14" i="14"/>
  <c r="AP14" i="14"/>
  <c r="AO14" i="14"/>
  <c r="AN14" i="14"/>
  <c r="AL14" i="14"/>
  <c r="AJ14" i="14"/>
  <c r="AI14" i="14"/>
  <c r="AH14" i="14"/>
  <c r="AG14" i="14"/>
  <c r="AE14" i="14"/>
  <c r="AD14" i="14"/>
  <c r="AC14" i="14"/>
  <c r="Z14" i="14"/>
  <c r="AX13" i="14"/>
  <c r="AW13" i="14"/>
  <c r="AV13" i="14"/>
  <c r="AT13" i="14"/>
  <c r="AS13" i="14"/>
  <c r="AR13" i="14"/>
  <c r="AQ13" i="14"/>
  <c r="AP13" i="14"/>
  <c r="AO13" i="14"/>
  <c r="AN13" i="14"/>
  <c r="AL13" i="14"/>
  <c r="AJ13" i="14"/>
  <c r="AI13" i="14"/>
  <c r="AH13" i="14"/>
  <c r="AG13" i="14"/>
  <c r="AE13" i="14"/>
  <c r="AD13" i="14"/>
  <c r="AC13" i="14"/>
  <c r="Z13" i="14"/>
  <c r="AX12" i="14"/>
  <c r="AW12" i="14"/>
  <c r="AV12" i="14"/>
  <c r="AT12" i="14"/>
  <c r="AS12" i="14"/>
  <c r="AR12" i="14"/>
  <c r="AQ12" i="14"/>
  <c r="AP12" i="14"/>
  <c r="AO12" i="14"/>
  <c r="AN12" i="14"/>
  <c r="AL12" i="14"/>
  <c r="AJ12" i="14"/>
  <c r="AI12" i="14"/>
  <c r="AH12" i="14"/>
  <c r="AG12" i="14"/>
  <c r="AE12" i="14"/>
  <c r="AD12" i="14"/>
  <c r="AC12" i="14"/>
  <c r="Z12" i="14"/>
  <c r="AX11" i="14"/>
  <c r="AW11" i="14"/>
  <c r="AV11" i="14"/>
  <c r="AT11" i="14"/>
  <c r="AS11" i="14"/>
  <c r="AR11" i="14"/>
  <c r="AQ11" i="14"/>
  <c r="AP11" i="14"/>
  <c r="AO11" i="14"/>
  <c r="AN11" i="14"/>
  <c r="AL11" i="14"/>
  <c r="AJ11" i="14"/>
  <c r="AI11" i="14"/>
  <c r="AH11" i="14"/>
  <c r="AG11" i="14"/>
  <c r="AE11" i="14"/>
  <c r="AD11" i="14"/>
  <c r="AC11" i="14"/>
  <c r="Z11" i="14"/>
  <c r="AX10" i="14"/>
  <c r="AW10" i="14"/>
  <c r="AV10" i="14"/>
  <c r="AT10" i="14"/>
  <c r="AS10" i="14"/>
  <c r="AR10" i="14"/>
  <c r="AQ10" i="14"/>
  <c r="AP10" i="14"/>
  <c r="AO10" i="14"/>
  <c r="AN10" i="14"/>
  <c r="AL10" i="14"/>
  <c r="AJ10" i="14"/>
  <c r="AI10" i="14"/>
  <c r="AH10" i="14"/>
  <c r="AG10" i="14"/>
  <c r="AE10" i="14"/>
  <c r="AD10" i="14"/>
  <c r="AC10" i="14"/>
  <c r="Z10" i="14"/>
  <c r="AX9" i="14"/>
  <c r="AW9" i="14"/>
  <c r="AV9" i="14"/>
  <c r="AT9" i="14"/>
  <c r="AS9" i="14"/>
  <c r="AR9" i="14"/>
  <c r="AQ9" i="14"/>
  <c r="AP9" i="14"/>
  <c r="AO9" i="14"/>
  <c r="AN9" i="14"/>
  <c r="AL9" i="14"/>
  <c r="AJ9" i="14"/>
  <c r="AI9" i="14"/>
  <c r="AH9" i="14"/>
  <c r="AG9" i="14"/>
  <c r="AE9" i="14"/>
  <c r="AD9" i="14"/>
  <c r="AC9" i="14"/>
  <c r="Z9" i="14"/>
  <c r="C9" i="14"/>
  <c r="AX8" i="14"/>
  <c r="AW8" i="14"/>
  <c r="AV8" i="14"/>
  <c r="AT8" i="14"/>
  <c r="AS8" i="14"/>
  <c r="AR8" i="14"/>
  <c r="AQ8" i="14"/>
  <c r="AP8" i="14"/>
  <c r="AO8" i="14"/>
  <c r="AN8" i="14"/>
  <c r="AL8" i="14"/>
  <c r="AJ8" i="14"/>
  <c r="AI8" i="14"/>
  <c r="AH8" i="14"/>
  <c r="AG8" i="14"/>
  <c r="AE8" i="14"/>
  <c r="AD8" i="14"/>
  <c r="AC8" i="14"/>
  <c r="Z8" i="14"/>
  <c r="AX7" i="14"/>
  <c r="AW7" i="14"/>
  <c r="AV7" i="14"/>
  <c r="AT7" i="14"/>
  <c r="AS7" i="14"/>
  <c r="AR7" i="14"/>
  <c r="AQ7" i="14"/>
  <c r="AP7" i="14"/>
  <c r="AO7" i="14"/>
  <c r="AN7" i="14"/>
  <c r="AL7" i="14"/>
  <c r="AJ7" i="14"/>
  <c r="AI7" i="14"/>
  <c r="AH7" i="14"/>
  <c r="AG7" i="14"/>
  <c r="AE7" i="14"/>
  <c r="AD7" i="14"/>
  <c r="AC7" i="14"/>
  <c r="Z7" i="14"/>
  <c r="C7" i="14"/>
  <c r="AX6" i="14"/>
  <c r="AW6" i="14"/>
  <c r="AV6" i="14"/>
  <c r="AT6" i="14"/>
  <c r="AS6" i="14"/>
  <c r="AR6" i="14"/>
  <c r="AQ6" i="14"/>
  <c r="AP6" i="14"/>
  <c r="AO6" i="14"/>
  <c r="AN6" i="14"/>
  <c r="AL6" i="14"/>
  <c r="AJ6" i="14"/>
  <c r="AI6" i="14"/>
  <c r="AH6" i="14"/>
  <c r="AG6" i="14"/>
  <c r="AE6" i="14"/>
  <c r="AD6" i="14"/>
  <c r="AC6" i="14"/>
  <c r="Z6" i="14"/>
  <c r="AX5" i="14"/>
  <c r="AW5" i="14"/>
  <c r="AV5" i="14"/>
  <c r="AT5" i="14"/>
  <c r="AS5" i="14"/>
  <c r="AR5" i="14"/>
  <c r="AQ5" i="14"/>
  <c r="AP5" i="14"/>
  <c r="AO5" i="14"/>
  <c r="AN5" i="14"/>
  <c r="AL5" i="14"/>
  <c r="AJ5" i="14"/>
  <c r="AI5" i="14"/>
  <c r="AH5" i="14"/>
  <c r="AG5" i="14"/>
  <c r="AE5" i="14"/>
  <c r="AD5" i="14"/>
  <c r="AC5" i="14"/>
  <c r="Z5" i="14"/>
  <c r="R21" i="5"/>
  <c r="U21" i="5"/>
  <c r="R22" i="5"/>
  <c r="U22" i="5"/>
  <c r="L47" i="6"/>
  <c r="R23" i="5"/>
  <c r="U23" i="5"/>
  <c r="R24" i="5"/>
  <c r="U24" i="5"/>
  <c r="N47" i="6"/>
  <c r="R25" i="5"/>
  <c r="U25" i="5"/>
  <c r="R26" i="5"/>
  <c r="U26" i="5"/>
  <c r="R27" i="5"/>
  <c r="U27" i="5"/>
  <c r="Q47" i="6"/>
  <c r="R28" i="5"/>
  <c r="U28" i="5"/>
  <c r="R29" i="5"/>
  <c r="U29" i="5"/>
  <c r="S47" i="6"/>
  <c r="R30" i="5"/>
  <c r="U30" i="5"/>
  <c r="T47" i="6"/>
  <c r="R31" i="5"/>
  <c r="U31" i="5"/>
  <c r="U47" i="6"/>
  <c r="R32" i="5"/>
  <c r="U32" i="5"/>
  <c r="V47" i="6"/>
  <c r="R33" i="5"/>
  <c r="U33" i="5"/>
  <c r="R34" i="5"/>
  <c r="U34" i="5"/>
  <c r="X47" i="6"/>
  <c r="R35" i="5"/>
  <c r="U35" i="5"/>
  <c r="R36" i="5"/>
  <c r="U36" i="5"/>
  <c r="Z47" i="6"/>
  <c r="R37" i="5"/>
  <c r="U37" i="5"/>
  <c r="AA47" i="6"/>
  <c r="R38" i="5"/>
  <c r="U38" i="5"/>
  <c r="R39" i="5"/>
  <c r="U39" i="5"/>
  <c r="AC47" i="6"/>
  <c r="R40" i="5"/>
  <c r="U40" i="5"/>
  <c r="AD47" i="6"/>
  <c r="R41" i="5"/>
  <c r="U41" i="5"/>
  <c r="R42" i="5"/>
  <c r="U42" i="5"/>
  <c r="AF47" i="6"/>
  <c r="R43" i="5"/>
  <c r="U43" i="5"/>
  <c r="R44" i="5"/>
  <c r="U44" i="5"/>
  <c r="AH47" i="6"/>
  <c r="R45" i="5"/>
  <c r="U45" i="5"/>
  <c r="R46" i="5"/>
  <c r="U46" i="5"/>
  <c r="AJ47" i="6"/>
  <c r="R47" i="5"/>
  <c r="U47" i="5"/>
  <c r="AK47" i="6"/>
  <c r="R48" i="5"/>
  <c r="U48" i="5"/>
  <c r="R49" i="5"/>
  <c r="U49" i="5"/>
  <c r="AM47" i="6"/>
  <c r="R50" i="5"/>
  <c r="U50" i="5"/>
  <c r="R51" i="5"/>
  <c r="U51" i="5"/>
  <c r="R52" i="5"/>
  <c r="U52" i="5"/>
  <c r="AP47" i="6"/>
  <c r="R53" i="5"/>
  <c r="U53" i="5"/>
  <c r="R54" i="5"/>
  <c r="U54" i="5"/>
  <c r="AR47" i="6"/>
  <c r="R55" i="5"/>
  <c r="U55" i="5"/>
  <c r="R56" i="5"/>
  <c r="U56" i="5"/>
  <c r="R57" i="5"/>
  <c r="U57" i="5"/>
  <c r="AU47" i="6"/>
  <c r="R58" i="5"/>
  <c r="U58" i="5"/>
  <c r="R59" i="5"/>
  <c r="U59" i="5"/>
  <c r="AW47" i="6"/>
  <c r="R60" i="5"/>
  <c r="U60" i="5"/>
  <c r="R61" i="5"/>
  <c r="U61" i="5"/>
  <c r="R62" i="5"/>
  <c r="U62" i="5"/>
  <c r="AZ47" i="6"/>
  <c r="R63" i="5"/>
  <c r="U63" i="5"/>
  <c r="R64" i="5"/>
  <c r="U64" i="5"/>
  <c r="BB47" i="6"/>
  <c r="R65" i="5"/>
  <c r="U65" i="5"/>
  <c r="BC47" i="6"/>
  <c r="D47" i="6"/>
  <c r="I47" i="6"/>
  <c r="BB46" i="6"/>
  <c r="BC46" i="6"/>
  <c r="BB45" i="6"/>
  <c r="BC45" i="6"/>
  <c r="C9" i="5"/>
  <c r="AL5" i="5"/>
  <c r="AL6" i="5"/>
  <c r="AL9" i="5"/>
  <c r="AL11" i="5"/>
  <c r="AL14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R331" i="5" a="1"/>
  <c r="R331" i="5"/>
  <c r="R329" i="5"/>
  <c r="B94" i="1" a="1"/>
  <c r="B94" i="1"/>
  <c r="T10" i="1"/>
  <c r="R10" i="1"/>
  <c r="P10" i="1"/>
  <c r="N10" i="1"/>
  <c r="L10" i="1"/>
  <c r="J10" i="1"/>
  <c r="H6" i="1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12" i="12"/>
  <c r="C8" i="12"/>
  <c r="BA6" i="5"/>
  <c r="BA7" i="5"/>
  <c r="BA8" i="5"/>
  <c r="BA9" i="5"/>
  <c r="BA10" i="5"/>
  <c r="BA11" i="5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5" i="5"/>
  <c r="R676" i="5"/>
  <c r="C29" i="9"/>
  <c r="M18" i="9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K56" i="10"/>
  <c r="C13" i="10"/>
  <c r="L56" i="10"/>
  <c r="C17" i="10"/>
  <c r="M56" i="10"/>
  <c r="N56" i="10"/>
  <c r="C20" i="10"/>
  <c r="O56" i="10"/>
  <c r="C15" i="10"/>
  <c r="P56" i="10"/>
  <c r="Q56" i="10"/>
  <c r="K55" i="10"/>
  <c r="L55" i="10"/>
  <c r="M55" i="10"/>
  <c r="N55" i="10"/>
  <c r="O55" i="10"/>
  <c r="P55" i="10"/>
  <c r="Q55" i="10"/>
  <c r="K54" i="10"/>
  <c r="L54" i="10"/>
  <c r="M54" i="10"/>
  <c r="N54" i="10"/>
  <c r="O54" i="10"/>
  <c r="P54" i="10"/>
  <c r="Q54" i="10"/>
  <c r="K53" i="10"/>
  <c r="L53" i="10"/>
  <c r="M53" i="10"/>
  <c r="N53" i="10"/>
  <c r="O53" i="10"/>
  <c r="P53" i="10"/>
  <c r="Q53" i="10"/>
  <c r="K52" i="10"/>
  <c r="L52" i="10"/>
  <c r="M52" i="10"/>
  <c r="N52" i="10"/>
  <c r="O52" i="10"/>
  <c r="P52" i="10"/>
  <c r="Q52" i="10"/>
  <c r="K51" i="10"/>
  <c r="L51" i="10"/>
  <c r="M51" i="10"/>
  <c r="N51" i="10"/>
  <c r="O51" i="10"/>
  <c r="P51" i="10"/>
  <c r="Q51" i="10"/>
  <c r="K50" i="10"/>
  <c r="L50" i="10"/>
  <c r="M50" i="10"/>
  <c r="N50" i="10"/>
  <c r="O50" i="10"/>
  <c r="P50" i="10"/>
  <c r="Q50" i="10"/>
  <c r="K49" i="10"/>
  <c r="L49" i="10"/>
  <c r="M49" i="10"/>
  <c r="N49" i="10"/>
  <c r="O49" i="10"/>
  <c r="P49" i="10"/>
  <c r="Q49" i="10"/>
  <c r="K48" i="10"/>
  <c r="L48" i="10"/>
  <c r="M48" i="10"/>
  <c r="N48" i="10"/>
  <c r="O48" i="10"/>
  <c r="P48" i="10"/>
  <c r="Q48" i="10"/>
  <c r="K47" i="10"/>
  <c r="L47" i="10"/>
  <c r="M47" i="10"/>
  <c r="N47" i="10"/>
  <c r="O47" i="10"/>
  <c r="P47" i="10"/>
  <c r="Q47" i="10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P27" i="9"/>
  <c r="U67" i="9"/>
  <c r="P31" i="9"/>
  <c r="V67" i="9"/>
  <c r="W67" i="9"/>
  <c r="P34" i="9"/>
  <c r="X67" i="9"/>
  <c r="P29" i="9"/>
  <c r="Y67" i="9"/>
  <c r="U66" i="9"/>
  <c r="V66" i="9"/>
  <c r="W66" i="9"/>
  <c r="X66" i="9"/>
  <c r="Y66" i="9"/>
  <c r="U65" i="9"/>
  <c r="V65" i="9"/>
  <c r="W65" i="9"/>
  <c r="X65" i="9"/>
  <c r="Y65" i="9"/>
  <c r="U64" i="9"/>
  <c r="V64" i="9"/>
  <c r="W64" i="9"/>
  <c r="X64" i="9"/>
  <c r="Y64" i="9"/>
  <c r="U63" i="9"/>
  <c r="V63" i="9"/>
  <c r="W63" i="9"/>
  <c r="X63" i="9"/>
  <c r="Y63" i="9"/>
  <c r="U62" i="9"/>
  <c r="V62" i="9"/>
  <c r="W62" i="9"/>
  <c r="X62" i="9"/>
  <c r="Y62" i="9"/>
  <c r="U61" i="9"/>
  <c r="V61" i="9"/>
  <c r="W61" i="9"/>
  <c r="X61" i="9"/>
  <c r="Y61" i="9"/>
  <c r="AU38" i="6"/>
  <c r="AW38" i="6"/>
  <c r="AZ38" i="6"/>
  <c r="BB38" i="6"/>
  <c r="BC38" i="6"/>
  <c r="AC65" i="5"/>
  <c r="AD65" i="5"/>
  <c r="AF65" i="5"/>
  <c r="AG65" i="5"/>
  <c r="AH65" i="5"/>
  <c r="AI65" i="5"/>
  <c r="AJ65" i="5"/>
  <c r="AK65" i="5"/>
  <c r="AM65" i="5"/>
  <c r="AO65" i="5"/>
  <c r="AQ65" i="5"/>
  <c r="AR65" i="5"/>
  <c r="AS65" i="5"/>
  <c r="AT65" i="5"/>
  <c r="AU65" i="5"/>
  <c r="AZ65" i="5"/>
  <c r="AC64" i="5"/>
  <c r="AD64" i="5"/>
  <c r="AF64" i="5"/>
  <c r="AG64" i="5"/>
  <c r="AH64" i="5"/>
  <c r="AI64" i="5"/>
  <c r="AJ64" i="5"/>
  <c r="AK64" i="5"/>
  <c r="AM64" i="5"/>
  <c r="AO64" i="5"/>
  <c r="AQ64" i="5"/>
  <c r="AR64" i="5"/>
  <c r="AS64" i="5"/>
  <c r="AT64" i="5"/>
  <c r="AU64" i="5"/>
  <c r="AZ64" i="5"/>
  <c r="AC63" i="5"/>
  <c r="AD63" i="5"/>
  <c r="AF63" i="5"/>
  <c r="AG63" i="5"/>
  <c r="AH63" i="5"/>
  <c r="AI63" i="5"/>
  <c r="AJ63" i="5"/>
  <c r="AK63" i="5"/>
  <c r="AM63" i="5"/>
  <c r="AO63" i="5"/>
  <c r="AQ63" i="5"/>
  <c r="AR63" i="5"/>
  <c r="AS63" i="5"/>
  <c r="AT63" i="5"/>
  <c r="AU63" i="5"/>
  <c r="AZ63" i="5"/>
  <c r="AC62" i="5"/>
  <c r="AD62" i="5"/>
  <c r="R221" i="5"/>
  <c r="AF62" i="5"/>
  <c r="AG62" i="5"/>
  <c r="AH62" i="5"/>
  <c r="AI62" i="5"/>
  <c r="AJ62" i="5"/>
  <c r="AK62" i="5"/>
  <c r="AM62" i="5"/>
  <c r="AO62" i="5"/>
  <c r="AQ62" i="5"/>
  <c r="AR62" i="5"/>
  <c r="AS62" i="5"/>
  <c r="AT62" i="5"/>
  <c r="AU62" i="5"/>
  <c r="AZ62" i="5"/>
  <c r="AC61" i="5"/>
  <c r="AD61" i="5"/>
  <c r="AF61" i="5"/>
  <c r="AG61" i="5"/>
  <c r="AH61" i="5"/>
  <c r="AI61" i="5"/>
  <c r="AJ61" i="5"/>
  <c r="AK61" i="5"/>
  <c r="AM61" i="5"/>
  <c r="AO61" i="5"/>
  <c r="AQ61" i="5"/>
  <c r="AR61" i="5"/>
  <c r="AS61" i="5"/>
  <c r="AT61" i="5"/>
  <c r="AU61" i="5"/>
  <c r="AZ61" i="5"/>
  <c r="AC60" i="5"/>
  <c r="AD60" i="5"/>
  <c r="AF60" i="5"/>
  <c r="AG60" i="5"/>
  <c r="AH60" i="5"/>
  <c r="AI60" i="5"/>
  <c r="AJ60" i="5"/>
  <c r="AK60" i="5"/>
  <c r="AM60" i="5"/>
  <c r="AO60" i="5"/>
  <c r="AQ60" i="5"/>
  <c r="AR60" i="5"/>
  <c r="AS60" i="5"/>
  <c r="AT60" i="5"/>
  <c r="AU60" i="5"/>
  <c r="AZ60" i="5"/>
  <c r="AC59" i="5"/>
  <c r="AD59" i="5"/>
  <c r="AF59" i="5"/>
  <c r="AG59" i="5"/>
  <c r="AH59" i="5"/>
  <c r="AI59" i="5"/>
  <c r="AJ59" i="5"/>
  <c r="AK59" i="5"/>
  <c r="AM59" i="5"/>
  <c r="AO59" i="5"/>
  <c r="AQ59" i="5"/>
  <c r="AR59" i="5"/>
  <c r="AS59" i="5"/>
  <c r="AT59" i="5"/>
  <c r="AU59" i="5"/>
  <c r="AZ59" i="5"/>
  <c r="AC58" i="5"/>
  <c r="AD58" i="5"/>
  <c r="AF58" i="5"/>
  <c r="AG58" i="5"/>
  <c r="AH58" i="5"/>
  <c r="AI58" i="5"/>
  <c r="AJ58" i="5"/>
  <c r="AK58" i="5"/>
  <c r="AM58" i="5"/>
  <c r="AO58" i="5"/>
  <c r="AQ58" i="5"/>
  <c r="AR58" i="5"/>
  <c r="AS58" i="5"/>
  <c r="AT58" i="5"/>
  <c r="AU58" i="5"/>
  <c r="AZ58" i="5"/>
  <c r="AC57" i="5"/>
  <c r="AD57" i="5"/>
  <c r="AF57" i="5"/>
  <c r="AG57" i="5"/>
  <c r="AH57" i="5"/>
  <c r="AI57" i="5"/>
  <c r="AJ57" i="5"/>
  <c r="AK57" i="5"/>
  <c r="AM57" i="5"/>
  <c r="AO57" i="5"/>
  <c r="AQ57" i="5"/>
  <c r="AR57" i="5"/>
  <c r="AS57" i="5"/>
  <c r="AT57" i="5"/>
  <c r="AU57" i="5"/>
  <c r="AZ57" i="5"/>
  <c r="AC56" i="5"/>
  <c r="AD56" i="5"/>
  <c r="AF56" i="5"/>
  <c r="AG56" i="5"/>
  <c r="AH56" i="5"/>
  <c r="AI56" i="5"/>
  <c r="AJ56" i="5"/>
  <c r="AK56" i="5"/>
  <c r="AM56" i="5"/>
  <c r="AO56" i="5"/>
  <c r="AQ56" i="5"/>
  <c r="AR56" i="5"/>
  <c r="AS56" i="5"/>
  <c r="AT56" i="5"/>
  <c r="AU56" i="5"/>
  <c r="AZ56" i="5"/>
  <c r="W154" i="2"/>
  <c r="W153" i="2"/>
  <c r="W152" i="2"/>
  <c r="W151" i="2"/>
  <c r="W150" i="2"/>
  <c r="W149" i="2"/>
  <c r="W148" i="2"/>
  <c r="W147" i="2"/>
  <c r="W146" i="2"/>
  <c r="W145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D38" i="6"/>
  <c r="I38" i="6"/>
  <c r="N38" i="6"/>
  <c r="Q38" i="6"/>
  <c r="S38" i="6"/>
  <c r="T38" i="6"/>
  <c r="U38" i="6"/>
  <c r="V38" i="6"/>
  <c r="X38" i="6"/>
  <c r="Z38" i="6"/>
  <c r="AA38" i="6"/>
  <c r="AC38" i="6"/>
  <c r="AD38" i="6"/>
  <c r="AF38" i="6"/>
  <c r="AH38" i="6"/>
  <c r="AJ38" i="6"/>
  <c r="AK38" i="6"/>
  <c r="AM38" i="6"/>
  <c r="AP38" i="6"/>
  <c r="AR38" i="6"/>
  <c r="C16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5" i="11"/>
  <c r="P6" i="11"/>
  <c r="P7" i="11"/>
  <c r="P8" i="11"/>
  <c r="P9" i="11"/>
  <c r="P10" i="11"/>
  <c r="P11" i="11"/>
  <c r="P12" i="11"/>
  <c r="P13" i="11"/>
  <c r="P4" i="11"/>
  <c r="C21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5" i="11"/>
  <c r="O6" i="11"/>
  <c r="O7" i="11"/>
  <c r="O8" i="11"/>
  <c r="O9" i="11"/>
  <c r="O10" i="11"/>
  <c r="O11" i="11"/>
  <c r="O12" i="11"/>
  <c r="O13" i="11"/>
  <c r="O4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5" i="11"/>
  <c r="N6" i="11"/>
  <c r="N7" i="11"/>
  <c r="N8" i="11"/>
  <c r="N9" i="11"/>
  <c r="N10" i="11"/>
  <c r="N11" i="11"/>
  <c r="N12" i="11"/>
  <c r="N13" i="11"/>
  <c r="C18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5" i="11"/>
  <c r="M6" i="11"/>
  <c r="M7" i="11"/>
  <c r="M8" i="11"/>
  <c r="M9" i="11"/>
  <c r="M10" i="11"/>
  <c r="M11" i="11"/>
  <c r="M12" i="11"/>
  <c r="M13" i="11"/>
  <c r="M4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4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K5" i="10"/>
  <c r="M5" i="10"/>
  <c r="O5" i="10"/>
  <c r="Q5" i="10"/>
  <c r="K6" i="10"/>
  <c r="M6" i="10"/>
  <c r="O6" i="10"/>
  <c r="Q6" i="10"/>
  <c r="K7" i="10"/>
  <c r="M7" i="10"/>
  <c r="O7" i="10"/>
  <c r="Q7" i="10"/>
  <c r="K8" i="10"/>
  <c r="M8" i="10"/>
  <c r="O8" i="10"/>
  <c r="Q8" i="10"/>
  <c r="K9" i="10"/>
  <c r="M9" i="10"/>
  <c r="O9" i="10"/>
  <c r="Q9" i="10"/>
  <c r="K10" i="10"/>
  <c r="M10" i="10"/>
  <c r="O10" i="10"/>
  <c r="Q10" i="10"/>
  <c r="K11" i="10"/>
  <c r="M11" i="10"/>
  <c r="O11" i="10"/>
  <c r="Q11" i="10"/>
  <c r="K12" i="10"/>
  <c r="M12" i="10"/>
  <c r="O12" i="10"/>
  <c r="Q12" i="10"/>
  <c r="K13" i="10"/>
  <c r="M13" i="10"/>
  <c r="O13" i="10"/>
  <c r="Q13" i="10"/>
  <c r="K14" i="10"/>
  <c r="M14" i="10"/>
  <c r="O14" i="10"/>
  <c r="Q14" i="10"/>
  <c r="K15" i="10"/>
  <c r="M15" i="10"/>
  <c r="O15" i="10"/>
  <c r="Q15" i="10"/>
  <c r="K16" i="10"/>
  <c r="M16" i="10"/>
  <c r="O16" i="10"/>
  <c r="Q16" i="10"/>
  <c r="K17" i="10"/>
  <c r="M17" i="10"/>
  <c r="O17" i="10"/>
  <c r="Q17" i="10"/>
  <c r="K18" i="10"/>
  <c r="M18" i="10"/>
  <c r="O18" i="10"/>
  <c r="Q18" i="10"/>
  <c r="K19" i="10"/>
  <c r="M19" i="10"/>
  <c r="O19" i="10"/>
  <c r="Q19" i="10"/>
  <c r="K20" i="10"/>
  <c r="M20" i="10"/>
  <c r="O20" i="10"/>
  <c r="Q20" i="10"/>
  <c r="K21" i="10"/>
  <c r="M21" i="10"/>
  <c r="O21" i="10"/>
  <c r="Q21" i="10"/>
  <c r="K22" i="10"/>
  <c r="M22" i="10"/>
  <c r="O22" i="10"/>
  <c r="Q22" i="10"/>
  <c r="K23" i="10"/>
  <c r="M23" i="10"/>
  <c r="O23" i="10"/>
  <c r="Q23" i="10"/>
  <c r="K24" i="10"/>
  <c r="M24" i="10"/>
  <c r="O24" i="10"/>
  <c r="Q24" i="10"/>
  <c r="K25" i="10"/>
  <c r="M25" i="10"/>
  <c r="O25" i="10"/>
  <c r="Q25" i="10"/>
  <c r="K26" i="10"/>
  <c r="M26" i="10"/>
  <c r="O26" i="10"/>
  <c r="Q26" i="10"/>
  <c r="K27" i="10"/>
  <c r="M27" i="10"/>
  <c r="O27" i="10"/>
  <c r="Q27" i="10"/>
  <c r="K28" i="10"/>
  <c r="M28" i="10"/>
  <c r="O28" i="10"/>
  <c r="Q28" i="10"/>
  <c r="K29" i="10"/>
  <c r="M29" i="10"/>
  <c r="O29" i="10"/>
  <c r="Q29" i="10"/>
  <c r="K30" i="10"/>
  <c r="M30" i="10"/>
  <c r="O30" i="10"/>
  <c r="Q30" i="10"/>
  <c r="K31" i="10"/>
  <c r="M31" i="10"/>
  <c r="O31" i="10"/>
  <c r="Q31" i="10"/>
  <c r="K32" i="10"/>
  <c r="M32" i="10"/>
  <c r="O32" i="10"/>
  <c r="Q32" i="10"/>
  <c r="K33" i="10"/>
  <c r="M33" i="10"/>
  <c r="O33" i="10"/>
  <c r="Q33" i="10"/>
  <c r="K34" i="10"/>
  <c r="M34" i="10"/>
  <c r="O34" i="10"/>
  <c r="Q34" i="10"/>
  <c r="K35" i="10"/>
  <c r="M35" i="10"/>
  <c r="O35" i="10"/>
  <c r="Q35" i="10"/>
  <c r="K36" i="10"/>
  <c r="M36" i="10"/>
  <c r="O36" i="10"/>
  <c r="Q36" i="10"/>
  <c r="K37" i="10"/>
  <c r="M37" i="10"/>
  <c r="O37" i="10"/>
  <c r="Q37" i="10"/>
  <c r="K38" i="10"/>
  <c r="M38" i="10"/>
  <c r="O38" i="10"/>
  <c r="Q38" i="10"/>
  <c r="K39" i="10"/>
  <c r="M39" i="10"/>
  <c r="O39" i="10"/>
  <c r="Q39" i="10"/>
  <c r="K40" i="10"/>
  <c r="M40" i="10"/>
  <c r="O40" i="10"/>
  <c r="Q40" i="10"/>
  <c r="K41" i="10"/>
  <c r="M41" i="10"/>
  <c r="O41" i="10"/>
  <c r="Q41" i="10"/>
  <c r="K42" i="10"/>
  <c r="M42" i="10"/>
  <c r="O42" i="10"/>
  <c r="Q42" i="10"/>
  <c r="K43" i="10"/>
  <c r="M43" i="10"/>
  <c r="O43" i="10"/>
  <c r="Q43" i="10"/>
  <c r="K44" i="10"/>
  <c r="M44" i="10"/>
  <c r="O44" i="10"/>
  <c r="Q44" i="10"/>
  <c r="K45" i="10"/>
  <c r="M45" i="10"/>
  <c r="O45" i="10"/>
  <c r="Q45" i="10"/>
  <c r="K46" i="10"/>
  <c r="M46" i="10"/>
  <c r="O46" i="10"/>
  <c r="Q46" i="10"/>
  <c r="M4" i="10"/>
  <c r="O4" i="10"/>
  <c r="Q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4" i="10"/>
  <c r="K4" i="10"/>
  <c r="AN29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P60" i="9"/>
  <c r="AW60" i="9"/>
  <c r="AW18" i="9"/>
  <c r="AN34" i="9"/>
  <c r="AN27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18" i="9"/>
  <c r="AN31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18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18" i="9"/>
  <c r="AR60" i="9"/>
  <c r="AQ60" i="9"/>
  <c r="AQ59" i="9"/>
  <c r="AQ58" i="9"/>
  <c r="AQ57" i="9"/>
  <c r="AQ56" i="9"/>
  <c r="AQ55" i="9"/>
  <c r="AQ54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E18" i="9"/>
  <c r="AB29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19" i="9"/>
  <c r="AK20" i="9"/>
  <c r="AK21" i="9"/>
  <c r="AK22" i="9"/>
  <c r="AK23" i="9"/>
  <c r="AK24" i="9"/>
  <c r="AK25" i="9"/>
  <c r="AK26" i="9"/>
  <c r="AK27" i="9"/>
  <c r="AK18" i="9"/>
  <c r="AB34" i="9"/>
  <c r="AB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19" i="9"/>
  <c r="AJ20" i="9"/>
  <c r="AJ21" i="9"/>
  <c r="AJ22" i="9"/>
  <c r="AJ23" i="9"/>
  <c r="AJ24" i="9"/>
  <c r="AJ25" i="9"/>
  <c r="AJ26" i="9"/>
  <c r="AJ27" i="9"/>
  <c r="AJ18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19" i="9"/>
  <c r="AI20" i="9"/>
  <c r="AI21" i="9"/>
  <c r="AI22" i="9"/>
  <c r="AI23" i="9"/>
  <c r="AI24" i="9"/>
  <c r="AI25" i="9"/>
  <c r="AI26" i="9"/>
  <c r="AI27" i="9"/>
  <c r="AI18" i="9"/>
  <c r="AB31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19" i="9"/>
  <c r="AH20" i="9"/>
  <c r="AH21" i="9"/>
  <c r="AH22" i="9"/>
  <c r="AH23" i="9"/>
  <c r="AH24" i="9"/>
  <c r="AH25" i="9"/>
  <c r="AH26" i="9"/>
  <c r="AH27" i="9"/>
  <c r="AH18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19" i="9"/>
  <c r="AG20" i="9"/>
  <c r="AG21" i="9"/>
  <c r="AG22" i="9"/>
  <c r="AG23" i="9"/>
  <c r="AG24" i="9"/>
  <c r="AG25" i="9"/>
  <c r="AG26" i="9"/>
  <c r="AG27" i="9"/>
  <c r="AG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19" i="9"/>
  <c r="Y20" i="9"/>
  <c r="Y21" i="9"/>
  <c r="Y22" i="9"/>
  <c r="Y23" i="9"/>
  <c r="Y24" i="9"/>
  <c r="Y25" i="9"/>
  <c r="Y26" i="9"/>
  <c r="Y27" i="9"/>
  <c r="Y18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19" i="9"/>
  <c r="X20" i="9"/>
  <c r="X21" i="9"/>
  <c r="X22" i="9"/>
  <c r="X23" i="9"/>
  <c r="X24" i="9"/>
  <c r="X25" i="9"/>
  <c r="X26" i="9"/>
  <c r="X27" i="9"/>
  <c r="X18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19" i="9"/>
  <c r="W20" i="9"/>
  <c r="W21" i="9"/>
  <c r="W22" i="9"/>
  <c r="W23" i="9"/>
  <c r="W24" i="9"/>
  <c r="W25" i="9"/>
  <c r="W26" i="9"/>
  <c r="W27" i="9"/>
  <c r="W18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19" i="9"/>
  <c r="V20" i="9"/>
  <c r="V21" i="9"/>
  <c r="V22" i="9"/>
  <c r="V23" i="9"/>
  <c r="V24" i="9"/>
  <c r="V25" i="9"/>
  <c r="V26" i="9"/>
  <c r="V27" i="9"/>
  <c r="V18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18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C34" i="9"/>
  <c r="C27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18" i="9"/>
  <c r="C31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28" i="9"/>
  <c r="J29" i="9"/>
  <c r="J30" i="9"/>
  <c r="J31" i="9"/>
  <c r="J32" i="9"/>
  <c r="J33" i="9"/>
  <c r="J34" i="9"/>
  <c r="J35" i="9"/>
  <c r="J36" i="9"/>
  <c r="J19" i="9"/>
  <c r="J20" i="9"/>
  <c r="J21" i="9"/>
  <c r="J22" i="9"/>
  <c r="J23" i="9"/>
  <c r="J24" i="9"/>
  <c r="J25" i="9"/>
  <c r="J26" i="9"/>
  <c r="J27" i="9"/>
  <c r="J18" i="9"/>
  <c r="I58" i="9"/>
  <c r="I59" i="9"/>
  <c r="I60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18" i="9"/>
  <c r="C25" i="11"/>
  <c r="C22" i="11"/>
  <c r="C19" i="11"/>
  <c r="C83" i="1"/>
  <c r="AN35" i="9"/>
  <c r="AN32" i="9"/>
  <c r="AB35" i="9"/>
  <c r="AB32" i="9"/>
  <c r="P35" i="9"/>
  <c r="P32" i="9"/>
  <c r="C35" i="9"/>
  <c r="C32" i="9"/>
  <c r="F8" i="10"/>
  <c r="C24" i="10"/>
  <c r="C18" i="10"/>
  <c r="C21" i="10"/>
  <c r="R333" i="5"/>
  <c r="R323" i="5"/>
  <c r="R325" i="5"/>
  <c r="R656" i="5"/>
  <c r="R637" i="5"/>
  <c r="R612" i="5"/>
  <c r="R602" i="5"/>
  <c r="R578" i="5"/>
  <c r="R554" i="5"/>
  <c r="R524" i="5"/>
  <c r="R492" i="5"/>
  <c r="R493" i="5"/>
  <c r="R494" i="5"/>
  <c r="R495" i="5"/>
  <c r="R474" i="5"/>
  <c r="R444" i="5"/>
  <c r="R398" i="5"/>
  <c r="R374" i="5"/>
  <c r="R352" i="5"/>
  <c r="B77" i="1"/>
  <c r="R499" i="5"/>
  <c r="R284" i="5"/>
  <c r="R303" i="5"/>
  <c r="R304" i="5"/>
  <c r="R408" i="5"/>
  <c r="R262" i="5"/>
  <c r="R263" i="5"/>
  <c r="R245" i="5"/>
  <c r="R156" i="5"/>
  <c r="R289" i="5"/>
  <c r="R420" i="5"/>
  <c r="R311" i="5"/>
  <c r="R267" i="5"/>
  <c r="R169" i="5"/>
  <c r="R170" i="5"/>
  <c r="R171" i="5"/>
  <c r="R172" i="5"/>
  <c r="R173" i="5"/>
  <c r="R128" i="5"/>
  <c r="R99" i="5"/>
  <c r="R197" i="5"/>
  <c r="R175" i="5"/>
  <c r="R137" i="5"/>
  <c r="R114" i="5"/>
  <c r="R115" i="5"/>
  <c r="C27" i="5"/>
  <c r="R118" i="5"/>
  <c r="C100" i="2"/>
  <c r="G97" i="2"/>
  <c r="C91" i="2"/>
  <c r="C90" i="2"/>
  <c r="G100" i="2"/>
  <c r="D97" i="2"/>
  <c r="D94" i="2"/>
  <c r="D98" i="2"/>
  <c r="C113" i="2"/>
  <c r="C114" i="2"/>
  <c r="D116" i="2"/>
  <c r="D95" i="2"/>
  <c r="D96" i="2"/>
  <c r="D99" i="2"/>
  <c r="G111" i="2"/>
  <c r="D101" i="2"/>
  <c r="D115" i="2"/>
  <c r="D117" i="2"/>
  <c r="D118" i="2"/>
  <c r="C116" i="2"/>
  <c r="D120" i="2"/>
  <c r="AZ5" i="5"/>
  <c r="AR5" i="5"/>
  <c r="AS5" i="5"/>
  <c r="AU5" i="5"/>
  <c r="AT5" i="5"/>
  <c r="AQ5" i="5"/>
  <c r="AO5" i="5"/>
  <c r="AK5" i="5"/>
  <c r="AI5" i="5"/>
  <c r="AJ5" i="5"/>
  <c r="AM5" i="5"/>
  <c r="AG5" i="5"/>
  <c r="AH5" i="5"/>
  <c r="AF5" i="5"/>
  <c r="AC5" i="5"/>
  <c r="AD5" i="5"/>
  <c r="AZ9" i="5"/>
  <c r="AZ6" i="5"/>
  <c r="AR6" i="5"/>
  <c r="AS6" i="5"/>
  <c r="AU6" i="5"/>
  <c r="AT6" i="5"/>
  <c r="AR9" i="5"/>
  <c r="AT9" i="5"/>
  <c r="AS9" i="5"/>
  <c r="AU9" i="5"/>
  <c r="AM9" i="5"/>
  <c r="AQ9" i="5"/>
  <c r="AO9" i="5"/>
  <c r="AK9" i="5"/>
  <c r="AI9" i="5"/>
  <c r="AJ9" i="5"/>
  <c r="AM6" i="5"/>
  <c r="AQ6" i="5"/>
  <c r="AO6" i="5"/>
  <c r="AK6" i="5"/>
  <c r="AI6" i="5"/>
  <c r="AJ6" i="5"/>
  <c r="AG6" i="5"/>
  <c r="AH6" i="5"/>
  <c r="AF6" i="5"/>
  <c r="AC6" i="5"/>
  <c r="AD6" i="5"/>
  <c r="AG9" i="5"/>
  <c r="AH9" i="5"/>
  <c r="AF9" i="5"/>
  <c r="AC9" i="5"/>
  <c r="AD9" i="5"/>
  <c r="AS11" i="5"/>
  <c r="AM11" i="5"/>
  <c r="AU11" i="5"/>
  <c r="AQ11" i="5"/>
  <c r="AO11" i="5"/>
  <c r="AI11" i="5"/>
  <c r="AK11" i="5"/>
  <c r="AZ11" i="5"/>
  <c r="AF11" i="5"/>
  <c r="AC11" i="5"/>
  <c r="AD11" i="5"/>
  <c r="AG11" i="5"/>
  <c r="AH11" i="5"/>
  <c r="AR11" i="5"/>
  <c r="AT11" i="5"/>
  <c r="AJ11" i="5"/>
  <c r="AQ14" i="5"/>
  <c r="AR14" i="5"/>
  <c r="AO14" i="5"/>
  <c r="AS14" i="5"/>
  <c r="AG14" i="5"/>
  <c r="AU14" i="5"/>
  <c r="AM14" i="5"/>
  <c r="AT14" i="5"/>
  <c r="AK14" i="5"/>
  <c r="AH14" i="5"/>
  <c r="AI14" i="5"/>
  <c r="AF14" i="5"/>
  <c r="AJ14" i="5"/>
  <c r="AZ14" i="5"/>
  <c r="AC14" i="5"/>
  <c r="AD14" i="5"/>
  <c r="AR16" i="5"/>
  <c r="AM16" i="5"/>
  <c r="AI16" i="5"/>
  <c r="AZ16" i="5"/>
  <c r="AC16" i="5"/>
  <c r="AD16" i="5"/>
  <c r="AU16" i="5"/>
  <c r="AT16" i="5"/>
  <c r="AH16" i="5"/>
  <c r="AK16" i="5"/>
  <c r="AS16" i="5"/>
  <c r="AF16" i="5"/>
  <c r="AQ16" i="5"/>
  <c r="AG16" i="5"/>
  <c r="AO16" i="5"/>
  <c r="AJ16" i="5"/>
  <c r="AU17" i="5"/>
  <c r="AO17" i="5"/>
  <c r="AF17" i="5"/>
  <c r="AI17" i="5"/>
  <c r="AD17" i="5"/>
  <c r="AS17" i="5"/>
  <c r="AQ17" i="5"/>
  <c r="AT17" i="5"/>
  <c r="AG17" i="5"/>
  <c r="AH17" i="5"/>
  <c r="AK17" i="5"/>
  <c r="AC17" i="5"/>
  <c r="AZ17" i="5"/>
  <c r="AJ17" i="5"/>
  <c r="AR17" i="5"/>
  <c r="AM17" i="5"/>
  <c r="AR18" i="5"/>
  <c r="AJ18" i="5"/>
  <c r="AU18" i="5"/>
  <c r="AS18" i="5"/>
  <c r="AI18" i="5"/>
  <c r="AT18" i="5"/>
  <c r="AG18" i="5"/>
  <c r="AQ18" i="5"/>
  <c r="AF18" i="5"/>
  <c r="AM18" i="5"/>
  <c r="AH18" i="5"/>
  <c r="AO18" i="5"/>
  <c r="AK18" i="5"/>
  <c r="AC18" i="5"/>
  <c r="AZ18" i="5"/>
  <c r="AD18" i="5"/>
  <c r="AS19" i="5"/>
  <c r="AG19" i="5"/>
  <c r="AQ19" i="5"/>
  <c r="AO19" i="5"/>
  <c r="AK19" i="5"/>
  <c r="AC19" i="5"/>
  <c r="AR19" i="5"/>
  <c r="AJ19" i="5"/>
  <c r="AU19" i="5"/>
  <c r="AF19" i="5"/>
  <c r="AZ19" i="5"/>
  <c r="AT19" i="5"/>
  <c r="AM19" i="5"/>
  <c r="AH19" i="5"/>
  <c r="AD19" i="5"/>
  <c r="AI19" i="5"/>
  <c r="AZ20" i="5"/>
  <c r="AR20" i="5"/>
  <c r="AT20" i="5"/>
  <c r="AS20" i="5"/>
  <c r="AG20" i="5"/>
  <c r="AQ20" i="5"/>
  <c r="AJ20" i="5"/>
  <c r="AU20" i="5"/>
  <c r="AH20" i="5"/>
  <c r="AF20" i="5"/>
  <c r="AO20" i="5"/>
  <c r="AC20" i="5"/>
  <c r="AI20" i="5"/>
  <c r="AM20" i="5"/>
  <c r="AK20" i="5"/>
  <c r="AD20" i="5"/>
  <c r="AZ21" i="5"/>
  <c r="AI21" i="5"/>
  <c r="AR21" i="5"/>
  <c r="AJ21" i="5"/>
  <c r="AT21" i="5"/>
  <c r="AS21" i="5"/>
  <c r="AM21" i="5"/>
  <c r="AO21" i="5"/>
  <c r="AC21" i="5"/>
  <c r="AG21" i="5"/>
  <c r="AU21" i="5"/>
  <c r="AH21" i="5"/>
  <c r="AQ21" i="5"/>
  <c r="AF21" i="5"/>
  <c r="AK21" i="5"/>
  <c r="AD21" i="5"/>
  <c r="AR22" i="5"/>
  <c r="AT22" i="5"/>
  <c r="AS22" i="5"/>
  <c r="AG22" i="5"/>
  <c r="AU22" i="5"/>
  <c r="AH22" i="5"/>
  <c r="AM22" i="5"/>
  <c r="AJ22" i="5"/>
  <c r="AQ22" i="5"/>
  <c r="AF22" i="5"/>
  <c r="AO22" i="5"/>
  <c r="AC22" i="5"/>
  <c r="AZ22" i="5"/>
  <c r="AK22" i="5"/>
  <c r="AD22" i="5"/>
  <c r="AI22" i="5"/>
  <c r="AH23" i="5"/>
  <c r="AS23" i="5"/>
  <c r="AC23" i="5"/>
  <c r="AR23" i="5"/>
  <c r="AU23" i="5"/>
  <c r="AF23" i="5"/>
  <c r="AJ23" i="5"/>
  <c r="AD23" i="5"/>
  <c r="AQ23" i="5"/>
  <c r="AO23" i="5"/>
  <c r="AI23" i="5"/>
  <c r="AM23" i="5"/>
  <c r="AK23" i="5"/>
  <c r="AT23" i="5"/>
  <c r="AG23" i="5"/>
  <c r="AZ23" i="5"/>
  <c r="AF24" i="5"/>
  <c r="AD24" i="5"/>
  <c r="AR24" i="5"/>
  <c r="AT24" i="5"/>
  <c r="AH24" i="5"/>
  <c r="AS24" i="5"/>
  <c r="AC24" i="5"/>
  <c r="AJ24" i="5"/>
  <c r="AU24" i="5"/>
  <c r="AG24" i="5"/>
  <c r="AM24" i="5"/>
  <c r="AQ24" i="5"/>
  <c r="AI24" i="5"/>
  <c r="AZ24" i="5"/>
  <c r="AO24" i="5"/>
  <c r="AK24" i="5"/>
  <c r="AR25" i="5"/>
  <c r="AO25" i="5"/>
  <c r="AT25" i="5"/>
  <c r="AZ25" i="5"/>
  <c r="AM25" i="5"/>
  <c r="AQ25" i="5"/>
  <c r="AU25" i="5"/>
  <c r="AS25" i="5"/>
  <c r="AK25" i="5"/>
  <c r="AG25" i="5"/>
  <c r="AJ25" i="5"/>
  <c r="AH25" i="5"/>
  <c r="AC25" i="5"/>
  <c r="AI25" i="5"/>
  <c r="AF25" i="5"/>
  <c r="AD25" i="5"/>
  <c r="AJ26" i="5"/>
  <c r="AT26" i="5"/>
  <c r="AM26" i="5"/>
  <c r="AG26" i="5"/>
  <c r="AH26" i="5"/>
  <c r="AR26" i="5"/>
  <c r="AQ26" i="5"/>
  <c r="AU26" i="5"/>
  <c r="AO26" i="5"/>
  <c r="AS26" i="5"/>
  <c r="AK26" i="5"/>
  <c r="AI26" i="5"/>
  <c r="AF26" i="5"/>
  <c r="AC26" i="5"/>
  <c r="AZ26" i="5"/>
  <c r="AD26" i="5"/>
  <c r="AQ27" i="5"/>
  <c r="AG27" i="5"/>
  <c r="AR27" i="5"/>
  <c r="AH27" i="5"/>
  <c r="AO27" i="5"/>
  <c r="AK27" i="5"/>
  <c r="AD27" i="5"/>
  <c r="AU27" i="5"/>
  <c r="AC27" i="5"/>
  <c r="AS27" i="5"/>
  <c r="AM27" i="5"/>
  <c r="AZ27" i="5"/>
  <c r="AT27" i="5"/>
  <c r="AF27" i="5"/>
  <c r="AI27" i="5"/>
  <c r="AJ27" i="5"/>
  <c r="AF28" i="5"/>
  <c r="AQ28" i="5"/>
  <c r="AO28" i="5"/>
  <c r="AG28" i="5"/>
  <c r="AH28" i="5"/>
  <c r="AS28" i="5"/>
  <c r="AJ28" i="5"/>
  <c r="AC28" i="5"/>
  <c r="AZ28" i="5"/>
  <c r="AM28" i="5"/>
  <c r="AD28" i="5"/>
  <c r="AR28" i="5"/>
  <c r="AK28" i="5"/>
  <c r="AU28" i="5"/>
  <c r="AT28" i="5"/>
  <c r="AI28" i="5"/>
  <c r="C84" i="1"/>
  <c r="AO29" i="5"/>
  <c r="AS29" i="5"/>
  <c r="AQ29" i="5"/>
  <c r="AK29" i="5"/>
  <c r="AF29" i="5"/>
  <c r="AT29" i="5"/>
  <c r="AI29" i="5"/>
  <c r="AC29" i="5"/>
  <c r="AZ29" i="5"/>
  <c r="AD29" i="5"/>
  <c r="AG29" i="5"/>
  <c r="AH29" i="5"/>
  <c r="AJ29" i="5"/>
  <c r="AR29" i="5"/>
  <c r="AM29" i="5"/>
  <c r="AU29" i="5"/>
  <c r="AS30" i="5"/>
  <c r="AQ30" i="5"/>
  <c r="AU30" i="5"/>
  <c r="AC30" i="5"/>
  <c r="AT30" i="5"/>
  <c r="AG30" i="5"/>
  <c r="AM30" i="5"/>
  <c r="AZ30" i="5"/>
  <c r="AI30" i="5"/>
  <c r="AD30" i="5"/>
  <c r="AK30" i="5"/>
  <c r="AO30" i="5"/>
  <c r="AF30" i="5"/>
  <c r="AR30" i="5"/>
  <c r="AJ30" i="5"/>
  <c r="AH30" i="5"/>
  <c r="AQ31" i="5"/>
  <c r="AS31" i="5"/>
  <c r="AT31" i="5"/>
  <c r="AM31" i="5"/>
  <c r="AC31" i="5"/>
  <c r="AR31" i="5"/>
  <c r="AJ31" i="5"/>
  <c r="AU31" i="5"/>
  <c r="AG31" i="5"/>
  <c r="AH31" i="5"/>
  <c r="AF31" i="5"/>
  <c r="AO31" i="5"/>
  <c r="AI31" i="5"/>
  <c r="AK31" i="5"/>
  <c r="AD31" i="5"/>
  <c r="AZ31" i="5"/>
  <c r="AI33" i="5"/>
  <c r="AO33" i="5"/>
  <c r="AQ33" i="5"/>
  <c r="AD33" i="5"/>
  <c r="AR33" i="5"/>
  <c r="AF33" i="5"/>
  <c r="AZ33" i="5"/>
  <c r="AH33" i="5"/>
  <c r="AJ33" i="5"/>
  <c r="AC33" i="5"/>
  <c r="AK33" i="5"/>
  <c r="AM33" i="5"/>
  <c r="AG33" i="5"/>
  <c r="AU33" i="5"/>
  <c r="AS33" i="5"/>
  <c r="AS32" i="5"/>
  <c r="AF32" i="5"/>
  <c r="AK32" i="5"/>
  <c r="AM32" i="5"/>
  <c r="AQ32" i="5"/>
  <c r="AU32" i="5"/>
  <c r="AG32" i="5"/>
  <c r="AH32" i="5"/>
  <c r="AD32" i="5"/>
  <c r="AO32" i="5"/>
  <c r="AC32" i="5"/>
  <c r="AZ32" i="5"/>
  <c r="AI32" i="5"/>
  <c r="AJ32" i="5"/>
  <c r="AT32" i="5"/>
  <c r="AR32" i="5"/>
  <c r="AT33" i="5"/>
  <c r="AM34" i="5"/>
  <c r="AH34" i="5"/>
  <c r="AQ34" i="5"/>
  <c r="AO34" i="5"/>
  <c r="AF34" i="5"/>
  <c r="AZ34" i="5"/>
  <c r="AC34" i="5"/>
  <c r="AD34" i="5"/>
  <c r="AT34" i="5"/>
  <c r="AK34" i="5"/>
  <c r="AG34" i="5"/>
  <c r="AI34" i="5"/>
  <c r="AJ34" i="5"/>
  <c r="AR34" i="5"/>
  <c r="AU34" i="5"/>
  <c r="AS34" i="5"/>
  <c r="AS35" i="5"/>
  <c r="AG35" i="5"/>
  <c r="AM35" i="5"/>
  <c r="AC35" i="5"/>
  <c r="AU35" i="5"/>
  <c r="AH35" i="5"/>
  <c r="AJ35" i="5"/>
  <c r="AF35" i="5"/>
  <c r="AQ35" i="5"/>
  <c r="AD35" i="5"/>
  <c r="AO35" i="5"/>
  <c r="AZ35" i="5"/>
  <c r="AK35" i="5"/>
  <c r="AI35" i="5"/>
  <c r="AT35" i="5"/>
  <c r="AR35" i="5"/>
  <c r="AU36" i="5"/>
  <c r="AT36" i="5"/>
  <c r="AG36" i="5"/>
  <c r="AM36" i="5"/>
  <c r="AS36" i="5"/>
  <c r="AH36" i="5"/>
  <c r="AD36" i="5"/>
  <c r="AF36" i="5"/>
  <c r="AJ36" i="5"/>
  <c r="AC36" i="5"/>
  <c r="AZ36" i="5"/>
  <c r="AQ36" i="5"/>
  <c r="AI36" i="5"/>
  <c r="AO36" i="5"/>
  <c r="AK36" i="5"/>
  <c r="AR36" i="5"/>
  <c r="AQ37" i="5"/>
  <c r="AO37" i="5"/>
  <c r="AR37" i="5"/>
  <c r="AU37" i="5"/>
  <c r="AT37" i="5"/>
  <c r="AS37" i="5"/>
  <c r="AH37" i="5"/>
  <c r="AG37" i="5"/>
  <c r="AF37" i="5"/>
  <c r="AC37" i="5"/>
  <c r="AK37" i="5"/>
  <c r="AZ37" i="5"/>
  <c r="AJ37" i="5"/>
  <c r="AM37" i="5"/>
  <c r="AI37" i="5"/>
  <c r="AD37" i="5"/>
  <c r="AZ39" i="5"/>
  <c r="AR39" i="5"/>
  <c r="AU39" i="5"/>
  <c r="AT39" i="5"/>
  <c r="AI39" i="5"/>
  <c r="AJ39" i="5"/>
  <c r="AM39" i="5"/>
  <c r="AQ39" i="5"/>
  <c r="AG39" i="5"/>
  <c r="AH39" i="5"/>
  <c r="AD39" i="5"/>
  <c r="AK39" i="5"/>
  <c r="AC39" i="5"/>
  <c r="AO39" i="5"/>
  <c r="AF39" i="5"/>
  <c r="AS39" i="5"/>
  <c r="AQ38" i="5"/>
  <c r="AR38" i="5"/>
  <c r="AO38" i="5"/>
  <c r="AT38" i="5"/>
  <c r="AU38" i="5"/>
  <c r="AG38" i="5"/>
  <c r="AF38" i="5"/>
  <c r="AM38" i="5"/>
  <c r="AS38" i="5"/>
  <c r="AK38" i="5"/>
  <c r="AH38" i="5"/>
  <c r="AI38" i="5"/>
  <c r="AC38" i="5"/>
  <c r="AZ38" i="5"/>
  <c r="AJ38" i="5"/>
  <c r="AD38" i="5"/>
  <c r="AU40" i="5"/>
  <c r="AQ40" i="5"/>
  <c r="AT40" i="5"/>
  <c r="AG40" i="5"/>
  <c r="AH40" i="5"/>
  <c r="AO40" i="5"/>
  <c r="AC40" i="5"/>
  <c r="AS40" i="5"/>
  <c r="AF40" i="5"/>
  <c r="AZ40" i="5"/>
  <c r="AI40" i="5"/>
  <c r="AJ40" i="5"/>
  <c r="AK40" i="5"/>
  <c r="AD40" i="5"/>
  <c r="AR40" i="5"/>
  <c r="AM40" i="5"/>
  <c r="AQ41" i="5"/>
  <c r="AD41" i="5"/>
  <c r="AO41" i="5"/>
  <c r="AS41" i="5"/>
  <c r="AT41" i="5"/>
  <c r="AR41" i="5"/>
  <c r="AK41" i="5"/>
  <c r="AI41" i="5"/>
  <c r="AU41" i="5"/>
  <c r="AZ41" i="5"/>
  <c r="AJ41" i="5"/>
  <c r="AM41" i="5"/>
  <c r="AG41" i="5"/>
  <c r="AH41" i="5"/>
  <c r="AF41" i="5"/>
  <c r="AC41" i="5"/>
  <c r="AI42" i="5"/>
  <c r="AH42" i="5"/>
  <c r="AT42" i="5"/>
  <c r="AF42" i="5"/>
  <c r="AQ42" i="5"/>
  <c r="AK42" i="5"/>
  <c r="AS42" i="5"/>
  <c r="AJ42" i="5"/>
  <c r="AG42" i="5"/>
  <c r="AZ42" i="5"/>
  <c r="AR42" i="5"/>
  <c r="AC42" i="5"/>
  <c r="AM42" i="5"/>
  <c r="AD42" i="5"/>
  <c r="AU42" i="5"/>
  <c r="AO42" i="5"/>
  <c r="AU43" i="5"/>
  <c r="AT43" i="5"/>
  <c r="AG43" i="5"/>
  <c r="AM43" i="5"/>
  <c r="AH43" i="5"/>
  <c r="AF43" i="5"/>
  <c r="AZ43" i="5"/>
  <c r="AD43" i="5"/>
  <c r="AQ43" i="5"/>
  <c r="AO43" i="5"/>
  <c r="AK43" i="5"/>
  <c r="AC43" i="5"/>
  <c r="AI43" i="5"/>
  <c r="AR43" i="5"/>
  <c r="AJ43" i="5"/>
  <c r="AS43" i="5"/>
  <c r="AT44" i="5"/>
  <c r="AG44" i="5"/>
  <c r="AM44" i="5"/>
  <c r="AH44" i="5"/>
  <c r="AQ44" i="5"/>
  <c r="AF44" i="5"/>
  <c r="AZ44" i="5"/>
  <c r="AS44" i="5"/>
  <c r="AO44" i="5"/>
  <c r="AD44" i="5"/>
  <c r="AU44" i="5"/>
  <c r="AK44" i="5"/>
  <c r="AC44" i="5"/>
  <c r="AI44" i="5"/>
  <c r="AJ44" i="5"/>
  <c r="AR44" i="5"/>
  <c r="AT45" i="5"/>
  <c r="AS45" i="5"/>
  <c r="AG45" i="5"/>
  <c r="AU45" i="5"/>
  <c r="AM45" i="5"/>
  <c r="AO45" i="5"/>
  <c r="AZ45" i="5"/>
  <c r="AH45" i="5"/>
  <c r="AJ45" i="5"/>
  <c r="AQ45" i="5"/>
  <c r="AF45" i="5"/>
  <c r="AC45" i="5"/>
  <c r="AD45" i="5"/>
  <c r="AI45" i="5"/>
  <c r="AR45" i="5"/>
  <c r="AK45" i="5"/>
  <c r="AT46" i="5"/>
  <c r="AJ46" i="5"/>
  <c r="AU46" i="5"/>
  <c r="AK46" i="5"/>
  <c r="AS46" i="5"/>
  <c r="AG46" i="5"/>
  <c r="AH46" i="5"/>
  <c r="AM46" i="5"/>
  <c r="AI46" i="5"/>
  <c r="AQ46" i="5"/>
  <c r="AF46" i="5"/>
  <c r="AO46" i="5"/>
  <c r="AC46" i="5"/>
  <c r="AZ46" i="5"/>
  <c r="AD46" i="5"/>
  <c r="AR46" i="5"/>
  <c r="AM48" i="5"/>
  <c r="AQ48" i="5"/>
  <c r="AD48" i="5"/>
  <c r="AC48" i="5"/>
  <c r="AF48" i="5"/>
  <c r="AT48" i="5"/>
  <c r="AR47" i="5"/>
  <c r="AI47" i="5"/>
  <c r="AT47" i="5"/>
  <c r="AH47" i="5"/>
  <c r="AJ47" i="5"/>
  <c r="AS47" i="5"/>
  <c r="AC47" i="5"/>
  <c r="AZ47" i="5"/>
  <c r="AO47" i="5"/>
  <c r="AU47" i="5"/>
  <c r="AG47" i="5"/>
  <c r="AQ47" i="5"/>
  <c r="AM47" i="5"/>
  <c r="AF47" i="5"/>
  <c r="AD47" i="5"/>
  <c r="AK47" i="5"/>
  <c r="AJ48" i="5"/>
  <c r="AS48" i="5"/>
  <c r="AU48" i="5"/>
  <c r="AI48" i="5"/>
  <c r="AR48" i="5"/>
  <c r="AZ48" i="5"/>
  <c r="AK48" i="5"/>
  <c r="AH48" i="5"/>
  <c r="AG48" i="5"/>
  <c r="AO48" i="5"/>
  <c r="R155" i="2"/>
  <c r="AF49" i="5"/>
  <c r="AR49" i="5"/>
  <c r="AS49" i="5"/>
  <c r="AC49" i="5"/>
  <c r="AQ49" i="5"/>
  <c r="AG49" i="5"/>
  <c r="AU49" i="5"/>
  <c r="AO49" i="5"/>
  <c r="AD49" i="5"/>
  <c r="AJ49" i="5"/>
  <c r="AK49" i="5"/>
  <c r="AH49" i="5"/>
  <c r="AT49" i="5"/>
  <c r="AZ49" i="5"/>
  <c r="AI49" i="5"/>
  <c r="AM49" i="5"/>
  <c r="Q155" i="2"/>
  <c r="AZ50" i="5"/>
  <c r="AR50" i="5"/>
  <c r="AU50" i="5"/>
  <c r="AT50" i="5"/>
  <c r="AS50" i="5"/>
  <c r="AK50" i="5"/>
  <c r="AI50" i="5"/>
  <c r="AJ50" i="5"/>
  <c r="AM50" i="5"/>
  <c r="AQ50" i="5"/>
  <c r="AO50" i="5"/>
  <c r="AG50" i="5"/>
  <c r="AH50" i="5"/>
  <c r="AF50" i="5"/>
  <c r="AC50" i="5"/>
  <c r="AD50" i="5"/>
  <c r="G112" i="2"/>
  <c r="G105" i="2"/>
  <c r="M66" i="5"/>
  <c r="AZ55" i="5"/>
  <c r="AZ54" i="5"/>
  <c r="AZ52" i="5"/>
  <c r="AZ53" i="5"/>
  <c r="AR53" i="5"/>
  <c r="AS53" i="5"/>
  <c r="AU53" i="5"/>
  <c r="AT53" i="5"/>
  <c r="AR55" i="5"/>
  <c r="AS55" i="5"/>
  <c r="AU55" i="5"/>
  <c r="AT55" i="5"/>
  <c r="AR54" i="5"/>
  <c r="AS54" i="5"/>
  <c r="AU54" i="5"/>
  <c r="AT54" i="5"/>
  <c r="AR52" i="5"/>
  <c r="AU52" i="5"/>
  <c r="AT52" i="5"/>
  <c r="AS52" i="5"/>
  <c r="AQ53" i="5"/>
  <c r="AO53" i="5"/>
  <c r="AK53" i="5"/>
  <c r="AI53" i="5"/>
  <c r="AJ53" i="5"/>
  <c r="AM53" i="5"/>
  <c r="AQ52" i="5"/>
  <c r="AO52" i="5"/>
  <c r="AK52" i="5"/>
  <c r="AI52" i="5"/>
  <c r="AJ52" i="5"/>
  <c r="AM52" i="5"/>
  <c r="AM55" i="5"/>
  <c r="AQ55" i="5"/>
  <c r="AO55" i="5"/>
  <c r="AK55" i="5"/>
  <c r="AI55" i="5"/>
  <c r="AJ55" i="5"/>
  <c r="AM54" i="5"/>
  <c r="AQ54" i="5"/>
  <c r="AO54" i="5"/>
  <c r="AK54" i="5"/>
  <c r="AI54" i="5"/>
  <c r="AJ54" i="5"/>
  <c r="AG52" i="5"/>
  <c r="AH52" i="5"/>
  <c r="AF52" i="5"/>
  <c r="AC52" i="5"/>
  <c r="AD52" i="5"/>
  <c r="AG53" i="5"/>
  <c r="AH53" i="5"/>
  <c r="AF53" i="5"/>
  <c r="AC53" i="5"/>
  <c r="AD53" i="5"/>
  <c r="AG55" i="5"/>
  <c r="AH55" i="5"/>
  <c r="AF55" i="5"/>
  <c r="AC55" i="5"/>
  <c r="AD55" i="5"/>
  <c r="AG54" i="5"/>
  <c r="AH54" i="5"/>
  <c r="AF54" i="5"/>
  <c r="AC54" i="5"/>
  <c r="AD54" i="5"/>
  <c r="AZ51" i="5"/>
  <c r="AR51" i="5"/>
  <c r="AU51" i="5"/>
  <c r="AT51" i="5"/>
  <c r="AS51" i="5"/>
  <c r="AO51" i="5"/>
  <c r="AK51" i="5"/>
  <c r="AI51" i="5"/>
  <c r="AJ51" i="5"/>
  <c r="AM51" i="5"/>
  <c r="AQ51" i="5"/>
  <c r="AG51" i="5"/>
  <c r="AH51" i="5"/>
  <c r="AF51" i="5"/>
  <c r="AC51" i="5"/>
  <c r="AD5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tc={9C13D07B-513F-264A-BC91-00CC63D4946F}</author>
    <author>tc={C7CC5125-537F-3C4F-99E8-AD905A474C68}</author>
    <author>tc={C2255E44-0DDD-D241-ACA0-742C999F7C39}</author>
  </authors>
  <commentList>
    <comment ref="H28" authorId="0" shapeId="0" xr:uid="{9C13D07B-513F-264A-BC91-00CC63D4946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based on your location and your income class
Reply:
    with a inflation of 0.7%
</t>
      </text>
    </comment>
    <comment ref="H30" authorId="1" shapeId="0" xr:uid="{C7CC5125-537F-3C4F-99E8-AD905A474C68}">
      <text>
        <t>[Threaded comment]
Your version of Excel allows you to read this threaded comment; however, any edits to it will get removed if the file is opened in a newer version of Excel. Learn more: https://go.microsoft.com/fwlink/?linkid=870924
Comment:
    default: 80% LTV and 1% interest rate</t>
      </text>
    </comment>
    <comment ref="H32" authorId="2" shapeId="0" xr:uid="{C2255E44-0DDD-D241-ACA0-742C999F7C39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age, the number of children, your income and where you life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<sst xmlns="http://schemas.openxmlformats.org/spreadsheetml/2006/main" count="36046" uniqueCount="4999">
  <si>
    <t>Questions</t>
  </si>
  <si>
    <t>Timeline</t>
  </si>
  <si>
    <t>General informations</t>
  </si>
  <si>
    <t>Now</t>
  </si>
  <si>
    <t>How much is your gross salary?</t>
  </si>
  <si>
    <t>Children</t>
  </si>
  <si>
    <t>How much is your wealth?</t>
  </si>
  <si>
    <t>House</t>
  </si>
  <si>
    <t>What are your running costs?</t>
  </si>
  <si>
    <t>Car</t>
  </si>
  <si>
    <t>How old are you?</t>
  </si>
  <si>
    <t xml:space="preserve">Special travel </t>
  </si>
  <si>
    <t>Single</t>
  </si>
  <si>
    <t>Age</t>
  </si>
  <si>
    <t xml:space="preserve">Watch </t>
  </si>
  <si>
    <t>Where do you live?</t>
  </si>
  <si>
    <t>Year</t>
  </si>
  <si>
    <t>Wedding</t>
  </si>
  <si>
    <t>Canton</t>
  </si>
  <si>
    <t>Pension</t>
  </si>
  <si>
    <t>Yes</t>
  </si>
  <si>
    <t>How much does your child cost per year?</t>
  </si>
  <si>
    <t>Do you want children?</t>
  </si>
  <si>
    <t>How many?</t>
  </si>
  <si>
    <t>At what age?</t>
  </si>
  <si>
    <t>Do you want to buy or rent a house?</t>
  </si>
  <si>
    <t>Do you already know how much it costs?</t>
  </si>
  <si>
    <t>If you buy, at what age?</t>
  </si>
  <si>
    <t>Where do you want to live (Community/PLZ)?</t>
  </si>
  <si>
    <t>How much space do you need?</t>
  </si>
  <si>
    <t>Are you looking for something Cheap/ Normal/ Expensive?</t>
  </si>
  <si>
    <t>Luxus</t>
  </si>
  <si>
    <t>Watch</t>
  </si>
  <si>
    <t>Cost</t>
  </si>
  <si>
    <t>To specify</t>
  </si>
  <si>
    <t>Special travel</t>
  </si>
  <si>
    <t>At what age do you want to retire?</t>
  </si>
  <si>
    <t>Do you want to have 80% of your latest salary?</t>
  </si>
  <si>
    <t>If no, how much capital do you want?</t>
  </si>
  <si>
    <t>Income</t>
  </si>
  <si>
    <t>3a pillar</t>
  </si>
  <si>
    <t>Special Costs</t>
  </si>
  <si>
    <t>Community</t>
  </si>
  <si>
    <t>PLZ</t>
  </si>
  <si>
    <t>Extra costs - Children</t>
  </si>
  <si>
    <t>Annual Cost for Children at current age</t>
  </si>
  <si>
    <t>Dicounted total Cost for Children</t>
  </si>
  <si>
    <t>Cash Flow</t>
  </si>
  <si>
    <t>Salary / pension</t>
  </si>
  <si>
    <t>Pension deductions</t>
  </si>
  <si>
    <t>Tot income</t>
  </si>
  <si>
    <t>Taxes</t>
  </si>
  <si>
    <t>Total Income after Tax</t>
  </si>
  <si>
    <t xml:space="preserve">Cost </t>
  </si>
  <si>
    <t>Health insurance</t>
  </si>
  <si>
    <t>Running costs</t>
  </si>
  <si>
    <t>Renting</t>
  </si>
  <si>
    <t>Tot. Costs</t>
  </si>
  <si>
    <t>Residual Income</t>
  </si>
  <si>
    <t>Invesments</t>
  </si>
  <si>
    <t xml:space="preserve">Wedding </t>
  </si>
  <si>
    <t>Tot. Investments</t>
  </si>
  <si>
    <t>Total Wealth</t>
  </si>
  <si>
    <t>Costs + Investments</t>
  </si>
  <si>
    <t xml:space="preserve">Final Free Income </t>
  </si>
  <si>
    <t>SALARY</t>
  </si>
  <si>
    <t>General information</t>
  </si>
  <si>
    <t>Salary</t>
  </si>
  <si>
    <t xml:space="preserve">Inflation </t>
  </si>
  <si>
    <t>Annual Salary Increases from 2011 to 2023</t>
  </si>
  <si>
    <t>Age of retirement</t>
  </si>
  <si>
    <t>Gross Base Salary</t>
  </si>
  <si>
    <t>Salary + inflation</t>
  </si>
  <si>
    <t>Salary + salary increases</t>
  </si>
  <si>
    <t>Inflation + salary increases</t>
  </si>
  <si>
    <t>Adjusted salary</t>
  </si>
  <si>
    <t>Salary and Pension</t>
  </si>
  <si>
    <t>PENSION</t>
  </si>
  <si>
    <t>1° Pillar decuctions</t>
  </si>
  <si>
    <t>Pension 1° Pillar</t>
  </si>
  <si>
    <t>Adjusted Salary</t>
  </si>
  <si>
    <t>1° Pillar deductions</t>
  </si>
  <si>
    <t xml:space="preserve"> </t>
  </si>
  <si>
    <t>Retirements credits</t>
  </si>
  <si>
    <t>Compulsory contributions</t>
  </si>
  <si>
    <t>Over compulsory contributions</t>
  </si>
  <si>
    <t>Contributions</t>
  </si>
  <si>
    <t>Retirement assets</t>
  </si>
  <si>
    <t>Interests</t>
  </si>
  <si>
    <t>Comulated assets</t>
  </si>
  <si>
    <t xml:space="preserve">   </t>
  </si>
  <si>
    <t>Salary and pension</t>
  </si>
  <si>
    <t>Netto Salary and Pension</t>
  </si>
  <si>
    <t>AHV (Old-Age and Survivors' Insurance)</t>
  </si>
  <si>
    <t>Single or Pair?</t>
  </si>
  <si>
    <t xml:space="preserve">AHV </t>
  </si>
  <si>
    <t>Minimum Rente Single</t>
  </si>
  <si>
    <t xml:space="preserve">IV </t>
  </si>
  <si>
    <t>Maximum Rente Single</t>
  </si>
  <si>
    <t>EO</t>
  </si>
  <si>
    <t>Maximum Rente Pair</t>
  </si>
  <si>
    <t>DI (Disability Insurance) max 148200</t>
  </si>
  <si>
    <t>EL (Supplementary Benefits) 0.5-4%</t>
  </si>
  <si>
    <t xml:space="preserve">Pension 2 Pillar </t>
  </si>
  <si>
    <t xml:space="preserve">Starting paing period </t>
  </si>
  <si>
    <t>Interest rate</t>
  </si>
  <si>
    <t>Acc. Capital with over compulsory part</t>
  </si>
  <si>
    <t>2° Pillar deductions</t>
  </si>
  <si>
    <t>Conversion rate</t>
  </si>
  <si>
    <t>years - LOB contribution</t>
  </si>
  <si>
    <t>Yearly Pension</t>
  </si>
  <si>
    <t>25-34</t>
  </si>
  <si>
    <t>Monthly pension</t>
  </si>
  <si>
    <t>35-44</t>
  </si>
  <si>
    <t>45-54</t>
  </si>
  <si>
    <t>1 Pillar</t>
  </si>
  <si>
    <t>55-64</t>
  </si>
  <si>
    <t>2 Pillar</t>
  </si>
  <si>
    <t>Minimum insurance salary</t>
  </si>
  <si>
    <t>1° + 2° Pillar</t>
  </si>
  <si>
    <t>Range salary</t>
  </si>
  <si>
    <t>Discounted interest rate</t>
  </si>
  <si>
    <t xml:space="preserve">Minimum </t>
  </si>
  <si>
    <t>Years</t>
  </si>
  <si>
    <t>Maximum</t>
  </si>
  <si>
    <t xml:space="preserve">Discounted </t>
  </si>
  <si>
    <t>Insurance salary</t>
  </si>
  <si>
    <t>Over-Compulsory Part</t>
  </si>
  <si>
    <t>Compulsory Contributions</t>
  </si>
  <si>
    <t>Over-Compulsory Contributions</t>
  </si>
  <si>
    <t>Total contributions</t>
  </si>
  <si>
    <t>Worker contributions</t>
  </si>
  <si>
    <t>3° Pillar Contributions</t>
  </si>
  <si>
    <t>Contribution</t>
  </si>
  <si>
    <t xml:space="preserve">3a - Maximum Tax deductible </t>
  </si>
  <si>
    <t>Totale</t>
  </si>
  <si>
    <t>ZH</t>
  </si>
  <si>
    <t>GE</t>
  </si>
  <si>
    <t>BE</t>
  </si>
  <si>
    <t>VD</t>
  </si>
  <si>
    <t>LU</t>
  </si>
  <si>
    <t>TI</t>
  </si>
  <si>
    <t>SG</t>
  </si>
  <si>
    <t>AG</t>
  </si>
  <si>
    <t>BS</t>
  </si>
  <si>
    <t>TG</t>
  </si>
  <si>
    <t>SH</t>
  </si>
  <si>
    <t>NW</t>
  </si>
  <si>
    <t>OW</t>
  </si>
  <si>
    <t>GL</t>
  </si>
  <si>
    <t>UR</t>
  </si>
  <si>
    <t>GR</t>
  </si>
  <si>
    <t>FR</t>
  </si>
  <si>
    <t>NE</t>
  </si>
  <si>
    <t>AR</t>
  </si>
  <si>
    <t>AI</t>
  </si>
  <si>
    <t>SZ</t>
  </si>
  <si>
    <t>SO</t>
  </si>
  <si>
    <t>ZG</t>
  </si>
  <si>
    <t>VS</t>
  </si>
  <si>
    <t>BL</t>
  </si>
  <si>
    <t>Kanton</t>
  </si>
  <si>
    <t>Zürich</t>
  </si>
  <si>
    <t>Genf</t>
  </si>
  <si>
    <t>Bern</t>
  </si>
  <si>
    <t>Luzern</t>
  </si>
  <si>
    <t>Tessin</t>
  </si>
  <si>
    <t>Basel-Stadt</t>
  </si>
  <si>
    <t>Freiburg</t>
  </si>
  <si>
    <t>Solothurn</t>
  </si>
  <si>
    <t>St. Gallen</t>
  </si>
  <si>
    <t>Aargau</t>
  </si>
  <si>
    <t>Thurgau</t>
  </si>
  <si>
    <t>Wallis</t>
  </si>
  <si>
    <t>Neuenburg</t>
  </si>
  <si>
    <t>Schaffhausen</t>
  </si>
  <si>
    <t>Graubünden</t>
  </si>
  <si>
    <t>Jura</t>
  </si>
  <si>
    <t>Schwyz</t>
  </si>
  <si>
    <t>Nidwalden</t>
  </si>
  <si>
    <t>Glarus</t>
  </si>
  <si>
    <t>Uri</t>
  </si>
  <si>
    <t>Lausanne</t>
  </si>
  <si>
    <t>Waddt</t>
  </si>
  <si>
    <t> </t>
  </si>
  <si>
    <t>Yverdon-les-Bains</t>
  </si>
  <si>
    <t>Montreux</t>
  </si>
  <si>
    <t>Renens (VD)</t>
  </si>
  <si>
    <t>Nyon</t>
  </si>
  <si>
    <t>N/A</t>
  </si>
  <si>
    <t>Vevey</t>
  </si>
  <si>
    <t>Pully</t>
  </si>
  <si>
    <t>Morges</t>
  </si>
  <si>
    <t>Gland</t>
  </si>
  <si>
    <t>Ecublens (VD)</t>
  </si>
  <si>
    <t>Prilly</t>
  </si>
  <si>
    <t>La Tour-de-Peilz</t>
  </si>
  <si>
    <t>Aigle</t>
  </si>
  <si>
    <t>Lutry</t>
  </si>
  <si>
    <t>Payerne</t>
  </si>
  <si>
    <t>Epalinges</t>
  </si>
  <si>
    <t>Bussigny</t>
  </si>
  <si>
    <t>Le Mont-sur-Lausanne</t>
  </si>
  <si>
    <t>Crissier</t>
  </si>
  <si>
    <t>Bex</t>
  </si>
  <si>
    <t>Chavannes-près-Renens</t>
  </si>
  <si>
    <t>Ollon</t>
  </si>
  <si>
    <t>Orbe</t>
  </si>
  <si>
    <t>Rolle</t>
  </si>
  <si>
    <t>Blonay</t>
  </si>
  <si>
    <t>Moudon</t>
  </si>
  <si>
    <t>Echallens</t>
  </si>
  <si>
    <t>Saint-Prex</t>
  </si>
  <si>
    <t>Villeneuve (VD)</t>
  </si>
  <si>
    <t>Oron</t>
  </si>
  <si>
    <t>Préverenges</t>
  </si>
  <si>
    <t>Bourg-en-Lavaux</t>
  </si>
  <si>
    <t>Saint-Légier-La Chiésaz</t>
  </si>
  <si>
    <t>Sainte-Croix</t>
  </si>
  <si>
    <t>Chavornay</t>
  </si>
  <si>
    <t>Le Chenit</t>
  </si>
  <si>
    <t>Saint-Sulpice (VD)</t>
  </si>
  <si>
    <t>Cheseaux-sur-Lausanne</t>
  </si>
  <si>
    <t>Avenches</t>
  </si>
  <si>
    <t>Lucens</t>
  </si>
  <si>
    <t>Prangins</t>
  </si>
  <si>
    <t>Leysin</t>
  </si>
  <si>
    <t>Vallorbe</t>
  </si>
  <si>
    <t>Cossonay</t>
  </si>
  <si>
    <t>Founex</t>
  </si>
  <si>
    <t>Belmont-sur-Lausanne</t>
  </si>
  <si>
    <t>Château-d'Oex</t>
  </si>
  <si>
    <t>Corsier-sur-Vevey</t>
  </si>
  <si>
    <t>Yvonand</t>
  </si>
  <si>
    <t>Savigny</t>
  </si>
  <si>
    <t>Romanel-sur-Lausanne</t>
  </si>
  <si>
    <t>Grandson</t>
  </si>
  <si>
    <t>Penthalaz</t>
  </si>
  <si>
    <t>Aubonne</t>
  </si>
  <si>
    <t>Coppet</t>
  </si>
  <si>
    <t>Vully-les-Lacs</t>
  </si>
  <si>
    <t>Valbroye</t>
  </si>
  <si>
    <t>Etoy</t>
  </si>
  <si>
    <t>Chardonne</t>
  </si>
  <si>
    <t>Puidoux</t>
  </si>
  <si>
    <t>Commugny</t>
  </si>
  <si>
    <t>Jorat-Mézières</t>
  </si>
  <si>
    <t>Echandens</t>
  </si>
  <si>
    <t>Cugy (VD)</t>
  </si>
  <si>
    <t>Mont-sur-Rolle</t>
  </si>
  <si>
    <t>Echichens</t>
  </si>
  <si>
    <t>Arzier-Le Muids</t>
  </si>
  <si>
    <t>Montanaire</t>
  </si>
  <si>
    <t>La Sarraz</t>
  </si>
  <si>
    <t>Froideville</t>
  </si>
  <si>
    <t>Saint-Cergue</t>
  </si>
  <si>
    <t>Lonay</t>
  </si>
  <si>
    <t>Corcelles-près-Payerne</t>
  </si>
  <si>
    <t>Corseaux</t>
  </si>
  <si>
    <t>Chexbres</t>
  </si>
  <si>
    <t>Crans-près-Céligny</t>
  </si>
  <si>
    <t>Forel (Lavaux)</t>
  </si>
  <si>
    <t>Mies</t>
  </si>
  <si>
    <t>Gimel</t>
  </si>
  <si>
    <t>Genolier</t>
  </si>
  <si>
    <t>Begnins</t>
  </si>
  <si>
    <t>Servion</t>
  </si>
  <si>
    <t>Tolochenaz</t>
  </si>
  <si>
    <t>Montilliez</t>
  </si>
  <si>
    <t>Penthaz</t>
  </si>
  <si>
    <t>Roche (VD)</t>
  </si>
  <si>
    <t>Denges</t>
  </si>
  <si>
    <t>Eysins</t>
  </si>
  <si>
    <t>Tannay</t>
  </si>
  <si>
    <t>Cudrefin</t>
  </si>
  <si>
    <t>Bière</t>
  </si>
  <si>
    <t>Jongny</t>
  </si>
  <si>
    <t>Jorat-Menthue</t>
  </si>
  <si>
    <t>Perroy</t>
  </si>
  <si>
    <t>L'Abbaye</t>
  </si>
  <si>
    <t>Paudex</t>
  </si>
  <si>
    <t>Jouxtens-Mézery</t>
  </si>
  <si>
    <t>Ormont-Dessus</t>
  </si>
  <si>
    <t>Apples</t>
  </si>
  <si>
    <t>Trélex</t>
  </si>
  <si>
    <t>Yens</t>
  </si>
  <si>
    <t>Gryon</t>
  </si>
  <si>
    <t>Bassins</t>
  </si>
  <si>
    <t>Gilly</t>
  </si>
  <si>
    <t>Chavannes-de-Bogis</t>
  </si>
  <si>
    <t>Vufflens-la-Ville</t>
  </si>
  <si>
    <t>Le Vaud</t>
  </si>
  <si>
    <t>Bottens</t>
  </si>
  <si>
    <t>Chéserex</t>
  </si>
  <si>
    <t>Bercher</t>
  </si>
  <si>
    <t>Gingins</t>
  </si>
  <si>
    <t>La Rippe</t>
  </si>
  <si>
    <t>Crassier</t>
  </si>
  <si>
    <t>Villars-le-Terroir</t>
  </si>
  <si>
    <t>Borex</t>
  </si>
  <si>
    <t>Pampigny</t>
  </si>
  <si>
    <t>Etagnières</t>
  </si>
  <si>
    <t>Ormont-Dessous</t>
  </si>
  <si>
    <t>Goumoëns</t>
  </si>
  <si>
    <t>Eclépens</t>
  </si>
  <si>
    <t>Ballaigues</t>
  </si>
  <si>
    <t>Morrens (VD)</t>
  </si>
  <si>
    <t>Duillier</t>
  </si>
  <si>
    <t>Assens</t>
  </si>
  <si>
    <t>Baulmes</t>
  </si>
  <si>
    <t>Noville</t>
  </si>
  <si>
    <t>Yvorne</t>
  </si>
  <si>
    <t>Saint-George</t>
  </si>
  <si>
    <t>Champagne</t>
  </si>
  <si>
    <t>Vich</t>
  </si>
  <si>
    <t>Lavigny</t>
  </si>
  <si>
    <t>Sullens</t>
  </si>
  <si>
    <t>Vuarrens</t>
  </si>
  <si>
    <t>L'Isle</t>
  </si>
  <si>
    <t>Daillens</t>
  </si>
  <si>
    <t>Givrins</t>
  </si>
  <si>
    <t>Montricher</t>
  </si>
  <si>
    <t>Boussens</t>
  </si>
  <si>
    <t>Essertines-sur-Yverdon</t>
  </si>
  <si>
    <t>Concise</t>
  </si>
  <si>
    <t>Chavannes-des-Bois</t>
  </si>
  <si>
    <t>Villars-Sainte-Croix</t>
  </si>
  <si>
    <t>Bavois</t>
  </si>
  <si>
    <t>Lavey-Morcles</t>
  </si>
  <si>
    <t>Gollion</t>
  </si>
  <si>
    <t>Bogis-Bossey</t>
  </si>
  <si>
    <t>Féchy</t>
  </si>
  <si>
    <t>Faoug</t>
  </si>
  <si>
    <t>Rougemont</t>
  </si>
  <si>
    <t>Grandcour</t>
  </si>
  <si>
    <t>Vufflens-le-Château</t>
  </si>
  <si>
    <t>Le Lieu</t>
  </si>
  <si>
    <t>Veytaux</t>
  </si>
  <si>
    <t>Pompaples</t>
  </si>
  <si>
    <t>Poliez-Pittet</t>
  </si>
  <si>
    <t>Tévenon</t>
  </si>
  <si>
    <t>Rennaz</t>
  </si>
  <si>
    <t>Bretigny-sur-Morrens</t>
  </si>
  <si>
    <t>Donneloye</t>
  </si>
  <si>
    <t>Lully (VD)</t>
  </si>
  <si>
    <t>Pomy</t>
  </si>
  <si>
    <t>Denens</t>
  </si>
  <si>
    <t>Saint-Barthélemy (VD)</t>
  </si>
  <si>
    <t>Bursins</t>
  </si>
  <si>
    <t>Mex (VD)</t>
  </si>
  <si>
    <t>Montagny-près-Yverdon</t>
  </si>
  <si>
    <t>Valeyres-sous-Montagny</t>
  </si>
  <si>
    <t>Cheseaux-Noréaz</t>
  </si>
  <si>
    <t>Fey</t>
  </si>
  <si>
    <t>Essertines-sur-Rolle</t>
  </si>
  <si>
    <t>Saint-Livres</t>
  </si>
  <si>
    <t>Champvent</t>
  </si>
  <si>
    <t>Lussy-sur-Morges</t>
  </si>
  <si>
    <t>Montpreveyres</t>
  </si>
  <si>
    <t>Bullet</t>
  </si>
  <si>
    <t>Arnex-sur-Orbe</t>
  </si>
  <si>
    <t>Buchillon</t>
  </si>
  <si>
    <t>Dully</t>
  </si>
  <si>
    <t>Valeyres-sous-Rances</t>
  </si>
  <si>
    <t>Mathod</t>
  </si>
  <si>
    <t>Villars-sous-Yens</t>
  </si>
  <si>
    <t>Luins</t>
  </si>
  <si>
    <t>Suchy</t>
  </si>
  <si>
    <t>Vuiteboeuf</t>
  </si>
  <si>
    <t>Vucherens</t>
  </si>
  <si>
    <t>Oulens-sous-Echallens</t>
  </si>
  <si>
    <t>Bettens</t>
  </si>
  <si>
    <t>Signy-Avenex</t>
  </si>
  <si>
    <t>Romainmôtier-Envy</t>
  </si>
  <si>
    <t>Bremblens</t>
  </si>
  <si>
    <t>Aclens</t>
  </si>
  <si>
    <t>Rossinière</t>
  </si>
  <si>
    <t>Pailly</t>
  </si>
  <si>
    <t>Chamblon</t>
  </si>
  <si>
    <t>Montherod</t>
  </si>
  <si>
    <t>Ballens</t>
  </si>
  <si>
    <t>Vulliens</t>
  </si>
  <si>
    <t>Senarclens</t>
  </si>
  <si>
    <t>Vullierens</t>
  </si>
  <si>
    <t>Bonvillars</t>
  </si>
  <si>
    <t>Bioley-Orjulaz</t>
  </si>
  <si>
    <t>Bursinel</t>
  </si>
  <si>
    <t>Vaulion</t>
  </si>
  <si>
    <t>Rances</t>
  </si>
  <si>
    <t>Coinsins</t>
  </si>
  <si>
    <t>Montcherand</t>
  </si>
  <si>
    <t>Bougy-Villars</t>
  </si>
  <si>
    <t>Cuarnens</t>
  </si>
  <si>
    <t>Cottens (VD)</t>
  </si>
  <si>
    <t>Onnens (VD)</t>
  </si>
  <si>
    <t>Maracon</t>
  </si>
  <si>
    <t>Longirod</t>
  </si>
  <si>
    <t>Romanel-sur-Morges</t>
  </si>
  <si>
    <t>Chevroux</t>
  </si>
  <si>
    <t>Lussery-Villars</t>
  </si>
  <si>
    <t>Corcelles-le-Jorat</t>
  </si>
  <si>
    <t>Ropraz</t>
  </si>
  <si>
    <t>Marchissy</t>
  </si>
  <si>
    <t>Treycovagnes</t>
  </si>
  <si>
    <t>Allaman</t>
  </si>
  <si>
    <t>Corbeyrier</t>
  </si>
  <si>
    <t>Fiez</t>
  </si>
  <si>
    <t>Saubraz</t>
  </si>
  <si>
    <t>La Chaux (Cossonay)</t>
  </si>
  <si>
    <t>Giez</t>
  </si>
  <si>
    <t>Mont-la-Ville</t>
  </si>
  <si>
    <t>Penthéréaz</t>
  </si>
  <si>
    <t>Bournens</t>
  </si>
  <si>
    <t>Lignerolle</t>
  </si>
  <si>
    <t>Villarzel</t>
  </si>
  <si>
    <t>Grancy</t>
  </si>
  <si>
    <t>Chessel</t>
  </si>
  <si>
    <t>Saint-Saphorin (Lavaux)</t>
  </si>
  <si>
    <t>Provence</t>
  </si>
  <si>
    <t>Reverolle</t>
  </si>
  <si>
    <t>Grens</t>
  </si>
  <si>
    <t>Cronay</t>
  </si>
  <si>
    <t>Croy</t>
  </si>
  <si>
    <t>Hermenches</t>
  </si>
  <si>
    <t>Belmont-sur-Yverdon</t>
  </si>
  <si>
    <t>Boulens</t>
  </si>
  <si>
    <t>Corcelles-près-Concise</t>
  </si>
  <si>
    <t>Bussy-Chardonney</t>
  </si>
  <si>
    <t>Vinzel</t>
  </si>
  <si>
    <t>Saint-Oyens</t>
  </si>
  <si>
    <t>Ependes (VD)</t>
  </si>
  <si>
    <t>Henniez</t>
  </si>
  <si>
    <t>Burtigny</t>
  </si>
  <si>
    <t>Orny</t>
  </si>
  <si>
    <t>Rivaz</t>
  </si>
  <si>
    <t>Missy</t>
  </si>
  <si>
    <t>Essertes</t>
  </si>
  <si>
    <t>Chigny</t>
  </si>
  <si>
    <t>Orges</t>
  </si>
  <si>
    <t>Ferreyres</t>
  </si>
  <si>
    <t>Curtilles</t>
  </si>
  <si>
    <t>Agiez</t>
  </si>
  <si>
    <t>Moiry</t>
  </si>
  <si>
    <t>Juriens</t>
  </si>
  <si>
    <t>Ogens</t>
  </si>
  <si>
    <t>Berolle</t>
  </si>
  <si>
    <t>Mollens (VD)</t>
  </si>
  <si>
    <t>Chavannes-le-Chêne</t>
  </si>
  <si>
    <t>Chevilly</t>
  </si>
  <si>
    <t>Trey</t>
  </si>
  <si>
    <t>Bretonnières</t>
  </si>
  <si>
    <t>Dompierre (VD)</t>
  </si>
  <si>
    <t>Rueyres</t>
  </si>
  <si>
    <t>Cuarny</t>
  </si>
  <si>
    <t>Valeyres-sous-Ursins</t>
  </si>
  <si>
    <t>L'Abergement</t>
  </si>
  <si>
    <t>Tartegnin</t>
  </si>
  <si>
    <t>Sévery</t>
  </si>
  <si>
    <t>Molondin</t>
  </si>
  <si>
    <t>Dizy</t>
  </si>
  <si>
    <t>Grandevent</t>
  </si>
  <si>
    <t>Bioley-Magnoux</t>
  </si>
  <si>
    <t>Arnex-sur-Nyon</t>
  </si>
  <si>
    <t>Chavannes-sur-Moudon</t>
  </si>
  <si>
    <t>Ursins</t>
  </si>
  <si>
    <t>Premier</t>
  </si>
  <si>
    <t>Fontaines-sur-Grandson</t>
  </si>
  <si>
    <t>Bussy-sur-Moudon</t>
  </si>
  <si>
    <t>Suscévaz</t>
  </si>
  <si>
    <t>Vaux-sur-Morges</t>
  </si>
  <si>
    <t>Oppens</t>
  </si>
  <si>
    <t>Orzens</t>
  </si>
  <si>
    <t>Bofflens</t>
  </si>
  <si>
    <t>Clarmont</t>
  </si>
  <si>
    <t>Rovray</t>
  </si>
  <si>
    <t>Les Clées</t>
  </si>
  <si>
    <t>Mutrux</t>
  </si>
  <si>
    <t>La Praz</t>
  </si>
  <si>
    <t>Prévonloup</t>
  </si>
  <si>
    <t>Syens</t>
  </si>
  <si>
    <t>Démoret</t>
  </si>
  <si>
    <t>Villars-le-Comte</t>
  </si>
  <si>
    <t>Chavannes-le-Veyron</t>
  </si>
  <si>
    <t>Lovatens</t>
  </si>
  <si>
    <t>Chêne-Pâquier</t>
  </si>
  <si>
    <t>Sergey</t>
  </si>
  <si>
    <t>Champtauroz</t>
  </si>
  <si>
    <t>Vugelles-La Mothe</t>
  </si>
  <si>
    <t>Treytorrens (Payerne)</t>
  </si>
  <si>
    <t>Mauborget</t>
  </si>
  <si>
    <t>Villars-Epeney</t>
  </si>
  <si>
    <t>Novalles</t>
  </si>
  <si>
    <t>Rossenges</t>
  </si>
  <si>
    <t>Mauraz</t>
  </si>
  <si>
    <t>Möhlin</t>
  </si>
  <si>
    <t>Lenzburg</t>
  </si>
  <si>
    <t>Suhr</t>
  </si>
  <si>
    <t>Rothrist</t>
  </si>
  <si>
    <t>Neuenhof</t>
  </si>
  <si>
    <t>Obersiggenthal</t>
  </si>
  <si>
    <t>Reinach (AG)</t>
  </si>
  <si>
    <t>Oberentfelden</t>
  </si>
  <si>
    <t>Aarburg</t>
  </si>
  <si>
    <t>Buchs (AG)</t>
  </si>
  <si>
    <t>Muri (AG)</t>
  </si>
  <si>
    <t>Bremgarten (AG)</t>
  </si>
  <si>
    <t>Gränichen</t>
  </si>
  <si>
    <t>Windisch</t>
  </si>
  <si>
    <t>Villmergen</t>
  </si>
  <si>
    <t>Untersiggenthal</t>
  </si>
  <si>
    <t>Würenlos</t>
  </si>
  <si>
    <t>Menziken</t>
  </si>
  <si>
    <t>Küttigen</t>
  </si>
  <si>
    <t>Kaiseraugst</t>
  </si>
  <si>
    <t>Frick</t>
  </si>
  <si>
    <t>Fislisbach</t>
  </si>
  <si>
    <t>Mellingen</t>
  </si>
  <si>
    <t>Rupperswil</t>
  </si>
  <si>
    <t>Gebenstorf</t>
  </si>
  <si>
    <t>Seon</t>
  </si>
  <si>
    <t>Ehrendingen</t>
  </si>
  <si>
    <t>Strengelbach</t>
  </si>
  <si>
    <t>Niederlenz</t>
  </si>
  <si>
    <t>Berikon</t>
  </si>
  <si>
    <t>Würenlingen</t>
  </si>
  <si>
    <t>Birr</t>
  </si>
  <si>
    <t>Rudolfstetten-Friedlisberg</t>
  </si>
  <si>
    <t>Zufikon</t>
  </si>
  <si>
    <t>Möriken-Wildegg</t>
  </si>
  <si>
    <t>Kölliken</t>
  </si>
  <si>
    <t>Sins</t>
  </si>
  <si>
    <t>Schöftland</t>
  </si>
  <si>
    <t>Bad Zurzach</t>
  </si>
  <si>
    <t>Erlinsbach (AG)</t>
  </si>
  <si>
    <t>Oberrohrdorf</t>
  </si>
  <si>
    <t>Unterentfelden</t>
  </si>
  <si>
    <t>Hunzenschwil</t>
  </si>
  <si>
    <t>Niederrohrdorf</t>
  </si>
  <si>
    <t>Böttstein</t>
  </si>
  <si>
    <t>Seengen</t>
  </si>
  <si>
    <t>Magden</t>
  </si>
  <si>
    <t>Brittnau</t>
  </si>
  <si>
    <t>Döttingen</t>
  </si>
  <si>
    <t>Dottikon</t>
  </si>
  <si>
    <t>Muhen</t>
  </si>
  <si>
    <t>Safenwil</t>
  </si>
  <si>
    <t>Widen</t>
  </si>
  <si>
    <t>Laufenburg</t>
  </si>
  <si>
    <t>Hausen (AG)</t>
  </si>
  <si>
    <t>Merenschwand</t>
  </si>
  <si>
    <t>Gipf-Oberfrick</t>
  </si>
  <si>
    <t>Ennetbaden</t>
  </si>
  <si>
    <t>Klingnau</t>
  </si>
  <si>
    <t>Staufen</t>
  </si>
  <si>
    <t>Stein (AG)</t>
  </si>
  <si>
    <t>Beinwil am See</t>
  </si>
  <si>
    <t>Unterkulm</t>
  </si>
  <si>
    <t>Lupfig</t>
  </si>
  <si>
    <t>Schafisheim</t>
  </si>
  <si>
    <t>Birmenstorf (AG)</t>
  </si>
  <si>
    <t>Turgi</t>
  </si>
  <si>
    <t>Meisterschwanden</t>
  </si>
  <si>
    <t>Murgenthal</t>
  </si>
  <si>
    <t>Waltenschwil</t>
  </si>
  <si>
    <t>Sarmenstorf</t>
  </si>
  <si>
    <t>Niederwil (AG)</t>
  </si>
  <si>
    <t>Bergdietikon</t>
  </si>
  <si>
    <t>Othmarsingen</t>
  </si>
  <si>
    <t>Boswil</t>
  </si>
  <si>
    <t>Lengnau (AG)</t>
  </si>
  <si>
    <t>Oberkulm</t>
  </si>
  <si>
    <t>Kaisten</t>
  </si>
  <si>
    <t>Endingen</t>
  </si>
  <si>
    <t>Hägglingen</t>
  </si>
  <si>
    <t>Oberwil-Lieli</t>
  </si>
  <si>
    <t>Zeiningen</t>
  </si>
  <si>
    <t>Eiken</t>
  </si>
  <si>
    <t>Stetten (AG)</t>
  </si>
  <si>
    <t>Schinznach</t>
  </si>
  <si>
    <t>Dintikon</t>
  </si>
  <si>
    <t>Leuggern</t>
  </si>
  <si>
    <t>Gontenschwil</t>
  </si>
  <si>
    <t>Mägenwil</t>
  </si>
  <si>
    <t>Auw</t>
  </si>
  <si>
    <t>Villigen</t>
  </si>
  <si>
    <t>Remetschwil</t>
  </si>
  <si>
    <t>Killwangen</t>
  </si>
  <si>
    <t>Jonen</t>
  </si>
  <si>
    <t>Fahrwangen</t>
  </si>
  <si>
    <t>Oberlunkhofen</t>
  </si>
  <si>
    <t>Mettauertal</t>
  </si>
  <si>
    <t>Wallbach</t>
  </si>
  <si>
    <t>Vordemwald</t>
  </si>
  <si>
    <t>Arni (AG)</t>
  </si>
  <si>
    <t>Künten</t>
  </si>
  <si>
    <t>Koblenz</t>
  </si>
  <si>
    <t>Villnachern</t>
  </si>
  <si>
    <t>Fischbach-Göslikon</t>
  </si>
  <si>
    <t>Teufenthal (AG)</t>
  </si>
  <si>
    <t>Sisseln</t>
  </si>
  <si>
    <t>Biberstein</t>
  </si>
  <si>
    <t>Hirschthal</t>
  </si>
  <si>
    <t>Oberrüti</t>
  </si>
  <si>
    <t>Auenstein</t>
  </si>
  <si>
    <t>Bözberg</t>
  </si>
  <si>
    <t>Reitnau</t>
  </si>
  <si>
    <t>Wohlenschwil</t>
  </si>
  <si>
    <t>Bellikon</t>
  </si>
  <si>
    <t>Tägerig</t>
  </si>
  <si>
    <t>Herznach</t>
  </si>
  <si>
    <t>Riniken</t>
  </si>
  <si>
    <t>Aristau</t>
  </si>
  <si>
    <t>Veltheim (AG)</t>
  </si>
  <si>
    <t>Mumpf</t>
  </si>
  <si>
    <t>Egliswil</t>
  </si>
  <si>
    <t>Boniswil</t>
  </si>
  <si>
    <t>Schneisingen</t>
  </si>
  <si>
    <t>Unterlunkhofen</t>
  </si>
  <si>
    <t>Uerkheim</t>
  </si>
  <si>
    <t>Holziken</t>
  </si>
  <si>
    <t>Wittnau</t>
  </si>
  <si>
    <t>Dietwil</t>
  </si>
  <si>
    <t>Zetzwil</t>
  </si>
  <si>
    <t>Schinznach-Bad</t>
  </si>
  <si>
    <t>Leibstadt</t>
  </si>
  <si>
    <t>Dürrenäsch</t>
  </si>
  <si>
    <t>Staffelbach</t>
  </si>
  <si>
    <t>Hendschiken</t>
  </si>
  <si>
    <t>Buttwil</t>
  </si>
  <si>
    <t>Holderbank (AG)</t>
  </si>
  <si>
    <t>Tegerfelden</t>
  </si>
  <si>
    <t>Birrwil</t>
  </si>
  <si>
    <t>Mühlau</t>
  </si>
  <si>
    <t>Zeihen</t>
  </si>
  <si>
    <t>Schmiedrued</t>
  </si>
  <si>
    <t>Beinwil (Freiamt)</t>
  </si>
  <si>
    <t>Bünzen</t>
  </si>
  <si>
    <t>Mülligen</t>
  </si>
  <si>
    <t>Wegenstetten</t>
  </si>
  <si>
    <t>Remigen</t>
  </si>
  <si>
    <t>Obermumpf</t>
  </si>
  <si>
    <t>Wölflinswil</t>
  </si>
  <si>
    <t>Freienwil</t>
  </si>
  <si>
    <t>Gansingen</t>
  </si>
  <si>
    <t>Burg (AG)</t>
  </si>
  <si>
    <t>Oeschgen</t>
  </si>
  <si>
    <t>Eggenwil</t>
  </si>
  <si>
    <t>Büttikon</t>
  </si>
  <si>
    <t>Abtwil</t>
  </si>
  <si>
    <t>Rekingen (AG)</t>
  </si>
  <si>
    <t>Hornussen</t>
  </si>
  <si>
    <t>Münchwilen (AG)</t>
  </si>
  <si>
    <t>Moosleerau</t>
  </si>
  <si>
    <t>Ueken</t>
  </si>
  <si>
    <t>Zuzgen</t>
  </si>
  <si>
    <t>Full-Reuenthal</t>
  </si>
  <si>
    <t>Hallwil</t>
  </si>
  <si>
    <t>Rüfenach</t>
  </si>
  <si>
    <t>Kirchleerau</t>
  </si>
  <si>
    <t>Schlossrued</t>
  </si>
  <si>
    <t>Thalheim (AG)</t>
  </si>
  <si>
    <t>Schupfart</t>
  </si>
  <si>
    <t>Rottenschwil</t>
  </si>
  <si>
    <t>Brunegg</t>
  </si>
  <si>
    <t>Bottenwil</t>
  </si>
  <si>
    <t>Hellikon</t>
  </si>
  <si>
    <t>Leutwil</t>
  </si>
  <si>
    <t>Rietheim</t>
  </si>
  <si>
    <t>Bözen</t>
  </si>
  <si>
    <t>Densbüren</t>
  </si>
  <si>
    <t>Birrhard</t>
  </si>
  <si>
    <t>Ammerswil</t>
  </si>
  <si>
    <t>Schwaderloch</t>
  </si>
  <si>
    <t>Siglistorf</t>
  </si>
  <si>
    <t>Besenbüren</t>
  </si>
  <si>
    <t>Bettwil</t>
  </si>
  <si>
    <t>Islisberg</t>
  </si>
  <si>
    <t>Oberhof</t>
  </si>
  <si>
    <t>Effingen</t>
  </si>
  <si>
    <t>Fisibach</t>
  </si>
  <si>
    <t>Uezwil</t>
  </si>
  <si>
    <t>Leimbach (AG)</t>
  </si>
  <si>
    <t>Habsburg</t>
  </si>
  <si>
    <t>Kaiserstuhl</t>
  </si>
  <si>
    <t>Mönthal</t>
  </si>
  <si>
    <t>Kallern</t>
  </si>
  <si>
    <t>Olsberg</t>
  </si>
  <si>
    <t>Wislikofen</t>
  </si>
  <si>
    <t>Mandach</t>
  </si>
  <si>
    <t>Rümikon</t>
  </si>
  <si>
    <t>Elfingen</t>
  </si>
  <si>
    <t>Baldingen</t>
  </si>
  <si>
    <t>Mellikon</t>
  </si>
  <si>
    <t>Geltwil</t>
  </si>
  <si>
    <t>Böbikon</t>
  </si>
  <si>
    <t>Wiliberg</t>
  </si>
  <si>
    <t>Chur</t>
  </si>
  <si>
    <t>Davos</t>
  </si>
  <si>
    <t>Landquart</t>
  </si>
  <si>
    <t>Domat</t>
  </si>
  <si>
    <t>Ems</t>
  </si>
  <si>
    <t>St. Moritz</t>
  </si>
  <si>
    <t>Ilanz</t>
  </si>
  <si>
    <t>Glion</t>
  </si>
  <si>
    <t>Scuol</t>
  </si>
  <si>
    <t>Klosters-Serneus</t>
  </si>
  <si>
    <t>Poschiavo</t>
  </si>
  <si>
    <t>Zizers</t>
  </si>
  <si>
    <t>Bonaduz</t>
  </si>
  <si>
    <t>Trimmis</t>
  </si>
  <si>
    <t>Thusis</t>
  </si>
  <si>
    <t>Arosa</t>
  </si>
  <si>
    <t>Samedan</t>
  </si>
  <si>
    <t>Maienfeld</t>
  </si>
  <si>
    <t>Flims</t>
  </si>
  <si>
    <t>Vaz</t>
  </si>
  <si>
    <t>Obervaz</t>
  </si>
  <si>
    <t>Schiers</t>
  </si>
  <si>
    <t>Felsberg</t>
  </si>
  <si>
    <t>Untervaz</t>
  </si>
  <si>
    <t>Roveredo (GR)</t>
  </si>
  <si>
    <t>Surses</t>
  </si>
  <si>
    <t>Malans</t>
  </si>
  <si>
    <t>Pontresina</t>
  </si>
  <si>
    <t>Cazis</t>
  </si>
  <si>
    <t>Mustér</t>
  </si>
  <si>
    <t>Disentis</t>
  </si>
  <si>
    <t>Grüsch</t>
  </si>
  <si>
    <t>Lumnezia</t>
  </si>
  <si>
    <t>Churwalden</t>
  </si>
  <si>
    <t>Domleschg</t>
  </si>
  <si>
    <t>Breil</t>
  </si>
  <si>
    <t>Brigels</t>
  </si>
  <si>
    <t>Laax</t>
  </si>
  <si>
    <t>Luzein</t>
  </si>
  <si>
    <t>Zernez</t>
  </si>
  <si>
    <t>Bregaglia</t>
  </si>
  <si>
    <t>Val Müstair</t>
  </si>
  <si>
    <t>Celerina</t>
  </si>
  <si>
    <t>Schlarigna</t>
  </si>
  <si>
    <t>Rhäzüns</t>
  </si>
  <si>
    <t>Trin</t>
  </si>
  <si>
    <t>Seewis im Prättigau</t>
  </si>
  <si>
    <t>Mesocco</t>
  </si>
  <si>
    <t>Grono</t>
  </si>
  <si>
    <t>Albula</t>
  </si>
  <si>
    <t>Alvra</t>
  </si>
  <si>
    <t>Tujetsch</t>
  </si>
  <si>
    <t>Tamins</t>
  </si>
  <si>
    <t>Zuoz</t>
  </si>
  <si>
    <t>Sumvitg</t>
  </si>
  <si>
    <t>Trun</t>
  </si>
  <si>
    <t>Jenaz</t>
  </si>
  <si>
    <t>Obersaxen Mundaun</t>
  </si>
  <si>
    <t>Brusio</t>
  </si>
  <si>
    <t>Silvaplana</t>
  </si>
  <si>
    <t>Vals</t>
  </si>
  <si>
    <t>Haldenstein</t>
  </si>
  <si>
    <t>Andeer</t>
  </si>
  <si>
    <t>Sils im Domleschg</t>
  </si>
  <si>
    <t>Bergün Filisur</t>
  </si>
  <si>
    <t>Safiental</t>
  </si>
  <si>
    <t>Jenins</t>
  </si>
  <si>
    <t>Valsot</t>
  </si>
  <si>
    <t>Küblis</t>
  </si>
  <si>
    <t>San Vittore</t>
  </si>
  <si>
    <t>Scharans</t>
  </si>
  <si>
    <t>Fläsch</t>
  </si>
  <si>
    <t>Samnaun</t>
  </si>
  <si>
    <t>Lostallo</t>
  </si>
  <si>
    <t>La Punt-Chamues-ch</t>
  </si>
  <si>
    <t>Sils im Engadin</t>
  </si>
  <si>
    <t>Segl</t>
  </si>
  <si>
    <t>Sagogn</t>
  </si>
  <si>
    <t>S-chanf</t>
  </si>
  <si>
    <t>Rheinwald</t>
  </si>
  <si>
    <t>Schluein</t>
  </si>
  <si>
    <t>Falera</t>
  </si>
  <si>
    <t>Fideris</t>
  </si>
  <si>
    <t>Bever</t>
  </si>
  <si>
    <t>Cama</t>
  </si>
  <si>
    <t>Lenz</t>
  </si>
  <si>
    <t>Lantsch</t>
  </si>
  <si>
    <t>Maladers</t>
  </si>
  <si>
    <t>Masein</t>
  </si>
  <si>
    <t>Zillis-Reischen</t>
  </si>
  <si>
    <t>Medel (Lucmagn)</t>
  </si>
  <si>
    <t>Fürstenau</t>
  </si>
  <si>
    <t>Soazza</t>
  </si>
  <si>
    <t>Tschiertschen-Praden</t>
  </si>
  <si>
    <t>Rothenbrunnen</t>
  </si>
  <si>
    <t>Castaneda</t>
  </si>
  <si>
    <t>Flerden</t>
  </si>
  <si>
    <t>Schmitten (GR)</t>
  </si>
  <si>
    <t>Conters im Prättigau</t>
  </si>
  <si>
    <t>Furna</t>
  </si>
  <si>
    <t>Donat</t>
  </si>
  <si>
    <t>Madulain</t>
  </si>
  <si>
    <t>Calanca</t>
  </si>
  <si>
    <t>Avers</t>
  </si>
  <si>
    <t>Rossa</t>
  </si>
  <si>
    <t>Urmein</t>
  </si>
  <si>
    <t>Sufers</t>
  </si>
  <si>
    <t>Tschappina</t>
  </si>
  <si>
    <t>Santa Maria in Calanca</t>
  </si>
  <si>
    <t>Buseno</t>
  </si>
  <si>
    <t>Ferrera</t>
  </si>
  <si>
    <t>Casti-Wergenstein</t>
  </si>
  <si>
    <t>Rongellen</t>
  </si>
  <si>
    <t>Mathon</t>
  </si>
  <si>
    <t>Lohn (GR)</t>
  </si>
  <si>
    <t>Vernier</t>
  </si>
  <si>
    <t>Lancy</t>
  </si>
  <si>
    <t>Meyrin</t>
  </si>
  <si>
    <t>Carouge (GE)</t>
  </si>
  <si>
    <t>Onex</t>
  </si>
  <si>
    <t>Thônex</t>
  </si>
  <si>
    <t>Versoix</t>
  </si>
  <si>
    <t>Le Grand-Saconnex</t>
  </si>
  <si>
    <t>Chêne-Bougeries</t>
  </si>
  <si>
    <t>Veyrier</t>
  </si>
  <si>
    <t>Plan-les-Ouates</t>
  </si>
  <si>
    <t>Bernex</t>
  </si>
  <si>
    <t>Chêne-Bourg</t>
  </si>
  <si>
    <t>Collonge-Bellerive</t>
  </si>
  <si>
    <t>Cologny</t>
  </si>
  <si>
    <t>Confignon</t>
  </si>
  <si>
    <t>Satigny</t>
  </si>
  <si>
    <t>Pregny-Chambésy</t>
  </si>
  <si>
    <t>Bellevue</t>
  </si>
  <si>
    <t>Perly-Certoux</t>
  </si>
  <si>
    <t>Genthod</t>
  </si>
  <si>
    <t>Vandoeuvres</t>
  </si>
  <si>
    <t>Anières</t>
  </si>
  <si>
    <t>Puplinge</t>
  </si>
  <si>
    <t>Troinex</t>
  </si>
  <si>
    <t>Bardonnex</t>
  </si>
  <si>
    <t>Meinier</t>
  </si>
  <si>
    <t>Corsier (GE)</t>
  </si>
  <si>
    <t>Dardagny</t>
  </si>
  <si>
    <t>Avully</t>
  </si>
  <si>
    <t>Chancy</t>
  </si>
  <si>
    <t>Collex-Bossy</t>
  </si>
  <si>
    <t>Avusy</t>
  </si>
  <si>
    <t>Jussy</t>
  </si>
  <si>
    <t>Aire-la-Ville</t>
  </si>
  <si>
    <t>Choulex</t>
  </si>
  <si>
    <t>Hermance</t>
  </si>
  <si>
    <t>Cartigny</t>
  </si>
  <si>
    <t>Soral</t>
  </si>
  <si>
    <t>Céligny</t>
  </si>
  <si>
    <t>Presinge</t>
  </si>
  <si>
    <t>Laconnex</t>
  </si>
  <si>
    <t>Russin</t>
  </si>
  <si>
    <t>Gy</t>
  </si>
  <si>
    <t>Sitten</t>
  </si>
  <si>
    <t>Martigny</t>
  </si>
  <si>
    <t>Monthey</t>
  </si>
  <si>
    <t>Siders</t>
  </si>
  <si>
    <t>Brig-Glis</t>
  </si>
  <si>
    <t>Crans-Montana</t>
  </si>
  <si>
    <t>Naters</t>
  </si>
  <si>
    <t>Collombey-Muraz</t>
  </si>
  <si>
    <t>Fully</t>
  </si>
  <si>
    <t>Conthey</t>
  </si>
  <si>
    <t>Bagnes</t>
  </si>
  <si>
    <t>Visp</t>
  </si>
  <si>
    <t>Savièse</t>
  </si>
  <si>
    <t>Nendaz</t>
  </si>
  <si>
    <t>Vétroz</t>
  </si>
  <si>
    <t>Saxon</t>
  </si>
  <si>
    <t>Zermatt</t>
  </si>
  <si>
    <t>Troistorrents</t>
  </si>
  <si>
    <t>Saint-Maurice</t>
  </si>
  <si>
    <t>Lens</t>
  </si>
  <si>
    <t>Vouvry</t>
  </si>
  <si>
    <t>Port-Valais</t>
  </si>
  <si>
    <t>Ayent</t>
  </si>
  <si>
    <t>Leuk</t>
  </si>
  <si>
    <t>Chamoson</t>
  </si>
  <si>
    <t>Chalais</t>
  </si>
  <si>
    <t>Grimisuat</t>
  </si>
  <si>
    <t>Orsières</t>
  </si>
  <si>
    <t>Leytron</t>
  </si>
  <si>
    <t>Ardon</t>
  </si>
  <si>
    <t>Riddes</t>
  </si>
  <si>
    <t>Anniviers</t>
  </si>
  <si>
    <t>Vionnaz</t>
  </si>
  <si>
    <t>Saillon</t>
  </si>
  <si>
    <t>Grône</t>
  </si>
  <si>
    <t>Saint-Léonard</t>
  </si>
  <si>
    <t>Martigny-Combe</t>
  </si>
  <si>
    <t>St. Niklaus</t>
  </si>
  <si>
    <t>Ried-Brig</t>
  </si>
  <si>
    <t>Vollèges</t>
  </si>
  <si>
    <t>Gampel-Bratsch</t>
  </si>
  <si>
    <t>Raron</t>
  </si>
  <si>
    <t>Val-d'Illiez</t>
  </si>
  <si>
    <t>Vernayaz</t>
  </si>
  <si>
    <t>Veyras</t>
  </si>
  <si>
    <t>Vex</t>
  </si>
  <si>
    <t>Massongex</t>
  </si>
  <si>
    <t>Charrat</t>
  </si>
  <si>
    <t>Evolène</t>
  </si>
  <si>
    <t>Saas-Fee</t>
  </si>
  <si>
    <t>Chippis</t>
  </si>
  <si>
    <t>Steg-Hohtenn</t>
  </si>
  <si>
    <t>Salgesch</t>
  </si>
  <si>
    <t>Leukerbad</t>
  </si>
  <si>
    <t>Hérémence</t>
  </si>
  <si>
    <t>Salvan</t>
  </si>
  <si>
    <t>Visperterminen</t>
  </si>
  <si>
    <t>Miège</t>
  </si>
  <si>
    <t>Champéry</t>
  </si>
  <si>
    <t>Baltschieder</t>
  </si>
  <si>
    <t>Täsch</t>
  </si>
  <si>
    <t>Grächen</t>
  </si>
  <si>
    <t>Venthône</t>
  </si>
  <si>
    <t>Evionnaz</t>
  </si>
  <si>
    <t>Arbaz</t>
  </si>
  <si>
    <t>Goms</t>
  </si>
  <si>
    <t>Turtmann-Unterems</t>
  </si>
  <si>
    <t>Stalden (VS)</t>
  </si>
  <si>
    <t>Mont-Noble</t>
  </si>
  <si>
    <t>Sembrancher</t>
  </si>
  <si>
    <t>Saas-Grund</t>
  </si>
  <si>
    <t>Bitsch</t>
  </si>
  <si>
    <t>Saint-Gingolph</t>
  </si>
  <si>
    <t>Dorénaz</t>
  </si>
  <si>
    <t>Fiesch</t>
  </si>
  <si>
    <t>Termen</t>
  </si>
  <si>
    <t>Bovernier</t>
  </si>
  <si>
    <t>Saint-Martin (VS)</t>
  </si>
  <si>
    <t>Isérables</t>
  </si>
  <si>
    <t>Collonges</t>
  </si>
  <si>
    <t>Liddes</t>
  </si>
  <si>
    <t>Agarn</t>
  </si>
  <si>
    <t>Vérossaz</t>
  </si>
  <si>
    <t>Bürchen</t>
  </si>
  <si>
    <t>Niedergesteln</t>
  </si>
  <si>
    <t>Mörel-Filet</t>
  </si>
  <si>
    <t>Lalden</t>
  </si>
  <si>
    <t>Obergoms</t>
  </si>
  <si>
    <t>Varen</t>
  </si>
  <si>
    <t>Ausserberg</t>
  </si>
  <si>
    <t>Veysonnaz</t>
  </si>
  <si>
    <t>Wiler (Lötschen)</t>
  </si>
  <si>
    <t>Icogne</t>
  </si>
  <si>
    <t>Staldenried</t>
  </si>
  <si>
    <t>Ernen</t>
  </si>
  <si>
    <t>Riederalp</t>
  </si>
  <si>
    <t>Törbel</t>
  </si>
  <si>
    <t>Bettmeralp</t>
  </si>
  <si>
    <t>Randa</t>
  </si>
  <si>
    <t>Eischoll</t>
  </si>
  <si>
    <t>Grengiols</t>
  </si>
  <si>
    <t>Unterbäch</t>
  </si>
  <si>
    <t>Guttet-Feschel</t>
  </si>
  <si>
    <t>Bellwald</t>
  </si>
  <si>
    <t>Finhaut</t>
  </si>
  <si>
    <t>Saas-Almagell</t>
  </si>
  <si>
    <t>Saas-Balen</t>
  </si>
  <si>
    <t>Eggerberg</t>
  </si>
  <si>
    <t>Fieschertal</t>
  </si>
  <si>
    <t>Kippel</t>
  </si>
  <si>
    <t>Lax</t>
  </si>
  <si>
    <t>Simplon</t>
  </si>
  <si>
    <t>Embd</t>
  </si>
  <si>
    <t>Blatten</t>
  </si>
  <si>
    <t>Zeneggen</t>
  </si>
  <si>
    <t>Ferden</t>
  </si>
  <si>
    <t>Albinen</t>
  </si>
  <si>
    <t>Eisten</t>
  </si>
  <si>
    <t>Ergisch</t>
  </si>
  <si>
    <t>Trient</t>
  </si>
  <si>
    <t>Bourg-Saint-Pierre</t>
  </si>
  <si>
    <t>Binn</t>
  </si>
  <si>
    <t>Oberems</t>
  </si>
  <si>
    <t>Inden</t>
  </si>
  <si>
    <t>Zwischbergen</t>
  </si>
  <si>
    <t>Bister</t>
  </si>
  <si>
    <t>Delémont</t>
  </si>
  <si>
    <t>Haute-Sorne</t>
  </si>
  <si>
    <t>Porrentruy</t>
  </si>
  <si>
    <t>Courrendlin</t>
  </si>
  <si>
    <t>Courroux</t>
  </si>
  <si>
    <t>Val Terbi</t>
  </si>
  <si>
    <t>Courtételle</t>
  </si>
  <si>
    <t>Saignelégier</t>
  </si>
  <si>
    <t>Courgenay</t>
  </si>
  <si>
    <t>Le Noirmont</t>
  </si>
  <si>
    <t>Alle</t>
  </si>
  <si>
    <t>Fontenais</t>
  </si>
  <si>
    <t>Les Breuleux</t>
  </si>
  <si>
    <t>Develier</t>
  </si>
  <si>
    <t>Clos du Doubs</t>
  </si>
  <si>
    <t>Les Bois</t>
  </si>
  <si>
    <t>Basse-Allaine</t>
  </si>
  <si>
    <t>Boncourt</t>
  </si>
  <si>
    <t>La Baroche</t>
  </si>
  <si>
    <t>Haute-Ajoie</t>
  </si>
  <si>
    <t>Cornol</t>
  </si>
  <si>
    <t>Boécourt</t>
  </si>
  <si>
    <t>Courtedoux</t>
  </si>
  <si>
    <t>Coeuve</t>
  </si>
  <si>
    <t>Lajoux (JU)</t>
  </si>
  <si>
    <t>Bonfol</t>
  </si>
  <si>
    <t>Bure</t>
  </si>
  <si>
    <t>Rossemaison</t>
  </si>
  <si>
    <t>Montfaucon</t>
  </si>
  <si>
    <t>Vendlincourt</t>
  </si>
  <si>
    <t>Les Genevez (JU)</t>
  </si>
  <si>
    <t>Muriaux</t>
  </si>
  <si>
    <t>Mervelier</t>
  </si>
  <si>
    <t>Châtillon (JU)</t>
  </si>
  <si>
    <t>Soyhières</t>
  </si>
  <si>
    <t>Courchapoix</t>
  </si>
  <si>
    <t>Movelier</t>
  </si>
  <si>
    <t>Grandfontaine</t>
  </si>
  <si>
    <t>Fahy</t>
  </si>
  <si>
    <t>Pleigne</t>
  </si>
  <si>
    <t>Le Bémont (JU)</t>
  </si>
  <si>
    <t>Courchavon</t>
  </si>
  <si>
    <t>Saulcy</t>
  </si>
  <si>
    <t>Bourrignon</t>
  </si>
  <si>
    <t>Saint-Brais</t>
  </si>
  <si>
    <t>Lugnez</t>
  </si>
  <si>
    <t>Damphreux</t>
  </si>
  <si>
    <t>Les Enfers</t>
  </si>
  <si>
    <t>Soubey</t>
  </si>
  <si>
    <t>Ederswiler</t>
  </si>
  <si>
    <t>Beurnevésin</t>
  </si>
  <si>
    <t>Mettembert</t>
  </si>
  <si>
    <t>La Chaux-des-Breuleux</t>
  </si>
  <si>
    <t>Allschwil</t>
  </si>
  <si>
    <t>Basel-Land</t>
  </si>
  <si>
    <t>Reinach (BL)</t>
  </si>
  <si>
    <t>Muttenz</t>
  </si>
  <si>
    <t>Pratteln</t>
  </si>
  <si>
    <t>Binningen</t>
  </si>
  <si>
    <t>Liestal</t>
  </si>
  <si>
    <t>Münchenstein</t>
  </si>
  <si>
    <t>Oberwil (BL)</t>
  </si>
  <si>
    <t>Birsfelden</t>
  </si>
  <si>
    <t>Aesch (BL)</t>
  </si>
  <si>
    <t>Therwil</t>
  </si>
  <si>
    <t>Arlesheim</t>
  </si>
  <si>
    <t>Sissach</t>
  </si>
  <si>
    <t>Bottmingen</t>
  </si>
  <si>
    <t>Frenkendorf</t>
  </si>
  <si>
    <t>Gelterkinden</t>
  </si>
  <si>
    <t>Laufen</t>
  </si>
  <si>
    <t>Ettingen</t>
  </si>
  <si>
    <t>Lausen</t>
  </si>
  <si>
    <t>Füllinsdorf</t>
  </si>
  <si>
    <t>Bubendorf</t>
  </si>
  <si>
    <t>Biel-Benken</t>
  </si>
  <si>
    <t>Zunzgen</t>
  </si>
  <si>
    <t>Hölstein</t>
  </si>
  <si>
    <t>Oberdorf (BL)</t>
  </si>
  <si>
    <t>Pfeffingen</t>
  </si>
  <si>
    <t>Zwingen</t>
  </si>
  <si>
    <t>Ormalingen</t>
  </si>
  <si>
    <t>Itingen</t>
  </si>
  <si>
    <t>Röschenz</t>
  </si>
  <si>
    <t>Grellingen</t>
  </si>
  <si>
    <t>Niederdorf</t>
  </si>
  <si>
    <t>Diegten</t>
  </si>
  <si>
    <t>Brislach</t>
  </si>
  <si>
    <t>Arisdorf</t>
  </si>
  <si>
    <t>Reigoldswil</t>
  </si>
  <si>
    <t>Ziefen</t>
  </si>
  <si>
    <t>Duggingen</t>
  </si>
  <si>
    <t>Lupsingen</t>
  </si>
  <si>
    <t>Wahlen</t>
  </si>
  <si>
    <t>Thürnen</t>
  </si>
  <si>
    <t>Schönenbuch</t>
  </si>
  <si>
    <t>Läufelfingen</t>
  </si>
  <si>
    <t>Seltisberg</t>
  </si>
  <si>
    <t>Liesberg</t>
  </si>
  <si>
    <t>Waldenburg</t>
  </si>
  <si>
    <t>Buus</t>
  </si>
  <si>
    <t>Giebenach</t>
  </si>
  <si>
    <t>Augst</t>
  </si>
  <si>
    <t>Langenbruck</t>
  </si>
  <si>
    <t>Maisprach</t>
  </si>
  <si>
    <t>Tenniken</t>
  </si>
  <si>
    <t>Tecknau</t>
  </si>
  <si>
    <t>Böckten</t>
  </si>
  <si>
    <t>Rothenfluh</t>
  </si>
  <si>
    <t>Bretzwil</t>
  </si>
  <si>
    <t>Rünenberg</t>
  </si>
  <si>
    <t>Ramlinsburg</t>
  </si>
  <si>
    <t>Diepflingen</t>
  </si>
  <si>
    <t>Dittingen</t>
  </si>
  <si>
    <t>Wenslingen</t>
  </si>
  <si>
    <t>Buckten</t>
  </si>
  <si>
    <t>Blauen</t>
  </si>
  <si>
    <t>Bennwil</t>
  </si>
  <si>
    <t>Wintersingen</t>
  </si>
  <si>
    <t>Rickenbach</t>
  </si>
  <si>
    <t>Anwil</t>
  </si>
  <si>
    <t>Arboldswil</t>
  </si>
  <si>
    <t>Eptingen</t>
  </si>
  <si>
    <t>Känerkinden</t>
  </si>
  <si>
    <t>Lampenberg</t>
  </si>
  <si>
    <t>Zeglingen</t>
  </si>
  <si>
    <t>Oltingen</t>
  </si>
  <si>
    <t>Wittinsburg</t>
  </si>
  <si>
    <t>Nenzlingen</t>
  </si>
  <si>
    <t>Titterten</t>
  </si>
  <si>
    <t>Rümlingen</t>
  </si>
  <si>
    <t>Lauwil</t>
  </si>
  <si>
    <t>Hersberg</t>
  </si>
  <si>
    <t>Häfelfingen</t>
  </si>
  <si>
    <t>Roggenburg</t>
  </si>
  <si>
    <t>Burg im Leimental</t>
  </si>
  <si>
    <t>Nusshof</t>
  </si>
  <si>
    <t>Hemmiken</t>
  </si>
  <si>
    <t>Liedertswil</t>
  </si>
  <si>
    <t>Kilchberg (BL)</t>
  </si>
  <si>
    <t>Basel</t>
  </si>
  <si>
    <t>Riehen</t>
  </si>
  <si>
    <t>Bettingen</t>
  </si>
  <si>
    <t>Bulle</t>
  </si>
  <si>
    <t>Villars-sur-Glâne</t>
  </si>
  <si>
    <t>Estavayer</t>
  </si>
  <si>
    <t>Murten</t>
  </si>
  <si>
    <t>Marly</t>
  </si>
  <si>
    <t>Düdingen</t>
  </si>
  <si>
    <t>Gibloux</t>
  </si>
  <si>
    <t>Châtel-Saint-Denis</t>
  </si>
  <si>
    <t>Wünnewil-Flamatt</t>
  </si>
  <si>
    <t>Belmont-Broye</t>
  </si>
  <si>
    <t>Courtepin</t>
  </si>
  <si>
    <t>Romont (FR)</t>
  </si>
  <si>
    <t>Kerzers</t>
  </si>
  <si>
    <t>Gurmels</t>
  </si>
  <si>
    <t>Schmitten (FR)</t>
  </si>
  <si>
    <t>Granges-Paccot</t>
  </si>
  <si>
    <t>Plaffeien</t>
  </si>
  <si>
    <t>Mont-Vully</t>
  </si>
  <si>
    <t>Bösingen</t>
  </si>
  <si>
    <t>Attalens</t>
  </si>
  <si>
    <t>Tafers</t>
  </si>
  <si>
    <t>Belfaux</t>
  </si>
  <si>
    <t>Givisiez</t>
  </si>
  <si>
    <t>Le Mouret</t>
  </si>
  <si>
    <t>Ursy</t>
  </si>
  <si>
    <t>Broc</t>
  </si>
  <si>
    <t>Riaz</t>
  </si>
  <si>
    <t>Neyruz (FR)</t>
  </si>
  <si>
    <t>Corminboeuf</t>
  </si>
  <si>
    <t>Montagny (FR)</t>
  </si>
  <si>
    <t>Hauterive (FR)</t>
  </si>
  <si>
    <t>Val-de-Charmey</t>
  </si>
  <si>
    <t>Ueberstorf</t>
  </si>
  <si>
    <t>Vuadens</t>
  </si>
  <si>
    <t>Vuisternens-devant-Romont</t>
  </si>
  <si>
    <t>Cheyres-Châbles</t>
  </si>
  <si>
    <t>Gruyères</t>
  </si>
  <si>
    <t>Siviriez</t>
  </si>
  <si>
    <t>St. Antoni</t>
  </si>
  <si>
    <t>Alterswil</t>
  </si>
  <si>
    <t>La Brillaz</t>
  </si>
  <si>
    <t>Misery-Courtion</t>
  </si>
  <si>
    <t>Grolley</t>
  </si>
  <si>
    <t>Marsens</t>
  </si>
  <si>
    <t>Avry</t>
  </si>
  <si>
    <t>Pont-en-Ogoz</t>
  </si>
  <si>
    <t>Saint-Aubin (FR)</t>
  </si>
  <si>
    <t>Cugy (FR)</t>
  </si>
  <si>
    <t>La Roche</t>
  </si>
  <si>
    <t>Giffers</t>
  </si>
  <si>
    <t>Haut-Intyamon</t>
  </si>
  <si>
    <t>Matran</t>
  </si>
  <si>
    <t>Rue</t>
  </si>
  <si>
    <t>Cottens (FR)</t>
  </si>
  <si>
    <t>Bossonnens</t>
  </si>
  <si>
    <t>Treyvaux</t>
  </si>
  <si>
    <t>Les Montets</t>
  </si>
  <si>
    <t>Semsales</t>
  </si>
  <si>
    <t>Courgevaux</t>
  </si>
  <si>
    <t>Sâles</t>
  </si>
  <si>
    <t>Bas-Intyamon</t>
  </si>
  <si>
    <t>Villorsonnens</t>
  </si>
  <si>
    <t>Heitenried</t>
  </si>
  <si>
    <t>Tentlingen</t>
  </si>
  <si>
    <t>St. Ursen</t>
  </si>
  <si>
    <t>Villaz-Saint-Pierre</t>
  </si>
  <si>
    <t>Le Pâquier (FR)</t>
  </si>
  <si>
    <t>Le Flon</t>
  </si>
  <si>
    <t>Ried bei Kerzers</t>
  </si>
  <si>
    <t>La Verrerie</t>
  </si>
  <si>
    <t>Lully (FR)</t>
  </si>
  <si>
    <t>La Sonnaz</t>
  </si>
  <si>
    <t>Ependes (FR)</t>
  </si>
  <si>
    <t>Prez-vers-Noréaz</t>
  </si>
  <si>
    <t>Delley-Portalban</t>
  </si>
  <si>
    <t>Sorens</t>
  </si>
  <si>
    <t>Rechthalten</t>
  </si>
  <si>
    <t>Mézières (FR)</t>
  </si>
  <si>
    <t>Remaufens</t>
  </si>
  <si>
    <t>Vaulruz</t>
  </si>
  <si>
    <t>Gletterens</t>
  </si>
  <si>
    <t>Plasselb</t>
  </si>
  <si>
    <t>Fétigny</t>
  </si>
  <si>
    <t>Saint-Martin (FR)</t>
  </si>
  <si>
    <t>La Folliaz</t>
  </si>
  <si>
    <t>St. Silvester</t>
  </si>
  <si>
    <t>Muntelier</t>
  </si>
  <si>
    <t>Cressier (FR)</t>
  </si>
  <si>
    <t>Torny</t>
  </si>
  <si>
    <t>Arconciel</t>
  </si>
  <si>
    <t>Corbières</t>
  </si>
  <si>
    <t>Granges (Veveyse)</t>
  </si>
  <si>
    <t>Chénens</t>
  </si>
  <si>
    <t>Grandvillard</t>
  </si>
  <si>
    <t>Châtonnaye</t>
  </si>
  <si>
    <t>Echarlens</t>
  </si>
  <si>
    <t>Autigny</t>
  </si>
  <si>
    <t>Billens-Hennens</t>
  </si>
  <si>
    <t>Ponthaux</t>
  </si>
  <si>
    <t>Surpierre</t>
  </si>
  <si>
    <t>Noréaz</t>
  </si>
  <si>
    <t>Galmiz</t>
  </si>
  <si>
    <t>Jaun</t>
  </si>
  <si>
    <t>Brünisried</t>
  </si>
  <si>
    <t>Kleinbösingen</t>
  </si>
  <si>
    <t>Hauteville</t>
  </si>
  <si>
    <t>Pont-la-Ville</t>
  </si>
  <si>
    <t>Morlon</t>
  </si>
  <si>
    <t>Meyriez</t>
  </si>
  <si>
    <t>Botterens</t>
  </si>
  <si>
    <t>Massonnens</t>
  </si>
  <si>
    <t>Fräschels</t>
  </si>
  <si>
    <t>Châtillon (FR)</t>
  </si>
  <si>
    <t>Ulmiz</t>
  </si>
  <si>
    <t>Vallon</t>
  </si>
  <si>
    <t>Nuvilly</t>
  </si>
  <si>
    <t>Corserey</t>
  </si>
  <si>
    <t>Ménières</t>
  </si>
  <si>
    <t>Cheiry</t>
  </si>
  <si>
    <t>Montet (Glâne)</t>
  </si>
  <si>
    <t>Le Châtelard</t>
  </si>
  <si>
    <t>Ecublens (FR)</t>
  </si>
  <si>
    <t>Crésuz</t>
  </si>
  <si>
    <t>Sévaz</t>
  </si>
  <si>
    <t>Gempenach</t>
  </si>
  <si>
    <t>Auboranges</t>
  </si>
  <si>
    <t>Châtel-sur-Montsalvens</t>
  </si>
  <si>
    <t>Ferpicloz</t>
  </si>
  <si>
    <t>Chapelle (Glâne)</t>
  </si>
  <si>
    <t>Grangettes</t>
  </si>
  <si>
    <t>Greng</t>
  </si>
  <si>
    <t>Senèdes</t>
  </si>
  <si>
    <t>Pierrafortscha</t>
  </si>
  <si>
    <t>Villarsel-sur-Marly</t>
  </si>
  <si>
    <t>Prévondavaux</t>
  </si>
  <si>
    <t>Staatswald Galm</t>
  </si>
  <si>
    <t>Glarus Nord</t>
  </si>
  <si>
    <t>Glarus Süd</t>
  </si>
  <si>
    <t>Emmen</t>
  </si>
  <si>
    <t>Kriens</t>
  </si>
  <si>
    <t>Horw</t>
  </si>
  <si>
    <t>Ebikon</t>
  </si>
  <si>
    <t>Sursee</t>
  </si>
  <si>
    <t>Hochdorf</t>
  </si>
  <si>
    <t>Willisau</t>
  </si>
  <si>
    <t>Rothenburg</t>
  </si>
  <si>
    <t>Malters</t>
  </si>
  <si>
    <t>Meggen</t>
  </si>
  <si>
    <t>Neuenkirch</t>
  </si>
  <si>
    <t>Reiden</t>
  </si>
  <si>
    <t>Ruswil</t>
  </si>
  <si>
    <t>Beromünster</t>
  </si>
  <si>
    <t>Buchrain</t>
  </si>
  <si>
    <t>Dagmersellen</t>
  </si>
  <si>
    <t>Adligenswil</t>
  </si>
  <si>
    <t>Hitzkirch</t>
  </si>
  <si>
    <t>Root</t>
  </si>
  <si>
    <t>Oberkirch</t>
  </si>
  <si>
    <t>Triengen</t>
  </si>
  <si>
    <t>Weggis</t>
  </si>
  <si>
    <t>Schötz</t>
  </si>
  <si>
    <t>Wolhusen</t>
  </si>
  <si>
    <t>Escholzmatt-Marbach</t>
  </si>
  <si>
    <t>Schüpfheim</t>
  </si>
  <si>
    <t>Sempach</t>
  </si>
  <si>
    <t>Nottwil</t>
  </si>
  <si>
    <t>Eschenbach (LU)</t>
  </si>
  <si>
    <t>Entlebuch</t>
  </si>
  <si>
    <t>Buttisholz</t>
  </si>
  <si>
    <t>Grosswangen</t>
  </si>
  <si>
    <t>Rickenbach (LU)</t>
  </si>
  <si>
    <t>Geuensee</t>
  </si>
  <si>
    <t>Menznau</t>
  </si>
  <si>
    <t>Schenkon</t>
  </si>
  <si>
    <t>Ballwil</t>
  </si>
  <si>
    <t>Rain</t>
  </si>
  <si>
    <t>Ettiswil</t>
  </si>
  <si>
    <t>Pfaffnau</t>
  </si>
  <si>
    <t>Nebikon</t>
  </si>
  <si>
    <t>Inwil</t>
  </si>
  <si>
    <t>Hohenrain</t>
  </si>
  <si>
    <t>Büron</t>
  </si>
  <si>
    <t>Udligenswil</t>
  </si>
  <si>
    <t>Hildisrieden</t>
  </si>
  <si>
    <t>Knutwil</t>
  </si>
  <si>
    <t>Wauwil</t>
  </si>
  <si>
    <t>Werthenstein</t>
  </si>
  <si>
    <t>Zell (LU)</t>
  </si>
  <si>
    <t>Flühli</t>
  </si>
  <si>
    <t>Hergiswil b. Willisau</t>
  </si>
  <si>
    <t>Römerswil</t>
  </si>
  <si>
    <t>Hasle (LU)</t>
  </si>
  <si>
    <t>Schwarzenberg</t>
  </si>
  <si>
    <t>Eich</t>
  </si>
  <si>
    <t>Altishofen</t>
  </si>
  <si>
    <t>Wikon</t>
  </si>
  <si>
    <t>Dierikon</t>
  </si>
  <si>
    <t>Mauensee</t>
  </si>
  <si>
    <t>Egolzwil</t>
  </si>
  <si>
    <t>Vitznau</t>
  </si>
  <si>
    <t>Meierskappel</t>
  </si>
  <si>
    <t>Gisikon</t>
  </si>
  <si>
    <t>Luthern</t>
  </si>
  <si>
    <t>Aesch (LU)</t>
  </si>
  <si>
    <t>Gettnau</t>
  </si>
  <si>
    <t>Greppen</t>
  </si>
  <si>
    <t>Schongau</t>
  </si>
  <si>
    <t>Altbüron</t>
  </si>
  <si>
    <t>Ermensee</t>
  </si>
  <si>
    <t>Ufhusen</t>
  </si>
  <si>
    <t>Schlierbach</t>
  </si>
  <si>
    <t>Grossdietwil</t>
  </si>
  <si>
    <t>Doppleschwand</t>
  </si>
  <si>
    <t>Fischbach (LU)</t>
  </si>
  <si>
    <t>Roggliswil</t>
  </si>
  <si>
    <t>Romoos</t>
  </si>
  <si>
    <t>Alberswil</t>
  </si>
  <si>
    <t>Altwis</t>
  </si>
  <si>
    <t>Honau</t>
  </si>
  <si>
    <t>Ebersecken</t>
  </si>
  <si>
    <t>La Chaux-de-Fonds</t>
  </si>
  <si>
    <t>Neuchâtel</t>
  </si>
  <si>
    <t>Val-de-Ruz</t>
  </si>
  <si>
    <t>Val-de-Travers</t>
  </si>
  <si>
    <t>Le Locle</t>
  </si>
  <si>
    <t>Milvignes</t>
  </si>
  <si>
    <t>La Grande-Béroche</t>
  </si>
  <si>
    <t>Boudry</t>
  </si>
  <si>
    <t>Peseux</t>
  </si>
  <si>
    <t>La Tène</t>
  </si>
  <si>
    <t>Cortaillod</t>
  </si>
  <si>
    <t>Corcelles-Cormondrèche</t>
  </si>
  <si>
    <t>Le Landeron</t>
  </si>
  <si>
    <t>Saint-Blaise</t>
  </si>
  <si>
    <t>Hauterive (NE)</t>
  </si>
  <si>
    <t>Cressier (NE)</t>
  </si>
  <si>
    <t>Cornaux</t>
  </si>
  <si>
    <t>Les Ponts-de-Martel</t>
  </si>
  <si>
    <t>Rochefort</t>
  </si>
  <si>
    <t>Les Brenets</t>
  </si>
  <si>
    <t>La Sagne</t>
  </si>
  <si>
    <t>Lignières</t>
  </si>
  <si>
    <t>Les Verrières</t>
  </si>
  <si>
    <t>La Brévine</t>
  </si>
  <si>
    <t>Valangin</t>
  </si>
  <si>
    <t>La Chaux-du-Milieu</t>
  </si>
  <si>
    <t>La Côte-aux-Fées</t>
  </si>
  <si>
    <t>Le Cerneux-Péquignot</t>
  </si>
  <si>
    <t>Enges</t>
  </si>
  <si>
    <t>Brot-Plamboz</t>
  </si>
  <si>
    <t>Les Planchettes</t>
  </si>
  <si>
    <t>Neuhausen am Rheinfall</t>
  </si>
  <si>
    <t>Thayngen</t>
  </si>
  <si>
    <t>Beringen</t>
  </si>
  <si>
    <t>Stein am Rhein</t>
  </si>
  <si>
    <t>Neunkirch</t>
  </si>
  <si>
    <t>Hallau</t>
  </si>
  <si>
    <t>Wilchingen</t>
  </si>
  <si>
    <t>Schleitheim</t>
  </si>
  <si>
    <t>Ramsen</t>
  </si>
  <si>
    <t>Löhningen</t>
  </si>
  <si>
    <t>Stetten (SH)</t>
  </si>
  <si>
    <t>Dörflingen</t>
  </si>
  <si>
    <t>Buchberg</t>
  </si>
  <si>
    <t>Gächlingen</t>
  </si>
  <si>
    <t>Siblingen</t>
  </si>
  <si>
    <t>Merishausen</t>
  </si>
  <si>
    <t>Lohn (SH)</t>
  </si>
  <si>
    <t>Rüdlingen</t>
  </si>
  <si>
    <t>Trasadingen</t>
  </si>
  <si>
    <t>Beggingen</t>
  </si>
  <si>
    <t>Hemishofen</t>
  </si>
  <si>
    <t>Oberhallau</t>
  </si>
  <si>
    <t>Büttenhardt</t>
  </si>
  <si>
    <t>Buch (SH)</t>
  </si>
  <si>
    <t>Bargen (SH)</t>
  </si>
  <si>
    <t>Freienbach</t>
  </si>
  <si>
    <t>Einsiedeln</t>
  </si>
  <si>
    <t>Küssnacht (SZ)</t>
  </si>
  <si>
    <t>Arth</t>
  </si>
  <si>
    <t>Schübelbach</t>
  </si>
  <si>
    <t>Ingenbohl</t>
  </si>
  <si>
    <t>Lachen</t>
  </si>
  <si>
    <t>Wollerau</t>
  </si>
  <si>
    <t>Altendorf</t>
  </si>
  <si>
    <t>Feusisberg</t>
  </si>
  <si>
    <t>Galgenen</t>
  </si>
  <si>
    <t>Wangen (SZ)</t>
  </si>
  <si>
    <t>Reichenburg</t>
  </si>
  <si>
    <t>Muotathal</t>
  </si>
  <si>
    <t>Steinen</t>
  </si>
  <si>
    <t>Tuggen</t>
  </si>
  <si>
    <t>Unteriberg</t>
  </si>
  <si>
    <t>Rothenthurm</t>
  </si>
  <si>
    <t>Gersau</t>
  </si>
  <si>
    <t>Sattel</t>
  </si>
  <si>
    <t>Morschach</t>
  </si>
  <si>
    <t>Lauerz</t>
  </si>
  <si>
    <t>Vorderthal</t>
  </si>
  <si>
    <t>Steinerberg</t>
  </si>
  <si>
    <t>Oberiberg</t>
  </si>
  <si>
    <t>Illgau</t>
  </si>
  <si>
    <t>Alpthal</t>
  </si>
  <si>
    <t>Innerthal</t>
  </si>
  <si>
    <t>Riemenstalden</t>
  </si>
  <si>
    <t>Lugano</t>
  </si>
  <si>
    <t>Bellinzona</t>
  </si>
  <si>
    <t>Locarno</t>
  </si>
  <si>
    <t>Mendrisio</t>
  </si>
  <si>
    <t>Chiasso</t>
  </si>
  <si>
    <t>Minusio</t>
  </si>
  <si>
    <t>Capriasca</t>
  </si>
  <si>
    <t>Losone</t>
  </si>
  <si>
    <t>Massagno</t>
  </si>
  <si>
    <t>Biasca</t>
  </si>
  <si>
    <t>Ascona</t>
  </si>
  <si>
    <t>Gambarogno</t>
  </si>
  <si>
    <t>Arbedo-Castione</t>
  </si>
  <si>
    <t>Collina d'Oro</t>
  </si>
  <si>
    <t>Gordola</t>
  </si>
  <si>
    <t>Stabio</t>
  </si>
  <si>
    <t>Morbio Inferiore</t>
  </si>
  <si>
    <t>Monteceneri</t>
  </si>
  <si>
    <t>Agno</t>
  </si>
  <si>
    <t>Caslano</t>
  </si>
  <si>
    <t>Riviera</t>
  </si>
  <si>
    <t>Paradiso</t>
  </si>
  <si>
    <t>Vacallo</t>
  </si>
  <si>
    <t>Balerna</t>
  </si>
  <si>
    <t>Tenero-Contra</t>
  </si>
  <si>
    <t>Torricella-Taverne</t>
  </si>
  <si>
    <t>Faido</t>
  </si>
  <si>
    <t>Cadenazzo</t>
  </si>
  <si>
    <t>Coldrerio</t>
  </si>
  <si>
    <t>Cugnasco-Gerra</t>
  </si>
  <si>
    <t>Muralto</t>
  </si>
  <si>
    <t>Bioggio</t>
  </si>
  <si>
    <t>Riva San Vitale</t>
  </si>
  <si>
    <t>Terre di Pedemonte</t>
  </si>
  <si>
    <t>Maggia</t>
  </si>
  <si>
    <t>Sant'Antonino</t>
  </si>
  <si>
    <t>Novazzano</t>
  </si>
  <si>
    <t>Savosa</t>
  </si>
  <si>
    <t>Castel San Pietro</t>
  </si>
  <si>
    <t>Canobbio</t>
  </si>
  <si>
    <t>Serravalle</t>
  </si>
  <si>
    <t>Breggia</t>
  </si>
  <si>
    <t>Comano</t>
  </si>
  <si>
    <t>Vezia</t>
  </si>
  <si>
    <t>Ponte Capriasca</t>
  </si>
  <si>
    <t>Acquarossa</t>
  </si>
  <si>
    <t>Blenio</t>
  </si>
  <si>
    <t>Melide</t>
  </si>
  <si>
    <t>Lamone</t>
  </si>
  <si>
    <t>Sorengo</t>
  </si>
  <si>
    <t>Brissago</t>
  </si>
  <si>
    <t>Magliaso</t>
  </si>
  <si>
    <t>Porza</t>
  </si>
  <si>
    <t>Bedano</t>
  </si>
  <si>
    <t>Airolo</t>
  </si>
  <si>
    <t>Cadempino</t>
  </si>
  <si>
    <t>Avegno Gordevio</t>
  </si>
  <si>
    <t>Origlio</t>
  </si>
  <si>
    <t>Lumino</t>
  </si>
  <si>
    <t>Melano</t>
  </si>
  <si>
    <t>Alto Malcantone</t>
  </si>
  <si>
    <t>Cureglia</t>
  </si>
  <si>
    <t>Pura</t>
  </si>
  <si>
    <t>Mezzovico-Vira</t>
  </si>
  <si>
    <t>Manno</t>
  </si>
  <si>
    <t>Lavertezzo</t>
  </si>
  <si>
    <t>Gravesano</t>
  </si>
  <si>
    <t>Cevio</t>
  </si>
  <si>
    <t>Centovalli</t>
  </si>
  <si>
    <t>Quinto</t>
  </si>
  <si>
    <t>Bodio</t>
  </si>
  <si>
    <t>Arogno</t>
  </si>
  <si>
    <t>Bissone</t>
  </si>
  <si>
    <t>Monteggio</t>
  </si>
  <si>
    <t>Giornico</t>
  </si>
  <si>
    <t>Croglio</t>
  </si>
  <si>
    <t>Rovio</t>
  </si>
  <si>
    <t>Novaggio</t>
  </si>
  <si>
    <t>Muzzano</t>
  </si>
  <si>
    <t>Cademario</t>
  </si>
  <si>
    <t>Ponte Tresa</t>
  </si>
  <si>
    <t>Pollegio</t>
  </si>
  <si>
    <t>Orselina</t>
  </si>
  <si>
    <t>Morcote</t>
  </si>
  <si>
    <t>Onsernone</t>
  </si>
  <si>
    <t>Maroggia</t>
  </si>
  <si>
    <t>Sessa</t>
  </si>
  <si>
    <t>Bedigliora</t>
  </si>
  <si>
    <t>Ronco sopra Ascona</t>
  </si>
  <si>
    <t>Vernate</t>
  </si>
  <si>
    <t>Curio</t>
  </si>
  <si>
    <t>Lavizzara</t>
  </si>
  <si>
    <t>Grancia</t>
  </si>
  <si>
    <t>Brione sopra Minusio</t>
  </si>
  <si>
    <t>Brusino Arsizio</t>
  </si>
  <si>
    <t>Prato (Leventina)</t>
  </si>
  <si>
    <t>Vico Morcote</t>
  </si>
  <si>
    <t>Isone</t>
  </si>
  <si>
    <t>Aranno</t>
  </si>
  <si>
    <t>Personico</t>
  </si>
  <si>
    <t>Neggio</t>
  </si>
  <si>
    <t>Miglieglia</t>
  </si>
  <si>
    <t>Astano</t>
  </si>
  <si>
    <t>Vogorno</t>
  </si>
  <si>
    <t>Mergoscia</t>
  </si>
  <si>
    <t>Brione (Verzasca)</t>
  </si>
  <si>
    <t>Dalpe</t>
  </si>
  <si>
    <t>Bedretto</t>
  </si>
  <si>
    <t>Frasco</t>
  </si>
  <si>
    <t>Sonogno</t>
  </si>
  <si>
    <t>Campo (Vallemaggia)</t>
  </si>
  <si>
    <t>Gruin</t>
  </si>
  <si>
    <t>Bosco</t>
  </si>
  <si>
    <t>Cerentino</t>
  </si>
  <si>
    <t>Linescio</t>
  </si>
  <si>
    <t>Corippo</t>
  </si>
  <si>
    <t>Comunanze Cadenazzo</t>
  </si>
  <si>
    <t>Comunanza Capriasca</t>
  </si>
  <si>
    <t>Zug</t>
  </si>
  <si>
    <t>Baar</t>
  </si>
  <si>
    <t>Cham</t>
  </si>
  <si>
    <t>Risch</t>
  </si>
  <si>
    <t>Steinhausen</t>
  </si>
  <si>
    <t>Hünenberg</t>
  </si>
  <si>
    <t>Unterägeri</t>
  </si>
  <si>
    <t>Oberägeri</t>
  </si>
  <si>
    <t>Menzingen</t>
  </si>
  <si>
    <t>Walchwil</t>
  </si>
  <si>
    <t>Neuheim</t>
  </si>
  <si>
    <t>Hätzingen</t>
  </si>
  <si>
    <t>Leuggelbach</t>
  </si>
  <si>
    <t>Sool</t>
  </si>
  <si>
    <t>Braunwald</t>
  </si>
  <si>
    <t>Engi</t>
  </si>
  <si>
    <t>Schwanden GL</t>
  </si>
  <si>
    <t>Betschwanden</t>
  </si>
  <si>
    <t>Elm</t>
  </si>
  <si>
    <t>Schwändi b. Schwanden</t>
  </si>
  <si>
    <t>Linthal</t>
  </si>
  <si>
    <t>Diesbach GL</t>
  </si>
  <si>
    <t>Mitlödi</t>
  </si>
  <si>
    <t>Nidfurn</t>
  </si>
  <si>
    <t>Haslen GL</t>
  </si>
  <si>
    <t>Luchsingen</t>
  </si>
  <si>
    <t>Rüti GL</t>
  </si>
  <si>
    <t>Matt</t>
  </si>
  <si>
    <t>Ennenda</t>
  </si>
  <si>
    <t>Riedern</t>
  </si>
  <si>
    <t>Klöntal</t>
  </si>
  <si>
    <t>Netstal</t>
  </si>
  <si>
    <t>Oberurnen</t>
  </si>
  <si>
    <t>Bilten</t>
  </si>
  <si>
    <t>Näfels</t>
  </si>
  <si>
    <t>Niederurnen</t>
  </si>
  <si>
    <t>Filzbach</t>
  </si>
  <si>
    <t>Obstalden</t>
  </si>
  <si>
    <t>Mühlehorn</t>
  </si>
  <si>
    <t>Mollis</t>
  </si>
  <si>
    <t>Goldiwil (Thun)</t>
  </si>
  <si>
    <t>Schafhausen im Emmental</t>
  </si>
  <si>
    <t>Biembach im Emmental</t>
  </si>
  <si>
    <t>Hasle b. Burgdorf</t>
  </si>
  <si>
    <t>Langenthal</t>
  </si>
  <si>
    <t>Untersteckholz</t>
  </si>
  <si>
    <t>Emmenbrücke</t>
  </si>
  <si>
    <t>Obernau</t>
  </si>
  <si>
    <t>Kastanienbaum</t>
  </si>
  <si>
    <t>St. Niklausen LU</t>
  </si>
  <si>
    <t>Les Acacias</t>
  </si>
  <si>
    <t>Petit-Lancy</t>
  </si>
  <si>
    <t>Grand-Lancy</t>
  </si>
  <si>
    <t>Cointrin</t>
  </si>
  <si>
    <t>Châtelaine</t>
  </si>
  <si>
    <t>Les Avanchets</t>
  </si>
  <si>
    <t>Le Lignon</t>
  </si>
  <si>
    <t>Aïre</t>
  </si>
  <si>
    <t>Brent</t>
  </si>
  <si>
    <t>Territet</t>
  </si>
  <si>
    <t>Les Avants</t>
  </si>
  <si>
    <t>Chamby</t>
  </si>
  <si>
    <t>Caux</t>
  </si>
  <si>
    <t>Chailly-Montreux</t>
  </si>
  <si>
    <t>Chernex</t>
  </si>
  <si>
    <t>Villard-sur-Chamby</t>
  </si>
  <si>
    <t>Clarens</t>
  </si>
  <si>
    <t>Aarau Rohr</t>
  </si>
  <si>
    <t>Aarau</t>
  </si>
  <si>
    <t>Baden</t>
  </si>
  <si>
    <t>Dättwil AG</t>
  </si>
  <si>
    <t>Rütihof</t>
  </si>
  <si>
    <t>Zofingen</t>
  </si>
  <si>
    <t>Mühlethal</t>
  </si>
  <si>
    <t>Wagen</t>
  </si>
  <si>
    <t>Bollingen</t>
  </si>
  <si>
    <t>Jona</t>
  </si>
  <si>
    <t>Rapperswil SG</t>
  </si>
  <si>
    <t>Rossrüti</t>
  </si>
  <si>
    <t>Wil SG</t>
  </si>
  <si>
    <t>Bronschhofen</t>
  </si>
  <si>
    <t>Arnegg</t>
  </si>
  <si>
    <t>Gossau SG</t>
  </si>
  <si>
    <t>Gandria</t>
  </si>
  <si>
    <t>Brè sopra Lugano</t>
  </si>
  <si>
    <t>Dino</t>
  </si>
  <si>
    <t>Piandera Paese</t>
  </si>
  <si>
    <t>Pambio-Noranco</t>
  </si>
  <si>
    <t>Sonvico</t>
  </si>
  <si>
    <t>Cureggia</t>
  </si>
  <si>
    <t>Pazzallo</t>
  </si>
  <si>
    <t>Castagnola</t>
  </si>
  <si>
    <t>Aldesago</t>
  </si>
  <si>
    <t>Insone</t>
  </si>
  <si>
    <t>Breganzona</t>
  </si>
  <si>
    <t>Cozzo</t>
  </si>
  <si>
    <t xml:space="preserve"> N/A </t>
  </si>
  <si>
    <t>Carabbia</t>
  </si>
  <si>
    <t>Villa Luganese</t>
  </si>
  <si>
    <t>Figino</t>
  </si>
  <si>
    <t>Curtina</t>
  </si>
  <si>
    <t>Barbengo</t>
  </si>
  <si>
    <t>Bogno</t>
  </si>
  <si>
    <t>Viganello</t>
  </si>
  <si>
    <t>Certara</t>
  </si>
  <si>
    <t>Ruvigliana</t>
  </si>
  <si>
    <t>Colla</t>
  </si>
  <si>
    <t>Davesco-Soragno</t>
  </si>
  <si>
    <t>Scareglia</t>
  </si>
  <si>
    <t>Pregassona</t>
  </si>
  <si>
    <t>Signôra</t>
  </si>
  <si>
    <t>Maglio di Colla</t>
  </si>
  <si>
    <t>Cimadera</t>
  </si>
  <si>
    <t>Cadro</t>
  </si>
  <si>
    <t>Carona</t>
  </si>
  <si>
    <t>Sementina</t>
  </si>
  <si>
    <t>S. Antonio (Val Morobbia)</t>
  </si>
  <si>
    <t>Claro</t>
  </si>
  <si>
    <t>Monte Carasso</t>
  </si>
  <si>
    <t>Gudo</t>
  </si>
  <si>
    <t>Pianezzo</t>
  </si>
  <si>
    <t>Gorduno</t>
  </si>
  <si>
    <t>Gnosca</t>
  </si>
  <si>
    <t>Moleno</t>
  </si>
  <si>
    <t>Gemeinde</t>
  </si>
  <si>
    <t>Kauf W</t>
  </si>
  <si>
    <t>Kauf H</t>
  </si>
  <si>
    <t>Mieten</t>
  </si>
  <si>
    <t>Uster</t>
  </si>
  <si>
    <t>Winterthur</t>
  </si>
  <si>
    <t>Dübendorf</t>
  </si>
  <si>
    <t>Quelle</t>
  </si>
  <si>
    <t>Dietikon</t>
  </si>
  <si>
    <t>https://realadvisor.ch/de/immobilienpreise-pro-m2/kanton-waadt</t>
  </si>
  <si>
    <t>Wädenswil</t>
  </si>
  <si>
    <t>Wetzikon (ZH)</t>
  </si>
  <si>
    <t>Horgen</t>
  </si>
  <si>
    <t>Opfikon</t>
  </si>
  <si>
    <t>Bülach</t>
  </si>
  <si>
    <t>Kloten</t>
  </si>
  <si>
    <t>Adliswil</t>
  </si>
  <si>
    <t>Schlieren</t>
  </si>
  <si>
    <t>Volketswil</t>
  </si>
  <si>
    <t>Regensdorf</t>
  </si>
  <si>
    <t>Thalwil</t>
  </si>
  <si>
    <t>Illnau-Effretikon</t>
  </si>
  <si>
    <t>Wallisellen</t>
  </si>
  <si>
    <t>Stäfa</t>
  </si>
  <si>
    <t>Küsnacht (ZH)</t>
  </si>
  <si>
    <t>Meilen</t>
  </si>
  <si>
    <t>Richterswil</t>
  </si>
  <si>
    <t>Zollikon</t>
  </si>
  <si>
    <t>Rüti (ZH)</t>
  </si>
  <si>
    <t>Affoltern am Albis</t>
  </si>
  <si>
    <t>Pfäffikon</t>
  </si>
  <si>
    <t>Bassersdorf</t>
  </si>
  <si>
    <t>Hinwil</t>
  </si>
  <si>
    <t>Männedorf</t>
  </si>
  <si>
    <t>Maur</t>
  </si>
  <si>
    <t>Gossau (ZH)</t>
  </si>
  <si>
    <t>Wald (ZH)</t>
  </si>
  <si>
    <t>Urdorf</t>
  </si>
  <si>
    <t>Embrach</t>
  </si>
  <si>
    <t>Niederhasli</t>
  </si>
  <si>
    <t>Hombrechtikon</t>
  </si>
  <si>
    <t>Fällanden</t>
  </si>
  <si>
    <t>Kilchberg (ZH)</t>
  </si>
  <si>
    <t>Egg</t>
  </si>
  <si>
    <t>Rümlang</t>
  </si>
  <si>
    <t>Wangen-Brüttisellen</t>
  </si>
  <si>
    <t>Dietlikon</t>
  </si>
  <si>
    <t>Dürnten</t>
  </si>
  <si>
    <t>Langnau am Albis</t>
  </si>
  <si>
    <t>Seuzach</t>
  </si>
  <si>
    <t>Bubikon</t>
  </si>
  <si>
    <t>Oberglatt</t>
  </si>
  <si>
    <t>Oberengstringen</t>
  </si>
  <si>
    <t>Fehraltorf</t>
  </si>
  <si>
    <t>Birmensdorf (ZH)</t>
  </si>
  <si>
    <t>Wiesendangen</t>
  </si>
  <si>
    <t>Buchs (ZH)</t>
  </si>
  <si>
    <t>Herrliberg</t>
  </si>
  <si>
    <t>Uetikon am See</t>
  </si>
  <si>
    <t>Dielsdorf</t>
  </si>
  <si>
    <t>Zell (ZH)</t>
  </si>
  <si>
    <t>Rüschlikon</t>
  </si>
  <si>
    <t>Lindau</t>
  </si>
  <si>
    <t>Nürensdorf</t>
  </si>
  <si>
    <t>Erlenbach (ZH)</t>
  </si>
  <si>
    <t>Neftenbach</t>
  </si>
  <si>
    <t>Bonstetten</t>
  </si>
  <si>
    <t>Obfelden</t>
  </si>
  <si>
    <t>Greifensee</t>
  </si>
  <si>
    <t>Glattfelden</t>
  </si>
  <si>
    <t>Eglisau</t>
  </si>
  <si>
    <t>Zumikon</t>
  </si>
  <si>
    <t>Niederglatt</t>
  </si>
  <si>
    <t>Geroldswil</t>
  </si>
  <si>
    <t>Bauma</t>
  </si>
  <si>
    <t>Elgg</t>
  </si>
  <si>
    <t>Mettmenstetten</t>
  </si>
  <si>
    <t>Weiningen (ZH)</t>
  </si>
  <si>
    <t>Oetwil am See</t>
  </si>
  <si>
    <t>Turbenthal</t>
  </si>
  <si>
    <t>Winkel</t>
  </si>
  <si>
    <t>Rafz</t>
  </si>
  <si>
    <t>Russikon</t>
  </si>
  <si>
    <t>Uitikon</t>
  </si>
  <si>
    <t>Dällikon</t>
  </si>
  <si>
    <t>Bachenbülach</t>
  </si>
  <si>
    <t>Pfungen</t>
  </si>
  <si>
    <t>Unterengstringen</t>
  </si>
  <si>
    <t>Mönchaltorf</t>
  </si>
  <si>
    <t>Stallikon</t>
  </si>
  <si>
    <t>Hedingen</t>
  </si>
  <si>
    <t>Hausen am Albis</t>
  </si>
  <si>
    <t>Feuerthalen</t>
  </si>
  <si>
    <t>Hittnau</t>
  </si>
  <si>
    <t>Elsau</t>
  </si>
  <si>
    <t>Steinmaur</t>
  </si>
  <si>
    <t>Grüningen</t>
  </si>
  <si>
    <t>Weisslingen</t>
  </si>
  <si>
    <t>Hettlingen</t>
  </si>
  <si>
    <t>Neerach</t>
  </si>
  <si>
    <t>Stammheim</t>
  </si>
  <si>
    <t>Höri</t>
  </si>
  <si>
    <t>Rickenbach (ZH)</t>
  </si>
  <si>
    <t>Ottenbach</t>
  </si>
  <si>
    <t>Fischenthal</t>
  </si>
  <si>
    <t>Oetwil an der Limmat</t>
  </si>
  <si>
    <t>Lufingen</t>
  </si>
  <si>
    <t>Freienstein-Teufen</t>
  </si>
  <si>
    <t>Knonau</t>
  </si>
  <si>
    <t>Stadel</t>
  </si>
  <si>
    <t>Henggart</t>
  </si>
  <si>
    <t>Andelfingen</t>
  </si>
  <si>
    <t>Kleinandelfingen</t>
  </si>
  <si>
    <t>Brütten</t>
  </si>
  <si>
    <t>Wila</t>
  </si>
  <si>
    <t>Marthalen</t>
  </si>
  <si>
    <t>Aeugst am Albis</t>
  </si>
  <si>
    <t>Dachsen</t>
  </si>
  <si>
    <t>Hochfelden</t>
  </si>
  <si>
    <t>Dänikon</t>
  </si>
  <si>
    <t>Oberweningen</t>
  </si>
  <si>
    <t>Weiach</t>
  </si>
  <si>
    <t>Laufen-Uhwiesen</t>
  </si>
  <si>
    <t>Ossingen</t>
  </si>
  <si>
    <t>Dinhard</t>
  </si>
  <si>
    <t>Seegräben</t>
  </si>
  <si>
    <t>Flurlingen</t>
  </si>
  <si>
    <t>Wil (ZH)</t>
  </si>
  <si>
    <t>Schöfflisdorf</t>
  </si>
  <si>
    <t>Flaach</t>
  </si>
  <si>
    <t>Boppelsen</t>
  </si>
  <si>
    <t>Aesch (ZH)</t>
  </si>
  <si>
    <t>Rheinau</t>
  </si>
  <si>
    <t>Kappel am Albis</t>
  </si>
  <si>
    <t>Hagenbuch</t>
  </si>
  <si>
    <t>Rifferswil</t>
  </si>
  <si>
    <t>Trüllikon</t>
  </si>
  <si>
    <t>Oberembrach</t>
  </si>
  <si>
    <t>Hüntwangen</t>
  </si>
  <si>
    <t>Dägerlen</t>
  </si>
  <si>
    <t>Wildberg</t>
  </si>
  <si>
    <t>Buch am Irchel</t>
  </si>
  <si>
    <t>Hüttikon</t>
  </si>
  <si>
    <t>Thalheim an der Thur</t>
  </si>
  <si>
    <t>Ellikon an der Thur</t>
  </si>
  <si>
    <t>Benken (ZH)</t>
  </si>
  <si>
    <t>Dättlikon</t>
  </si>
  <si>
    <t>Schleinikon</t>
  </si>
  <si>
    <t>Schlatt (ZH)</t>
  </si>
  <si>
    <t>Dorf</t>
  </si>
  <si>
    <t>Altikon</t>
  </si>
  <si>
    <t>Buchs</t>
  </si>
  <si>
    <t>Rapperswil-Jona</t>
  </si>
  <si>
    <t>Will</t>
  </si>
  <si>
    <t>Uznach</t>
  </si>
  <si>
    <t>Altstätten</t>
  </si>
  <si>
    <t>Walenstadt</t>
  </si>
  <si>
    <t>Gossau</t>
  </si>
  <si>
    <t>Sargans</t>
  </si>
  <si>
    <t>Sennwald</t>
  </si>
  <si>
    <t>Wartau</t>
  </si>
  <si>
    <t>Gommiswald</t>
  </si>
  <si>
    <t>Sevelen</t>
  </si>
  <si>
    <t>Ebnat-Kappel</t>
  </si>
  <si>
    <t>Flums</t>
  </si>
  <si>
    <t>Vilters-Wangs</t>
  </si>
  <si>
    <t>Kaltbrunn</t>
  </si>
  <si>
    <t>Zuzwil (SG)</t>
  </si>
  <si>
    <t>Bütschwil-Ganterschwil</t>
  </si>
  <si>
    <t>Balgach</t>
  </si>
  <si>
    <t>Rebstein</t>
  </si>
  <si>
    <t>Oberbüren</t>
  </si>
  <si>
    <t>Neckertal</t>
  </si>
  <si>
    <t>Degersheim</t>
  </si>
  <si>
    <t>Berneck</t>
  </si>
  <si>
    <t>Schänis</t>
  </si>
  <si>
    <t>Jonschwil</t>
  </si>
  <si>
    <t>Schmerikon</t>
  </si>
  <si>
    <t>Nesslau</t>
  </si>
  <si>
    <t>Steinach</t>
  </si>
  <si>
    <t>Mörschwil</t>
  </si>
  <si>
    <t>Waldkirch</t>
  </si>
  <si>
    <t>Rheineck</t>
  </si>
  <si>
    <t>Gams</t>
  </si>
  <si>
    <t>Niederhelfenschwil</t>
  </si>
  <si>
    <t>Benken (SG)</t>
  </si>
  <si>
    <t>Mosnang</t>
  </si>
  <si>
    <t>Wildhaus-Alt St. Johann</t>
  </si>
  <si>
    <t>Rüthi (SG)</t>
  </si>
  <si>
    <t>Eggersriet</t>
  </si>
  <si>
    <t>Marbach (SG)</t>
  </si>
  <si>
    <t>Andwil (SG)</t>
  </si>
  <si>
    <t>Lichtensteig</t>
  </si>
  <si>
    <t>Amden</t>
  </si>
  <si>
    <t>Weesen</t>
  </si>
  <si>
    <t>Pfäfers</t>
  </si>
  <si>
    <t>Lütisburg</t>
  </si>
  <si>
    <t>Niederbüren</t>
  </si>
  <si>
    <t>Eichberg</t>
  </si>
  <si>
    <t>Tübach</t>
  </si>
  <si>
    <t>Häggenschwil</t>
  </si>
  <si>
    <t>Oberhelfenschwil</t>
  </si>
  <si>
    <t>Muolen</t>
  </si>
  <si>
    <t>Untereggen</t>
  </si>
  <si>
    <t>Hemberg</t>
  </si>
  <si>
    <t>Berg (SG)</t>
  </si>
  <si>
    <t>Herisau</t>
  </si>
  <si>
    <t>Appenzell Aussenroden</t>
  </si>
  <si>
    <t>Teufen (AR)</t>
  </si>
  <si>
    <t>Speicher</t>
  </si>
  <si>
    <t>Heiden</t>
  </si>
  <si>
    <t>Gais</t>
  </si>
  <si>
    <t>Urnäsch</t>
  </si>
  <si>
    <t>Walzenhausen</t>
  </si>
  <si>
    <t>Waldstatt</t>
  </si>
  <si>
    <t>Wolfhalden</t>
  </si>
  <si>
    <t>Bühler</t>
  </si>
  <si>
    <t>Rehetobel</t>
  </si>
  <si>
    <t>Trogen</t>
  </si>
  <si>
    <t>Schwellbrunn</t>
  </si>
  <si>
    <t>Stein (AR)</t>
  </si>
  <si>
    <t>Lutzenberg</t>
  </si>
  <si>
    <t>Grub (AR)</t>
  </si>
  <si>
    <t>Hundwil</t>
  </si>
  <si>
    <t>Wald (AR)</t>
  </si>
  <si>
    <t>Reute (AR)</t>
  </si>
  <si>
    <t>Schönengrund</t>
  </si>
  <si>
    <t>Appenzell</t>
  </si>
  <si>
    <t>Appenzell Inneroden</t>
  </si>
  <si>
    <t>Rüte</t>
  </si>
  <si>
    <t xml:space="preserve">Schwende </t>
  </si>
  <si>
    <t xml:space="preserve">Oberegg </t>
  </si>
  <si>
    <t xml:space="preserve">Gonten </t>
  </si>
  <si>
    <t xml:space="preserve">Schlatt-Haslen </t>
  </si>
  <si>
    <t>Frauenfeld</t>
  </si>
  <si>
    <t>Kreuzlingen</t>
  </si>
  <si>
    <t>Arbon</t>
  </si>
  <si>
    <t>Amriswil</t>
  </si>
  <si>
    <t>Weinfelden</t>
  </si>
  <si>
    <t>Romanshorn</t>
  </si>
  <si>
    <t>Aadorf</t>
  </si>
  <si>
    <t>Sirnach</t>
  </si>
  <si>
    <t>Bischofszell</t>
  </si>
  <si>
    <t>Münchwilen (TG)</t>
  </si>
  <si>
    <t>Egnach</t>
  </si>
  <si>
    <t>Wängi</t>
  </si>
  <si>
    <t>Tägerwilen</t>
  </si>
  <si>
    <t>Eschlikon</t>
  </si>
  <si>
    <t>Gachnang</t>
  </si>
  <si>
    <t>Diessenhofen</t>
  </si>
  <si>
    <t>Bürglen (TG)</t>
  </si>
  <si>
    <t>Steckborn</t>
  </si>
  <si>
    <t>Sulgen</t>
  </si>
  <si>
    <t>Erlen</t>
  </si>
  <si>
    <t>Kradolf-Schönenberg</t>
  </si>
  <si>
    <t>Münsterlingen</t>
  </si>
  <si>
    <t>Ermatingen</t>
  </si>
  <si>
    <t>Berg (TG)</t>
  </si>
  <si>
    <t>Roggwil (TG)</t>
  </si>
  <si>
    <t>Müllheim</t>
  </si>
  <si>
    <t>Matzingen</t>
  </si>
  <si>
    <t>Bichelsee-Balterswil</t>
  </si>
  <si>
    <t>Märstetten</t>
  </si>
  <si>
    <t>Felben-Wellhausen</t>
  </si>
  <si>
    <t>Rickenbach (TG)</t>
  </si>
  <si>
    <t>Horn</t>
  </si>
  <si>
    <t>Fischingen</t>
  </si>
  <si>
    <t>Affeltrangen</t>
  </si>
  <si>
    <t>Wilen (TG)</t>
  </si>
  <si>
    <t>Kemmental</t>
  </si>
  <si>
    <t>Wigoltingen</t>
  </si>
  <si>
    <t>Zihlschlacht-Sitterdorf</t>
  </si>
  <si>
    <t>Bussnang</t>
  </si>
  <si>
    <t>Altnau</t>
  </si>
  <si>
    <t>Bottighofen</t>
  </si>
  <si>
    <t>Pfyn</t>
  </si>
  <si>
    <t>Hauptwil-Gottshaus</t>
  </si>
  <si>
    <t>Uttwil</t>
  </si>
  <si>
    <t>Basadingen-Schlattingen</t>
  </si>
  <si>
    <t>Eschenz</t>
  </si>
  <si>
    <t>Lengwil</t>
  </si>
  <si>
    <t>Hüttwilen</t>
  </si>
  <si>
    <t>Schlatt (TG)</t>
  </si>
  <si>
    <t>Wagenhausen</t>
  </si>
  <si>
    <t>Güttingen</t>
  </si>
  <si>
    <t>Tobel-Tägerschen</t>
  </si>
  <si>
    <t>Homburg</t>
  </si>
  <si>
    <t>Thundorf</t>
  </si>
  <si>
    <t>Salmsach</t>
  </si>
  <si>
    <t>Birwinken</t>
  </si>
  <si>
    <t>Amlikon-Bissegg</t>
  </si>
  <si>
    <t>Warth-Weiningen</t>
  </si>
  <si>
    <t>Langrickenbach</t>
  </si>
  <si>
    <t>Salenstein</t>
  </si>
  <si>
    <t>Bettwiesen</t>
  </si>
  <si>
    <t>Lommis</t>
  </si>
  <si>
    <t>Stettfurt</t>
  </si>
  <si>
    <t>Hefenhofen</t>
  </si>
  <si>
    <t>Wuppenau</t>
  </si>
  <si>
    <t>Uesslingen-Buch</t>
  </si>
  <si>
    <t>Wäldi</t>
  </si>
  <si>
    <t>Herdern</t>
  </si>
  <si>
    <t>Neunforn</t>
  </si>
  <si>
    <t>Kesswil</t>
  </si>
  <si>
    <t>Berlingen</t>
  </si>
  <si>
    <t>Schönholzerswilen</t>
  </si>
  <si>
    <t>Hüttlingen</t>
  </si>
  <si>
    <t>Braunau</t>
  </si>
  <si>
    <t>Dozwil</t>
  </si>
  <si>
    <t>Mammern</t>
  </si>
  <si>
    <t>Hohentannen</t>
  </si>
  <si>
    <t>Sommeri</t>
  </si>
  <si>
    <t>Raperswilen</t>
  </si>
  <si>
    <t>Gottlieben</t>
  </si>
  <si>
    <t>Altdorf (UR)</t>
  </si>
  <si>
    <t>Schattdorf</t>
  </si>
  <si>
    <t>Bürglen (UR)</t>
  </si>
  <si>
    <t>Erstfeld</t>
  </si>
  <si>
    <t>Silenen</t>
  </si>
  <si>
    <t>Flüelen</t>
  </si>
  <si>
    <t>Seedorf (UR)</t>
  </si>
  <si>
    <t>Attingenhausen</t>
  </si>
  <si>
    <t>Andermatt</t>
  </si>
  <si>
    <t>Springen</t>
  </si>
  <si>
    <t>Unterschächen</t>
  </si>
  <si>
    <t>Seelisberg</t>
  </si>
  <si>
    <t>Gurtenellen</t>
  </si>
  <si>
    <t>Isendthal</t>
  </si>
  <si>
    <t>Göschenen+W328:W345</t>
  </si>
  <si>
    <t>Wassen</t>
  </si>
  <si>
    <t>Sisikon</t>
  </si>
  <si>
    <t>Hospental</t>
  </si>
  <si>
    <t>Bauen</t>
  </si>
  <si>
    <t>Realp</t>
  </si>
  <si>
    <t>Stans</t>
  </si>
  <si>
    <t>Hergiswil (NW)</t>
  </si>
  <si>
    <t>Buochs</t>
  </si>
  <si>
    <t>Ennetbürgen</t>
  </si>
  <si>
    <t>Stansstad</t>
  </si>
  <si>
    <t>Beckenried</t>
  </si>
  <si>
    <t>Oberdorf (NW)</t>
  </si>
  <si>
    <t>Ennetmoos</t>
  </si>
  <si>
    <t>Wolfenschiessen</t>
  </si>
  <si>
    <t>Dallenwil</t>
  </si>
  <si>
    <t>Emmetten</t>
  </si>
  <si>
    <t>Sarnen</t>
  </si>
  <si>
    <t>Obwalen</t>
  </si>
  <si>
    <t>Kerns</t>
  </si>
  <si>
    <t>Alpnach</t>
  </si>
  <si>
    <t>Sachseln</t>
  </si>
  <si>
    <t>Engelberg</t>
  </si>
  <si>
    <t>Giswil</t>
  </si>
  <si>
    <t>Lungern</t>
  </si>
  <si>
    <t>Olten</t>
  </si>
  <si>
    <t>Soloturn</t>
  </si>
  <si>
    <t>Grenchen</t>
  </si>
  <si>
    <t>Zuchwil</t>
  </si>
  <si>
    <t>Biberist</t>
  </si>
  <si>
    <t>Dornach</t>
  </si>
  <si>
    <t>Trimbach</t>
  </si>
  <si>
    <t>Derendingen</t>
  </si>
  <si>
    <t>Oensingen</t>
  </si>
  <si>
    <t>Balsthal</t>
  </si>
  <si>
    <t>Bellach</t>
  </si>
  <si>
    <t>Gerlafingen</t>
  </si>
  <si>
    <t>Wangen bei Olten</t>
  </si>
  <si>
    <t>Hägendorf</t>
  </si>
  <si>
    <t>Dulliken</t>
  </si>
  <si>
    <t>Bettlach</t>
  </si>
  <si>
    <t>Schönenwerd</t>
  </si>
  <si>
    <t>Lostorf</t>
  </si>
  <si>
    <t>Niedergösgen</t>
  </si>
  <si>
    <t>Breitenbach</t>
  </si>
  <si>
    <t>Langendorf</t>
  </si>
  <si>
    <t>Erlinsbach (SO)</t>
  </si>
  <si>
    <t>Egerkingen</t>
  </si>
  <si>
    <t>Luterbach</t>
  </si>
  <si>
    <t>Selzach</t>
  </si>
  <si>
    <t>Kappel (SO)</t>
  </si>
  <si>
    <t>Subingen</t>
  </si>
  <si>
    <t>Hofstetten-Flüh</t>
  </si>
  <si>
    <t>Lohn-Ammannsegg</t>
  </si>
  <si>
    <t>Däniken</t>
  </si>
  <si>
    <t>Gretzenbach</t>
  </si>
  <si>
    <t>Buchegg</t>
  </si>
  <si>
    <t>Mümliswil-Ramiswil</t>
  </si>
  <si>
    <t>Riedholz</t>
  </si>
  <si>
    <t>Büsserach</t>
  </si>
  <si>
    <t>Oberbuchsiten</t>
  </si>
  <si>
    <t>Deitingen</t>
  </si>
  <si>
    <t>Obergösgen</t>
  </si>
  <si>
    <t>Wolfwil</t>
  </si>
  <si>
    <t>Neuendorf</t>
  </si>
  <si>
    <t>Recherswil</t>
  </si>
  <si>
    <t>Nunningen</t>
  </si>
  <si>
    <t>Winznau</t>
  </si>
  <si>
    <t>Kestenholz</t>
  </si>
  <si>
    <t>Fulenbach</t>
  </si>
  <si>
    <t>Laupersdorf</t>
  </si>
  <si>
    <t>Oberdorf (SO)</t>
  </si>
  <si>
    <t>Starrkirch-Wil</t>
  </si>
  <si>
    <t>Gunzgen</t>
  </si>
  <si>
    <t>Härkingen</t>
  </si>
  <si>
    <t>Lommiswil</t>
  </si>
  <si>
    <t>Witterswil</t>
  </si>
  <si>
    <t>Rüttenen</t>
  </si>
  <si>
    <t>Messen</t>
  </si>
  <si>
    <t xml:space="preserve">          5'803.00 CHF</t>
  </si>
  <si>
    <t>Nuglar-St. Pantaleon</t>
  </si>
  <si>
    <t xml:space="preserve">          7'875.00 CHF</t>
  </si>
  <si>
    <t>Matzendorf</t>
  </si>
  <si>
    <t xml:space="preserve">          5'208.00 CHF</t>
  </si>
  <si>
    <t>Rodersdorf</t>
  </si>
  <si>
    <t xml:space="preserve">          5'782.00 CHF</t>
  </si>
  <si>
    <t>Kriegstetten</t>
  </si>
  <si>
    <t xml:space="preserve">          6'132.00 CHF</t>
  </si>
  <si>
    <t>Hochwald</t>
  </si>
  <si>
    <t xml:space="preserve">          8'410.00 CHF</t>
  </si>
  <si>
    <t>Kleinlützel</t>
  </si>
  <si>
    <t xml:space="preserve">          5'552.00 CHF</t>
  </si>
  <si>
    <t>Aeschi (SO)</t>
  </si>
  <si>
    <t xml:space="preserve">          5'526.00 CHF</t>
  </si>
  <si>
    <t>Bättwil</t>
  </si>
  <si>
    <t xml:space="preserve">          8'071.00 CHF</t>
  </si>
  <si>
    <t>Niederbuchsiten</t>
  </si>
  <si>
    <t xml:space="preserve">          5'433.00 CHF</t>
  </si>
  <si>
    <t>Günsberg</t>
  </si>
  <si>
    <t xml:space="preserve">          5'983.00 CHF</t>
  </si>
  <si>
    <t>Obergerlafingen</t>
  </si>
  <si>
    <t xml:space="preserve">          5'554.00 CHF</t>
  </si>
  <si>
    <t>Schnottwil</t>
  </si>
  <si>
    <t xml:space="preserve">          5'807.00 CHF</t>
  </si>
  <si>
    <t>Welschenrohr</t>
  </si>
  <si>
    <t xml:space="preserve">          3'654.00 CHF</t>
  </si>
  <si>
    <t>Stüsslingen</t>
  </si>
  <si>
    <t xml:space="preserve">          5'966.00 CHF</t>
  </si>
  <si>
    <t>Lüsslingen-Nennigkofen</t>
  </si>
  <si>
    <t xml:space="preserve">          6'205.00 CHF</t>
  </si>
  <si>
    <t>Büren (SO)</t>
  </si>
  <si>
    <t xml:space="preserve">          7'618.00 CHF</t>
  </si>
  <si>
    <t>Seewen</t>
  </si>
  <si>
    <t xml:space="preserve">          7'220.00 CHF</t>
  </si>
  <si>
    <t>Feldbrunnen-St. Niklaus</t>
  </si>
  <si>
    <t xml:space="preserve">          9'180.00 CHF</t>
  </si>
  <si>
    <t>Rickenbach (SO)</t>
  </si>
  <si>
    <t xml:space="preserve">          5'651.00 CHF</t>
  </si>
  <si>
    <t>Flumenthal</t>
  </si>
  <si>
    <t xml:space="preserve">          5'784.00 CHF</t>
  </si>
  <si>
    <t>Metzerlen-Mariastein</t>
  </si>
  <si>
    <t xml:space="preserve">          6'559.00 CHF</t>
  </si>
  <si>
    <t>Himmelried</t>
  </si>
  <si>
    <t xml:space="preserve">          4'940.00 CHF</t>
  </si>
  <si>
    <t>Erschwil</t>
  </si>
  <si>
    <t xml:space="preserve">          6'041.00 CHF</t>
  </si>
  <si>
    <t>Gempen</t>
  </si>
  <si>
    <t xml:space="preserve">          8'562.00 CHF</t>
  </si>
  <si>
    <t>Halten</t>
  </si>
  <si>
    <t xml:space="preserve">          5'809.00 CHF</t>
  </si>
  <si>
    <t>Horriwil</t>
  </si>
  <si>
    <t>Etziken</t>
  </si>
  <si>
    <t xml:space="preserve">          5'077.00 CHF</t>
  </si>
  <si>
    <t>Oekingen</t>
  </si>
  <si>
    <t xml:space="preserve">          5'815.00 CHF</t>
  </si>
  <si>
    <t>Bärschwil</t>
  </si>
  <si>
    <t xml:space="preserve">          4'771.00 CHF</t>
  </si>
  <si>
    <t>Lüterkofen-Ichertswil</t>
  </si>
  <si>
    <t>Boningen</t>
  </si>
  <si>
    <t xml:space="preserve">          6'253.00 CHF</t>
  </si>
  <si>
    <t>Hubersdorf</t>
  </si>
  <si>
    <t xml:space="preserve">          6'007.00 CHF</t>
  </si>
  <si>
    <t>Drei Höfe</t>
  </si>
  <si>
    <t xml:space="preserve">          5'541.00 CHF</t>
  </si>
  <si>
    <t>Walterswil (SO)</t>
  </si>
  <si>
    <t xml:space="preserve">          6'046.00 CHF</t>
  </si>
  <si>
    <t>Holderbank (SO)</t>
  </si>
  <si>
    <t xml:space="preserve">          3'982.00 CHF</t>
  </si>
  <si>
    <t>Zullwil</t>
  </si>
  <si>
    <t xml:space="preserve">          5'460.00 CHF</t>
  </si>
  <si>
    <t>Meltingen</t>
  </si>
  <si>
    <t xml:space="preserve">          4'790.00 CHF</t>
  </si>
  <si>
    <t>Bolken</t>
  </si>
  <si>
    <t>Fehren</t>
  </si>
  <si>
    <t xml:space="preserve">          5'172.00 CHF</t>
  </si>
  <si>
    <t>Aedermannsdorf</t>
  </si>
  <si>
    <t xml:space="preserve">          5'528.00 CHF</t>
  </si>
  <si>
    <t>Herbetswil</t>
  </si>
  <si>
    <t xml:space="preserve">          5'452.00 CHF</t>
  </si>
  <si>
    <t>Kienberg</t>
  </si>
  <si>
    <t xml:space="preserve">          6'873.00 CHF</t>
  </si>
  <si>
    <t>Grindel</t>
  </si>
  <si>
    <t xml:space="preserve">          6'221.00 CHF</t>
  </si>
  <si>
    <t>Wisen (SO)</t>
  </si>
  <si>
    <t xml:space="preserve">          5'070.00 CHF</t>
  </si>
  <si>
    <t>Eppenberg-Wöschnau</t>
  </si>
  <si>
    <t xml:space="preserve">          6'927.00 CHF</t>
  </si>
  <si>
    <t>Lüterswil-Gächliwil</t>
  </si>
  <si>
    <t xml:space="preserve">          4'810.00 CHF</t>
  </si>
  <si>
    <t>Biezwil</t>
  </si>
  <si>
    <t xml:space="preserve">          5'624.00 CHF</t>
  </si>
  <si>
    <t>Hauenstein-Ifenthal</t>
  </si>
  <si>
    <t xml:space="preserve">          5'534.00 CHF</t>
  </si>
  <si>
    <t>Beinwil (SO)</t>
  </si>
  <si>
    <t xml:space="preserve">          6'070.00 CHF</t>
  </si>
  <si>
    <t>Unterramsern</t>
  </si>
  <si>
    <t xml:space="preserve">          6'227.00 CHF</t>
  </si>
  <si>
    <t>Balm bei Günsberg</t>
  </si>
  <si>
    <t xml:space="preserve">          5'976.00 CHF</t>
  </si>
  <si>
    <t>Hüniken</t>
  </si>
  <si>
    <t xml:space="preserve">          5'259.00 CHF</t>
  </si>
  <si>
    <t>Rohr (SO)</t>
  </si>
  <si>
    <t xml:space="preserve">          5'911.00 CHF</t>
  </si>
  <si>
    <t>Gänsbrunnen</t>
  </si>
  <si>
    <t xml:space="preserve">          5'304.00 CHF</t>
  </si>
  <si>
    <t>Kammersrohr</t>
  </si>
  <si>
    <t xml:space="preserve">          5'824.00 CHF</t>
  </si>
  <si>
    <t>Biel</t>
  </si>
  <si>
    <t>Thun</t>
  </si>
  <si>
    <t>Köniz</t>
  </si>
  <si>
    <t>Ostermundigen</t>
  </si>
  <si>
    <t>Burgdorf</t>
  </si>
  <si>
    <t>Steffisburg</t>
  </si>
  <si>
    <t>Lyss</t>
  </si>
  <si>
    <t>Muri bei Bern</t>
  </si>
  <si>
    <t>Spiez</t>
  </si>
  <si>
    <t>Münsingen</t>
  </si>
  <si>
    <t>Belp</t>
  </si>
  <si>
    <t>Worb</t>
  </si>
  <si>
    <t>Ittigen</t>
  </si>
  <si>
    <t>Zollikofen</t>
  </si>
  <si>
    <t>Münchenbuchsee</t>
  </si>
  <si>
    <t>Langnau im Emmental</t>
  </si>
  <si>
    <t>Wohlen bei Bern</t>
  </si>
  <si>
    <t>Moutier</t>
  </si>
  <si>
    <t>Herzogenbuchsee</t>
  </si>
  <si>
    <t>Frutigen</t>
  </si>
  <si>
    <t>Saanen</t>
  </si>
  <si>
    <t>Nidau</t>
  </si>
  <si>
    <t>Schwarzenburg</t>
  </si>
  <si>
    <t>Heimberg</t>
  </si>
  <si>
    <t>Bolligen</t>
  </si>
  <si>
    <t>Urtenen-Schönbühl</t>
  </si>
  <si>
    <t>Uetendorf</t>
  </si>
  <si>
    <t>Kirchberg (BE)</t>
  </si>
  <si>
    <t>Unterseen</t>
  </si>
  <si>
    <t>Jegenstorf</t>
  </si>
  <si>
    <t>Interlaken</t>
  </si>
  <si>
    <t>Neuenegg</t>
  </si>
  <si>
    <t>Konolfingen</t>
  </si>
  <si>
    <t>Vechigen</t>
  </si>
  <si>
    <t>Lengnau (BE)</t>
  </si>
  <si>
    <t>Saint-Imier</t>
  </si>
  <si>
    <t>Sumiswald</t>
  </si>
  <si>
    <t>Fraubrunnen</t>
  </si>
  <si>
    <t>Huttwil</t>
  </si>
  <si>
    <t>Sigriswil</t>
  </si>
  <si>
    <t>Niederbipp</t>
  </si>
  <si>
    <t>Meiringen</t>
  </si>
  <si>
    <t>Tramelan</t>
  </si>
  <si>
    <t>Aarberg</t>
  </si>
  <si>
    <t>Aarwangen</t>
  </si>
  <si>
    <t>Bremgarten bei Bern</t>
  </si>
  <si>
    <t>Wichtrach</t>
  </si>
  <si>
    <t>Utzenstorf</t>
  </si>
  <si>
    <t>Brügg</t>
  </si>
  <si>
    <t>Kehrsatz</t>
  </si>
  <si>
    <t>Pieterlen</t>
  </si>
  <si>
    <t>Grosshöchstetten</t>
  </si>
  <si>
    <t>Lützelflüh</t>
  </si>
  <si>
    <t>Moosseedorf</t>
  </si>
  <si>
    <t>Hilterfingen</t>
  </si>
  <si>
    <t>Matten bei Interlaken</t>
  </si>
  <si>
    <t>Roggwil (BE)</t>
  </si>
  <si>
    <t>Valbirse</t>
  </si>
  <si>
    <t>Ipsach</t>
  </si>
  <si>
    <t>Grindelwald</t>
  </si>
  <si>
    <t>Schüpfen</t>
  </si>
  <si>
    <t>La Neuveville</t>
  </si>
  <si>
    <t>Tavannes</t>
  </si>
  <si>
    <t>Port</t>
  </si>
  <si>
    <t>Reichenbach im Kandertal</t>
  </si>
  <si>
    <t>Büren an der Aare</t>
  </si>
  <si>
    <t>Ins</t>
  </si>
  <si>
    <t>Oberdiessbach</t>
  </si>
  <si>
    <t>Adelboden</t>
  </si>
  <si>
    <t>Hasle bei Burgdorf</t>
  </si>
  <si>
    <t>Thunstetten</t>
  </si>
  <si>
    <t>Madiswil</t>
  </si>
  <si>
    <t>Studen (BE)</t>
  </si>
  <si>
    <t>Rüegsau</t>
  </si>
  <si>
    <t>Bätterkinden</t>
  </si>
  <si>
    <t>Brienz (BE)</t>
  </si>
  <si>
    <t>Seedorf (BE)</t>
  </si>
  <si>
    <t>Stettlen</t>
  </si>
  <si>
    <t>Laupen</t>
  </si>
  <si>
    <t>Grossaffoltern</t>
  </si>
  <si>
    <t>Zweisimmen</t>
  </si>
  <si>
    <t>Kirchlindach</t>
  </si>
  <si>
    <t>Mühleberg</t>
  </si>
  <si>
    <t>Rubigen</t>
  </si>
  <si>
    <t>Oberburg</t>
  </si>
  <si>
    <t>Wattenwil</t>
  </si>
  <si>
    <t>Täuffelen</t>
  </si>
  <si>
    <t>Orpund</t>
  </si>
  <si>
    <t>Signau</t>
  </si>
  <si>
    <t>Wilderswil</t>
  </si>
  <si>
    <t>Ringgenberg (BE)</t>
  </si>
  <si>
    <t>Rapperswil (BE)</t>
  </si>
  <si>
    <t>Evilard</t>
  </si>
  <si>
    <t>Lauperswil</t>
  </si>
  <si>
    <t>Toffen</t>
  </si>
  <si>
    <t>Lotzwil</t>
  </si>
  <si>
    <t>Bönigen</t>
  </si>
  <si>
    <t>Meikirch</t>
  </si>
  <si>
    <t>Hindelbank</t>
  </si>
  <si>
    <t>Riggisberg</t>
  </si>
  <si>
    <t>Eggiwil</t>
  </si>
  <si>
    <t>Wimmis</t>
  </si>
  <si>
    <t>Oberhofen am Thunersee</t>
  </si>
  <si>
    <t>Thierachern</t>
  </si>
  <si>
    <t>Rüdtligen-Alchenflüh</t>
  </si>
  <si>
    <t>Rüderswil</t>
  </si>
  <si>
    <t>Lauterbrunnen</t>
  </si>
  <si>
    <t>Lenk</t>
  </si>
  <si>
    <t>Krauchthal</t>
  </si>
  <si>
    <t>Wiedlisbach</t>
  </si>
  <si>
    <t>Reconvilier</t>
  </si>
  <si>
    <t>Wangen an der Aare</t>
  </si>
  <si>
    <t>Aeschi bei Spiez</t>
  </si>
  <si>
    <t>Worben</t>
  </si>
  <si>
    <t>Kallnach</t>
  </si>
  <si>
    <t>Diemtigen</t>
  </si>
  <si>
    <t>Seftigen</t>
  </si>
  <si>
    <t>Koppigen</t>
  </si>
  <si>
    <t>Uttigen+W581:W598</t>
  </si>
  <si>
    <t>Ersigen</t>
  </si>
  <si>
    <t>Plateau de Diesse</t>
  </si>
  <si>
    <t>Aegerten</t>
  </si>
  <si>
    <t>Wynigen</t>
  </si>
  <si>
    <t>Sonceboz-Sombeval</t>
  </si>
  <si>
    <t>Péry-La Heutte</t>
  </si>
  <si>
    <t>Safnern</t>
  </si>
  <si>
    <t>Kirchdorf (BE)</t>
  </si>
  <si>
    <t>Biglen</t>
  </si>
  <si>
    <t>Rüeggisberg</t>
  </si>
  <si>
    <t>Walkringen</t>
  </si>
  <si>
    <t>Erlenbach im Simmental</t>
  </si>
  <si>
    <t>Oberbipp</t>
  </si>
  <si>
    <t>Niederönz</t>
  </si>
  <si>
    <t>Corgémont</t>
  </si>
  <si>
    <t>Bellmund</t>
  </si>
  <si>
    <t>Wynau</t>
  </si>
  <si>
    <t>Rüschegg</t>
  </si>
  <si>
    <t>Zäziwil</t>
  </si>
  <si>
    <t>Heimiswil</t>
  </si>
  <si>
    <t>Arch</t>
  </si>
  <si>
    <t>Buchholterberg</t>
  </si>
  <si>
    <t>Seeberg</t>
  </si>
  <si>
    <t>Guggisberg</t>
  </si>
  <si>
    <t>Melchnau</t>
  </si>
  <si>
    <t>Dotzigen</t>
  </si>
  <si>
    <t>Rohrbach</t>
  </si>
  <si>
    <t>Attiswil</t>
  </si>
  <si>
    <t>Trubschachen</t>
  </si>
  <si>
    <t>Court</t>
  </si>
  <si>
    <t>Erlach</t>
  </si>
  <si>
    <t>Lyssach</t>
  </si>
  <si>
    <t>Eriswil</t>
  </si>
  <si>
    <t>Müntschemier</t>
  </si>
  <si>
    <t>Courtelary</t>
  </si>
  <si>
    <t>Sutz-Lattrigen</t>
  </si>
  <si>
    <t>Mühlethurnen</t>
  </si>
  <si>
    <t>Bowil</t>
  </si>
  <si>
    <t>Trub</t>
  </si>
  <si>
    <t>St. Stephan</t>
  </si>
  <si>
    <t>Meinisberg</t>
  </si>
  <si>
    <t>Kandersteg</t>
  </si>
  <si>
    <t>Linden</t>
  </si>
  <si>
    <t>Boltigen</t>
  </si>
  <si>
    <t>Radelfingen</t>
  </si>
  <si>
    <t>Leuzigen</t>
  </si>
  <si>
    <t>Ferenbalm</t>
  </si>
  <si>
    <t>Sonvilier</t>
  </si>
  <si>
    <t>Frauenkappelen</t>
  </si>
  <si>
    <t>Blumenstein</t>
  </si>
  <si>
    <t>Beatenberg</t>
  </si>
  <si>
    <t>Orvin</t>
  </si>
  <si>
    <t>Gerzensee</t>
  </si>
  <si>
    <t>Röthenbach im Emmental</t>
  </si>
  <si>
    <t>Hasliberg</t>
  </si>
  <si>
    <t>Wald (BE)</t>
  </si>
  <si>
    <t>Wyssachen</t>
  </si>
  <si>
    <t>Twann-Tüscherz</t>
  </si>
  <si>
    <t>Affoltern im Emmental</t>
  </si>
  <si>
    <t>Krattigen</t>
  </si>
  <si>
    <t>Thörigen</t>
  </si>
  <si>
    <t>Heimenhausen</t>
  </si>
  <si>
    <t>Burgistein</t>
  </si>
  <si>
    <t>Aefligen</t>
  </si>
  <si>
    <t>Kaufdorf</t>
  </si>
  <si>
    <t>Leissigen</t>
  </si>
  <si>
    <t>Innertkirchen</t>
  </si>
  <si>
    <t>Bäriswil</t>
  </si>
  <si>
    <t>Dürrenroth</t>
  </si>
  <si>
    <t>Bargen (BE)</t>
  </si>
  <si>
    <t>Walperswil</t>
  </si>
  <si>
    <t>Stocken-Höfen</t>
  </si>
  <si>
    <t>Diessbach bei Büren</t>
  </si>
  <si>
    <t>Kiesen</t>
  </si>
  <si>
    <t>Unterlangenegg</t>
  </si>
  <si>
    <t>Reutigen</t>
  </si>
  <si>
    <t>Gsteig</t>
  </si>
  <si>
    <t>Gampelen</t>
  </si>
  <si>
    <t>Trachselwald</t>
  </si>
  <si>
    <t>Arni (BE)</t>
  </si>
  <si>
    <t>Villeret</t>
  </si>
  <si>
    <t>Renan (BE)</t>
  </si>
  <si>
    <t>Wiler bei Utzenstorf</t>
  </si>
  <si>
    <t>Ursenbach</t>
  </si>
  <si>
    <t>Schangnau</t>
  </si>
  <si>
    <t>Mörigen</t>
  </si>
  <si>
    <t>Oberbalm</t>
  </si>
  <si>
    <t>Därstetten</t>
  </si>
  <si>
    <t>Büetigen</t>
  </si>
  <si>
    <t>Vinelz</t>
  </si>
  <si>
    <t>Oberwil bei Büren</t>
  </si>
  <si>
    <t>Rüti bei Büren</t>
  </si>
  <si>
    <t>Gurzelen</t>
  </si>
  <si>
    <t>Lauenen</t>
  </si>
  <si>
    <t>Amsoldingen</t>
  </si>
  <si>
    <t>Sauge</t>
  </si>
  <si>
    <t>Gals</t>
  </si>
  <si>
    <t>Oberwil im Simmental</t>
  </si>
  <si>
    <t>Fahrni</t>
  </si>
  <si>
    <t>Kandergrund</t>
  </si>
  <si>
    <t>Forst-Längenbühl</t>
  </si>
  <si>
    <t>Nods</t>
  </si>
  <si>
    <t>Oberthal</t>
  </si>
  <si>
    <t>Gondiswil</t>
  </si>
  <si>
    <t>Cortébert</t>
  </si>
  <si>
    <t>Bleienbach</t>
  </si>
  <si>
    <t>Uebeschi</t>
  </si>
  <si>
    <t>Heiligenschwendi</t>
  </si>
  <si>
    <t>Bannwil</t>
  </si>
  <si>
    <t>Schwadernau</t>
  </si>
  <si>
    <t>Jens</t>
  </si>
  <si>
    <t>Oppligen</t>
  </si>
  <si>
    <t>Habkern</t>
  </si>
  <si>
    <t>Bettenhausen</t>
  </si>
  <si>
    <t>Mirchel</t>
  </si>
  <si>
    <t>Landiswil</t>
  </si>
  <si>
    <t>Saicourt</t>
  </si>
  <si>
    <t>Wengi</t>
  </si>
  <si>
    <t>Niederhünigen</t>
  </si>
  <si>
    <t>Inkwil</t>
  </si>
  <si>
    <t>Schwanden bei Brienz</t>
  </si>
  <si>
    <t>Walliswil bei Wangen</t>
  </si>
  <si>
    <t>Herbligen</t>
  </si>
  <si>
    <t>Brüttelen</t>
  </si>
  <si>
    <t>Allmendingen</t>
  </si>
  <si>
    <t>Alchenstorf</t>
  </si>
  <si>
    <t>Siselen</t>
  </si>
  <si>
    <t>Mattstetten</t>
  </si>
  <si>
    <t>Zuzwil (BE)</t>
  </si>
  <si>
    <t>Ligerz</t>
  </si>
  <si>
    <t>Rütschelen</t>
  </si>
  <si>
    <t>Ochlenberg</t>
  </si>
  <si>
    <t>Schattenhalb</t>
  </si>
  <si>
    <t>Finsterhennen</t>
  </si>
  <si>
    <t>Walterswil (BE)</t>
  </si>
  <si>
    <t>Lüscherz</t>
  </si>
  <si>
    <t>La Ferrière</t>
  </si>
  <si>
    <t>Kernenried</t>
  </si>
  <si>
    <t>Hofstetten bei Brienz</t>
  </si>
  <si>
    <t>Homberg</t>
  </si>
  <si>
    <t>Crémines</t>
  </si>
  <si>
    <t>Schwarzhäusern</t>
  </si>
  <si>
    <t>Münchenwiler</t>
  </si>
  <si>
    <t>Niedermuhlern</t>
  </si>
  <si>
    <t>Brienzwiler</t>
  </si>
  <si>
    <t>Eriz</t>
  </si>
  <si>
    <t>Brenzikofen</t>
  </si>
  <si>
    <t>Rumisberg</t>
  </si>
  <si>
    <t>Cormoret</t>
  </si>
  <si>
    <t>Oberried am Brienzersee</t>
  </si>
  <si>
    <t>Oberlangenegg</t>
  </si>
  <si>
    <t>Freimettigen</t>
  </si>
  <si>
    <t>Perrefitte</t>
  </si>
  <si>
    <t>Bühl</t>
  </si>
  <si>
    <t>Scheuren</t>
  </si>
  <si>
    <t>Auswil</t>
  </si>
  <si>
    <t>Tschugg</t>
  </si>
  <si>
    <t>Iffwil</t>
  </si>
  <si>
    <t>Iseltwald</t>
  </si>
  <si>
    <t>Rümligen</t>
  </si>
  <si>
    <t>Wangenried</t>
  </si>
  <si>
    <t>Därligen</t>
  </si>
  <si>
    <t>Kriechenwil</t>
  </si>
  <si>
    <t>Treiten</t>
  </si>
  <si>
    <t>Obersteckholz</t>
  </si>
  <si>
    <t xml:space="preserve">           236.00 CHF</t>
  </si>
  <si>
    <t>N / A</t>
  </si>
  <si>
    <t>Stadel (Winterthur)</t>
  </si>
  <si>
    <t>Sennhof (Winterthur)</t>
  </si>
  <si>
    <t>Reutlingen (Winterthur)</t>
  </si>
  <si>
    <t>Ricketwil (Winterthur)</t>
  </si>
  <si>
    <t>Freudwil</t>
  </si>
  <si>
    <t>Nänikon</t>
  </si>
  <si>
    <t>Sulzbach</t>
  </si>
  <si>
    <t>Wermatswil</t>
  </si>
  <si>
    <t>Riedikon</t>
  </si>
  <si>
    <t>Uerikon</t>
  </si>
  <si>
    <t>Hirzel</t>
  </si>
  <si>
    <t>Horgenberg</t>
  </si>
  <si>
    <t>Sihlwald</t>
  </si>
  <si>
    <t>Sihlbrugg Station</t>
  </si>
  <si>
    <t>Gattikon</t>
  </si>
  <si>
    <t>Au ZH</t>
  </si>
  <si>
    <t>Schönenberg ZH</t>
  </si>
  <si>
    <t>Hütten</t>
  </si>
  <si>
    <t>Watt</t>
  </si>
  <si>
    <t>Samstagern</t>
  </si>
  <si>
    <t>Glattpark (Opfikon)</t>
  </si>
  <si>
    <t>Glattbrugg</t>
  </si>
  <si>
    <t>Gutenswil</t>
  </si>
  <si>
    <t>Zollikerberg</t>
  </si>
  <si>
    <t>3° Pillar deductions</t>
  </si>
  <si>
    <t>Taxable salary</t>
  </si>
  <si>
    <t>Federal taxes</t>
  </si>
  <si>
    <t>Cantonal taxes</t>
  </si>
  <si>
    <t>Comunal taxes</t>
  </si>
  <si>
    <t>Total taxes</t>
  </si>
  <si>
    <t>JU</t>
  </si>
  <si>
    <t>VS Canton</t>
  </si>
  <si>
    <t>VS commun</t>
  </si>
  <si>
    <t>Colonna1</t>
  </si>
  <si>
    <t>Colonna2</t>
  </si>
  <si>
    <t>Cantonal tax</t>
  </si>
  <si>
    <t>Comunal tax</t>
  </si>
  <si>
    <t>Postcode</t>
  </si>
  <si>
    <t>City</t>
  </si>
  <si>
    <t xml:space="preserve">  </t>
  </si>
  <si>
    <t>Income limit</t>
  </si>
  <si>
    <t>Fixed tax</t>
  </si>
  <si>
    <t>Additional tax rate</t>
  </si>
  <si>
    <t>Cantonal Taxes</t>
  </si>
  <si>
    <t>Municipality</t>
  </si>
  <si>
    <t>Income tax canton</t>
  </si>
  <si>
    <t>Income tax municipality</t>
  </si>
  <si>
    <t>Ticino Cantonal Taxes</t>
  </si>
  <si>
    <t>Bachs</t>
  </si>
  <si>
    <t>Berg am Irchel</t>
  </si>
  <si>
    <t>Bäretswil</t>
  </si>
  <si>
    <t>Zurich Cantonal Taxes</t>
  </si>
  <si>
    <t>St. Gallen Cantonal Taxes</t>
  </si>
  <si>
    <t>Tax rate</t>
  </si>
  <si>
    <t>Zug Cantonal taxes</t>
  </si>
  <si>
    <t>Maschwanden</t>
  </si>
  <si>
    <t>Bern Cantonal Taxes</t>
  </si>
  <si>
    <t>Niederweningen</t>
  </si>
  <si>
    <t>Oberrieden</t>
  </si>
  <si>
    <t>Schwiz Cantonal Taxes</t>
  </si>
  <si>
    <t>Otelfingen</t>
  </si>
  <si>
    <t>Regensberg</t>
  </si>
  <si>
    <t>Rorbas</t>
  </si>
  <si>
    <t>Schwerzenbach</t>
  </si>
  <si>
    <t>GR Cantonal Taxes</t>
  </si>
  <si>
    <t>Truttikon</t>
  </si>
  <si>
    <t>Volken</t>
  </si>
  <si>
    <t>Wasterkingen</t>
  </si>
  <si>
    <t>GE Cantonal Taxes</t>
  </si>
  <si>
    <t>Wettswil am Albis</t>
  </si>
  <si>
    <t>AG Cantonal Taxes</t>
  </si>
  <si>
    <t>Belprahon</t>
  </si>
  <si>
    <t>Berken</t>
  </si>
  <si>
    <t>Biel/Bienne</t>
  </si>
  <si>
    <t>AI Cantonal Taxes</t>
  </si>
  <si>
    <t>Busswil bei Melchnau</t>
  </si>
  <si>
    <t>Champoz</t>
  </si>
  <si>
    <t>Corcelles (BE)</t>
  </si>
  <si>
    <t>AR Cantonal Taxes</t>
  </si>
  <si>
    <t>Deisswil bei Münchenbuchsee</t>
  </si>
  <si>
    <t>Epsach</t>
  </si>
  <si>
    <t>Eschert</t>
  </si>
  <si>
    <t>Farnern</t>
  </si>
  <si>
    <t>BL Cantonal Taxes</t>
  </si>
  <si>
    <t>bn</t>
  </si>
  <si>
    <t>cn</t>
  </si>
  <si>
    <t xml:space="preserve">dn </t>
  </si>
  <si>
    <t>Graben</t>
  </si>
  <si>
    <t>Grandval</t>
  </si>
  <si>
    <t>log</t>
  </si>
  <si>
    <t>Gsteigwiler</t>
  </si>
  <si>
    <t>Gurbrü</t>
  </si>
  <si>
    <t>Guttannen</t>
  </si>
  <si>
    <t>Gündlischwand</t>
  </si>
  <si>
    <t>Hagneck</t>
  </si>
  <si>
    <t>BS Cantonal Taxes</t>
  </si>
  <si>
    <t>Hellsau</t>
  </si>
  <si>
    <t>Hermrigen</t>
  </si>
  <si>
    <t>Horrenbach-Buchen</t>
  </si>
  <si>
    <t>Häutligen</t>
  </si>
  <si>
    <t>Höchstetten</t>
  </si>
  <si>
    <t>FR Cantonal Taxes</t>
  </si>
  <si>
    <t>Jaberg</t>
  </si>
  <si>
    <t>Kappelen</t>
  </si>
  <si>
    <t>GL Cantonal Taxes</t>
  </si>
  <si>
    <t>Loveresse</t>
  </si>
  <si>
    <t>JU Cantonal Taxes</t>
  </si>
  <si>
    <t>Lütschental</t>
  </si>
  <si>
    <t>Meienried</t>
  </si>
  <si>
    <t>Merzligen</t>
  </si>
  <si>
    <t>Mont-Tramelan</t>
  </si>
  <si>
    <t>LU Cantonal Taxes</t>
  </si>
  <si>
    <t>Niederried bei Interlaken</t>
  </si>
  <si>
    <t>Oberhünigen</t>
  </si>
  <si>
    <t>Oeschenbach</t>
  </si>
  <si>
    <t>NE Cantonal Taxes</t>
  </si>
  <si>
    <t>Petit-Val</t>
  </si>
  <si>
    <t>Pohlern</t>
  </si>
  <si>
    <t>Rebévelier</t>
  </si>
  <si>
    <t>Reisiswil</t>
  </si>
  <si>
    <t>Roches (BE)</t>
  </si>
  <si>
    <t>Rohrbachgraben</t>
  </si>
  <si>
    <t>Romont (BE)</t>
  </si>
  <si>
    <t>Rumendingen</t>
  </si>
  <si>
    <t>NW Cantonal Taxes</t>
  </si>
  <si>
    <t>Rüti bei Lyssach</t>
  </si>
  <si>
    <t>Saules (BE)</t>
  </si>
  <si>
    <t>Saxeten</t>
  </si>
  <si>
    <t>Schelten</t>
  </si>
  <si>
    <t>Seehof</t>
  </si>
  <si>
    <t>OW Cantonal Taxes</t>
  </si>
  <si>
    <t>Sorvilier</t>
  </si>
  <si>
    <t>Teuffenthal (BE)</t>
  </si>
  <si>
    <t>Thurnen</t>
  </si>
  <si>
    <t>SH Cantonal Taxes</t>
  </si>
  <si>
    <t>Uttigen</t>
  </si>
  <si>
    <t>Wachseldorn</t>
  </si>
  <si>
    <t>Walliswil bei Niederbipp</t>
  </si>
  <si>
    <t>SO Cantonal Taxes</t>
  </si>
  <si>
    <t>Wiggiswil</t>
  </si>
  <si>
    <t>Wileroltigen</t>
  </si>
  <si>
    <t>Willadingen</t>
  </si>
  <si>
    <t>Zielebach</t>
  </si>
  <si>
    <t>TG Cantonal Taxes</t>
  </si>
  <si>
    <t>Fischbach</t>
  </si>
  <si>
    <t>Hergiswil bei Willisau</t>
  </si>
  <si>
    <t>VS Cantonal Taxes</t>
  </si>
  <si>
    <t>Attinghausen</t>
  </si>
  <si>
    <t>VS Commun Taxes</t>
  </si>
  <si>
    <t>Gurtnellen</t>
  </si>
  <si>
    <t>Göschenen</t>
  </si>
  <si>
    <t>Isenthal</t>
  </si>
  <si>
    <t>Spiringen</t>
  </si>
  <si>
    <t>Bois-d'Amont</t>
  </si>
  <si>
    <t>Fribourg</t>
  </si>
  <si>
    <t>Prez</t>
  </si>
  <si>
    <t>Villaz</t>
  </si>
  <si>
    <t>Welschenrohr-Gänsbrunnen</t>
  </si>
  <si>
    <t>Rickenbach (BL)</t>
  </si>
  <si>
    <t>Gonten</t>
  </si>
  <si>
    <t>Oberegg</t>
  </si>
  <si>
    <t>Schlatt-Haslen</t>
  </si>
  <si>
    <t>Schwende-Rüte</t>
  </si>
  <si>
    <t>Au (SG)</t>
  </si>
  <si>
    <t>Bad Ragaz</t>
  </si>
  <si>
    <t>Buchs (SG)</t>
  </si>
  <si>
    <t>Diepoldsau</t>
  </si>
  <si>
    <t>Eschenbach (SG)</t>
  </si>
  <si>
    <t>Flawil</t>
  </si>
  <si>
    <t>Gaiserwald</t>
  </si>
  <si>
    <t>Goldach</t>
  </si>
  <si>
    <t>Gossau (SG)</t>
  </si>
  <si>
    <t>Grabs</t>
  </si>
  <si>
    <t>Kirchberg (SG)</t>
  </si>
  <si>
    <t>Mels</t>
  </si>
  <si>
    <t>Oberriet (SG)</t>
  </si>
  <si>
    <t>Oberuzwil</t>
  </si>
  <si>
    <t>Quarten</t>
  </si>
  <si>
    <t>Rorschach</t>
  </si>
  <si>
    <t>Rorschacherberg</t>
  </si>
  <si>
    <t>St. Margrethen</t>
  </si>
  <si>
    <t>Thal</t>
  </si>
  <si>
    <t>Uzwil</t>
  </si>
  <si>
    <t>Wattwil</t>
  </si>
  <si>
    <t>Widnau</t>
  </si>
  <si>
    <t>Wil (SG)</t>
  </si>
  <si>
    <t>Wittenbach</t>
  </si>
  <si>
    <t>Albula/Alvra</t>
  </si>
  <si>
    <t>Breil/Brigels</t>
  </si>
  <si>
    <t>Celerina/Schlarigna</t>
  </si>
  <si>
    <t>Disentis/Mustér</t>
  </si>
  <si>
    <t>Domat/Ems</t>
  </si>
  <si>
    <t>Ilanz/Glion</t>
  </si>
  <si>
    <t>Klosters</t>
  </si>
  <si>
    <t>La Punt Chamues-ch</t>
  </si>
  <si>
    <t>Lantsch/Lenz</t>
  </si>
  <si>
    <t>Muntogna da Schons</t>
  </si>
  <si>
    <t>Sils im Engadin/Segl</t>
  </si>
  <si>
    <t>Vaz/Obervaz</t>
  </si>
  <si>
    <t>Brugg (AG)</t>
  </si>
  <si>
    <t>Böztal</t>
  </si>
  <si>
    <t>Herznach-Ueken</t>
  </si>
  <si>
    <t>Oftringen</t>
  </si>
  <si>
    <t>Rheinfelden</t>
  </si>
  <si>
    <t>Spreitenbach</t>
  </si>
  <si>
    <t>Wettingen</t>
  </si>
  <si>
    <t>Wohlen (AG)</t>
  </si>
  <si>
    <t>Zurzach</t>
  </si>
  <si>
    <t>Bosco/Gurin</t>
  </si>
  <si>
    <t>Tresa</t>
  </si>
  <si>
    <t>Val Mara</t>
  </si>
  <si>
    <t>Verzasca</t>
  </si>
  <si>
    <t>Blonay - Saint-Légier</t>
  </si>
  <si>
    <t>Crans (VD)</t>
  </si>
  <si>
    <t>Hautemorges</t>
  </si>
  <si>
    <t>Noble-Contrée</t>
  </si>
  <si>
    <t>Sierre</t>
  </si>
  <si>
    <t>Sion</t>
  </si>
  <si>
    <t>Val de Bagnes</t>
  </si>
  <si>
    <t>La Grande Béroche</t>
  </si>
  <si>
    <t>Genève</t>
  </si>
  <si>
    <t>Basse-Vendline</t>
  </si>
  <si>
    <t>Damphreux-Lugnez</t>
  </si>
  <si>
    <t>Ortschaftsname</t>
  </si>
  <si>
    <t>Aathal-Seegräben</t>
  </si>
  <si>
    <t>Adetswil</t>
  </si>
  <si>
    <t>Adlikon b. Andelfingen</t>
  </si>
  <si>
    <t>Adlikon b. Regensdorf</t>
  </si>
  <si>
    <t>Aesch (Neftenbach)</t>
  </si>
  <si>
    <t>Aesch ZH</t>
  </si>
  <si>
    <t>Aeugstertal</t>
  </si>
  <si>
    <t>Agasul</t>
  </si>
  <si>
    <t>Alten</t>
  </si>
  <si>
    <t>Attikon</t>
  </si>
  <si>
    <t>Auslikon</t>
  </si>
  <si>
    <t>Bänk (Dägerlen)</t>
  </si>
  <si>
    <t>Benglen</t>
  </si>
  <si>
    <t>Benken ZH</t>
  </si>
  <si>
    <t>Berg (Dägerlen)</t>
  </si>
  <si>
    <t>Bertschikon</t>
  </si>
  <si>
    <t>Bertschikon (Gossau ZH)</t>
  </si>
  <si>
    <t>Bichelsee</t>
  </si>
  <si>
    <t>Binz</t>
  </si>
  <si>
    <t>Birmensdorf ZH</t>
  </si>
  <si>
    <t>Brüttisellen</t>
  </si>
  <si>
    <t>Buchs ZH</t>
  </si>
  <si>
    <t>Dänikon ZH</t>
  </si>
  <si>
    <t>Dickbuch</t>
  </si>
  <si>
    <t>Ebertswil</t>
  </si>
  <si>
    <t>Ebmatingen</t>
  </si>
  <si>
    <t>Effretikon</t>
  </si>
  <si>
    <t>Egg b. Zürich</t>
  </si>
  <si>
    <t>Ehrikon</t>
  </si>
  <si>
    <t>Ellikon am Rhein</t>
  </si>
  <si>
    <t>Erlenbach ZH</t>
  </si>
  <si>
    <t>Esslingen</t>
  </si>
  <si>
    <t>Fahrweid</t>
  </si>
  <si>
    <t>Feldbach</t>
  </si>
  <si>
    <t>Forch</t>
  </si>
  <si>
    <t>Freienstein</t>
  </si>
  <si>
    <t>Gerlikon</t>
  </si>
  <si>
    <t>Gibswil</t>
  </si>
  <si>
    <t>Gockhausen</t>
  </si>
  <si>
    <t>Gossau ZH</t>
  </si>
  <si>
    <t>Grafstal</t>
  </si>
  <si>
    <t>Gräslikon</t>
  </si>
  <si>
    <t>Grüt (Gossau ZH)</t>
  </si>
  <si>
    <t>Gundetswil</t>
  </si>
  <si>
    <t>Gündisau</t>
  </si>
  <si>
    <t>Guntalingen</t>
  </si>
  <si>
    <t>Hagenbuch ZH</t>
  </si>
  <si>
    <t>Hauptikon</t>
  </si>
  <si>
    <t>Hinteregg</t>
  </si>
  <si>
    <t>Hofstetten ZH</t>
  </si>
  <si>
    <t>Humlikon</t>
  </si>
  <si>
    <t>Hünikon (Neftenbach)</t>
  </si>
  <si>
    <t>Illnau</t>
  </si>
  <si>
    <t>Kefikon ZH</t>
  </si>
  <si>
    <t>Kemptthal</t>
  </si>
  <si>
    <t>Kilchberg ZH</t>
  </si>
  <si>
    <t>Kollbrunn</t>
  </si>
  <si>
    <t>Küsnacht ZH</t>
  </si>
  <si>
    <t>Kyburg</t>
  </si>
  <si>
    <t>Langwiesen</t>
  </si>
  <si>
    <t>Laupen ZH</t>
  </si>
  <si>
    <t>Madetswil</t>
  </si>
  <si>
    <t>Menzengrüt</t>
  </si>
  <si>
    <t>Nassenwil</t>
  </si>
  <si>
    <t>Neschwil</t>
  </si>
  <si>
    <t>Niederglatt ZH</t>
  </si>
  <si>
    <t>Nohl</t>
  </si>
  <si>
    <t>Oberglatt ZH</t>
  </si>
  <si>
    <t>Oberhasli</t>
  </si>
  <si>
    <t>Oberstammheim</t>
  </si>
  <si>
    <t>Oberwil (Dägerlen)</t>
  </si>
  <si>
    <t>Oerlingen</t>
  </si>
  <si>
    <t>Ottikon (Gossau ZH)</t>
  </si>
  <si>
    <t>Ottikon b. Kemptthal</t>
  </si>
  <si>
    <t>Pfaffhausen</t>
  </si>
  <si>
    <t>Pfäffikon ZH</t>
  </si>
  <si>
    <t>Rämismühle</t>
  </si>
  <si>
    <t>Rickenbach Sulz</t>
  </si>
  <si>
    <t>Rickenbach ZH</t>
  </si>
  <si>
    <t>Riet (Neftenbach)</t>
  </si>
  <si>
    <t>Rikon im Tösstal</t>
  </si>
  <si>
    <t>Rudolfingen</t>
  </si>
  <si>
    <t>Rumlikon</t>
  </si>
  <si>
    <t>Rüti ZH</t>
  </si>
  <si>
    <t>Rutschwil (Dägerlen)</t>
  </si>
  <si>
    <t>Saland</t>
  </si>
  <si>
    <t>Schalchen</t>
  </si>
  <si>
    <t>Schlatt ZH</t>
  </si>
  <si>
    <t>Schmidrüti</t>
  </si>
  <si>
    <t>Sihlbrugg</t>
  </si>
  <si>
    <t>Stadel b. Niederglatt</t>
  </si>
  <si>
    <t>Steg im Tösstal</t>
  </si>
  <si>
    <t>Sternenberg</t>
  </si>
  <si>
    <t>Sünikon</t>
  </si>
  <si>
    <t>Tagelswangen</t>
  </si>
  <si>
    <t>Tann</t>
  </si>
  <si>
    <t>Teufen ZH</t>
  </si>
  <si>
    <t>Theilingen</t>
  </si>
  <si>
    <t>Uerzlikon</t>
  </si>
  <si>
    <t>Uetliberg</t>
  </si>
  <si>
    <t>Uhwiesen</t>
  </si>
  <si>
    <t>Uitikon Waldegg</t>
  </si>
  <si>
    <t>Unterstammheim</t>
  </si>
  <si>
    <t>Wald ZH</t>
  </si>
  <si>
    <t>Waltalingen</t>
  </si>
  <si>
    <t>Wangen b. Dübendorf</t>
  </si>
  <si>
    <t>Weiningen ZH</t>
  </si>
  <si>
    <t>Wernetshausen</t>
  </si>
  <si>
    <t>Wettswil</t>
  </si>
  <si>
    <t>Wetzikon ZH</t>
  </si>
  <si>
    <t>Wil ZH</t>
  </si>
  <si>
    <t>Wildensbuch</t>
  </si>
  <si>
    <t>Wilen b. Neunforn</t>
  </si>
  <si>
    <t>Windlach</t>
  </si>
  <si>
    <t>Winterberg ZH</t>
  </si>
  <si>
    <t>Wolfhausen</t>
  </si>
  <si>
    <t>Zell ZH</t>
  </si>
  <si>
    <t>Zweidlen</t>
  </si>
  <si>
    <t>Zwillikon</t>
  </si>
  <si>
    <t>Seedorf BE</t>
  </si>
  <si>
    <t>Bargen BE</t>
  </si>
  <si>
    <t>Ammerzwil BE</t>
  </si>
  <si>
    <t>Suberg</t>
  </si>
  <si>
    <t>Golaten</t>
  </si>
  <si>
    <t>Niederried b. Kallnach</t>
  </si>
  <si>
    <t>Studen BE</t>
  </si>
  <si>
    <t>Busswil BE</t>
  </si>
  <si>
    <t>Ortschwaben</t>
  </si>
  <si>
    <t>Wahlendorf</t>
  </si>
  <si>
    <t>Detligen</t>
  </si>
  <si>
    <t>Radelfingen b. Aarberg</t>
  </si>
  <si>
    <t>Lätti</t>
  </si>
  <si>
    <t>Wengi b. Büren</t>
  </si>
  <si>
    <t>Ruppoldsried</t>
  </si>
  <si>
    <t>Rapperswil BE</t>
  </si>
  <si>
    <t>Dieterswil</t>
  </si>
  <si>
    <t>Bangerten b. Dieterswil</t>
  </si>
  <si>
    <t>Seewil</t>
  </si>
  <si>
    <t>Frieswil</t>
  </si>
  <si>
    <t>Wiler b. Seedorf</t>
  </si>
  <si>
    <t>Lobsigen</t>
  </si>
  <si>
    <t>Bützberg</t>
  </si>
  <si>
    <t>Busswil b. Melchnau</t>
  </si>
  <si>
    <t>Gutenburg</t>
  </si>
  <si>
    <t>Leimiswil</t>
  </si>
  <si>
    <t>Kleindietwil</t>
  </si>
  <si>
    <t>Roggwil BE</t>
  </si>
  <si>
    <t>Walterswil BE</t>
  </si>
  <si>
    <t>Hinterkappelen</t>
  </si>
  <si>
    <t>Herrenschwanden</t>
  </si>
  <si>
    <t>Worblaufen</t>
  </si>
  <si>
    <t>Gümligen</t>
  </si>
  <si>
    <t>Wabern</t>
  </si>
  <si>
    <t>Liebefeld</t>
  </si>
  <si>
    <t>Niederwangen b. Bern</t>
  </si>
  <si>
    <t>Bremgarten b. Bern</t>
  </si>
  <si>
    <t>Spiegel b. Bern</t>
  </si>
  <si>
    <t>Schliern b. Köniz</t>
  </si>
  <si>
    <t>Gasel</t>
  </si>
  <si>
    <t>Niederscherli</t>
  </si>
  <si>
    <t>Mittelhäusern</t>
  </si>
  <si>
    <t>Oberwangen b. Bern</t>
  </si>
  <si>
    <t>Thörishaus</t>
  </si>
  <si>
    <t>Muri b. Bern</t>
  </si>
  <si>
    <t>Zimmerwald</t>
  </si>
  <si>
    <t>Boll</t>
  </si>
  <si>
    <t>Utzigen</t>
  </si>
  <si>
    <t>Bigenthal</t>
  </si>
  <si>
    <t>Wohlen b. Bern</t>
  </si>
  <si>
    <t>Murzelen</t>
  </si>
  <si>
    <t>Uettligen</t>
  </si>
  <si>
    <t>Innerberg</t>
  </si>
  <si>
    <t>Säriswil</t>
  </si>
  <si>
    <t>Magglingen/Macolin</t>
  </si>
  <si>
    <t>Diessbach b. Büren</t>
  </si>
  <si>
    <t>Lengnau BE</t>
  </si>
  <si>
    <t>Oberwil b. Büren</t>
  </si>
  <si>
    <t>Rüti b. Büren</t>
  </si>
  <si>
    <t>Bäriswil BE</t>
  </si>
  <si>
    <t>Kaltacker</t>
  </si>
  <si>
    <t>Kirchberg BE</t>
  </si>
  <si>
    <t>Niederösch</t>
  </si>
  <si>
    <t>Oberösch</t>
  </si>
  <si>
    <t>Lützelflüh-Goldbach</t>
  </si>
  <si>
    <t>Schwanden im Emmental</t>
  </si>
  <si>
    <t>Rüegsauschachen</t>
  </si>
  <si>
    <t>Rüegsbach</t>
  </si>
  <si>
    <t>Mötschwil</t>
  </si>
  <si>
    <t>Hettiswil b. Hindelbank</t>
  </si>
  <si>
    <t>Alchenflüh</t>
  </si>
  <si>
    <t>Rüdtligen</t>
  </si>
  <si>
    <t>Rüti b. Lyssach</t>
  </si>
  <si>
    <t>Schmidigen-Mühleweg</t>
  </si>
  <si>
    <t>Rüedisbach</t>
  </si>
  <si>
    <t>Les Prés-d'Orvin</t>
  </si>
  <si>
    <t>Montagne-de-Courtelary</t>
  </si>
  <si>
    <t>La Tanne</t>
  </si>
  <si>
    <t>Mont-Crosin</t>
  </si>
  <si>
    <t>La Cibourg</t>
  </si>
  <si>
    <t>Mont-Soleil</t>
  </si>
  <si>
    <t>Frinvillier</t>
  </si>
  <si>
    <t>Renan BE</t>
  </si>
  <si>
    <t>Plagne</t>
  </si>
  <si>
    <t>Romont BE</t>
  </si>
  <si>
    <t>Péry</t>
  </si>
  <si>
    <t>Le Cerneux-Veusil</t>
  </si>
  <si>
    <t>St-Imier</t>
  </si>
  <si>
    <t>Les Pontins</t>
  </si>
  <si>
    <t>Montagne-de-Sonvilier</t>
  </si>
  <si>
    <t>Les Reussilles</t>
  </si>
  <si>
    <t>Vauffelin</t>
  </si>
  <si>
    <t>La Heutte</t>
  </si>
  <si>
    <t>Malleray</t>
  </si>
  <si>
    <t>Siselen BE</t>
  </si>
  <si>
    <t>Schalunen</t>
  </si>
  <si>
    <t>Kräiligen</t>
  </si>
  <si>
    <t>Deisswil b. Münchenbuchsee</t>
  </si>
  <si>
    <t>Etzelkofen</t>
  </si>
  <si>
    <t>Grafenried</t>
  </si>
  <si>
    <t>Zauggenried</t>
  </si>
  <si>
    <t>Büren zum Hof</t>
  </si>
  <si>
    <t>Limpach</t>
  </si>
  <si>
    <t>Mülchi</t>
  </si>
  <si>
    <t>Münchringen</t>
  </si>
  <si>
    <t>Ballmoos</t>
  </si>
  <si>
    <t>Scheunen</t>
  </si>
  <si>
    <t>Diemerswil</t>
  </si>
  <si>
    <t>Wiler b. Utzenstorf</t>
  </si>
  <si>
    <t>Zuzwil BE</t>
  </si>
  <si>
    <t>Achseten</t>
  </si>
  <si>
    <t>Hondrich</t>
  </si>
  <si>
    <t>Aeschi b. Spiez</t>
  </si>
  <si>
    <t>Aeschiried</t>
  </si>
  <si>
    <t>Emdthal</t>
  </si>
  <si>
    <t>Mülenen</t>
  </si>
  <si>
    <t>Ried (Frutigen)</t>
  </si>
  <si>
    <t>Blausee-Mitholz</t>
  </si>
  <si>
    <t>Faulensee</t>
  </si>
  <si>
    <t>Wengi b. Frutigen</t>
  </si>
  <si>
    <t>Scharnachtal</t>
  </si>
  <si>
    <t>Kiental</t>
  </si>
  <si>
    <t>Sundlauenen</t>
  </si>
  <si>
    <t>Bönigen b. Interlaken</t>
  </si>
  <si>
    <t>Brienz BE</t>
  </si>
  <si>
    <t>Axalp</t>
  </si>
  <si>
    <t>Burglauenen</t>
  </si>
  <si>
    <t>Kleine Scheidegg</t>
  </si>
  <si>
    <t>Zweilütschinen</t>
  </si>
  <si>
    <t>Hofstetten b. Brienz</t>
  </si>
  <si>
    <t>Jungfraujoch</t>
  </si>
  <si>
    <t>Isenfluh</t>
  </si>
  <si>
    <t>Wengen</t>
  </si>
  <si>
    <t>Eigergletscher</t>
  </si>
  <si>
    <t>Stechelberg</t>
  </si>
  <si>
    <t>Mürren</t>
  </si>
  <si>
    <t>Gimmelwald</t>
  </si>
  <si>
    <t>Matten b. Interlaken</t>
  </si>
  <si>
    <t>Niederried b. Interlaken</t>
  </si>
  <si>
    <t>Goldswil b. Interlaken</t>
  </si>
  <si>
    <t>Ringgenberg BE</t>
  </si>
  <si>
    <t>Schwanden b. Brienz</t>
  </si>
  <si>
    <t>Arni BE</t>
  </si>
  <si>
    <t>Schlosswil</t>
  </si>
  <si>
    <t>Gysenstein</t>
  </si>
  <si>
    <t>Obergoldbach</t>
  </si>
  <si>
    <t>Heimenschwand</t>
  </si>
  <si>
    <t>Trimstein</t>
  </si>
  <si>
    <t>Tägertschi</t>
  </si>
  <si>
    <t>Aeschlen b. Oberdiessbach</t>
  </si>
  <si>
    <t>Bleiken b. Oberdiessbach</t>
  </si>
  <si>
    <t>Allmendingen b. Bern</t>
  </si>
  <si>
    <t>Rüfenacht BE</t>
  </si>
  <si>
    <t>Vielbringen b. Worb</t>
  </si>
  <si>
    <t>Enggistein</t>
  </si>
  <si>
    <t>Richigen</t>
  </si>
  <si>
    <t>Laupen BE</t>
  </si>
  <si>
    <t>Gümmenen</t>
  </si>
  <si>
    <t>Rizenbach</t>
  </si>
  <si>
    <t>Biberen</t>
  </si>
  <si>
    <t>Gammen</t>
  </si>
  <si>
    <t>Rosshäusern</t>
  </si>
  <si>
    <t>Corcelles BE</t>
  </si>
  <si>
    <t>Pontenet</t>
  </si>
  <si>
    <t>Roches BE</t>
  </si>
  <si>
    <t>Le Fuet</t>
  </si>
  <si>
    <t>Bellelay</t>
  </si>
  <si>
    <t>Saules BE</t>
  </si>
  <si>
    <t>Châtelat</t>
  </si>
  <si>
    <t>Monible</t>
  </si>
  <si>
    <t>Sornetan</t>
  </si>
  <si>
    <t>Fornet-Dessous</t>
  </si>
  <si>
    <t>Souboz</t>
  </si>
  <si>
    <t>Les Ecorcheresses</t>
  </si>
  <si>
    <t>Bévilard</t>
  </si>
  <si>
    <t>Prêles</t>
  </si>
  <si>
    <t>Lamboing</t>
  </si>
  <si>
    <t>Diesse</t>
  </si>
  <si>
    <t>Brügg BE</t>
  </si>
  <si>
    <t>Bühl b. Aarberg</t>
  </si>
  <si>
    <t>Twann</t>
  </si>
  <si>
    <t>Sutz</t>
  </si>
  <si>
    <t>Gerolfingen</t>
  </si>
  <si>
    <t>Tüscherz-Alfermée</t>
  </si>
  <si>
    <t>Weissenburg</t>
  </si>
  <si>
    <t>Oey</t>
  </si>
  <si>
    <t>Horboden</t>
  </si>
  <si>
    <t>Zwischenflüh</t>
  </si>
  <si>
    <t>Schwenden im Diemtigtal</t>
  </si>
  <si>
    <t>Latterbach</t>
  </si>
  <si>
    <t>Zwieselberg</t>
  </si>
  <si>
    <t>Gwatt (Thun)</t>
  </si>
  <si>
    <t>Einigen</t>
  </si>
  <si>
    <t>Höfen b. Thun</t>
  </si>
  <si>
    <t>Niederstocken</t>
  </si>
  <si>
    <t>Oberstocken</t>
  </si>
  <si>
    <t>Hasliberg Hohfluh</t>
  </si>
  <si>
    <t>Hasliberg Wasserwendi</t>
  </si>
  <si>
    <t>Hasliberg Goldern</t>
  </si>
  <si>
    <t>Hasliberg Reuti</t>
  </si>
  <si>
    <t>Gadmen</t>
  </si>
  <si>
    <t>Unterbach BE</t>
  </si>
  <si>
    <t>Brünig</t>
  </si>
  <si>
    <t>Rosenlaui</t>
  </si>
  <si>
    <t>Abländschen</t>
  </si>
  <si>
    <t>Matten (St. Stephan)</t>
  </si>
  <si>
    <t>Lenk im Simmental</t>
  </si>
  <si>
    <t>Blankenburg</t>
  </si>
  <si>
    <t>Oeschseite</t>
  </si>
  <si>
    <t>Saanenmöser</t>
  </si>
  <si>
    <t>Feutersoey</t>
  </si>
  <si>
    <t>Gsteig b. Gstaad</t>
  </si>
  <si>
    <t>Lauenen b. Gstaad</t>
  </si>
  <si>
    <t>Schönried</t>
  </si>
  <si>
    <t>Gstaad</t>
  </si>
  <si>
    <t>Turbach</t>
  </si>
  <si>
    <t>Grund b. Gstaad</t>
  </si>
  <si>
    <t>Sangernboden</t>
  </si>
  <si>
    <t>Riffenmatt</t>
  </si>
  <si>
    <t>Milken</t>
  </si>
  <si>
    <t>Riedstätt</t>
  </si>
  <si>
    <t>Rüti b. Riggisberg</t>
  </si>
  <si>
    <t>Mamishaus</t>
  </si>
  <si>
    <t>Rüschegg Gambach</t>
  </si>
  <si>
    <t>Rüschegg Heubach</t>
  </si>
  <si>
    <t>Lanzenhäusern</t>
  </si>
  <si>
    <t>Albligen</t>
  </si>
  <si>
    <t>Belpberg</t>
  </si>
  <si>
    <t>Kirchdorf BE</t>
  </si>
  <si>
    <t>Mühledorf BE</t>
  </si>
  <si>
    <t>Noflen BE</t>
  </si>
  <si>
    <t>Gelterfingen</t>
  </si>
  <si>
    <t>Oberbütschel</t>
  </si>
  <si>
    <t>Hinterfultigen</t>
  </si>
  <si>
    <t>Helgisried-Rohrbach</t>
  </si>
  <si>
    <t>Englisberg</t>
  </si>
  <si>
    <t>Lohnstorf</t>
  </si>
  <si>
    <t>Kirchenthurnen</t>
  </si>
  <si>
    <t>Aeschau</t>
  </si>
  <si>
    <t>Süderen</t>
  </si>
  <si>
    <t>Schüpbach</t>
  </si>
  <si>
    <t>Emmenmatt</t>
  </si>
  <si>
    <t>Oberfrittenbach</t>
  </si>
  <si>
    <t>Bärau</t>
  </si>
  <si>
    <t>Gohl</t>
  </si>
  <si>
    <t>Zollbrück</t>
  </si>
  <si>
    <t>Ranflüh</t>
  </si>
  <si>
    <t>Heimisbach</t>
  </si>
  <si>
    <t>Fankhaus (Trub)</t>
  </si>
  <si>
    <t>Schwarzenegg</t>
  </si>
  <si>
    <t>Fahrni b. Thun</t>
  </si>
  <si>
    <t>Hünibach</t>
  </si>
  <si>
    <t>Homberg b. Thun</t>
  </si>
  <si>
    <t>Horrenbach</t>
  </si>
  <si>
    <t>Buchen BE</t>
  </si>
  <si>
    <t>Gunten</t>
  </si>
  <si>
    <t>Teuffenthal b. Thun</t>
  </si>
  <si>
    <t>Tschingel ob Gunten</t>
  </si>
  <si>
    <t>Aeschlen ob Gunten</t>
  </si>
  <si>
    <t>Ringoldswil</t>
  </si>
  <si>
    <t>Schwanden (Sigriswil)</t>
  </si>
  <si>
    <t>Merligen</t>
  </si>
  <si>
    <t>Schwendibach</t>
  </si>
  <si>
    <t>Längenbühl</t>
  </si>
  <si>
    <t>Forst b. Längenbühl</t>
  </si>
  <si>
    <t>Weier im Emmental</t>
  </si>
  <si>
    <t>Häusernmoos im Emmental</t>
  </si>
  <si>
    <t>Schwarzenbach (Huttwil)</t>
  </si>
  <si>
    <t>Ramsei</t>
  </si>
  <si>
    <t>Grünenmatt</t>
  </si>
  <si>
    <t>Grünen</t>
  </si>
  <si>
    <t>Wasen im Emmental</t>
  </si>
  <si>
    <t>Bollodingen</t>
  </si>
  <si>
    <t>Wanzwil</t>
  </si>
  <si>
    <t>Röthenbach Herzogenbuchsee</t>
  </si>
  <si>
    <t>Oberönz</t>
  </si>
  <si>
    <t>Wolfisberg</t>
  </si>
  <si>
    <t>Burgäschi</t>
  </si>
  <si>
    <t>Oschwand</t>
  </si>
  <si>
    <t>Grasswil</t>
  </si>
  <si>
    <t>Riedtwil</t>
  </si>
  <si>
    <t>Hermiswil</t>
  </si>
  <si>
    <t>Walliswil b. Niederbipp</t>
  </si>
  <si>
    <t>Walliswil b. Wangen</t>
  </si>
  <si>
    <t>Schachen LU</t>
  </si>
  <si>
    <t>Rengg</t>
  </si>
  <si>
    <t>Finsterwald b. Entlebuch</t>
  </si>
  <si>
    <t>Ebnet</t>
  </si>
  <si>
    <t>Hasle LU</t>
  </si>
  <si>
    <t>Flühli LU</t>
  </si>
  <si>
    <t>Sörenberg</t>
  </si>
  <si>
    <t>Wiggen</t>
  </si>
  <si>
    <t>Fontannen b. Wolhusen</t>
  </si>
  <si>
    <t>Bramboden</t>
  </si>
  <si>
    <t>Escholzmatt</t>
  </si>
  <si>
    <t>Marbach LU</t>
  </si>
  <si>
    <t>Aesch LU</t>
  </si>
  <si>
    <t>Eschenbach LU</t>
  </si>
  <si>
    <t>Gelfingen</t>
  </si>
  <si>
    <t>Sulz LU</t>
  </si>
  <si>
    <t>Retschwil</t>
  </si>
  <si>
    <t>Müswangen</t>
  </si>
  <si>
    <t>Hämikon</t>
  </si>
  <si>
    <t>Mosen</t>
  </si>
  <si>
    <t>Urswil</t>
  </si>
  <si>
    <t>Baldegg</t>
  </si>
  <si>
    <t>Kleinwangen</t>
  </si>
  <si>
    <t>Lieli LU</t>
  </si>
  <si>
    <t>Römerswil LU</t>
  </si>
  <si>
    <t>Herlisberg</t>
  </si>
  <si>
    <t>Perlen</t>
  </si>
  <si>
    <t>Hergiswil NW</t>
  </si>
  <si>
    <t>Eigenthal</t>
  </si>
  <si>
    <t>Hellbühl</t>
  </si>
  <si>
    <t>Kehrsiten</t>
  </si>
  <si>
    <t>Sigigen</t>
  </si>
  <si>
    <t>Root D4</t>
  </si>
  <si>
    <t>Schwarzenberg LU</t>
  </si>
  <si>
    <t>Rigi Kaltbad</t>
  </si>
  <si>
    <t>Neudorf</t>
  </si>
  <si>
    <t>Schwarzenbach LU</t>
  </si>
  <si>
    <t>Rickenbach LU</t>
  </si>
  <si>
    <t>Gunzwil</t>
  </si>
  <si>
    <t>St. Erhard</t>
  </si>
  <si>
    <t>Kaltbach</t>
  </si>
  <si>
    <t>Sempach Station</t>
  </si>
  <si>
    <t>Oberkirch LU</t>
  </si>
  <si>
    <t>Pfeffikon LU</t>
  </si>
  <si>
    <t>Kulmerau</t>
  </si>
  <si>
    <t>Winikon</t>
  </si>
  <si>
    <t>Wilihof</t>
  </si>
  <si>
    <t>Steinhuserberg</t>
  </si>
  <si>
    <t>Zell LU</t>
  </si>
  <si>
    <t>Richenthal</t>
  </si>
  <si>
    <t>Buchs LU</t>
  </si>
  <si>
    <t>Uffikon</t>
  </si>
  <si>
    <t>Reidermoos</t>
  </si>
  <si>
    <t>Kottwil</t>
  </si>
  <si>
    <t>Fischbach LU</t>
  </si>
  <si>
    <t>Hüswil</t>
  </si>
  <si>
    <t>Menzberg</t>
  </si>
  <si>
    <t>Rohrmatt</t>
  </si>
  <si>
    <t>Hofstatt</t>
  </si>
  <si>
    <t>Luthern Bad</t>
  </si>
  <si>
    <t>Geiss</t>
  </si>
  <si>
    <t>St. Urban</t>
  </si>
  <si>
    <t>Hintermoos</t>
  </si>
  <si>
    <t>Mehlsecken</t>
  </si>
  <si>
    <t>Langnau b. Reiden</t>
  </si>
  <si>
    <t>Ohmstal</t>
  </si>
  <si>
    <t>Daiwil</t>
  </si>
  <si>
    <t>Altdorf UR</t>
  </si>
  <si>
    <t>Bisisthal</t>
  </si>
  <si>
    <t>Bürglen UR</t>
  </si>
  <si>
    <t>Haldi b. Schattdorf</t>
  </si>
  <si>
    <t>Amsteg</t>
  </si>
  <si>
    <t>Intschi</t>
  </si>
  <si>
    <t>Seedorf UR</t>
  </si>
  <si>
    <t>Rütli</t>
  </si>
  <si>
    <t>Bristen</t>
  </si>
  <si>
    <t>Urnerboden</t>
  </si>
  <si>
    <t>Wassen UR</t>
  </si>
  <si>
    <t>Meien</t>
  </si>
  <si>
    <t>Bennau</t>
  </si>
  <si>
    <t>Trachslau</t>
  </si>
  <si>
    <t>Gross</t>
  </si>
  <si>
    <t>Euthal</t>
  </si>
  <si>
    <t>Willerzell</t>
  </si>
  <si>
    <t>Egg SZ</t>
  </si>
  <si>
    <t>Rigi Scheidegg</t>
  </si>
  <si>
    <t>Schindellegi</t>
  </si>
  <si>
    <t>Hurden</t>
  </si>
  <si>
    <t>Bäch SZ</t>
  </si>
  <si>
    <t>Pfäffikon SZ</t>
  </si>
  <si>
    <t>Wilen b. Wollerau</t>
  </si>
  <si>
    <t>Merlischachen</t>
  </si>
  <si>
    <t>Küssnacht am Rigi</t>
  </si>
  <si>
    <t>Immensee</t>
  </si>
  <si>
    <t>Lachen SZ</t>
  </si>
  <si>
    <t>Siebnen</t>
  </si>
  <si>
    <t>Wangen SZ</t>
  </si>
  <si>
    <t>Buttikon SZ</t>
  </si>
  <si>
    <t>Goldau</t>
  </si>
  <si>
    <t>Rigi Klösterli</t>
  </si>
  <si>
    <t>Rigi Staffel</t>
  </si>
  <si>
    <t>Rigi Kulm</t>
  </si>
  <si>
    <t>Oberarth</t>
  </si>
  <si>
    <t>Seewen SZ</t>
  </si>
  <si>
    <t>Brunnen</t>
  </si>
  <si>
    <t>Stoos SZ</t>
  </si>
  <si>
    <t>Ried (Muotathal)</t>
  </si>
  <si>
    <t>Morgarten</t>
  </si>
  <si>
    <t>Rickenbach b. Schwyz</t>
  </si>
  <si>
    <t>Ibach</t>
  </si>
  <si>
    <t>Studen SZ</t>
  </si>
  <si>
    <t>Pilatus Kulm</t>
  </si>
  <si>
    <t>Alpnachstad</t>
  </si>
  <si>
    <t>Alpnach Dorf</t>
  </si>
  <si>
    <t>Grafenort</t>
  </si>
  <si>
    <t>St. Niklausen OW</t>
  </si>
  <si>
    <t>Melchtal</t>
  </si>
  <si>
    <t>Melchsee-Frutt</t>
  </si>
  <si>
    <t>Bürglen OW</t>
  </si>
  <si>
    <t>Flüeli-Ranft</t>
  </si>
  <si>
    <t>Kägiswil</t>
  </si>
  <si>
    <t>Ramersberg</t>
  </si>
  <si>
    <t>Wilen (Sarnen)</t>
  </si>
  <si>
    <t>Stalden (Sarnen)</t>
  </si>
  <si>
    <t>Wiesenberg</t>
  </si>
  <si>
    <t>Wirzweli</t>
  </si>
  <si>
    <t>Obbürgen</t>
  </si>
  <si>
    <t>Bürgenstock</t>
  </si>
  <si>
    <t>Oberdorf NW</t>
  </si>
  <si>
    <t>Büren NW</t>
  </si>
  <si>
    <t>Niederrickenbach</t>
  </si>
  <si>
    <t>Fürigen</t>
  </si>
  <si>
    <t>Oberrickenbach</t>
  </si>
  <si>
    <t>Ziegelbrücke</t>
  </si>
  <si>
    <t>Neuägeri</t>
  </si>
  <si>
    <t>Allenwinden</t>
  </si>
  <si>
    <t>Hagendorn</t>
  </si>
  <si>
    <t>Hünenberg See</t>
  </si>
  <si>
    <t>Edlibach</t>
  </si>
  <si>
    <t>Finstersee</t>
  </si>
  <si>
    <t>Alosen</t>
  </si>
  <si>
    <t>Rotkreuz</t>
  </si>
  <si>
    <t>Buonas</t>
  </si>
  <si>
    <t>Holzhäusern ZG</t>
  </si>
  <si>
    <t>Zugerberg</t>
  </si>
  <si>
    <t>Oberwil b. Zug</t>
  </si>
  <si>
    <t>Châtillon FR</t>
  </si>
  <si>
    <t>Cugy FR</t>
  </si>
  <si>
    <t>Vesin</t>
  </si>
  <si>
    <t>Estavayer-le-Lac</t>
  </si>
  <si>
    <t>Lully FR</t>
  </si>
  <si>
    <t>Seiry</t>
  </si>
  <si>
    <t>Bollion</t>
  </si>
  <si>
    <t>Cousset</t>
  </si>
  <si>
    <t>Montagny-les-Monts</t>
  </si>
  <si>
    <t>Mannens</t>
  </si>
  <si>
    <t>Grandsivaz</t>
  </si>
  <si>
    <t>Montagny-la-Ville</t>
  </si>
  <si>
    <t>St-Aubin FR</t>
  </si>
  <si>
    <t>Les Friques</t>
  </si>
  <si>
    <t>Seigneux</t>
  </si>
  <si>
    <t>Villeneuve FR</t>
  </si>
  <si>
    <t>Praratoud</t>
  </si>
  <si>
    <t>Chapelle (Broye)</t>
  </si>
  <si>
    <t>Montet (Broye)</t>
  </si>
  <si>
    <t>Frasses</t>
  </si>
  <si>
    <t>Aumont</t>
  </si>
  <si>
    <t>Granges-de-Vesin</t>
  </si>
  <si>
    <t>Sassel</t>
  </si>
  <si>
    <t>Delley</t>
  </si>
  <si>
    <t>Portalban</t>
  </si>
  <si>
    <t>Dompierre FR</t>
  </si>
  <si>
    <t>Domdidier</t>
  </si>
  <si>
    <t>Oleyres</t>
  </si>
  <si>
    <t>Léchelles</t>
  </si>
  <si>
    <t>Chandon</t>
  </si>
  <si>
    <t>Russy</t>
  </si>
  <si>
    <t>Font</t>
  </si>
  <si>
    <t>Autavaux</t>
  </si>
  <si>
    <t>Forel FR</t>
  </si>
  <si>
    <t>Montbrelloz</t>
  </si>
  <si>
    <t>Vuissens</t>
  </si>
  <si>
    <t>Murist</t>
  </si>
  <si>
    <t>Bussy FR</t>
  </si>
  <si>
    <t>Morens FR</t>
  </si>
  <si>
    <t>Rueyres-les-Prés</t>
  </si>
  <si>
    <t>Cheyres</t>
  </si>
  <si>
    <t>Châbles FR</t>
  </si>
  <si>
    <t>Billens</t>
  </si>
  <si>
    <t>Hennens</t>
  </si>
  <si>
    <t>Le Châtelard-près-Romont</t>
  </si>
  <si>
    <t>Ecublens FR</t>
  </si>
  <si>
    <t>Grangettes-près-Romont</t>
  </si>
  <si>
    <t>Romont FR</t>
  </si>
  <si>
    <t>Berlens</t>
  </si>
  <si>
    <t>Mézières FR</t>
  </si>
  <si>
    <t>Promasens</t>
  </si>
  <si>
    <t>Gillarens</t>
  </si>
  <si>
    <t>Blessens</t>
  </si>
  <si>
    <t>Chavannes-les-Forts</t>
  </si>
  <si>
    <t>Prez-vers-Siviriez</t>
  </si>
  <si>
    <t>Villaraboud</t>
  </si>
  <si>
    <t>Bionnens</t>
  </si>
  <si>
    <t>Esmonts</t>
  </si>
  <si>
    <t>Vuarmarens</t>
  </si>
  <si>
    <t>Morlens</t>
  </si>
  <si>
    <t>Vauderens</t>
  </si>
  <si>
    <t>Mossel</t>
  </si>
  <si>
    <t>Villariaz</t>
  </si>
  <si>
    <t>La Neirigue</t>
  </si>
  <si>
    <t>La Magne</t>
  </si>
  <si>
    <t>Estévenens</t>
  </si>
  <si>
    <t>Sommentier</t>
  </si>
  <si>
    <t>Lieffrens</t>
  </si>
  <si>
    <t>La Joux FR</t>
  </si>
  <si>
    <t>Les Ecasseys</t>
  </si>
  <si>
    <t>Villaz-St-Pierre</t>
  </si>
  <si>
    <t>Villarsiviriaux</t>
  </si>
  <si>
    <t>Villargiroud</t>
  </si>
  <si>
    <t>Orsonnens</t>
  </si>
  <si>
    <t>Chavannes-sous-Orsonnens</t>
  </si>
  <si>
    <t>Torny-le-Grand</t>
  </si>
  <si>
    <t>Middes</t>
  </si>
  <si>
    <t>Lussy FR</t>
  </si>
  <si>
    <t>Villarimboud</t>
  </si>
  <si>
    <t>Albeuve</t>
  </si>
  <si>
    <t>Lessoc</t>
  </si>
  <si>
    <t>Les Sciernes-d'Albeuve</t>
  </si>
  <si>
    <t>Neirivue</t>
  </si>
  <si>
    <t>Montbovon</t>
  </si>
  <si>
    <t>Gumefens</t>
  </si>
  <si>
    <t>Avry-devant-Pont</t>
  </si>
  <si>
    <t>Le Bry</t>
  </si>
  <si>
    <t>Villarbeney</t>
  </si>
  <si>
    <t>?</t>
  </si>
  <si>
    <t>La Tour-de-Trême</t>
  </si>
  <si>
    <t>Le Pâquier-Montbarry</t>
  </si>
  <si>
    <t>Villarvolard</t>
  </si>
  <si>
    <t>Pringy</t>
  </si>
  <si>
    <t>Epagny</t>
  </si>
  <si>
    <t>Moléson-sur-Gruyères</t>
  </si>
  <si>
    <t>La Roche FR</t>
  </si>
  <si>
    <t>Charmey (Gruyère)</t>
  </si>
  <si>
    <t>Im Fang</t>
  </si>
  <si>
    <t>Schwarzsee</t>
  </si>
  <si>
    <t>Vuippens</t>
  </si>
  <si>
    <t>Sâles (Gruyère)</t>
  </si>
  <si>
    <t>Maules</t>
  </si>
  <si>
    <t>Romanens</t>
  </si>
  <si>
    <t>Treyfayes</t>
  </si>
  <si>
    <t>Rueyres-Treyfayes</t>
  </si>
  <si>
    <t>Estavannens</t>
  </si>
  <si>
    <t>Villars-sous-Mont</t>
  </si>
  <si>
    <t>Enney</t>
  </si>
  <si>
    <t>Cerniat FR</t>
  </si>
  <si>
    <t>Lentigny</t>
  </si>
  <si>
    <t>Corjolens</t>
  </si>
  <si>
    <t>Avry-sur-Matran</t>
  </si>
  <si>
    <t>Chésopelloz</t>
  </si>
  <si>
    <t>Autafond</t>
  </si>
  <si>
    <t>Cottens FR</t>
  </si>
  <si>
    <t>Bourguillon</t>
  </si>
  <si>
    <t>Posieux</t>
  </si>
  <si>
    <t>Neyruz FR</t>
  </si>
  <si>
    <t>Nierlet-les-Bois</t>
  </si>
  <si>
    <t>Essert FR</t>
  </si>
  <si>
    <t>Montévraz</t>
  </si>
  <si>
    <t>Oberried FR</t>
  </si>
  <si>
    <t>Zénauva</t>
  </si>
  <si>
    <t>Bonnefontaine</t>
  </si>
  <si>
    <t>Ecuvillens</t>
  </si>
  <si>
    <t>Onnens FR</t>
  </si>
  <si>
    <t>Lovens</t>
  </si>
  <si>
    <t>Lossy</t>
  </si>
  <si>
    <t>La Corbaz</t>
  </si>
  <si>
    <t>Cormagens</t>
  </si>
  <si>
    <t>Formangueires</t>
  </si>
  <si>
    <t>Villarlod</t>
  </si>
  <si>
    <t>Rueyres-St-Laurent</t>
  </si>
  <si>
    <t>Estavayer-le-Gibloux</t>
  </si>
  <si>
    <t>Villarsel-le-Gibloux</t>
  </si>
  <si>
    <t>Vuisternens-en-Ogoz</t>
  </si>
  <si>
    <t>Farvagny-le-Grand</t>
  </si>
  <si>
    <t>Farvagny-le-Petit</t>
  </si>
  <si>
    <t>Grenilles</t>
  </si>
  <si>
    <t>Posat</t>
  </si>
  <si>
    <t>Corpataux</t>
  </si>
  <si>
    <t>Magnedens</t>
  </si>
  <si>
    <t>Rossens FR</t>
  </si>
  <si>
    <t>Ependes FR</t>
  </si>
  <si>
    <t>Villarepos</t>
  </si>
  <si>
    <t>Pensier</t>
  </si>
  <si>
    <t>Barberêche</t>
  </si>
  <si>
    <t>Wallenried</t>
  </si>
  <si>
    <t>Courtaman</t>
  </si>
  <si>
    <t>Courlevon</t>
  </si>
  <si>
    <t>Kleingurmels</t>
  </si>
  <si>
    <t>Cressier FR</t>
  </si>
  <si>
    <t>Cordast</t>
  </si>
  <si>
    <t>Guschelmuth</t>
  </si>
  <si>
    <t>Wallenbuch</t>
  </si>
  <si>
    <t>Liebistorf</t>
  </si>
  <si>
    <t>Misery</t>
  </si>
  <si>
    <t>Cormérod</t>
  </si>
  <si>
    <t>Courtion</t>
  </si>
  <si>
    <t>Cournillens</t>
  </si>
  <si>
    <t>Clavaleyres</t>
  </si>
  <si>
    <t>Jeuss</t>
  </si>
  <si>
    <t>Salvenach</t>
  </si>
  <si>
    <t>Büchslen</t>
  </si>
  <si>
    <t>Lurtigen</t>
  </si>
  <si>
    <t>Ried b. Kerzers</t>
  </si>
  <si>
    <t>Agriswil</t>
  </si>
  <si>
    <t>Sugiez</t>
  </si>
  <si>
    <t>Môtier (Vully)</t>
  </si>
  <si>
    <t>Mur (Vully) FR</t>
  </si>
  <si>
    <t>Praz (Vully)</t>
  </si>
  <si>
    <t>Lugnorre</t>
  </si>
  <si>
    <t>Wünnewil</t>
  </si>
  <si>
    <t>Schmitten FR</t>
  </si>
  <si>
    <t>Oberschrot</t>
  </si>
  <si>
    <t>Zumholz</t>
  </si>
  <si>
    <t>Alterswil FR</t>
  </si>
  <si>
    <t>Flamatt</t>
  </si>
  <si>
    <t>Tatroz</t>
  </si>
  <si>
    <t>Les Monts-de-Corsier</t>
  </si>
  <si>
    <t>Châtel-St-Denis</t>
  </si>
  <si>
    <t>Les Paccots</t>
  </si>
  <si>
    <t>St-Martin FR</t>
  </si>
  <si>
    <t>Besencens</t>
  </si>
  <si>
    <t>Fiaugères</t>
  </si>
  <si>
    <t>Porsel</t>
  </si>
  <si>
    <t>Pont (Veveyse)</t>
  </si>
  <si>
    <t>Bouloz</t>
  </si>
  <si>
    <t>Le Crêt-près-Semsales</t>
  </si>
  <si>
    <t>Grattavache</t>
  </si>
  <si>
    <t>Progens</t>
  </si>
  <si>
    <t>Holderbank SO</t>
  </si>
  <si>
    <t>Mümliswil</t>
  </si>
  <si>
    <t>Ramiswil</t>
  </si>
  <si>
    <t>Beinwil SO</t>
  </si>
  <si>
    <t>Lüterkofen</t>
  </si>
  <si>
    <t>Ichertswil</t>
  </si>
  <si>
    <t>Balm b. Messen</t>
  </si>
  <si>
    <t>Brunnenthal</t>
  </si>
  <si>
    <t>Oberramsern</t>
  </si>
  <si>
    <t>Nennigkofen</t>
  </si>
  <si>
    <t>Lüsslingen</t>
  </si>
  <si>
    <t>Tscheppach</t>
  </si>
  <si>
    <t>Hessigkofen</t>
  </si>
  <si>
    <t>Bibern SO</t>
  </si>
  <si>
    <t>Gossliwil</t>
  </si>
  <si>
    <t>Küttigkofen</t>
  </si>
  <si>
    <t>Brügglen</t>
  </si>
  <si>
    <t>Mühledorf SO</t>
  </si>
  <si>
    <t>Aetigkofen</t>
  </si>
  <si>
    <t>Lüterswil</t>
  </si>
  <si>
    <t>Gächliwil</t>
  </si>
  <si>
    <t>Kyburg-Buchegg</t>
  </si>
  <si>
    <t>Aetingen</t>
  </si>
  <si>
    <t>Brittern</t>
  </si>
  <si>
    <t>Biel-Benken BL</t>
  </si>
  <si>
    <t>Büren SO</t>
  </si>
  <si>
    <t>Flüh</t>
  </si>
  <si>
    <t>Hofstetten SO</t>
  </si>
  <si>
    <t>Mariastein</t>
  </si>
  <si>
    <t>Metzerlen</t>
  </si>
  <si>
    <t>Nuglar</t>
  </si>
  <si>
    <t>St. Pantaleon</t>
  </si>
  <si>
    <t>Seewen SO</t>
  </si>
  <si>
    <t>Hauenstein</t>
  </si>
  <si>
    <t>Wisen SO</t>
  </si>
  <si>
    <t>Rohr b. Olten</t>
  </si>
  <si>
    <t>Erlinsbach SO</t>
  </si>
  <si>
    <t>Barmelweid</t>
  </si>
  <si>
    <t>Aeschi SO</t>
  </si>
  <si>
    <t>Steinhof SO</t>
  </si>
  <si>
    <t>Hersiwil</t>
  </si>
  <si>
    <t>Heinrichswil</t>
  </si>
  <si>
    <t>Winistorf</t>
  </si>
  <si>
    <t>Balmberg</t>
  </si>
  <si>
    <t>Oberbalmberg</t>
  </si>
  <si>
    <t>Balm b. Günsberg</t>
  </si>
  <si>
    <t>Feldbrunnen</t>
  </si>
  <si>
    <t>Oberdorf SO</t>
  </si>
  <si>
    <t>Weissenstein b. Solothurn</t>
  </si>
  <si>
    <t>Niederwil SO</t>
  </si>
  <si>
    <t>Däniken SO</t>
  </si>
  <si>
    <t>Walterswil SO</t>
  </si>
  <si>
    <t>Wöschnau</t>
  </si>
  <si>
    <t>Eppenberg</t>
  </si>
  <si>
    <t>Kappel SO</t>
  </si>
  <si>
    <t>Allerheiligenberg</t>
  </si>
  <si>
    <t>Wangen b. Olten</t>
  </si>
  <si>
    <t>Rickenbach SO</t>
  </si>
  <si>
    <t>Aesch BL</t>
  </si>
  <si>
    <t>Reinach BL</t>
  </si>
  <si>
    <t>Bruderholz</t>
  </si>
  <si>
    <t>Oberwil BL</t>
  </si>
  <si>
    <t>Wahlen b. Laufen</t>
  </si>
  <si>
    <t>Liesberg Dorf</t>
  </si>
  <si>
    <t>Augst BL</t>
  </si>
  <si>
    <t>Rickenbach BL</t>
  </si>
  <si>
    <t>Kilchberg BL</t>
  </si>
  <si>
    <t>Oberdorf BL</t>
  </si>
  <si>
    <t>Guntmadingen</t>
  </si>
  <si>
    <t>Lohn SH</t>
  </si>
  <si>
    <t>Stetten SH</t>
  </si>
  <si>
    <t>Opfertshofen SH</t>
  </si>
  <si>
    <t>Barzheim</t>
  </si>
  <si>
    <t>Bibern SH</t>
  </si>
  <si>
    <t>Hofen SH</t>
  </si>
  <si>
    <t>Altdorf SH</t>
  </si>
  <si>
    <t>Bargen SH</t>
  </si>
  <si>
    <t>Hemmental</t>
  </si>
  <si>
    <t>Buch SH</t>
  </si>
  <si>
    <t>Osterfingen</t>
  </si>
  <si>
    <t>Schachen b. Herisau</t>
  </si>
  <si>
    <t>Stein AR</t>
  </si>
  <si>
    <t>Altstätten SG</t>
  </si>
  <si>
    <t>Speicherschwendi</t>
  </si>
  <si>
    <t>Niederteufen</t>
  </si>
  <si>
    <t>Teufen AR</t>
  </si>
  <si>
    <t>Lustmühle</t>
  </si>
  <si>
    <t>Grub AR</t>
  </si>
  <si>
    <t>Grub SG</t>
  </si>
  <si>
    <t>Wienacht-Tobel</t>
  </si>
  <si>
    <t>Reute AR</t>
  </si>
  <si>
    <t>Schachen b. Reute</t>
  </si>
  <si>
    <t>Marbach SG</t>
  </si>
  <si>
    <t>Wald AR</t>
  </si>
  <si>
    <t>Appenzell Meistersrüte</t>
  </si>
  <si>
    <t>Appenzell Schlatt</t>
  </si>
  <si>
    <t>Gontenbad</t>
  </si>
  <si>
    <t>Jakobsbad</t>
  </si>
  <si>
    <t>Appenzell Enggenhütten</t>
  </si>
  <si>
    <t>Haslen AI</t>
  </si>
  <si>
    <t>Büriswilen</t>
  </si>
  <si>
    <t>Lüchingen</t>
  </si>
  <si>
    <t>Appenzell Eggerstanden</t>
  </si>
  <si>
    <t>Appenzell Steinegg</t>
  </si>
  <si>
    <t>Weissbad</t>
  </si>
  <si>
    <t>Schwende</t>
  </si>
  <si>
    <t>Wasserauen</t>
  </si>
  <si>
    <t>Brülisau</t>
  </si>
  <si>
    <t>Frümsen</t>
  </si>
  <si>
    <t>Lömmenschwil</t>
  </si>
  <si>
    <t>Winden</t>
  </si>
  <si>
    <t>Hagenwil b. Amriswil</t>
  </si>
  <si>
    <t>Abtwil SG</t>
  </si>
  <si>
    <t>Berg SG</t>
  </si>
  <si>
    <t>Freidorf TG</t>
  </si>
  <si>
    <t>Staad SG</t>
  </si>
  <si>
    <t>Au SG</t>
  </si>
  <si>
    <t>Heerbrugg</t>
  </si>
  <si>
    <t>St. Margrethen SG</t>
  </si>
  <si>
    <t>Altenrhein</t>
  </si>
  <si>
    <t>Hinterforst</t>
  </si>
  <si>
    <t>Oberriet SG</t>
  </si>
  <si>
    <t>Rüthi (Rheintal)</t>
  </si>
  <si>
    <t>Lienz</t>
  </si>
  <si>
    <t>Kriessern</t>
  </si>
  <si>
    <t>Montlingen</t>
  </si>
  <si>
    <t>Haag (Rheintal)</t>
  </si>
  <si>
    <t>Buchs SG</t>
  </si>
  <si>
    <t>Wildhaus</t>
  </si>
  <si>
    <t>Werdenberg</t>
  </si>
  <si>
    <t>Grabserberg</t>
  </si>
  <si>
    <t>Salez</t>
  </si>
  <si>
    <t>Sax</t>
  </si>
  <si>
    <t>Weite</t>
  </si>
  <si>
    <t>Fontnas</t>
  </si>
  <si>
    <t>Trübbach</t>
  </si>
  <si>
    <t>Azmoos</t>
  </si>
  <si>
    <t>Oberschan</t>
  </si>
  <si>
    <t>Malans SG</t>
  </si>
  <si>
    <t>Gretschins</t>
  </si>
  <si>
    <t>Valens</t>
  </si>
  <si>
    <t>Heiligkreuz (Mels)</t>
  </si>
  <si>
    <t>Berschis</t>
  </si>
  <si>
    <t>Flums Hochwiese</t>
  </si>
  <si>
    <t>Flumserberg Saxli</t>
  </si>
  <si>
    <t>Flumserberg Portels</t>
  </si>
  <si>
    <t>Flumserberg Bergheim</t>
  </si>
  <si>
    <t>Flumserberg Tannenheim</t>
  </si>
  <si>
    <t>Flumserberg Tannenbodenalp</t>
  </si>
  <si>
    <t>Schwendi im Weisstannental</t>
  </si>
  <si>
    <t>Weisstannen</t>
  </si>
  <si>
    <t>Mädris-Vermol</t>
  </si>
  <si>
    <t>Plons</t>
  </si>
  <si>
    <t>St. Margrethenberg</t>
  </si>
  <si>
    <t>Vadura</t>
  </si>
  <si>
    <t>Vättis</t>
  </si>
  <si>
    <t>Vasön</t>
  </si>
  <si>
    <t>Murg</t>
  </si>
  <si>
    <t>Quinten</t>
  </si>
  <si>
    <t>Unterterzen</t>
  </si>
  <si>
    <t>Oberterzen</t>
  </si>
  <si>
    <t>Mols</t>
  </si>
  <si>
    <t>Wangs</t>
  </si>
  <si>
    <t>Vilters</t>
  </si>
  <si>
    <t>Walenstadtberg</t>
  </si>
  <si>
    <t>Tscherlach</t>
  </si>
  <si>
    <t>Benken SG</t>
  </si>
  <si>
    <t>Rufi</t>
  </si>
  <si>
    <t>Maseltrangen</t>
  </si>
  <si>
    <t>Ermenswil</t>
  </si>
  <si>
    <t>Ernetschwil</t>
  </si>
  <si>
    <t>Gebertingen</t>
  </si>
  <si>
    <t>Ricken SG</t>
  </si>
  <si>
    <t>Uetliburg SG</t>
  </si>
  <si>
    <t>Rieden SG</t>
  </si>
  <si>
    <t>Goldingen</t>
  </si>
  <si>
    <t>Walde SG</t>
  </si>
  <si>
    <t>Neuhaus SG</t>
  </si>
  <si>
    <t>Eschenbach SG</t>
  </si>
  <si>
    <t>St. Gallenkappel</t>
  </si>
  <si>
    <t>Rüeterswil</t>
  </si>
  <si>
    <t>Krummenau</t>
  </si>
  <si>
    <t>Alt St. Johann</t>
  </si>
  <si>
    <t>Unterwasser</t>
  </si>
  <si>
    <t>Ennetbühl</t>
  </si>
  <si>
    <t>Neu St. Johann</t>
  </si>
  <si>
    <t>Stein SG</t>
  </si>
  <si>
    <t>Dietfurt</t>
  </si>
  <si>
    <t>Krinau</t>
  </si>
  <si>
    <t>Ulisbach</t>
  </si>
  <si>
    <t>Rickenbach b. Wil</t>
  </si>
  <si>
    <t>Kirchberg SG</t>
  </si>
  <si>
    <t>Dietschwil</t>
  </si>
  <si>
    <t>Gähwil</t>
  </si>
  <si>
    <t>Lütisburg Station</t>
  </si>
  <si>
    <t>Bazenheid</t>
  </si>
  <si>
    <t>Müselbach</t>
  </si>
  <si>
    <t>Mühlrüti</t>
  </si>
  <si>
    <t>Nassen</t>
  </si>
  <si>
    <t>Oberrindal</t>
  </si>
  <si>
    <t>Unterrindal</t>
  </si>
  <si>
    <t>Ganterschwil</t>
  </si>
  <si>
    <t>Au TG</t>
  </si>
  <si>
    <t>Dreien</t>
  </si>
  <si>
    <t>Libingen</t>
  </si>
  <si>
    <t>Bütschwil</t>
  </si>
  <si>
    <t>Hoffeld</t>
  </si>
  <si>
    <t>Dicken</t>
  </si>
  <si>
    <t>Wolfertswil</t>
  </si>
  <si>
    <t>Mogelsberg</t>
  </si>
  <si>
    <t>Ebersol</t>
  </si>
  <si>
    <t>Brunnadern</t>
  </si>
  <si>
    <t>Necker</t>
  </si>
  <si>
    <t>St. Peterzell</t>
  </si>
  <si>
    <t>Bächli (Hemberg)</t>
  </si>
  <si>
    <t>Egg (Flawil)</t>
  </si>
  <si>
    <t>Schwarzenbach SG</t>
  </si>
  <si>
    <t>Niederglatt SG</t>
  </si>
  <si>
    <t>Niederuzwil</t>
  </si>
  <si>
    <t>Bichwil</t>
  </si>
  <si>
    <t>Henau</t>
  </si>
  <si>
    <t>Algetshausen</t>
  </si>
  <si>
    <t>Niederstetten</t>
  </si>
  <si>
    <t>Oberstetten</t>
  </si>
  <si>
    <t>Niederwil SG</t>
  </si>
  <si>
    <t>Schweizersholz</t>
  </si>
  <si>
    <t>Sonnental</t>
  </si>
  <si>
    <t>Zuzwil SG</t>
  </si>
  <si>
    <t>Lenggenwil</t>
  </si>
  <si>
    <t>Zuckenriet</t>
  </si>
  <si>
    <t>Hosenruck</t>
  </si>
  <si>
    <t>Züberwangen</t>
  </si>
  <si>
    <t>St. Margarethen TG</t>
  </si>
  <si>
    <t>Andwil SG</t>
  </si>
  <si>
    <t>St. Josefen</t>
  </si>
  <si>
    <t>Engelburg</t>
  </si>
  <si>
    <t>Hauptwil</t>
  </si>
  <si>
    <t>Bernhardzell</t>
  </si>
  <si>
    <t>Parpan</t>
  </si>
  <si>
    <t>Valbella</t>
  </si>
  <si>
    <t>Lenzerheide/Lai</t>
  </si>
  <si>
    <t>Tiefencastel</t>
  </si>
  <si>
    <t>Schmitten (Albula)</t>
  </si>
  <si>
    <t>Brienz/Brinzauls GR</t>
  </si>
  <si>
    <t>Alvaschein</t>
  </si>
  <si>
    <t>Mon</t>
  </si>
  <si>
    <t>Stierva</t>
  </si>
  <si>
    <t>Surava</t>
  </si>
  <si>
    <t>Alvaneu Bad</t>
  </si>
  <si>
    <t>Alvaneu Dorf</t>
  </si>
  <si>
    <t>Cunter</t>
  </si>
  <si>
    <t>Tinizong</t>
  </si>
  <si>
    <t>Rona</t>
  </si>
  <si>
    <t>Mulegns</t>
  </si>
  <si>
    <t>Sur</t>
  </si>
  <si>
    <t>Marmorera</t>
  </si>
  <si>
    <t>Bivio</t>
  </si>
  <si>
    <t>Savognin</t>
  </si>
  <si>
    <t>Salouf</t>
  </si>
  <si>
    <t>Riom</t>
  </si>
  <si>
    <t>Parsonz</t>
  </si>
  <si>
    <t>Filisur</t>
  </si>
  <si>
    <t>Bergün/Bravuogn</t>
  </si>
  <si>
    <t>Preda</t>
  </si>
  <si>
    <t>Stugl/Stuls</t>
  </si>
  <si>
    <t>Latsch</t>
  </si>
  <si>
    <t>Davos Wiesen</t>
  </si>
  <si>
    <t>Miralago</t>
  </si>
  <si>
    <t>Campocologno</t>
  </si>
  <si>
    <t>Viano</t>
  </si>
  <si>
    <t>Campascio</t>
  </si>
  <si>
    <t>Ospizio Bernina</t>
  </si>
  <si>
    <t>Alp Grüm</t>
  </si>
  <si>
    <t>S. Carlo (Poschiavo)</t>
  </si>
  <si>
    <t>Sfazù</t>
  </si>
  <si>
    <t>La Rösa</t>
  </si>
  <si>
    <t>Li Curt</t>
  </si>
  <si>
    <t>Le Prese</t>
  </si>
  <si>
    <t>Laax GR 2</t>
  </si>
  <si>
    <t>Laax GR</t>
  </si>
  <si>
    <t>St. Martin (Lugnez)</t>
  </si>
  <si>
    <t>Peiden</t>
  </si>
  <si>
    <t>Camuns</t>
  </si>
  <si>
    <t>Uors (Lumnezia)</t>
  </si>
  <si>
    <t>Surcasti</t>
  </si>
  <si>
    <t>Tersnaus</t>
  </si>
  <si>
    <t>Cumbel</t>
  </si>
  <si>
    <t>Morissen</t>
  </si>
  <si>
    <t>Vella</t>
  </si>
  <si>
    <t>Degen</t>
  </si>
  <si>
    <t>Vattiz</t>
  </si>
  <si>
    <t>Vignogn</t>
  </si>
  <si>
    <t>Lumbrein</t>
  </si>
  <si>
    <t>Vrin</t>
  </si>
  <si>
    <t>Pitasch</t>
  </si>
  <si>
    <t>Duvin</t>
  </si>
  <si>
    <t>Valendas</t>
  </si>
  <si>
    <t>Castrisch</t>
  </si>
  <si>
    <t>Sevgein</t>
  </si>
  <si>
    <t>Riein</t>
  </si>
  <si>
    <t>Schnaus</t>
  </si>
  <si>
    <t>Luven</t>
  </si>
  <si>
    <t>Ruschein</t>
  </si>
  <si>
    <t>Ladir</t>
  </si>
  <si>
    <t>Rueun</t>
  </si>
  <si>
    <t>Pigniu</t>
  </si>
  <si>
    <t>Siat</t>
  </si>
  <si>
    <t>Fürstenaubruck</t>
  </si>
  <si>
    <t>Rodels</t>
  </si>
  <si>
    <t>Summaprada</t>
  </si>
  <si>
    <t>Tartar</t>
  </si>
  <si>
    <t>Sarn</t>
  </si>
  <si>
    <t>Portein</t>
  </si>
  <si>
    <t>Präz</t>
  </si>
  <si>
    <t>Dalin</t>
  </si>
  <si>
    <t>Mutten</t>
  </si>
  <si>
    <t>Obermutten</t>
  </si>
  <si>
    <t>Versam</t>
  </si>
  <si>
    <t>Tenna</t>
  </si>
  <si>
    <t>Safien Platz</t>
  </si>
  <si>
    <t>Thalkirch</t>
  </si>
  <si>
    <t>Feldis/Veulden</t>
  </si>
  <si>
    <t>Trans</t>
  </si>
  <si>
    <t>Pratval</t>
  </si>
  <si>
    <t>Almens</t>
  </si>
  <si>
    <t>Paspels</t>
  </si>
  <si>
    <t>Tumegl/Tomils</t>
  </si>
  <si>
    <t>Scheid</t>
  </si>
  <si>
    <t>Juf</t>
  </si>
  <si>
    <t>Clugin</t>
  </si>
  <si>
    <t>Pignia</t>
  </si>
  <si>
    <t>Zillis</t>
  </si>
  <si>
    <t>Ausserferrera</t>
  </si>
  <si>
    <t>Innerferrera</t>
  </si>
  <si>
    <t>Splügen</t>
  </si>
  <si>
    <t>Medels im Rheinwald</t>
  </si>
  <si>
    <t>Nufenen</t>
  </si>
  <si>
    <t>Hinterrhein</t>
  </si>
  <si>
    <t>Lohn GR</t>
  </si>
  <si>
    <t>Wergenstein</t>
  </si>
  <si>
    <t>Flims Dorf</t>
  </si>
  <si>
    <t>Flims Waldhaus</t>
  </si>
  <si>
    <t>Fidaz</t>
  </si>
  <si>
    <t>Trin Mulin</t>
  </si>
  <si>
    <t>Brail</t>
  </si>
  <si>
    <t>Susch</t>
  </si>
  <si>
    <t>Lavin</t>
  </si>
  <si>
    <t>Samnaun-Compatsch</t>
  </si>
  <si>
    <t>Samnaun Dorf</t>
  </si>
  <si>
    <t>Guarda</t>
  </si>
  <si>
    <t>Ardez</t>
  </si>
  <si>
    <t>Ftan</t>
  </si>
  <si>
    <t>Vulpera</t>
  </si>
  <si>
    <t>Tarasp</t>
  </si>
  <si>
    <t>Sent</t>
  </si>
  <si>
    <t>Vnà</t>
  </si>
  <si>
    <t>Ramosch</t>
  </si>
  <si>
    <t>Strada</t>
  </si>
  <si>
    <t>Tschlin</t>
  </si>
  <si>
    <t>Martina</t>
  </si>
  <si>
    <t>Silvaplana-Surlej</t>
  </si>
  <si>
    <t>Champfèr</t>
  </si>
  <si>
    <t>Cinuos-chel</t>
  </si>
  <si>
    <t>Chapella</t>
  </si>
  <si>
    <t>Sils/Segl Maria</t>
  </si>
  <si>
    <t>Fex</t>
  </si>
  <si>
    <t>Sils/Segl Baselgia</t>
  </si>
  <si>
    <t>Plaun da Lej</t>
  </si>
  <si>
    <t>Maloja</t>
  </si>
  <si>
    <t>Casaccia</t>
  </si>
  <si>
    <t>Vicosoprano</t>
  </si>
  <si>
    <t>Borgonovo</t>
  </si>
  <si>
    <t>Stampa</t>
  </si>
  <si>
    <t>Promontogno</t>
  </si>
  <si>
    <t>Bondo</t>
  </si>
  <si>
    <t>Castasegna</t>
  </si>
  <si>
    <t>Soglio</t>
  </si>
  <si>
    <t>Sta. Maria in Calanca</t>
  </si>
  <si>
    <t>Augio</t>
  </si>
  <si>
    <t>Sta. Domenica</t>
  </si>
  <si>
    <t>S. Bernardino</t>
  </si>
  <si>
    <t>Verdabbio</t>
  </si>
  <si>
    <t>Leggia</t>
  </si>
  <si>
    <t>Roveredo GR</t>
  </si>
  <si>
    <t>Laura</t>
  </si>
  <si>
    <t>S. Vittore</t>
  </si>
  <si>
    <t>Arvigo</t>
  </si>
  <si>
    <t>Braggio</t>
  </si>
  <si>
    <t>Selma</t>
  </si>
  <si>
    <t>Cauco</t>
  </si>
  <si>
    <t>Tschierv</t>
  </si>
  <si>
    <t>Fuldera</t>
  </si>
  <si>
    <t>Lü</t>
  </si>
  <si>
    <t>Valchava</t>
  </si>
  <si>
    <t>Sta. Maria Val Müstair</t>
  </si>
  <si>
    <t>Müstair</t>
  </si>
  <si>
    <t>Davos Dorf</t>
  </si>
  <si>
    <t>Davos Wolfgang</t>
  </si>
  <si>
    <t>Davos Platz</t>
  </si>
  <si>
    <t>Davos Clavadel</t>
  </si>
  <si>
    <t>Davos Frauenkirch</t>
  </si>
  <si>
    <t>Davos Glaris</t>
  </si>
  <si>
    <t>Davos Monstein</t>
  </si>
  <si>
    <t>Pragg-Jenaz</t>
  </si>
  <si>
    <t>Saas im Prättigau</t>
  </si>
  <si>
    <t>Serneus</t>
  </si>
  <si>
    <t>Klosters Dorf</t>
  </si>
  <si>
    <t>Lunden</t>
  </si>
  <si>
    <t>Buchen im Prättigau</t>
  </si>
  <si>
    <t>Putz</t>
  </si>
  <si>
    <t>Stels</t>
  </si>
  <si>
    <t>Pany</t>
  </si>
  <si>
    <t>Gadenstätt</t>
  </si>
  <si>
    <t>Ascharina</t>
  </si>
  <si>
    <t>St. Antönien</t>
  </si>
  <si>
    <t>Malix</t>
  </si>
  <si>
    <t>Passugg</t>
  </si>
  <si>
    <t>Castiel</t>
  </si>
  <si>
    <t>Lüen</t>
  </si>
  <si>
    <t>Calfreisen</t>
  </si>
  <si>
    <t>St. Peter</t>
  </si>
  <si>
    <t>Pagig</t>
  </si>
  <si>
    <t>Peist</t>
  </si>
  <si>
    <t>Molinis</t>
  </si>
  <si>
    <t>Langwies</t>
  </si>
  <si>
    <t>Litzirüti</t>
  </si>
  <si>
    <t>Praden</t>
  </si>
  <si>
    <t>Tschiertschen</t>
  </si>
  <si>
    <t>Says</t>
  </si>
  <si>
    <t>Valzeina</t>
  </si>
  <si>
    <t>Malans GR</t>
  </si>
  <si>
    <t>Igis</t>
  </si>
  <si>
    <t>Mastrils</t>
  </si>
  <si>
    <t>Fanas</t>
  </si>
  <si>
    <t>Fajauna</t>
  </si>
  <si>
    <t>Schuders</t>
  </si>
  <si>
    <t>Pusserein</t>
  </si>
  <si>
    <t>Seewis Dorf</t>
  </si>
  <si>
    <t>Seewis-Pardisla</t>
  </si>
  <si>
    <t>Seewis-Schmitten</t>
  </si>
  <si>
    <t>Obersaxen</t>
  </si>
  <si>
    <t>Waltensburg/Vuorz</t>
  </si>
  <si>
    <t>Andiast</t>
  </si>
  <si>
    <t>Tavanasa</t>
  </si>
  <si>
    <t>Danis</t>
  </si>
  <si>
    <t>Dardin</t>
  </si>
  <si>
    <t>Cavardiras</t>
  </si>
  <si>
    <t>Mumpé Medel</t>
  </si>
  <si>
    <t>Segnas</t>
  </si>
  <si>
    <t>Curaglia</t>
  </si>
  <si>
    <t>Platta</t>
  </si>
  <si>
    <t>Rabius</t>
  </si>
  <si>
    <t>Surrein</t>
  </si>
  <si>
    <t>S. Benedetg</t>
  </si>
  <si>
    <t>Cumpadials</t>
  </si>
  <si>
    <t>Camischolas</t>
  </si>
  <si>
    <t>Sedrun</t>
  </si>
  <si>
    <t>Rueras</t>
  </si>
  <si>
    <t>Zignau</t>
  </si>
  <si>
    <t>Schlans</t>
  </si>
  <si>
    <t>Flond</t>
  </si>
  <si>
    <t>Surcuolm</t>
  </si>
  <si>
    <t>Buchs AG</t>
  </si>
  <si>
    <t>Asp</t>
  </si>
  <si>
    <t>Erlinsbach</t>
  </si>
  <si>
    <t>Teufenthal AG</t>
  </si>
  <si>
    <t>Rombach</t>
  </si>
  <si>
    <t>Birmenstorf AG</t>
  </si>
  <si>
    <t>Vogelsang AG</t>
  </si>
  <si>
    <t>Nussbaumen AG</t>
  </si>
  <si>
    <t>Hertenstein AG</t>
  </si>
  <si>
    <t>Rieden AG</t>
  </si>
  <si>
    <t>Kirchdorf AG</t>
  </si>
  <si>
    <t>Stetten AG</t>
  </si>
  <si>
    <t>Siggenthal Station</t>
  </si>
  <si>
    <t>Kloster Fahr</t>
  </si>
  <si>
    <t>Arni AG</t>
  </si>
  <si>
    <t>Rudolfstetten</t>
  </si>
  <si>
    <t>Bremgarten AG</t>
  </si>
  <si>
    <t>Hermetschwil-Staffeln</t>
  </si>
  <si>
    <t>Büttikon AG</t>
  </si>
  <si>
    <t>Niederwil AG</t>
  </si>
  <si>
    <t>Nesselnbach</t>
  </si>
  <si>
    <t>Wohlen AG</t>
  </si>
  <si>
    <t>Anglikon</t>
  </si>
  <si>
    <t>Hilfikon</t>
  </si>
  <si>
    <t>Schinznach Bad</t>
  </si>
  <si>
    <t>Brugg AG</t>
  </si>
  <si>
    <t>Umiken</t>
  </si>
  <si>
    <t>Hausen AG</t>
  </si>
  <si>
    <t>Scherz</t>
  </si>
  <si>
    <t>Rüfenach AG</t>
  </si>
  <si>
    <t>Thalheim AG</t>
  </si>
  <si>
    <t>Veltheim AG</t>
  </si>
  <si>
    <t>Stilli</t>
  </si>
  <si>
    <t>Schinznach Dorf</t>
  </si>
  <si>
    <t>Oberflachs</t>
  </si>
  <si>
    <t>Walde AG</t>
  </si>
  <si>
    <t>Leimbach AG</t>
  </si>
  <si>
    <t>Burg AG</t>
  </si>
  <si>
    <t>Reinach AG</t>
  </si>
  <si>
    <t>Ittenthal</t>
  </si>
  <si>
    <t>Rheinsulz</t>
  </si>
  <si>
    <t>Sulz AG</t>
  </si>
  <si>
    <t>Münchwilen AG</t>
  </si>
  <si>
    <t>Sisseln AG</t>
  </si>
  <si>
    <t>Oberhofen AG</t>
  </si>
  <si>
    <t>Mettau</t>
  </si>
  <si>
    <t>Etzgen</t>
  </si>
  <si>
    <t>Wil AG</t>
  </si>
  <si>
    <t>Hottwil</t>
  </si>
  <si>
    <t>Ammerswil AG</t>
  </si>
  <si>
    <t>Holderbank AG</t>
  </si>
  <si>
    <t>Tennwil</t>
  </si>
  <si>
    <t>Wildegg</t>
  </si>
  <si>
    <t>Möriken AG</t>
  </si>
  <si>
    <t>Abtwil AG</t>
  </si>
  <si>
    <t>Muri AG</t>
  </si>
  <si>
    <t>Meienberg</t>
  </si>
  <si>
    <t>Waldhäusern AG</t>
  </si>
  <si>
    <t>Benzenschwil</t>
  </si>
  <si>
    <t>Alikon</t>
  </si>
  <si>
    <t>Aettenschwil</t>
  </si>
  <si>
    <t>Fenkrieden</t>
  </si>
  <si>
    <t>Stein AG</t>
  </si>
  <si>
    <t>Riken AG</t>
  </si>
  <si>
    <t>Glashütten</t>
  </si>
  <si>
    <t>Attelwil</t>
  </si>
  <si>
    <t>Wittwil</t>
  </si>
  <si>
    <t>Kleindöttingen</t>
  </si>
  <si>
    <t>Unterendingen</t>
  </si>
  <si>
    <t>Lengnau AG</t>
  </si>
  <si>
    <t>Hettenschwil</t>
  </si>
  <si>
    <t>Rekingen AG</t>
  </si>
  <si>
    <t>Rümikon AG</t>
  </si>
  <si>
    <t>Kaiserstuhl AG</t>
  </si>
  <si>
    <t>Frasnacht</t>
  </si>
  <si>
    <t>Stachen</t>
  </si>
  <si>
    <t>Steinebrunn</t>
  </si>
  <si>
    <t>Neukirch (Egnach)</t>
  </si>
  <si>
    <t>Roggwil TG</t>
  </si>
  <si>
    <t>Biessenhofen</t>
  </si>
  <si>
    <t>Schocherswil</t>
  </si>
  <si>
    <t>Oberaach</t>
  </si>
  <si>
    <t>Halden</t>
  </si>
  <si>
    <t>Kümmertshausen</t>
  </si>
  <si>
    <t>Riedt b. Erlen</t>
  </si>
  <si>
    <t>Buchackern</t>
  </si>
  <si>
    <t>Engishofen</t>
  </si>
  <si>
    <t>Ennetaach</t>
  </si>
  <si>
    <t>Heldswil</t>
  </si>
  <si>
    <t>Wilen (Gottshaus)</t>
  </si>
  <si>
    <t>St. Pelagiberg</t>
  </si>
  <si>
    <t>Kradolf</t>
  </si>
  <si>
    <t>Schönenberg an der Thur</t>
  </si>
  <si>
    <t>Buhwil</t>
  </si>
  <si>
    <t>Neukirch an der Thur</t>
  </si>
  <si>
    <t>Götighofen</t>
  </si>
  <si>
    <t>Donzhausen</t>
  </si>
  <si>
    <t>Zihlschlacht</t>
  </si>
  <si>
    <t>Sitterdorf</t>
  </si>
  <si>
    <t>Basadingen</t>
  </si>
  <si>
    <t>Schlattingen</t>
  </si>
  <si>
    <t>Schlatt TG</t>
  </si>
  <si>
    <t>Willisdorf</t>
  </si>
  <si>
    <t>Ettenhausen TG</t>
  </si>
  <si>
    <t>Guntershausen b. Aadorf</t>
  </si>
  <si>
    <t>Häuslenen</t>
  </si>
  <si>
    <t>Aawangen</t>
  </si>
  <si>
    <t>Wittenwil</t>
  </si>
  <si>
    <t>Islikon</t>
  </si>
  <si>
    <t>Kefikon TG</t>
  </si>
  <si>
    <t>Harenwilen</t>
  </si>
  <si>
    <t>Mettendorf TG</t>
  </si>
  <si>
    <t>Eschikofen</t>
  </si>
  <si>
    <t>Niederneunforn</t>
  </si>
  <si>
    <t>Oberneunforn</t>
  </si>
  <si>
    <t>Lustdorf</t>
  </si>
  <si>
    <t>Wetzikon TG</t>
  </si>
  <si>
    <t>Uesslingen</t>
  </si>
  <si>
    <t>Buch b. Frauenfeld</t>
  </si>
  <si>
    <t>Warth</t>
  </si>
  <si>
    <t>Weiningen TG</t>
  </si>
  <si>
    <t>Triboltingen</t>
  </si>
  <si>
    <t>Hugelshofen</t>
  </si>
  <si>
    <t>Neuwilen</t>
  </si>
  <si>
    <t>Dotnacht</t>
  </si>
  <si>
    <t>Ellighausen</t>
  </si>
  <si>
    <t>Lippoldswilen</t>
  </si>
  <si>
    <t>Siegershausen</t>
  </si>
  <si>
    <t>Alterswilen</t>
  </si>
  <si>
    <t>Altishausen</t>
  </si>
  <si>
    <t>Zuben</t>
  </si>
  <si>
    <t>Schönenbaumgarten</t>
  </si>
  <si>
    <t>Herrenhof</t>
  </si>
  <si>
    <t>Illighausen</t>
  </si>
  <si>
    <t>Oberhofen TG</t>
  </si>
  <si>
    <t>Dettighofen (Lengwil)</t>
  </si>
  <si>
    <t>Scherzingen</t>
  </si>
  <si>
    <t>Landschlacht</t>
  </si>
  <si>
    <t>Hefenhausen</t>
  </si>
  <si>
    <t>Engwilen</t>
  </si>
  <si>
    <t>Sonterswil</t>
  </si>
  <si>
    <t>Lipperswil</t>
  </si>
  <si>
    <t>Hattenhausen</t>
  </si>
  <si>
    <t>Gunterswilen</t>
  </si>
  <si>
    <t>Tobel</t>
  </si>
  <si>
    <t>Zezikon</t>
  </si>
  <si>
    <t>Märwil</t>
  </si>
  <si>
    <t>Buch b. Märwil</t>
  </si>
  <si>
    <t>Balterswil</t>
  </si>
  <si>
    <t>Eschlikon TG</t>
  </si>
  <si>
    <t>Wallenwil</t>
  </si>
  <si>
    <t>Wiezikon b. Sirnach</t>
  </si>
  <si>
    <t>Dussnang</t>
  </si>
  <si>
    <t>Oberwangen TG</t>
  </si>
  <si>
    <t>Weingarten-Kalthäusern</t>
  </si>
  <si>
    <t>Münchwilen TG</t>
  </si>
  <si>
    <t>Wilen b. Wil</t>
  </si>
  <si>
    <t>Busswil TG</t>
  </si>
  <si>
    <t>Littenheid</t>
  </si>
  <si>
    <t>Tägerschen</t>
  </si>
  <si>
    <t>Tuttwil</t>
  </si>
  <si>
    <t>Lanzenneunforn</t>
  </si>
  <si>
    <t>Hörhausen</t>
  </si>
  <si>
    <t>Nussbaumen TG</t>
  </si>
  <si>
    <t>Uerschhausen</t>
  </si>
  <si>
    <t>Müllheim Dorf</t>
  </si>
  <si>
    <t>Dettighofen</t>
  </si>
  <si>
    <t>Mannenbach-Salenstein</t>
  </si>
  <si>
    <t>Fruthwilen</t>
  </si>
  <si>
    <t>Kaltenbach</t>
  </si>
  <si>
    <t>Etzwilen</t>
  </si>
  <si>
    <t>Rheinklingen</t>
  </si>
  <si>
    <t>Bonau</t>
  </si>
  <si>
    <t>Berg TG</t>
  </si>
  <si>
    <t>Andhausen</t>
  </si>
  <si>
    <t>Graltshausen</t>
  </si>
  <si>
    <t>Guntershausen b. Berg</t>
  </si>
  <si>
    <t>Mauren TG</t>
  </si>
  <si>
    <t>Opfershofen TG</t>
  </si>
  <si>
    <t>Mattwil</t>
  </si>
  <si>
    <t>Happerswil</t>
  </si>
  <si>
    <t>Klarsreuti</t>
  </si>
  <si>
    <t>Andwil TG</t>
  </si>
  <si>
    <t>Buch b. Kümmertshausen</t>
  </si>
  <si>
    <t>Bürglen TG</t>
  </si>
  <si>
    <t>Istighofen</t>
  </si>
  <si>
    <t>Leimbach TG</t>
  </si>
  <si>
    <t>Stehrenberg</t>
  </si>
  <si>
    <t>Lanterswil</t>
  </si>
  <si>
    <t>Friltschen</t>
  </si>
  <si>
    <t>Mettlen</t>
  </si>
  <si>
    <t>Oberbussnang</t>
  </si>
  <si>
    <t>Oppikon</t>
  </si>
  <si>
    <t>Schmidshof</t>
  </si>
  <si>
    <t>Rothenhausen</t>
  </si>
  <si>
    <t>Ottoberg</t>
  </si>
  <si>
    <t>Müllheim-Wigoltingen</t>
  </si>
  <si>
    <t>Engwang</t>
  </si>
  <si>
    <t>Illhart</t>
  </si>
  <si>
    <t>Lamperswil TG</t>
  </si>
  <si>
    <t>Wagerswil</t>
  </si>
  <si>
    <t>Arbedo</t>
  </si>
  <si>
    <t>Castione</t>
  </si>
  <si>
    <t>Giubiasco</t>
  </si>
  <si>
    <t>Preonzo</t>
  </si>
  <si>
    <t>Camorino</t>
  </si>
  <si>
    <t>Carena</t>
  </si>
  <si>
    <t>S. Antonino</t>
  </si>
  <si>
    <t>Robasacco</t>
  </si>
  <si>
    <t>Dongio</t>
  </si>
  <si>
    <t>Leontica</t>
  </si>
  <si>
    <t>Lottigna</t>
  </si>
  <si>
    <t>Motto (Blenio)</t>
  </si>
  <si>
    <t>Corzoneso</t>
  </si>
  <si>
    <t>Prugiasco</t>
  </si>
  <si>
    <t>Castro</t>
  </si>
  <si>
    <t>Marolta</t>
  </si>
  <si>
    <t>Ponto Valentino</t>
  </si>
  <si>
    <t>Largario</t>
  </si>
  <si>
    <t>Dangio</t>
  </si>
  <si>
    <t>Torre</t>
  </si>
  <si>
    <t>Olivone</t>
  </si>
  <si>
    <t>Camperio</t>
  </si>
  <si>
    <t>Aquila</t>
  </si>
  <si>
    <t>Campo (Blenio)</t>
  </si>
  <si>
    <t>Ghirone</t>
  </si>
  <si>
    <t>Malvaglia</t>
  </si>
  <si>
    <t>Semione</t>
  </si>
  <si>
    <t>Ludiano</t>
  </si>
  <si>
    <t>Villa Bedretto</t>
  </si>
  <si>
    <t>Bodio TI</t>
  </si>
  <si>
    <t>Lavorgo</t>
  </si>
  <si>
    <t>Calonico</t>
  </si>
  <si>
    <t>Nivo</t>
  </si>
  <si>
    <t>Chironico</t>
  </si>
  <si>
    <t>Anzonico</t>
  </si>
  <si>
    <t>Sobrio</t>
  </si>
  <si>
    <t>Cavagnago</t>
  </si>
  <si>
    <t>Molare</t>
  </si>
  <si>
    <t>Calpiogna</t>
  </si>
  <si>
    <t>Campello</t>
  </si>
  <si>
    <t>Carì</t>
  </si>
  <si>
    <t>Rossura</t>
  </si>
  <si>
    <t>Osco</t>
  </si>
  <si>
    <t>Mairengo</t>
  </si>
  <si>
    <t>Chiggiogna</t>
  </si>
  <si>
    <t>Rodi-Fiesso</t>
  </si>
  <si>
    <t>Ambrì</t>
  </si>
  <si>
    <t>Piotta</t>
  </si>
  <si>
    <t>Arcegno</t>
  </si>
  <si>
    <t>Contra</t>
  </si>
  <si>
    <t>Isole di Brissago</t>
  </si>
  <si>
    <t>Riazzino</t>
  </si>
  <si>
    <t>Cugnasco</t>
  </si>
  <si>
    <t>Quartino</t>
  </si>
  <si>
    <t>Contone</t>
  </si>
  <si>
    <t>Solduno</t>
  </si>
  <si>
    <t>Tegna</t>
  </si>
  <si>
    <t>Porto Ronco</t>
  </si>
  <si>
    <t>Tenero</t>
  </si>
  <si>
    <t>Mosogno</t>
  </si>
  <si>
    <t>Gresso</t>
  </si>
  <si>
    <t>Crana</t>
  </si>
  <si>
    <t>Intragna</t>
  </si>
  <si>
    <t>Loco</t>
  </si>
  <si>
    <t>Auressio</t>
  </si>
  <si>
    <t>Berzona</t>
  </si>
  <si>
    <t>Russo</t>
  </si>
  <si>
    <t>Comologno</t>
  </si>
  <si>
    <t>Spruga</t>
  </si>
  <si>
    <t>Vergeletto</t>
  </si>
  <si>
    <t>Agarone</t>
  </si>
  <si>
    <t>Cassina d'Agno</t>
  </si>
  <si>
    <t>Cimo</t>
  </si>
  <si>
    <t>Pugerna</t>
  </si>
  <si>
    <t>Banco</t>
  </si>
  <si>
    <t>Beride di Bedigliora</t>
  </si>
  <si>
    <t>Bosco Luganese</t>
  </si>
  <si>
    <t>Iseo</t>
  </si>
  <si>
    <t>Serpiano</t>
  </si>
  <si>
    <t>Bombinasco</t>
  </si>
  <si>
    <t>Taverne</t>
  </si>
  <si>
    <t>Mezzovico</t>
  </si>
  <si>
    <t>Vaglio</t>
  </si>
  <si>
    <t>Tesserete</t>
  </si>
  <si>
    <t>Lugaggia</t>
  </si>
  <si>
    <t>Sala Capriasca</t>
  </si>
  <si>
    <t>Bigorio</t>
  </si>
  <si>
    <t>Cagiallo</t>
  </si>
  <si>
    <t>Oggio</t>
  </si>
  <si>
    <t>Lopagno</t>
  </si>
  <si>
    <t>Roveredo TI</t>
  </si>
  <si>
    <t>Bidogno</t>
  </si>
  <si>
    <t>Corticiasca</t>
  </si>
  <si>
    <t>Odogno</t>
  </si>
  <si>
    <t>Torricella</t>
  </si>
  <si>
    <t>Carabietta</t>
  </si>
  <si>
    <t>Gentilino</t>
  </si>
  <si>
    <t>Montagnola</t>
  </si>
  <si>
    <t>Agra</t>
  </si>
  <si>
    <t>Breno</t>
  </si>
  <si>
    <t>Vezio</t>
  </si>
  <si>
    <t>Fescoggia</t>
  </si>
  <si>
    <t>Mugena</t>
  </si>
  <si>
    <t>Arosio</t>
  </si>
  <si>
    <t>Rivera</t>
  </si>
  <si>
    <t>Camignolo</t>
  </si>
  <si>
    <t>Bironico</t>
  </si>
  <si>
    <t>Sigirino</t>
  </si>
  <si>
    <t>Medeglia</t>
  </si>
  <si>
    <t>Castelrotto</t>
  </si>
  <si>
    <t>Purasca</t>
  </si>
  <si>
    <t>Madonna del Piano</t>
  </si>
  <si>
    <t>Capolago</t>
  </si>
  <si>
    <t>Somazzo</t>
  </si>
  <si>
    <t>Corteglia</t>
  </si>
  <si>
    <t>Monte</t>
  </si>
  <si>
    <t>Casima</t>
  </si>
  <si>
    <t>Campora</t>
  </si>
  <si>
    <t>Pedrinate</t>
  </si>
  <si>
    <t>Seseglio</t>
  </si>
  <si>
    <t>Genestrerio</t>
  </si>
  <si>
    <t>Ligornetto</t>
  </si>
  <si>
    <t>Rancate</t>
  </si>
  <si>
    <t>Besazio</t>
  </si>
  <si>
    <t>Arzo</t>
  </si>
  <si>
    <t>Tremona</t>
  </si>
  <si>
    <t>Meride</t>
  </si>
  <si>
    <t>Salorino</t>
  </si>
  <si>
    <t>S. Pietro</t>
  </si>
  <si>
    <t>Morbio Superiore</t>
  </si>
  <si>
    <t>Caneggio</t>
  </si>
  <si>
    <t>Bruzella</t>
  </si>
  <si>
    <t>Muggio</t>
  </si>
  <si>
    <t>Cabbio</t>
  </si>
  <si>
    <t>Sagno</t>
  </si>
  <si>
    <t>Prosito</t>
  </si>
  <si>
    <t>Lodrino</t>
  </si>
  <si>
    <t>Osogna</t>
  </si>
  <si>
    <t>Cresciano</t>
  </si>
  <si>
    <t>Iragna</t>
  </si>
  <si>
    <t>Niva (Vallemaggia)</t>
  </si>
  <si>
    <t>Cimalmotto</t>
  </si>
  <si>
    <t>Bignasco</t>
  </si>
  <si>
    <t>Cavergno</t>
  </si>
  <si>
    <t>S. Carlo (Val Bavona)</t>
  </si>
  <si>
    <t>Avegno</t>
  </si>
  <si>
    <t>Someo</t>
  </si>
  <si>
    <t>Riveo</t>
  </si>
  <si>
    <t>Aurigeno</t>
  </si>
  <si>
    <t>Moghegno</t>
  </si>
  <si>
    <t>Giumaglio</t>
  </si>
  <si>
    <t>Lodano</t>
  </si>
  <si>
    <t>Coglio</t>
  </si>
  <si>
    <t>Menzonio</t>
  </si>
  <si>
    <t>Brontallo</t>
  </si>
  <si>
    <t>Broglio</t>
  </si>
  <si>
    <t>Prato-Sornico</t>
  </si>
  <si>
    <t>Peccia</t>
  </si>
  <si>
    <t>Piano di Peccia</t>
  </si>
  <si>
    <t>Fusio</t>
  </si>
  <si>
    <t>Gordevio</t>
  </si>
  <si>
    <t>Verscio</t>
  </si>
  <si>
    <t>Cavigliano</t>
  </si>
  <si>
    <t>Verdasio</t>
  </si>
  <si>
    <t>Rasa</t>
  </si>
  <si>
    <t>Golino</t>
  </si>
  <si>
    <t>Palagnedra</t>
  </si>
  <si>
    <t>Borgnone</t>
  </si>
  <si>
    <t>Camedo</t>
  </si>
  <si>
    <t>Moneto</t>
  </si>
  <si>
    <t>Indemini</t>
  </si>
  <si>
    <t>Magadino</t>
  </si>
  <si>
    <t>Vira (Gambarogno)</t>
  </si>
  <si>
    <t>S. Nazzaro</t>
  </si>
  <si>
    <t>Vairano</t>
  </si>
  <si>
    <t>Gerra (Gambarogno)</t>
  </si>
  <si>
    <t>Ranzo</t>
  </si>
  <si>
    <t>Caviano</t>
  </si>
  <si>
    <t>Piazzogna</t>
  </si>
  <si>
    <t>Gerra (Verzasca)</t>
  </si>
  <si>
    <t>Le Sépey</t>
  </si>
  <si>
    <t>Frenières-sur-Bex</t>
  </si>
  <si>
    <t>Fenalet-sur-Bex</t>
  </si>
  <si>
    <t>Les Plans-sur-Bex</t>
  </si>
  <si>
    <t>Les Posses-sur-Bex</t>
  </si>
  <si>
    <t>Lavey-Village</t>
  </si>
  <si>
    <t>Lavey-les-Bains</t>
  </si>
  <si>
    <t>Morcles</t>
  </si>
  <si>
    <t>La Forclaz VD</t>
  </si>
  <si>
    <t>Ollon VD</t>
  </si>
  <si>
    <t>St-Triphon</t>
  </si>
  <si>
    <t>Panex</t>
  </si>
  <si>
    <t>Villars-sur-Ollon</t>
  </si>
  <si>
    <t>Arveyes</t>
  </si>
  <si>
    <t>Huémoz</t>
  </si>
  <si>
    <t>Chesières</t>
  </si>
  <si>
    <t>La Lécherette</t>
  </si>
  <si>
    <t>Les Mosses</t>
  </si>
  <si>
    <t>La Comballaz</t>
  </si>
  <si>
    <t>Vers-l'Eglise</t>
  </si>
  <si>
    <t>Les Diablerets</t>
  </si>
  <si>
    <t>Roche VD</t>
  </si>
  <si>
    <t>Villeneuve VD</t>
  </si>
  <si>
    <t>Pizy</t>
  </si>
  <si>
    <t>Mollens VD</t>
  </si>
  <si>
    <t>St-George</t>
  </si>
  <si>
    <t>St-Livres</t>
  </si>
  <si>
    <t>St-Oyens</t>
  </si>
  <si>
    <t>Donatyre</t>
  </si>
  <si>
    <t>Villars-le-Grand</t>
  </si>
  <si>
    <t>Salavaux</t>
  </si>
  <si>
    <t>Bellerive VD</t>
  </si>
  <si>
    <t>Cotterd</t>
  </si>
  <si>
    <t>Vallamand</t>
  </si>
  <si>
    <t>Montmagny</t>
  </si>
  <si>
    <t>Constantine</t>
  </si>
  <si>
    <t>Chabrey</t>
  </si>
  <si>
    <t>Mur (Vully) VD</t>
  </si>
  <si>
    <t>Cossonay-Ville</t>
  </si>
  <si>
    <t>Allens</t>
  </si>
  <si>
    <t>Villars-Bozon</t>
  </si>
  <si>
    <t>La Coudre</t>
  </si>
  <si>
    <t>Mex VD</t>
  </si>
  <si>
    <t>Moiry VD</t>
  </si>
  <si>
    <t>Cugy VD</t>
  </si>
  <si>
    <t>Epautheyres</t>
  </si>
  <si>
    <t>Morrens VD</t>
  </si>
  <si>
    <t>St-Barthélemy VD</t>
  </si>
  <si>
    <t>Dommartin</t>
  </si>
  <si>
    <t>Naz</t>
  </si>
  <si>
    <t>Poliez-le-Grand</t>
  </si>
  <si>
    <t>Sugnens</t>
  </si>
  <si>
    <t>Goumoens-la-Ville</t>
  </si>
  <si>
    <t>Eclagnens</t>
  </si>
  <si>
    <t>Goumoens-le-Jux</t>
  </si>
  <si>
    <t>Fontanezier</t>
  </si>
  <si>
    <t>Les Rasses</t>
  </si>
  <si>
    <t>Vaumarcus</t>
  </si>
  <si>
    <t>Onnens VD</t>
  </si>
  <si>
    <t>Couvet</t>
  </si>
  <si>
    <t>Ste-Croix</t>
  </si>
  <si>
    <t>La Sagne (Ste-Croix)</t>
  </si>
  <si>
    <t>Le Château-de-Ste-Croix</t>
  </si>
  <si>
    <t>L'Auberson</t>
  </si>
  <si>
    <t>La Vraconnaz</t>
  </si>
  <si>
    <t>Villars-Burquin</t>
  </si>
  <si>
    <t>Romairon</t>
  </si>
  <si>
    <t>Vaugondry</t>
  </si>
  <si>
    <t>Lausanne 25</t>
  </si>
  <si>
    <t>Lausanne 26</t>
  </si>
  <si>
    <t>Lausanne 27</t>
  </si>
  <si>
    <t>Les Monts-de-Pully</t>
  </si>
  <si>
    <t>Renens VD</t>
  </si>
  <si>
    <t>Les Cullayes</t>
  </si>
  <si>
    <t>Grandvaux</t>
  </si>
  <si>
    <t>La Croix (Lutry)</t>
  </si>
  <si>
    <t>La Conversion</t>
  </si>
  <si>
    <t>Cully</t>
  </si>
  <si>
    <t>Epesses</t>
  </si>
  <si>
    <t>Les Thioleyres</t>
  </si>
  <si>
    <t>St-Saphorin (Lavaux)</t>
  </si>
  <si>
    <t>Mollie-Margot</t>
  </si>
  <si>
    <t>Aran</t>
  </si>
  <si>
    <t>Chenaux</t>
  </si>
  <si>
    <t>Villette (Lavaux)</t>
  </si>
  <si>
    <t>Riex</t>
  </si>
  <si>
    <t>St-Saphorin-sur-Morges</t>
  </si>
  <si>
    <t>Colombier VD</t>
  </si>
  <si>
    <t>Monnaz</t>
  </si>
  <si>
    <t>Ecublens VD</t>
  </si>
  <si>
    <t>Lully VD</t>
  </si>
  <si>
    <t>St-Prex</t>
  </si>
  <si>
    <t>St-Sulpice VD</t>
  </si>
  <si>
    <t>Villars-Ste-Croix</t>
  </si>
  <si>
    <t>Cottens VD</t>
  </si>
  <si>
    <t>Dompierre VD</t>
  </si>
  <si>
    <t>Peney-le-Jorat</t>
  </si>
  <si>
    <t>Oulens-sur-Lucens</t>
  </si>
  <si>
    <t>Forel-sur-Lucens</t>
  </si>
  <si>
    <t>Cremin</t>
  </si>
  <si>
    <t>Brenles</t>
  </si>
  <si>
    <t>Chesalles-sur-Moudon</t>
  </si>
  <si>
    <t>Sarzens</t>
  </si>
  <si>
    <t>Chapelle-sur-Moudon</t>
  </si>
  <si>
    <t>Martherenges</t>
  </si>
  <si>
    <t>Peyres-Possens</t>
  </si>
  <si>
    <t>Chanéaz</t>
  </si>
  <si>
    <t>Thierrens</t>
  </si>
  <si>
    <t>Correvon</t>
  </si>
  <si>
    <t>Denezy</t>
  </si>
  <si>
    <t>St-Cierges</t>
  </si>
  <si>
    <t>Neyruz-sur-Moudon</t>
  </si>
  <si>
    <t>St-Cergue</t>
  </si>
  <si>
    <t>Crans VD</t>
  </si>
  <si>
    <t>La Cure</t>
  </si>
  <si>
    <t>Signy</t>
  </si>
  <si>
    <t>Corcelles-sur-Chavornay</t>
  </si>
  <si>
    <t>Essert-Pittet</t>
  </si>
  <si>
    <t>La Russille</t>
  </si>
  <si>
    <t>Romainmôtier</t>
  </si>
  <si>
    <t>Carrouge VD</t>
  </si>
  <si>
    <t>Montaubion-Chardonney</t>
  </si>
  <si>
    <t>Villars-Tiercelin</t>
  </si>
  <si>
    <t>Villars-Mendraz</t>
  </si>
  <si>
    <t>Sottens</t>
  </si>
  <si>
    <t>Palézieux</t>
  </si>
  <si>
    <t>Palézieux-Village</t>
  </si>
  <si>
    <t>Les Tavernes</t>
  </si>
  <si>
    <t>Oron-le-Châtel</t>
  </si>
  <si>
    <t>Bussigny-sur-Oron</t>
  </si>
  <si>
    <t>Chesalles-sur-Oron</t>
  </si>
  <si>
    <t>Oron-la-Ville</t>
  </si>
  <si>
    <t>Châtillens</t>
  </si>
  <si>
    <t>Vuibroye</t>
  </si>
  <si>
    <t>Ecoteaux</t>
  </si>
  <si>
    <t>Ferlens VD</t>
  </si>
  <si>
    <t>Mézières VD</t>
  </si>
  <si>
    <t>Vers-chez-Perrin</t>
  </si>
  <si>
    <t>Sédeilles</t>
  </si>
  <si>
    <t>Rossens VD</t>
  </si>
  <si>
    <t>Granges-près-Marnand</t>
  </si>
  <si>
    <t>Marnand</t>
  </si>
  <si>
    <t>Combremont-le-Grand</t>
  </si>
  <si>
    <t>Combremont-le-Petit</t>
  </si>
  <si>
    <t>Villars-Bramard</t>
  </si>
  <si>
    <t>Cerniaz VD</t>
  </si>
  <si>
    <t>Flendruz</t>
  </si>
  <si>
    <t>Les Moulins</t>
  </si>
  <si>
    <t>L'Etivaz</t>
  </si>
  <si>
    <t>La Tine</t>
  </si>
  <si>
    <t>Le Pont</t>
  </si>
  <si>
    <t>Les Bioux</t>
  </si>
  <si>
    <t>L'Orient</t>
  </si>
  <si>
    <t>Le Sentier</t>
  </si>
  <si>
    <t>Le Solliat</t>
  </si>
  <si>
    <t>Le Brassus</t>
  </si>
  <si>
    <t>Les Charbonnières</t>
  </si>
  <si>
    <t>Le Séchey</t>
  </si>
  <si>
    <t>Le Mont-Pèlerin</t>
  </si>
  <si>
    <t>Fenil-sur-Corsier</t>
  </si>
  <si>
    <t>St-Légier-La Chiésaz</t>
  </si>
  <si>
    <t>Essert-sous-Champvent</t>
  </si>
  <si>
    <t>Villars-sous-Champvent</t>
  </si>
  <si>
    <t>Gossens</t>
  </si>
  <si>
    <t>Mézery-près-Donneloye</t>
  </si>
  <si>
    <t>Prahins</t>
  </si>
  <si>
    <t>Ependes VD</t>
  </si>
  <si>
    <t>Gressy</t>
  </si>
  <si>
    <t>Brig</t>
  </si>
  <si>
    <t>Gamsen</t>
  </si>
  <si>
    <t>Brigerbad</t>
  </si>
  <si>
    <t>Glis</t>
  </si>
  <si>
    <t>Mund</t>
  </si>
  <si>
    <t>Birgisch</t>
  </si>
  <si>
    <t>Blatten b. Naters</t>
  </si>
  <si>
    <t>Belalp</t>
  </si>
  <si>
    <t>Rothwald</t>
  </si>
  <si>
    <t>Simplon Dorf</t>
  </si>
  <si>
    <t>Simplon Hospiz</t>
  </si>
  <si>
    <t>Gabi (Simplon)</t>
  </si>
  <si>
    <t>Rosswald</t>
  </si>
  <si>
    <t>Gondo</t>
  </si>
  <si>
    <t>Mayens-de-Chamoson</t>
  </si>
  <si>
    <t>Les Vérines (Chamoson)</t>
  </si>
  <si>
    <t>Némiaz (Chamoson)</t>
  </si>
  <si>
    <t>Grugnay (Chamoson)</t>
  </si>
  <si>
    <t>St-Pierre-de-Clages</t>
  </si>
  <si>
    <t>St-Séverin</t>
  </si>
  <si>
    <t>Erde</t>
  </si>
  <si>
    <t>Aven</t>
  </si>
  <si>
    <t>Daillon</t>
  </si>
  <si>
    <t>Clèbes (Nendaz)</t>
  </si>
  <si>
    <t>Aproz (Nendaz)</t>
  </si>
  <si>
    <t>Basse-Nendaz</t>
  </si>
  <si>
    <t>Fey (Nendaz)</t>
  </si>
  <si>
    <t>Bieudron (Nendaz)</t>
  </si>
  <si>
    <t>Condémines (Nendaz)</t>
  </si>
  <si>
    <t>Saclentse</t>
  </si>
  <si>
    <t>Baar (Nendaz)</t>
  </si>
  <si>
    <t>Beuson (Nendaz)</t>
  </si>
  <si>
    <t>Brignon (Nendaz)</t>
  </si>
  <si>
    <t>Haute-Nendaz</t>
  </si>
  <si>
    <t>Siviez (Nendaz)</t>
  </si>
  <si>
    <t>Sornard (Nendaz)</t>
  </si>
  <si>
    <t>Bourg-St-Pierre</t>
  </si>
  <si>
    <t>Fontaine Dessus (Liddes)</t>
  </si>
  <si>
    <t>Fontaine Dessous (Liddes)</t>
  </si>
  <si>
    <t>Dranse (Liddes)</t>
  </si>
  <si>
    <t>Chandonne (Liddes)</t>
  </si>
  <si>
    <t>Rive Haute (Liddes)</t>
  </si>
  <si>
    <t>Fornex (Liddes)</t>
  </si>
  <si>
    <t>Les Moulins VS (Liddes)</t>
  </si>
  <si>
    <t>Vichères (Liddes)</t>
  </si>
  <si>
    <t>Palasuit (Liddes)</t>
  </si>
  <si>
    <t>Chez Petit (Liddes)</t>
  </si>
  <si>
    <t>Petit Vichères (Liddes)</t>
  </si>
  <si>
    <t>Champex-Lac</t>
  </si>
  <si>
    <t>Praz-de-Fort</t>
  </si>
  <si>
    <t>La Fouly VS</t>
  </si>
  <si>
    <t>Chamoille (Sembrancher)</t>
  </si>
  <si>
    <t>La Garde (Sembrancher)</t>
  </si>
  <si>
    <t>Chemin</t>
  </si>
  <si>
    <t>Vens (Sembrancher)</t>
  </si>
  <si>
    <t>Le Châble VS</t>
  </si>
  <si>
    <t>Bruson</t>
  </si>
  <si>
    <t>Verbier</t>
  </si>
  <si>
    <t>Cries (Vollèges)</t>
  </si>
  <si>
    <t>Levron</t>
  </si>
  <si>
    <t>Versegères</t>
  </si>
  <si>
    <t>Champsec</t>
  </si>
  <si>
    <t>Lourtier</t>
  </si>
  <si>
    <t>Fionnay</t>
  </si>
  <si>
    <t>Sarreyer</t>
  </si>
  <si>
    <t>Ausserbinn</t>
  </si>
  <si>
    <t>Mühlebach (Goms)</t>
  </si>
  <si>
    <t>Steinhaus</t>
  </si>
  <si>
    <t>Ulrichen</t>
  </si>
  <si>
    <t>Obergesteln</t>
  </si>
  <si>
    <t>Oberwald</t>
  </si>
  <si>
    <t>Münster VS</t>
  </si>
  <si>
    <t>Geschinen</t>
  </si>
  <si>
    <t>Biel VS</t>
  </si>
  <si>
    <t>Ritzingen</t>
  </si>
  <si>
    <t>Selkingen</t>
  </si>
  <si>
    <t>Niederwald</t>
  </si>
  <si>
    <t>Blitzingen</t>
  </si>
  <si>
    <t>Reckingen VS</t>
  </si>
  <si>
    <t>Gluringen</t>
  </si>
  <si>
    <t>St-Léonard</t>
  </si>
  <si>
    <t>Uvrier</t>
  </si>
  <si>
    <t>Fortunau (Ayent)</t>
  </si>
  <si>
    <t>Luc (Ayent)</t>
  </si>
  <si>
    <t>St-Romain (Ayent)</t>
  </si>
  <si>
    <t>Saxonne (Ayent)</t>
  </si>
  <si>
    <t>Villa (Ayent)</t>
  </si>
  <si>
    <t>La Place (Ayent)</t>
  </si>
  <si>
    <t>Botyre (Ayent)</t>
  </si>
  <si>
    <t>Blignou (Ayent)</t>
  </si>
  <si>
    <t>Argnou (Ayent)</t>
  </si>
  <si>
    <t>Signèse (Ayent)</t>
  </si>
  <si>
    <t>Anzère</t>
  </si>
  <si>
    <t>Lanna</t>
  </si>
  <si>
    <t>Les Haudères</t>
  </si>
  <si>
    <t>La Tour VS</t>
  </si>
  <si>
    <t>La Sage</t>
  </si>
  <si>
    <t>La Forclaz VS</t>
  </si>
  <si>
    <t>Villa (Evolène)</t>
  </si>
  <si>
    <t>Arolla</t>
  </si>
  <si>
    <t>Euseigne</t>
  </si>
  <si>
    <t>St-Martin VS</t>
  </si>
  <si>
    <t>Liez (St-Martin)</t>
  </si>
  <si>
    <t>Trogne (St-Martin)</t>
  </si>
  <si>
    <t>Suen (St-Martin)</t>
  </si>
  <si>
    <t>Eison (St-Martin)</t>
  </si>
  <si>
    <t>Bramois</t>
  </si>
  <si>
    <t>Thyon</t>
  </si>
  <si>
    <t>Les Collons</t>
  </si>
  <si>
    <t>Les Agettes</t>
  </si>
  <si>
    <t>Les Mayens-de-Sion</t>
  </si>
  <si>
    <t>Vernamiège</t>
  </si>
  <si>
    <t>Mase</t>
  </si>
  <si>
    <t>Nax</t>
  </si>
  <si>
    <t>Vercorin</t>
  </si>
  <si>
    <t>Unterems</t>
  </si>
  <si>
    <t>Gruben</t>
  </si>
  <si>
    <t>Niedergampel</t>
  </si>
  <si>
    <t>Susten</t>
  </si>
  <si>
    <t>Leuk Stadt</t>
  </si>
  <si>
    <t>Erschmatt</t>
  </si>
  <si>
    <t>Steg VS</t>
  </si>
  <si>
    <t>Gampel</t>
  </si>
  <si>
    <t>Bratsch</t>
  </si>
  <si>
    <t>Turtmann</t>
  </si>
  <si>
    <t>Les Valettes (Bovernier)</t>
  </si>
  <si>
    <t>Ovronnaz</t>
  </si>
  <si>
    <t>Produit (Leytron)</t>
  </si>
  <si>
    <t>Montagnon (Leytron)</t>
  </si>
  <si>
    <t>Dugny (Leytron)</t>
  </si>
  <si>
    <t>Ravoire</t>
  </si>
  <si>
    <t>Martigny-Croix</t>
  </si>
  <si>
    <t>Auddes-sur-Riddes</t>
  </si>
  <si>
    <t>La Tzoumaz</t>
  </si>
  <si>
    <t>Collombey</t>
  </si>
  <si>
    <t>Muraz (Collombey)</t>
  </si>
  <si>
    <t>Choëx</t>
  </si>
  <si>
    <t>Les Giettes</t>
  </si>
  <si>
    <t>Bouveret</t>
  </si>
  <si>
    <t>Les Evouettes</t>
  </si>
  <si>
    <t>St-Gingolph</t>
  </si>
  <si>
    <t>Morgins</t>
  </si>
  <si>
    <t>Champoussin</t>
  </si>
  <si>
    <t>Les Crosets</t>
  </si>
  <si>
    <t>Torgon</t>
  </si>
  <si>
    <t>Miex</t>
  </si>
  <si>
    <t>Martisberg</t>
  </si>
  <si>
    <t>Goppisberg</t>
  </si>
  <si>
    <t>Greich</t>
  </si>
  <si>
    <t>Ried-Mörel</t>
  </si>
  <si>
    <t>St. German</t>
  </si>
  <si>
    <t>Blatten (Lötschen)</t>
  </si>
  <si>
    <t>Goppenstein</t>
  </si>
  <si>
    <t>Hohtenn</t>
  </si>
  <si>
    <t>Unterbäch VS</t>
  </si>
  <si>
    <t>Mörel</t>
  </si>
  <si>
    <t>Filet</t>
  </si>
  <si>
    <t>Betten</t>
  </si>
  <si>
    <t>Le Châtelard VS</t>
  </si>
  <si>
    <t>St-Maurice</t>
  </si>
  <si>
    <t>Mex VS</t>
  </si>
  <si>
    <t>Les Granges (Salvan)</t>
  </si>
  <si>
    <t>Les Marécottes</t>
  </si>
  <si>
    <t>Le Trétien</t>
  </si>
  <si>
    <t>Réchy</t>
  </si>
  <si>
    <t>Crans VS</t>
  </si>
  <si>
    <t>Chermignon-d'en-Bas</t>
  </si>
  <si>
    <t>Ollon VS</t>
  </si>
  <si>
    <t>Flanthey</t>
  </si>
  <si>
    <t>Muraz (Sierre)</t>
  </si>
  <si>
    <t>Noës</t>
  </si>
  <si>
    <t>Champzabé</t>
  </si>
  <si>
    <t>Granges VS</t>
  </si>
  <si>
    <t>Niouc</t>
  </si>
  <si>
    <t>Vissoie</t>
  </si>
  <si>
    <t>St-Luc</t>
  </si>
  <si>
    <t>Chandolin</t>
  </si>
  <si>
    <t>Ayer</t>
  </si>
  <si>
    <t>Zinal</t>
  </si>
  <si>
    <t>Grimentz</t>
  </si>
  <si>
    <t>Mission</t>
  </si>
  <si>
    <t>St-Jean VS</t>
  </si>
  <si>
    <t>Corin-de-la-Crête</t>
  </si>
  <si>
    <t>Loc</t>
  </si>
  <si>
    <t>Montana</t>
  </si>
  <si>
    <t>Aminona</t>
  </si>
  <si>
    <t>Chermignon</t>
  </si>
  <si>
    <t>Mollens VS</t>
  </si>
  <si>
    <t>Randogne</t>
  </si>
  <si>
    <t>Champlan (Grimisuat)</t>
  </si>
  <si>
    <t>Pont-de-la-Morge (Sion)</t>
  </si>
  <si>
    <t>Salins</t>
  </si>
  <si>
    <t>Arvillard (Salins)</t>
  </si>
  <si>
    <t>Pravidondaz (Salins)</t>
  </si>
  <si>
    <t>Turin (Salins)</t>
  </si>
  <si>
    <t>Misériez (Salins)</t>
  </si>
  <si>
    <t>La Vernaz (Les Agettes)</t>
  </si>
  <si>
    <t>Crête-à-l'Oeil (Les Agettes)</t>
  </si>
  <si>
    <t>Kalpetran</t>
  </si>
  <si>
    <t>St. Niklaus VS</t>
  </si>
  <si>
    <t>Herbriggen</t>
  </si>
  <si>
    <t>Stalden VS</t>
  </si>
  <si>
    <t>Eyholz</t>
  </si>
  <si>
    <t>Colombier NE</t>
  </si>
  <si>
    <t>Bôle</t>
  </si>
  <si>
    <t>Areuse</t>
  </si>
  <si>
    <t>Chambrelien</t>
  </si>
  <si>
    <t>Bevaix</t>
  </si>
  <si>
    <t>Champ-du-Moulin</t>
  </si>
  <si>
    <t>Corcelles NE</t>
  </si>
  <si>
    <t>Montezillon</t>
  </si>
  <si>
    <t>Noiraigue</t>
  </si>
  <si>
    <t>Fretereules</t>
  </si>
  <si>
    <t>Brot-Dessous</t>
  </si>
  <si>
    <t>Auvernier</t>
  </si>
  <si>
    <t>Cormondrèche</t>
  </si>
  <si>
    <t>Gorgier</t>
  </si>
  <si>
    <t>St-Aubin-Sauges</t>
  </si>
  <si>
    <t>Chez-le-Bart</t>
  </si>
  <si>
    <t>Montalchez</t>
  </si>
  <si>
    <t>Fresens</t>
  </si>
  <si>
    <t>La Sagne NE</t>
  </si>
  <si>
    <t>Le Crêt-du-Locle</t>
  </si>
  <si>
    <t>Les Sagnettes</t>
  </si>
  <si>
    <t>Les Taillères</t>
  </si>
  <si>
    <t>La Châtagne</t>
  </si>
  <si>
    <t>Le Brouillet</t>
  </si>
  <si>
    <t>Le Prévoux</t>
  </si>
  <si>
    <t>Travers</t>
  </si>
  <si>
    <t>Petit-Martel</t>
  </si>
  <si>
    <t>St-Blaise</t>
  </si>
  <si>
    <t>Thielle</t>
  </si>
  <si>
    <t>Cornaux NE</t>
  </si>
  <si>
    <t>Cressier NE</t>
  </si>
  <si>
    <t>Chaumont</t>
  </si>
  <si>
    <t>Hauterive NE</t>
  </si>
  <si>
    <t>Montmollin</t>
  </si>
  <si>
    <t>Marin-Epagnier</t>
  </si>
  <si>
    <t>Wavre</t>
  </si>
  <si>
    <t>Boudevilliers</t>
  </si>
  <si>
    <t>Fontaines NE</t>
  </si>
  <si>
    <t>Fontainemelon</t>
  </si>
  <si>
    <t>La Vue-des-Alpes</t>
  </si>
  <si>
    <t>Cernier</t>
  </si>
  <si>
    <t>Chézard-St-Martin</t>
  </si>
  <si>
    <t>Les Vieux-Prés</t>
  </si>
  <si>
    <t>Dombresson</t>
  </si>
  <si>
    <t>Villiers</t>
  </si>
  <si>
    <t>Le Pâquier NE</t>
  </si>
  <si>
    <t>Vilars NE</t>
  </si>
  <si>
    <t>Engollon</t>
  </si>
  <si>
    <t>Fenin</t>
  </si>
  <si>
    <t>Saules</t>
  </si>
  <si>
    <t>Savagnier</t>
  </si>
  <si>
    <t>Les Geneveys-sur-Coffrane</t>
  </si>
  <si>
    <t>Coffrane</t>
  </si>
  <si>
    <t>Les Hauts-Geneveys</t>
  </si>
  <si>
    <t>Buttes</t>
  </si>
  <si>
    <t>Môtiers NE</t>
  </si>
  <si>
    <t>Boveresse</t>
  </si>
  <si>
    <t>Fleurier</t>
  </si>
  <si>
    <t>Mont-de-Buttes</t>
  </si>
  <si>
    <t>St-Sulpice NE</t>
  </si>
  <si>
    <t>Les Bayards</t>
  </si>
  <si>
    <t>Athenaz (Avusy)</t>
  </si>
  <si>
    <t>La Croix-de-Rozon</t>
  </si>
  <si>
    <t>Perly</t>
  </si>
  <si>
    <t>Carouge GE</t>
  </si>
  <si>
    <t>Conches</t>
  </si>
  <si>
    <t>Collex</t>
  </si>
  <si>
    <t>Vésenaz</t>
  </si>
  <si>
    <t>Corsier GE</t>
  </si>
  <si>
    <t>La Plaine</t>
  </si>
  <si>
    <t>Chambésy</t>
  </si>
  <si>
    <t>Vessy</t>
  </si>
  <si>
    <t>Montavon</t>
  </si>
  <si>
    <t>Montmelon</t>
  </si>
  <si>
    <t>Châtillon JU</t>
  </si>
  <si>
    <t>Vicques</t>
  </si>
  <si>
    <t>Vellerat</t>
  </si>
  <si>
    <t>Rebeuvelier</t>
  </si>
  <si>
    <t>Courcelon</t>
  </si>
  <si>
    <t>Courfaivre</t>
  </si>
  <si>
    <t>Lucelle</t>
  </si>
  <si>
    <t>Fornet-Dessus</t>
  </si>
  <si>
    <t>Bassecourt</t>
  </si>
  <si>
    <t>Glovelier</t>
  </si>
  <si>
    <t>Undervelier</t>
  </si>
  <si>
    <t>Soulce</t>
  </si>
  <si>
    <t>Corban</t>
  </si>
  <si>
    <t>Montsevelier</t>
  </si>
  <si>
    <t>Vermes</t>
  </si>
  <si>
    <t>Le Bémont JU</t>
  </si>
  <si>
    <t>Les Pommerats</t>
  </si>
  <si>
    <t>Les Genevez JU</t>
  </si>
  <si>
    <t>Le Prédame</t>
  </si>
  <si>
    <t>Lajoux JU</t>
  </si>
  <si>
    <t>Montfavergier</t>
  </si>
  <si>
    <t>Les Emibois</t>
  </si>
  <si>
    <t>Goumois</t>
  </si>
  <si>
    <t>St-Brais</t>
  </si>
  <si>
    <t>St-Ursanne</t>
  </si>
  <si>
    <t>Epiquerez</t>
  </si>
  <si>
    <t>Courtemautruy</t>
  </si>
  <si>
    <t>Villars-sur-Fontenais</t>
  </si>
  <si>
    <t>Bressaucourt</t>
  </si>
  <si>
    <t>Courtemaîche</t>
  </si>
  <si>
    <t>Montignez</t>
  </si>
  <si>
    <t>Buix</t>
  </si>
  <si>
    <t>Montenol</t>
  </si>
  <si>
    <t>Epauvillers</t>
  </si>
  <si>
    <t>Seleute</t>
  </si>
  <si>
    <t>Ocourt</t>
  </si>
  <si>
    <t>Chevenez</t>
  </si>
  <si>
    <t>Rocourt</t>
  </si>
  <si>
    <t>Réclère</t>
  </si>
  <si>
    <t>Roche-d'Or</t>
  </si>
  <si>
    <t>Damvant</t>
  </si>
  <si>
    <t>Miécourt</t>
  </si>
  <si>
    <t>Charmoille</t>
  </si>
  <si>
    <t>Fregiécourt</t>
  </si>
  <si>
    <t>Pleujouse</t>
  </si>
  <si>
    <t>Asuel</t>
  </si>
  <si>
    <t>Gamprin-Bendern</t>
  </si>
  <si>
    <t>Vaduz</t>
  </si>
  <si>
    <t>Schaan</t>
  </si>
  <si>
    <t>Triesenberg</t>
  </si>
  <si>
    <t>Triesen</t>
  </si>
  <si>
    <t>Balzers</t>
  </si>
  <si>
    <t>Planken</t>
  </si>
  <si>
    <t>Nendeln</t>
  </si>
  <si>
    <t>Eschen</t>
  </si>
  <si>
    <t>Mauren FL</t>
  </si>
  <si>
    <t>Schaanwald</t>
  </si>
  <si>
    <t>Ruggell</t>
  </si>
  <si>
    <t>Schellenberg</t>
  </si>
  <si>
    <t xml:space="preserve">Luxus </t>
  </si>
  <si>
    <t>Investment years</t>
  </si>
  <si>
    <t>Saving accoount</t>
  </si>
  <si>
    <t>Worst scenario</t>
  </si>
  <si>
    <t>Expected capital</t>
  </si>
  <si>
    <t>Better scenario</t>
  </si>
  <si>
    <t>Expected capial</t>
  </si>
  <si>
    <t>General info</t>
  </si>
  <si>
    <t xml:space="preserve">What </t>
  </si>
  <si>
    <t>Actual Age</t>
  </si>
  <si>
    <t>Calculations</t>
  </si>
  <si>
    <t>Years of payments</t>
  </si>
  <si>
    <t>Interest</t>
  </si>
  <si>
    <t>&gt; from investment page</t>
  </si>
  <si>
    <t>Annual investment</t>
  </si>
  <si>
    <t>Monthly investment</t>
  </si>
  <si>
    <t>Investment scenario</t>
  </si>
  <si>
    <t xml:space="preserve">Expected capital </t>
  </si>
  <si>
    <t>Worse scenario</t>
  </si>
  <si>
    <t>Capital</t>
  </si>
  <si>
    <t xml:space="preserve">Capital </t>
  </si>
  <si>
    <t>Postcodde</t>
  </si>
  <si>
    <t>Premium</t>
  </si>
  <si>
    <t>Health insurance: Average general premium per canton (2023)</t>
  </si>
  <si>
    <t>Annual premium</t>
  </si>
  <si>
    <t>average annual % increase (last 9 years)</t>
  </si>
  <si>
    <t xml:space="preserve">Investment based on risk and time </t>
  </si>
  <si>
    <t>Time Horizon (years)</t>
  </si>
  <si>
    <t>Investment Category</t>
  </si>
  <si>
    <t>Worse expected return</t>
  </si>
  <si>
    <t>Expected return</t>
  </si>
  <si>
    <t xml:space="preserve">Better expected return </t>
  </si>
  <si>
    <t>Risk level</t>
  </si>
  <si>
    <t>https://www.morningstar.com/columns/rekenthaler-report/how-time-horizon-affects-odds-equity-investing</t>
  </si>
  <si>
    <t>&lt; 2 years</t>
  </si>
  <si>
    <t>Savings account</t>
  </si>
  <si>
    <t>Very low</t>
  </si>
  <si>
    <t>https://www.raiffeisen.ch/rch/it/clientela-privata/investire/fondi-d-investimento.html#dteaccordionitem_1372226434-469315072</t>
  </si>
  <si>
    <t>2 - 5 years</t>
  </si>
  <si>
    <t>Bond funds or structured products with capital protection</t>
  </si>
  <si>
    <t>Low to Medium</t>
  </si>
  <si>
    <t>5 - 10 years</t>
  </si>
  <si>
    <t>Balanced Funds (60% stocks - 40% bonds)</t>
  </si>
  <si>
    <t>Medium</t>
  </si>
  <si>
    <t>&gt; 10 years</t>
  </si>
  <si>
    <t xml:space="preserve"> Equity Funds or Growth Oriented Portfoliios</t>
  </si>
  <si>
    <t>High</t>
  </si>
  <si>
    <t>Pension 3a calculator</t>
  </si>
  <si>
    <t>80% of latest salary</t>
  </si>
  <si>
    <t>Expected capital2</t>
  </si>
  <si>
    <t>Worst + Interval</t>
  </si>
  <si>
    <t xml:space="preserve">Age retirement </t>
  </si>
  <si>
    <t>Latest salary</t>
  </si>
  <si>
    <t>Actual age</t>
  </si>
  <si>
    <t xml:space="preserve">Life expectancy </t>
  </si>
  <si>
    <t>Capital suggestion to have 80% salary before pension</t>
  </si>
  <si>
    <t>Years of pension</t>
  </si>
  <si>
    <t xml:space="preserve">Specific amount </t>
  </si>
  <si>
    <t>1° + 2° pillar (monthly)</t>
  </si>
  <si>
    <t>Capital necessary</t>
  </si>
  <si>
    <t>Compared to savings account</t>
  </si>
  <si>
    <t>House calculator</t>
  </si>
  <si>
    <t>House purchase age</t>
  </si>
  <si>
    <t xml:space="preserve">Price today </t>
  </si>
  <si>
    <t xml:space="preserve">Price in the future years </t>
  </si>
  <si>
    <t>20% required for the purchase</t>
  </si>
  <si>
    <t>Do you want to 1) buy a Flat or a House 2) Rent</t>
  </si>
  <si>
    <t>Mortgage (Interest + Principal)</t>
  </si>
  <si>
    <t>House (1%)</t>
  </si>
  <si>
    <t>Bank accounts</t>
  </si>
  <si>
    <t>Tot amount in normal bank account</t>
  </si>
  <si>
    <t xml:space="preserve">Tot invested  in 3a account </t>
  </si>
  <si>
    <t xml:space="preserve">Yearly Investments in 3a account </t>
  </si>
  <si>
    <t>Yearly Investments in normal investment account</t>
  </si>
  <si>
    <t>Place</t>
  </si>
  <si>
    <t xml:space="preserve">Tot invested  in normal investment account </t>
  </si>
  <si>
    <t>How much is the salary of your partner?</t>
  </si>
  <si>
    <t>How old is your partner?</t>
  </si>
  <si>
    <t>At what age do your partner want retire?</t>
  </si>
  <si>
    <t>Partmer Salary and Pension</t>
  </si>
  <si>
    <t>Actual year</t>
  </si>
  <si>
    <t>Salary / pension partner</t>
  </si>
  <si>
    <t>Pension deductions partner</t>
  </si>
  <si>
    <t>Total income</t>
  </si>
  <si>
    <t>CF Timeline</t>
  </si>
  <si>
    <t>What are you paying for your current rent?</t>
  </si>
  <si>
    <t>What LTV do you want (Default 80%)</t>
  </si>
  <si>
    <t>Do you know the interest rate?</t>
  </si>
  <si>
    <t>Year of this residual income</t>
  </si>
  <si>
    <t>Investment percentage</t>
  </si>
  <si>
    <t>Capital to cover 80%</t>
  </si>
  <si>
    <t>Yearly max investment</t>
  </si>
  <si>
    <t>Minimum yearly residual income</t>
  </si>
  <si>
    <t>Yearly Optimal investment</t>
  </si>
  <si>
    <t>Final Free Income</t>
  </si>
  <si>
    <t>Tot investments</t>
  </si>
  <si>
    <t>Coefficients for investments</t>
  </si>
  <si>
    <t>Tot amount at the end</t>
  </si>
  <si>
    <t>Period</t>
  </si>
  <si>
    <t>Colonna3</t>
  </si>
  <si>
    <t>Colonna4</t>
  </si>
  <si>
    <t>Colonna5</t>
  </si>
  <si>
    <t>Yearly investment</t>
  </si>
  <si>
    <t>Tot invested</t>
  </si>
  <si>
    <t>Total</t>
  </si>
  <si>
    <t>% compared to initial situation</t>
  </si>
  <si>
    <t>Federal tax</t>
  </si>
  <si>
    <t>Comparison with other places</t>
  </si>
  <si>
    <t>Comparison in the same canton</t>
  </si>
  <si>
    <t>Comparison in another canton</t>
  </si>
  <si>
    <t>Comparisons</t>
  </si>
  <si>
    <t>Comparison in the same canton?</t>
  </si>
  <si>
    <t>If yes, do you want to specify a specific postcode?</t>
  </si>
  <si>
    <t>Comparison in another canton?</t>
  </si>
  <si>
    <t>What age do you want to compare?</t>
  </si>
  <si>
    <t>Actual predition</t>
  </si>
  <si>
    <t>Federal</t>
  </si>
  <si>
    <t>Cantonal</t>
  </si>
  <si>
    <t>Comunal</t>
  </si>
  <si>
    <t>Colonna9</t>
  </si>
  <si>
    <t>Colonna7</t>
  </si>
  <si>
    <t>Colonna8</t>
  </si>
  <si>
    <t>Actual</t>
  </si>
  <si>
    <t>Min</t>
  </si>
  <si>
    <t>Max</t>
  </si>
  <si>
    <t>Choice</t>
  </si>
  <si>
    <t>Accumulated investment for each goal</t>
  </si>
  <si>
    <t>Annual ideal investment</t>
  </si>
  <si>
    <t>feder+cont+(Cont*tax)</t>
  </si>
  <si>
    <t>Column1</t>
  </si>
  <si>
    <t>feder+ (munic * canton+(Canont*munic)</t>
  </si>
  <si>
    <t>(basic *cant)+(basic *cant*mult)</t>
  </si>
  <si>
    <t>How much do you pay yearly for the health insurance?</t>
  </si>
  <si>
    <t>How much do you pay yearly for taxes?</t>
  </si>
  <si>
    <t xml:space="preserve">NPV total </t>
  </si>
  <si>
    <t xml:space="preserve">% total </t>
  </si>
  <si>
    <t>TIMELINE POINTS</t>
  </si>
  <si>
    <t>Discount rate</t>
  </si>
  <si>
    <t>Ab 13 717</t>
  </si>
  <si>
    <t>Resultat</t>
  </si>
  <si>
    <t>Unter 4 669</t>
  </si>
  <si>
    <t>4 669 – 7 004</t>
  </si>
  <si>
    <t>7 005 – 9 733</t>
  </si>
  <si>
    <t>9 734 – 13 716</t>
  </si>
  <si>
    <t>Resultat RC</t>
  </si>
  <si>
    <t>Resultat RE</t>
  </si>
  <si>
    <t>Summe</t>
  </si>
  <si>
    <t>Kinderkosten</t>
  </si>
  <si>
    <t>Kantonalekosten</t>
  </si>
  <si>
    <t>Goals</t>
  </si>
  <si>
    <t>Final bank account</t>
  </si>
  <si>
    <t>Accumulated wealth in the bank account</t>
  </si>
  <si>
    <t>What the minimum interest rate?</t>
  </si>
  <si>
    <t>What is the minimum LTV?</t>
  </si>
  <si>
    <t>Comparison House prices of diffrent locations</t>
  </si>
  <si>
    <t>Comparison Real Estate</t>
  </si>
  <si>
    <t xml:space="preserve">     Total Costs</t>
  </si>
  <si>
    <t>AO</t>
  </si>
  <si>
    <t>GB</t>
  </si>
  <si>
    <t>Needed questions</t>
  </si>
  <si>
    <t>Partner informations</t>
  </si>
  <si>
    <t>Do you will include the partner in the calculations?</t>
  </si>
  <si>
    <t>Current informations</t>
  </si>
  <si>
    <t>Outstanding</t>
  </si>
  <si>
    <t>Retirement Age</t>
  </si>
  <si>
    <t>Do you know how much the runnig costs of your House could be?</t>
  </si>
  <si>
    <t>Actual situation</t>
  </si>
  <si>
    <t>Future house</t>
  </si>
  <si>
    <t xml:space="preserve">Salary expectation </t>
  </si>
  <si>
    <t>Current Income</t>
  </si>
  <si>
    <t>Income expactations</t>
  </si>
  <si>
    <t>Time</t>
  </si>
  <si>
    <t>Income Growth</t>
  </si>
  <si>
    <t>LIFE PLANNER</t>
  </si>
  <si>
    <t>Total liquid Wealth</t>
  </si>
  <si>
    <t>Additional Informations for client and calculation</t>
  </si>
  <si>
    <t>year</t>
  </si>
  <si>
    <t>start mortgage</t>
  </si>
  <si>
    <t>interst</t>
  </si>
  <si>
    <t>interest payments</t>
  </si>
  <si>
    <t>principal payments</t>
  </si>
  <si>
    <t>end mortgage</t>
  </si>
  <si>
    <t>CPM</t>
  </si>
  <si>
    <t>Real Estate Growth</t>
  </si>
  <si>
    <t>Amortization</t>
  </si>
  <si>
    <t>Buy</t>
  </si>
  <si>
    <t>How much mortgage do you want to have at 65?</t>
  </si>
  <si>
    <t>Mortgage</t>
  </si>
  <si>
    <t>Duration pre Retirement</t>
  </si>
  <si>
    <t>Duration post Retirement</t>
  </si>
  <si>
    <t>Mortgage start</t>
  </si>
  <si>
    <t>Mortgage end</t>
  </si>
  <si>
    <t>Price</t>
  </si>
  <si>
    <t>Age at purchase</t>
  </si>
  <si>
    <t>Comparison</t>
  </si>
  <si>
    <t>Weighting in RE??????</t>
  </si>
  <si>
    <t>Why/ 3A should be max</t>
  </si>
  <si>
    <t>10 Year After Pension</t>
  </si>
  <si>
    <t>Actual postcode</t>
  </si>
  <si>
    <t>Can you meet your goals</t>
  </si>
  <si>
    <t>Can you meet your goals?</t>
  </si>
  <si>
    <t>Gaphs</t>
  </si>
  <si>
    <t>No</t>
  </si>
  <si>
    <t>https://www.bfs.admin.ch/bfs/en/home/statistiken/bevoelkerung/geburten-todesfaelle/lebenserwartung.html?utm_source=chatgpt.com</t>
  </si>
  <si>
    <t xml:space="preserve">Goals </t>
  </si>
  <si>
    <t>Attention!</t>
  </si>
  <si>
    <t>investing calc verbessern, ziel immer erreichen</t>
  </si>
  <si>
    <t>Who</t>
  </si>
  <si>
    <t>jan</t>
  </si>
  <si>
    <t>max 7500</t>
  </si>
  <si>
    <t>lo</t>
  </si>
  <si>
    <t>Use case!!!!!!!!!</t>
  </si>
  <si>
    <t>cash puffer</t>
  </si>
  <si>
    <t>benefit von investing zeigen</t>
  </si>
  <si>
    <t>Normal</t>
  </si>
  <si>
    <t>Life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</si>
</sst>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CHF&quot;\ #,##0.00;[Red]&quot;CHF&quot;\ \-#,##0.00"/>
    <numFmt numFmtId="44" formatCode="_ &quot;CHF&quot;\ * #,##0.00_ ;_ &quot;CHF&quot;\ * \-#,##0.00_ ;_ &quot;CHF&quot;\ * &quot;-&quot;??_ ;_ @_ "/>
    <numFmt numFmtId="164" formatCode="&quot;CHF&quot;\ #,##0.00"/>
    <numFmt numFmtId="165" formatCode="_ [$CHF-810]\ * #,##0.00_ ;_ [$CHF-810]\ * \-#,##0.00_ ;_ [$CHF-810]\ * &quot;-&quot;??_ ;_ @_ "/>
    <numFmt numFmtId="166" formatCode="_-* #,##0.00\ [$CHF-100C]_-;\-* #,##0.00\ [$CHF-100C]_-;_-* &quot;-&quot;??\ [$CHF-100C]_-;_-@_-"/>
    <numFmt numFmtId="167" formatCode="0.000000000"/>
    <numFmt numFmtId="168" formatCode="_ &quot;CHF&quot;\ * #,##0.000000_ ;_ &quot;CHF&quot;\ * \-#,##0.000000_ ;_ &quot;CHF&quot;\ * &quot;-&quot;??_ ;_ @_ "/>
    <numFmt numFmtId="169" formatCode="_ &quot;CHF&quot;\ * #,##0_ ;_ &quot;CHF&quot;\ * \-#,##0_ ;_ &quot;CHF&quot;\ * &quot;-&quot;??_ ;_ @_ "/>
    <numFmt numFmtId="170" formatCode="0.000%_)_);\−0.000%_)_);0.000%_)_);@_)_)"/>
    <numFmt numFmtId="171" formatCode="#\ ##0.00;\−#\ ##0.00;#\ ##0.00;_)@"/>
    <numFmt numFmtId="172" formatCode="#\ ##0_);#\ ##0_);#\ ##0_);@_)"/>
    <numFmt numFmtId="173" formatCode="0.0%"/>
  </numFmts>
  <fonts count="36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0"/>
      <name val="Aptos Narrow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0"/>
      <name val="Aptos Narrow"/>
      <scheme val="minor"/>
    </font>
    <font>
      <sz val="12"/>
      <name val="Aptos Narrow"/>
      <scheme val="minor"/>
    </font>
    <font>
      <b/>
      <sz val="12"/>
      <name val="Aptos Narrow"/>
      <scheme val="minor"/>
    </font>
    <font>
      <b/>
      <sz val="12"/>
      <color theme="1"/>
      <name val="Aptos Narrow"/>
      <family val="2"/>
      <scheme val="minor"/>
    </font>
    <font>
      <b/>
      <sz val="12"/>
      <color theme="2"/>
      <name val="Aptos Narrow"/>
      <scheme val="minor"/>
    </font>
    <font>
      <sz val="10"/>
      <color rgb="FF000000"/>
      <name val="Arial"/>
      <family val="2"/>
      <charset val="1"/>
    </font>
    <font>
      <sz val="10"/>
      <color rgb="FF000000"/>
      <name val="Helvetica Neue"/>
      <family val="2"/>
    </font>
    <font>
      <sz val="10"/>
      <color theme="1"/>
      <name val="Arial Unicode MS"/>
      <family val="2"/>
    </font>
    <font>
      <b/>
      <sz val="10"/>
      <color indexed="8"/>
      <name val="Helvetica Neue"/>
      <family val="2"/>
    </font>
    <font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Helvetica"/>
      <family val="2"/>
    </font>
    <font>
      <sz val="12"/>
      <color rgb="FF000000"/>
      <name val="Aptos Narrow"/>
      <family val="2"/>
    </font>
    <font>
      <b/>
      <sz val="10"/>
      <color rgb="FF000000"/>
      <name val="Helvetica Neue"/>
      <family val="2"/>
    </font>
    <font>
      <sz val="20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0"/>
      <color theme="1"/>
      <name val="Helvetica Neue"/>
      <family val="2"/>
    </font>
    <font>
      <sz val="12"/>
      <color rgb="FF000000"/>
      <name val="Aptos Narrow"/>
    </font>
    <font>
      <b/>
      <sz val="11"/>
      <color rgb="FF000000"/>
      <name val="Aptos Narrow"/>
      <family val="2"/>
      <scheme val="minor"/>
    </font>
    <font>
      <sz val="11"/>
      <color theme="1"/>
      <name val="Aptos Narrow"/>
      <scheme val="minor"/>
    </font>
    <font>
      <b/>
      <sz val="12"/>
      <color theme="1"/>
      <name val="Aptos Narrow (Corpo)"/>
    </font>
    <font>
      <u/>
      <sz val="12"/>
      <color theme="1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8"/>
      <name val="Arial Narrow"/>
      <family val="2"/>
    </font>
    <font>
      <strike/>
      <sz val="12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72"/>
      <color theme="0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8E8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/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/>
      <top style="thin">
        <color indexed="10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 applyNumberFormat="0" applyFill="0" applyBorder="0" applyAlignment="0" applyProtection="0"/>
  </cellStyleXfs>
  <cellXfs count="54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44" fontId="0" fillId="3" borderId="0" xfId="1" applyFont="1" applyFill="1"/>
    <xf numFmtId="0" fontId="0" fillId="3" borderId="0" xfId="0" applyFill="1" applyAlignment="1">
      <alignment horizontal="right"/>
    </xf>
    <xf numFmtId="1" fontId="0" fillId="3" borderId="0" xfId="0" applyNumberFormat="1" applyFill="1"/>
    <xf numFmtId="0" fontId="3" fillId="2" borderId="0" xfId="0" applyFont="1" applyFill="1"/>
    <xf numFmtId="0" fontId="4" fillId="4" borderId="0" xfId="0" applyFont="1" applyFill="1"/>
    <xf numFmtId="0" fontId="0" fillId="0" borderId="0" xfId="0" applyAlignment="1">
      <alignment horizontal="right"/>
    </xf>
    <xf numFmtId="44" fontId="0" fillId="3" borderId="0" xfId="1" applyFont="1" applyFill="1" applyAlignment="1">
      <alignment horizontal="right"/>
    </xf>
    <xf numFmtId="0" fontId="0" fillId="5" borderId="0" xfId="0" applyFill="1"/>
    <xf numFmtId="44" fontId="0" fillId="0" borderId="0" xfId="1" applyFont="1" applyFill="1"/>
    <xf numFmtId="0" fontId="4" fillId="5" borderId="0" xfId="0" applyFont="1" applyFill="1"/>
    <xf numFmtId="0" fontId="5" fillId="3" borderId="0" xfId="0" applyFont="1" applyFill="1"/>
    <xf numFmtId="0" fontId="4" fillId="6" borderId="0" xfId="0" applyFont="1" applyFill="1"/>
    <xf numFmtId="0" fontId="0" fillId="6" borderId="0" xfId="0" applyFill="1"/>
    <xf numFmtId="0" fontId="0" fillId="6" borderId="0" xfId="0" applyFill="1" applyAlignment="1">
      <alignment horizontal="right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44" fontId="0" fillId="0" borderId="0" xfId="1" applyFont="1"/>
    <xf numFmtId="0" fontId="6" fillId="2" borderId="0" xfId="0" applyFont="1" applyFill="1" applyAlignment="1">
      <alignment horizontal="center"/>
    </xf>
    <xf numFmtId="0" fontId="0" fillId="3" borderId="0" xfId="0" applyFill="1" applyAlignment="1">
      <alignment vertical="center"/>
    </xf>
    <xf numFmtId="44" fontId="0" fillId="3" borderId="0" xfId="0" applyNumberFormat="1" applyFill="1" applyAlignment="1">
      <alignment vertical="center"/>
    </xf>
    <xf numFmtId="44" fontId="4" fillId="0" borderId="0" xfId="1" applyFont="1"/>
    <xf numFmtId="10" fontId="0" fillId="8" borderId="0" xfId="2" applyNumberFormat="1" applyFont="1" applyFill="1" applyAlignment="1">
      <alignment vertical="center"/>
    </xf>
    <xf numFmtId="0" fontId="0" fillId="0" borderId="0" xfId="0" applyAlignment="1">
      <alignment vertical="center" wrapText="1"/>
    </xf>
    <xf numFmtId="10" fontId="0" fillId="0" borderId="0" xfId="2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 wrapText="1"/>
    </xf>
    <xf numFmtId="10" fontId="3" fillId="2" borderId="0" xfId="2" applyNumberFormat="1" applyFont="1" applyFill="1" applyAlignment="1">
      <alignment vertical="center"/>
    </xf>
    <xf numFmtId="10" fontId="4" fillId="3" borderId="0" xfId="2" applyNumberFormat="1" applyFont="1" applyFill="1"/>
    <xf numFmtId="44" fontId="4" fillId="3" borderId="0" xfId="1" applyFont="1" applyFill="1"/>
    <xf numFmtId="0" fontId="0" fillId="3" borderId="0" xfId="0" applyFill="1" applyAlignment="1">
      <alignment horizontal="left" indent="2"/>
    </xf>
    <xf numFmtId="10" fontId="0" fillId="3" borderId="0" xfId="2" applyNumberFormat="1" applyFont="1" applyFill="1" applyAlignment="1">
      <alignment horizontal="right" indent="1"/>
    </xf>
    <xf numFmtId="10" fontId="0" fillId="3" borderId="0" xfId="2" applyNumberFormat="1" applyFont="1" applyFill="1"/>
    <xf numFmtId="0" fontId="0" fillId="3" borderId="5" xfId="0" applyFill="1" applyBorder="1"/>
    <xf numFmtId="44" fontId="4" fillId="3" borderId="5" xfId="1" applyFont="1" applyFill="1" applyBorder="1"/>
    <xf numFmtId="10" fontId="0" fillId="3" borderId="0" xfId="0" applyNumberFormat="1" applyFill="1"/>
    <xf numFmtId="164" fontId="0" fillId="3" borderId="0" xfId="0" applyNumberFormat="1" applyFill="1"/>
    <xf numFmtId="10" fontId="0" fillId="8" borderId="5" xfId="2" applyNumberFormat="1" applyFont="1" applyFill="1" applyBorder="1"/>
    <xf numFmtId="9" fontId="0" fillId="3" borderId="0" xfId="0" applyNumberFormat="1" applyFill="1"/>
    <xf numFmtId="44" fontId="5" fillId="3" borderId="0" xfId="1" applyFont="1" applyFill="1"/>
    <xf numFmtId="44" fontId="0" fillId="3" borderId="5" xfId="1" applyFont="1" applyFill="1" applyBorder="1" applyAlignment="1">
      <alignment horizontal="right"/>
    </xf>
    <xf numFmtId="0" fontId="8" fillId="2" borderId="0" xfId="0" applyFont="1" applyFill="1"/>
    <xf numFmtId="44" fontId="3" fillId="2" borderId="0" xfId="0" applyNumberFormat="1" applyFont="1" applyFill="1"/>
    <xf numFmtId="0" fontId="5" fillId="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0" fontId="0" fillId="8" borderId="0" xfId="2" applyNumberFormat="1" applyFont="1" applyFill="1"/>
    <xf numFmtId="0" fontId="4" fillId="3" borderId="0" xfId="0" applyFont="1" applyFill="1"/>
    <xf numFmtId="44" fontId="4" fillId="4" borderId="0" xfId="0" applyNumberFormat="1" applyFont="1" applyFill="1"/>
    <xf numFmtId="1" fontId="5" fillId="3" borderId="0" xfId="0" applyNumberFormat="1" applyFont="1" applyFill="1"/>
    <xf numFmtId="44" fontId="4" fillId="4" borderId="0" xfId="1" applyFont="1" applyFill="1"/>
    <xf numFmtId="0" fontId="3" fillId="0" borderId="0" xfId="0" applyFont="1"/>
    <xf numFmtId="0" fontId="5" fillId="0" borderId="0" xfId="0" applyFont="1" applyAlignment="1">
      <alignment horizontal="center"/>
    </xf>
    <xf numFmtId="44" fontId="4" fillId="0" borderId="0" xfId="1" applyFont="1" applyFill="1"/>
    <xf numFmtId="10" fontId="0" fillId="0" borderId="0" xfId="2" applyNumberFormat="1" applyFont="1" applyFill="1"/>
    <xf numFmtId="44" fontId="3" fillId="0" borderId="0" xfId="0" applyNumberFormat="1" applyFont="1"/>
    <xf numFmtId="44" fontId="4" fillId="0" borderId="0" xfId="0" applyNumberFormat="1" applyFont="1"/>
    <xf numFmtId="1" fontId="5" fillId="0" borderId="0" xfId="0" applyNumberFormat="1" applyFont="1"/>
    <xf numFmtId="44" fontId="9" fillId="3" borderId="0" xfId="0" applyNumberFormat="1" applyFont="1" applyFill="1" applyAlignment="1">
      <alignment horizontal="center"/>
    </xf>
    <xf numFmtId="44" fontId="9" fillId="3" borderId="0" xfId="1" applyFont="1" applyFill="1"/>
    <xf numFmtId="44" fontId="9" fillId="3" borderId="0" xfId="0" applyNumberFormat="1" applyFont="1" applyFill="1"/>
    <xf numFmtId="44" fontId="9" fillId="3" borderId="0" xfId="2" applyNumberFormat="1" applyFont="1" applyFill="1"/>
    <xf numFmtId="0" fontId="6" fillId="2" borderId="0" xfId="0" applyFont="1" applyFill="1"/>
    <xf numFmtId="9" fontId="9" fillId="3" borderId="0" xfId="2" applyFont="1" applyFill="1" applyAlignment="1">
      <alignment horizontal="center" vertical="center"/>
    </xf>
    <xf numFmtId="9" fontId="9" fillId="3" borderId="0" xfId="0" applyNumberFormat="1" applyFont="1" applyFill="1" applyAlignment="1">
      <alignment horizontal="center" vertical="center"/>
    </xf>
    <xf numFmtId="44" fontId="9" fillId="3" borderId="0" xfId="0" applyNumberFormat="1" applyFont="1" applyFill="1" applyAlignment="1">
      <alignment horizontal="center" vertical="center"/>
    </xf>
    <xf numFmtId="44" fontId="9" fillId="3" borderId="0" xfId="2" applyNumberFormat="1" applyFont="1" applyFill="1" applyAlignment="1">
      <alignment horizontal="center" vertical="center"/>
    </xf>
    <xf numFmtId="0" fontId="9" fillId="3" borderId="0" xfId="0" applyFont="1" applyFill="1"/>
    <xf numFmtId="0" fontId="9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1" fontId="0" fillId="3" borderId="0" xfId="2" applyNumberFormat="1" applyFont="1" applyFill="1" applyAlignment="1">
      <alignment vertical="center"/>
    </xf>
    <xf numFmtId="44" fontId="10" fillId="3" borderId="0" xfId="2" applyNumberFormat="1" applyFont="1" applyFill="1" applyAlignment="1">
      <alignment horizontal="center" vertical="center"/>
    </xf>
    <xf numFmtId="44" fontId="10" fillId="3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3" borderId="0" xfId="0" applyFill="1" applyAlignment="1">
      <alignment horizontal="center" vertical="center"/>
    </xf>
    <xf numFmtId="44" fontId="0" fillId="8" borderId="0" xfId="1" applyFont="1" applyFill="1"/>
    <xf numFmtId="0" fontId="6" fillId="2" borderId="0" xfId="0" applyFont="1" applyFill="1" applyAlignment="1">
      <alignment horizontal="center" vertical="center"/>
    </xf>
    <xf numFmtId="44" fontId="0" fillId="3" borderId="0" xfId="1" applyFont="1" applyFill="1" applyAlignment="1">
      <alignment vertical="center"/>
    </xf>
    <xf numFmtId="0" fontId="3" fillId="5" borderId="0" xfId="0" applyFont="1" applyFill="1"/>
    <xf numFmtId="165" fontId="0" fillId="3" borderId="0" xfId="0" applyNumberFormat="1" applyFill="1"/>
    <xf numFmtId="44" fontId="12" fillId="3" borderId="0" xfId="1" applyFont="1" applyFill="1"/>
    <xf numFmtId="44" fontId="12" fillId="0" borderId="0" xfId="1" applyFont="1" applyFill="1"/>
    <xf numFmtId="1" fontId="0" fillId="3" borderId="0" xfId="1" applyNumberFormat="1" applyFont="1" applyFill="1"/>
    <xf numFmtId="0" fontId="11" fillId="2" borderId="0" xfId="0" applyFont="1" applyFill="1"/>
    <xf numFmtId="0" fontId="11" fillId="5" borderId="0" xfId="0" applyFont="1" applyFill="1" applyAlignment="1">
      <alignment horizontal="center"/>
    </xf>
    <xf numFmtId="0" fontId="13" fillId="3" borderId="0" xfId="0" applyFont="1" applyFill="1" applyAlignment="1">
      <alignment horizontal="left" vertical="center"/>
    </xf>
    <xf numFmtId="0" fontId="0" fillId="3" borderId="0" xfId="0" applyFill="1" applyAlignment="1">
      <alignment horizontal="center"/>
    </xf>
    <xf numFmtId="4" fontId="13" fillId="3" borderId="0" xfId="0" applyNumberFormat="1" applyFont="1" applyFill="1" applyAlignment="1">
      <alignment horizontal="right" vertical="center"/>
    </xf>
    <xf numFmtId="44" fontId="5" fillId="8" borderId="0" xfId="1" applyFont="1" applyFill="1"/>
    <xf numFmtId="0" fontId="11" fillId="5" borderId="0" xfId="0" applyFont="1" applyFill="1"/>
    <xf numFmtId="0" fontId="0" fillId="9" borderId="0" xfId="0" applyFill="1"/>
    <xf numFmtId="0" fontId="15" fillId="9" borderId="0" xfId="0" applyFont="1" applyFill="1"/>
    <xf numFmtId="0" fontId="0" fillId="9" borderId="5" xfId="0" applyFill="1" applyBorder="1" applyAlignment="1">
      <alignment horizontal="center"/>
    </xf>
    <xf numFmtId="0" fontId="0" fillId="9" borderId="5" xfId="0" applyFill="1" applyBorder="1" applyAlignment="1">
      <alignment horizontal="left"/>
    </xf>
    <xf numFmtId="0" fontId="14" fillId="9" borderId="0" xfId="0" applyFont="1" applyFill="1"/>
    <xf numFmtId="49" fontId="16" fillId="0" borderId="7" xfId="0" applyNumberFormat="1" applyFont="1" applyBorder="1" applyAlignment="1">
      <alignment vertical="top"/>
    </xf>
    <xf numFmtId="49" fontId="16" fillId="0" borderId="8" xfId="0" applyNumberFormat="1" applyFont="1" applyBorder="1" applyAlignment="1">
      <alignment vertical="top"/>
    </xf>
    <xf numFmtId="3" fontId="13" fillId="3" borderId="0" xfId="0" applyNumberFormat="1" applyFont="1" applyFill="1" applyAlignment="1">
      <alignment horizontal="right" vertical="center"/>
    </xf>
    <xf numFmtId="44" fontId="0" fillId="3" borderId="0" xfId="1" applyFont="1" applyFill="1" applyAlignment="1">
      <alignment horizontal="right" vertical="center"/>
    </xf>
    <xf numFmtId="0" fontId="17" fillId="10" borderId="0" xfId="0" applyFont="1" applyFill="1"/>
    <xf numFmtId="44" fontId="0" fillId="3" borderId="0" xfId="0" applyNumberFormat="1" applyFill="1" applyAlignment="1">
      <alignment horizontal="right"/>
    </xf>
    <xf numFmtId="44" fontId="4" fillId="3" borderId="0" xfId="1" applyFont="1" applyFill="1" applyAlignment="1">
      <alignment vertical="center"/>
    </xf>
    <xf numFmtId="0" fontId="6" fillId="2" borderId="9" xfId="0" applyFont="1" applyFill="1" applyBorder="1" applyAlignment="1">
      <alignment horizontal="center" vertical="center"/>
    </xf>
    <xf numFmtId="0" fontId="0" fillId="3" borderId="0" xfId="1" applyNumberFormat="1" applyFont="1" applyFill="1"/>
    <xf numFmtId="0" fontId="0" fillId="11" borderId="0" xfId="0" applyFill="1" applyAlignment="1">
      <alignment horizontal="center"/>
    </xf>
    <xf numFmtId="0" fontId="0" fillId="0" borderId="2" xfId="0" applyBorder="1"/>
    <xf numFmtId="167" fontId="0" fillId="3" borderId="0" xfId="1" applyNumberFormat="1" applyFont="1" applyFill="1"/>
    <xf numFmtId="167" fontId="0" fillId="3" borderId="0" xfId="2" applyNumberFormat="1" applyFont="1" applyFill="1"/>
    <xf numFmtId="168" fontId="0" fillId="3" borderId="0" xfId="1" applyNumberFormat="1" applyFont="1" applyFill="1"/>
    <xf numFmtId="44" fontId="0" fillId="3" borderId="0" xfId="0" applyNumberFormat="1" applyFill="1"/>
    <xf numFmtId="49" fontId="16" fillId="0" borderId="18" xfId="0" applyNumberFormat="1" applyFont="1" applyBorder="1" applyAlignment="1">
      <alignment vertical="top"/>
    </xf>
    <xf numFmtId="0" fontId="0" fillId="0" borderId="19" xfId="0" applyBorder="1" applyAlignment="1">
      <alignment vertical="top"/>
    </xf>
    <xf numFmtId="49" fontId="16" fillId="0" borderId="20" xfId="0" applyNumberFormat="1" applyFont="1" applyBorder="1" applyAlignment="1">
      <alignment vertical="top"/>
    </xf>
    <xf numFmtId="0" fontId="0" fillId="0" borderId="21" xfId="0" applyBorder="1" applyAlignment="1">
      <alignment vertical="top"/>
    </xf>
    <xf numFmtId="49" fontId="16" fillId="0" borderId="22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5" fillId="5" borderId="0" xfId="0" applyFont="1" applyFill="1"/>
    <xf numFmtId="9" fontId="0" fillId="8" borderId="0" xfId="2" applyFont="1" applyFill="1"/>
    <xf numFmtId="8" fontId="0" fillId="0" borderId="0" xfId="0" applyNumberFormat="1"/>
    <xf numFmtId="8" fontId="4" fillId="3" borderId="0" xfId="0" applyNumberFormat="1" applyFont="1" applyFill="1"/>
    <xf numFmtId="0" fontId="0" fillId="3" borderId="0" xfId="0" applyFill="1" applyAlignment="1">
      <alignment horizontal="left" indent="1"/>
    </xf>
    <xf numFmtId="9" fontId="0" fillId="3" borderId="0" xfId="2" applyFont="1" applyFill="1"/>
    <xf numFmtId="8" fontId="0" fillId="3" borderId="0" xfId="0" applyNumberFormat="1" applyFill="1"/>
    <xf numFmtId="165" fontId="4" fillId="3" borderId="0" xfId="1" applyNumberFormat="1" applyFont="1" applyFill="1"/>
    <xf numFmtId="9" fontId="0" fillId="3" borderId="0" xfId="0" applyNumberFormat="1" applyFill="1" applyAlignment="1">
      <alignment horizontal="left"/>
    </xf>
    <xf numFmtId="44" fontId="4" fillId="3" borderId="0" xfId="0" applyNumberFormat="1" applyFont="1" applyFill="1"/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0" fillId="3" borderId="0" xfId="0" applyFill="1" applyAlignment="1">
      <alignment horizontal="left"/>
    </xf>
    <xf numFmtId="0" fontId="0" fillId="5" borderId="0" xfId="0" applyFill="1" applyAlignment="1">
      <alignment horizontal="center" vertical="center"/>
    </xf>
    <xf numFmtId="16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10" fontId="0" fillId="3" borderId="0" xfId="2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0" fontId="0" fillId="0" borderId="0" xfId="2" applyNumberFormat="1" applyFont="1" applyFill="1" applyAlignment="1">
      <alignment horizontal="center"/>
    </xf>
    <xf numFmtId="10" fontId="4" fillId="3" borderId="0" xfId="2" applyNumberFormat="1" applyFont="1" applyFill="1" applyAlignment="1">
      <alignment horizontal="center"/>
    </xf>
    <xf numFmtId="9" fontId="17" fillId="14" borderId="0" xfId="0" applyNumberFormat="1" applyFont="1" applyFill="1"/>
    <xf numFmtId="1" fontId="0" fillId="0" borderId="0" xfId="0" applyNumberFormat="1" applyAlignment="1">
      <alignment horizontal="right"/>
    </xf>
    <xf numFmtId="44" fontId="0" fillId="0" borderId="0" xfId="0" applyNumberFormat="1"/>
    <xf numFmtId="8" fontId="4" fillId="3" borderId="0" xfId="1" applyNumberFormat="1" applyFont="1" applyFill="1"/>
    <xf numFmtId="0" fontId="0" fillId="15" borderId="0" xfId="0" applyFill="1"/>
    <xf numFmtId="0" fontId="4" fillId="5" borderId="2" xfId="0" applyFont="1" applyFill="1" applyBorder="1"/>
    <xf numFmtId="0" fontId="4" fillId="15" borderId="2" xfId="0" applyFont="1" applyFill="1" applyBorder="1"/>
    <xf numFmtId="44" fontId="0" fillId="16" borderId="0" xfId="1" applyFont="1" applyFill="1" applyBorder="1"/>
    <xf numFmtId="0" fontId="11" fillId="5" borderId="2" xfId="0" applyFont="1" applyFill="1" applyBorder="1"/>
    <xf numFmtId="44" fontId="0" fillId="5" borderId="0" xfId="0" applyNumberFormat="1" applyFill="1"/>
    <xf numFmtId="0" fontId="11" fillId="6" borderId="2" xfId="0" applyFont="1" applyFill="1" applyBorder="1"/>
    <xf numFmtId="0" fontId="11" fillId="8" borderId="2" xfId="0" applyFont="1" applyFill="1" applyBorder="1"/>
    <xf numFmtId="44" fontId="4" fillId="8" borderId="0" xfId="0" applyNumberFormat="1" applyFont="1" applyFill="1"/>
    <xf numFmtId="0" fontId="5" fillId="13" borderId="2" xfId="0" applyFont="1" applyFill="1" applyBorder="1" applyAlignment="1">
      <alignment horizontal="left" indent="2"/>
    </xf>
    <xf numFmtId="0" fontId="5" fillId="17" borderId="2" xfId="0" applyFont="1" applyFill="1" applyBorder="1" applyAlignment="1">
      <alignment horizontal="left" indent="2"/>
    </xf>
    <xf numFmtId="0" fontId="5" fillId="16" borderId="2" xfId="0" applyFont="1" applyFill="1" applyBorder="1" applyAlignment="1">
      <alignment horizontal="left" indent="2"/>
    </xf>
    <xf numFmtId="0" fontId="0" fillId="17" borderId="2" xfId="0" applyFill="1" applyBorder="1" applyAlignment="1">
      <alignment horizontal="left" indent="2"/>
    </xf>
    <xf numFmtId="0" fontId="11" fillId="16" borderId="2" xfId="0" applyFont="1" applyFill="1" applyBorder="1" applyAlignment="1">
      <alignment horizontal="left" indent="2"/>
    </xf>
    <xf numFmtId="0" fontId="4" fillId="17" borderId="2" xfId="0" applyFont="1" applyFill="1" applyBorder="1" applyAlignment="1">
      <alignment horizontal="left" indent="2"/>
    </xf>
    <xf numFmtId="44" fontId="4" fillId="17" borderId="0" xfId="0" applyNumberFormat="1" applyFont="1" applyFill="1"/>
    <xf numFmtId="0" fontId="3" fillId="0" borderId="0" xfId="0" applyFont="1" applyAlignment="1">
      <alignment horizontal="center" vertical="center"/>
    </xf>
    <xf numFmtId="0" fontId="0" fillId="0" borderId="1" xfId="0" applyBorder="1"/>
    <xf numFmtId="44" fontId="0" fillId="13" borderId="0" xfId="1" applyFont="1" applyFill="1"/>
    <xf numFmtId="0" fontId="4" fillId="13" borderId="2" xfId="0" applyFont="1" applyFill="1" applyBorder="1" applyAlignment="1">
      <alignment horizontal="left" indent="2"/>
    </xf>
    <xf numFmtId="44" fontId="4" fillId="13" borderId="0" xfId="1" applyFont="1" applyFill="1" applyBorder="1"/>
    <xf numFmtId="0" fontId="3" fillId="2" borderId="17" xfId="0" applyFont="1" applyFill="1" applyBorder="1" applyAlignment="1">
      <alignment horizontal="center" vertical="center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44" fontId="0" fillId="0" borderId="0" xfId="1" applyFont="1" applyBorder="1"/>
    <xf numFmtId="0" fontId="0" fillId="16" borderId="2" xfId="0" applyFill="1" applyBorder="1" applyAlignment="1">
      <alignment horizontal="left" indent="3"/>
    </xf>
    <xf numFmtId="44" fontId="11" fillId="16" borderId="0" xfId="0" applyNumberFormat="1" applyFont="1" applyFill="1"/>
    <xf numFmtId="1" fontId="0" fillId="3" borderId="0" xfId="0" applyNumberFormat="1" applyFill="1" applyAlignment="1">
      <alignment horizontal="right" vertical="center"/>
    </xf>
    <xf numFmtId="44" fontId="0" fillId="17" borderId="0" xfId="1" applyFont="1" applyFill="1"/>
    <xf numFmtId="44" fontId="11" fillId="3" borderId="0" xfId="0" applyNumberFormat="1" applyFont="1" applyFill="1"/>
    <xf numFmtId="44" fontId="10" fillId="3" borderId="0" xfId="0" applyNumberFormat="1" applyFont="1" applyFill="1"/>
    <xf numFmtId="44" fontId="0" fillId="17" borderId="0" xfId="0" applyNumberFormat="1" applyFill="1"/>
    <xf numFmtId="1" fontId="0" fillId="3" borderId="0" xfId="0" applyNumberFormat="1" applyFill="1" applyAlignment="1">
      <alignment horizontal="right"/>
    </xf>
    <xf numFmtId="10" fontId="5" fillId="8" borderId="0" xfId="1" applyNumberFormat="1" applyFont="1" applyFill="1"/>
    <xf numFmtId="0" fontId="4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3" fillId="2" borderId="2" xfId="0" applyFont="1" applyFill="1" applyBorder="1"/>
    <xf numFmtId="0" fontId="0" fillId="0" borderId="2" xfId="0" applyBorder="1" applyAlignment="1">
      <alignment horizontal="center" vertical="center"/>
    </xf>
    <xf numFmtId="44" fontId="0" fillId="0" borderId="0" xfId="1" applyFont="1" applyFill="1" applyBorder="1"/>
    <xf numFmtId="0" fontId="17" fillId="0" borderId="0" xfId="0" applyFont="1" applyAlignment="1">
      <alignment horizontal="center"/>
    </xf>
    <xf numFmtId="44" fontId="0" fillId="7" borderId="0" xfId="1" applyFont="1" applyFill="1" applyBorder="1"/>
    <xf numFmtId="0" fontId="11" fillId="16" borderId="2" xfId="0" applyFont="1" applyFill="1" applyBorder="1"/>
    <xf numFmtId="0" fontId="4" fillId="7" borderId="2" xfId="0" applyFont="1" applyFill="1" applyBorder="1"/>
    <xf numFmtId="0" fontId="14" fillId="0" borderId="0" xfId="0" applyFont="1"/>
    <xf numFmtId="166" fontId="14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25" fillId="0" borderId="0" xfId="0" applyFont="1"/>
    <xf numFmtId="0" fontId="15" fillId="0" borderId="0" xfId="0" applyFont="1"/>
    <xf numFmtId="0" fontId="22" fillId="0" borderId="0" xfId="0" applyFont="1" applyAlignment="1">
      <alignment horizontal="center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Border="1" applyAlignment="1">
      <alignment horizontal="center"/>
    </xf>
    <xf numFmtId="0" fontId="19" fillId="0" borderId="0" xfId="0" applyFont="1"/>
    <xf numFmtId="0" fontId="11" fillId="5" borderId="14" xfId="0" applyFont="1" applyFill="1" applyBorder="1"/>
    <xf numFmtId="44" fontId="11" fillId="5" borderId="0" xfId="1" applyFont="1" applyFill="1" applyBorder="1"/>
    <xf numFmtId="44" fontId="0" fillId="17" borderId="5" xfId="0" applyNumberFormat="1" applyFill="1" applyBorder="1"/>
    <xf numFmtId="1" fontId="0" fillId="3" borderId="0" xfId="1" applyNumberFormat="1" applyFont="1" applyFill="1" applyAlignment="1">
      <alignment horizontal="right"/>
    </xf>
    <xf numFmtId="1" fontId="0" fillId="3" borderId="0" xfId="0" applyNumberFormat="1" applyFill="1" applyAlignment="1">
      <alignment vertical="center"/>
    </xf>
    <xf numFmtId="0" fontId="29" fillId="0" borderId="0" xfId="0" applyFont="1" applyAlignment="1">
      <alignment horizontal="center"/>
    </xf>
    <xf numFmtId="0" fontId="0" fillId="16" borderId="2" xfId="0" applyFill="1" applyBorder="1" applyAlignment="1">
      <alignment horizontal="left" indent="2"/>
    </xf>
    <xf numFmtId="44" fontId="11" fillId="3" borderId="0" xfId="1" applyFont="1" applyFill="1"/>
    <xf numFmtId="0" fontId="5" fillId="17" borderId="2" xfId="0" applyFont="1" applyFill="1" applyBorder="1"/>
    <xf numFmtId="0" fontId="0" fillId="17" borderId="4" xfId="0" applyFill="1" applyBorder="1"/>
    <xf numFmtId="0" fontId="0" fillId="17" borderId="2" xfId="0" applyFill="1" applyBorder="1"/>
    <xf numFmtId="0" fontId="30" fillId="0" borderId="0" xfId="3"/>
    <xf numFmtId="0" fontId="5" fillId="17" borderId="0" xfId="0" applyFont="1" applyFill="1" applyAlignment="1">
      <alignment horizontal="left" indent="2"/>
    </xf>
    <xf numFmtId="9" fontId="0" fillId="0" borderId="0" xfId="2" applyFont="1"/>
    <xf numFmtId="0" fontId="0" fillId="0" borderId="5" xfId="0" applyBorder="1"/>
    <xf numFmtId="0" fontId="0" fillId="12" borderId="0" xfId="0" applyFill="1"/>
    <xf numFmtId="44" fontId="0" fillId="12" borderId="0" xfId="0" applyNumberFormat="1" applyFill="1"/>
    <xf numFmtId="44" fontId="0" fillId="18" borderId="0" xfId="0" applyNumberFormat="1" applyFill="1"/>
    <xf numFmtId="0" fontId="0" fillId="5" borderId="0" xfId="0" applyFill="1" applyAlignment="1">
      <alignment horizontal="right"/>
    </xf>
    <xf numFmtId="44" fontId="0" fillId="0" borderId="5" xfId="1" applyFont="1" applyBorder="1"/>
    <xf numFmtId="10" fontId="0" fillId="0" borderId="0" xfId="2" applyNumberFormat="1" applyFont="1"/>
    <xf numFmtId="10" fontId="0" fillId="0" borderId="5" xfId="2" applyNumberFormat="1" applyFont="1" applyBorder="1"/>
    <xf numFmtId="44" fontId="0" fillId="0" borderId="5" xfId="0" applyNumberFormat="1" applyBorder="1"/>
    <xf numFmtId="0" fontId="0" fillId="12" borderId="0" xfId="0" applyFill="1" applyAlignment="1">
      <alignment horizontal="center" vertical="center"/>
    </xf>
    <xf numFmtId="0" fontId="4" fillId="8" borderId="0" xfId="0" applyFont="1" applyFill="1"/>
    <xf numFmtId="0" fontId="4" fillId="18" borderId="0" xfId="0" applyFont="1" applyFill="1"/>
    <xf numFmtId="0" fontId="4" fillId="12" borderId="0" xfId="0" applyFont="1" applyFill="1"/>
    <xf numFmtId="10" fontId="5" fillId="0" borderId="0" xfId="2" applyNumberFormat="1" applyFont="1"/>
    <xf numFmtId="44" fontId="0" fillId="8" borderId="0" xfId="0" applyNumberFormat="1" applyFill="1"/>
    <xf numFmtId="9" fontId="0" fillId="0" borderId="0" xfId="0" applyNumberFormat="1"/>
    <xf numFmtId="1" fontId="0" fillId="0" borderId="0" xfId="0" applyNumberFormat="1"/>
    <xf numFmtId="9" fontId="0" fillId="0" borderId="5" xfId="0" applyNumberFormat="1" applyBorder="1"/>
    <xf numFmtId="1" fontId="0" fillId="0" borderId="5" xfId="0" applyNumberFormat="1" applyBorder="1"/>
    <xf numFmtId="0" fontId="0" fillId="12" borderId="0" xfId="0" applyFill="1" applyAlignment="1">
      <alignment horizontal="left" vertical="center"/>
    </xf>
    <xf numFmtId="0" fontId="4" fillId="12" borderId="0" xfId="0" applyFont="1" applyFill="1" applyAlignment="1">
      <alignment horizontal="center" vertical="center"/>
    </xf>
    <xf numFmtId="44" fontId="4" fillId="0" borderId="5" xfId="0" applyNumberFormat="1" applyFont="1" applyBorder="1"/>
    <xf numFmtId="44" fontId="0" fillId="0" borderId="0" xfId="0" applyNumberFormat="1" applyAlignment="1">
      <alignment horizontal="right"/>
    </xf>
    <xf numFmtId="0" fontId="31" fillId="2" borderId="0" xfId="0" applyFont="1" applyFill="1"/>
    <xf numFmtId="0" fontId="11" fillId="5" borderId="0" xfId="0" applyFont="1" applyFill="1" applyAlignment="1">
      <alignment horizontal="right"/>
    </xf>
    <xf numFmtId="0" fontId="31" fillId="5" borderId="0" xfId="0" applyFont="1" applyFill="1"/>
    <xf numFmtId="3" fontId="13" fillId="2" borderId="0" xfId="0" applyNumberFormat="1" applyFont="1" applyFill="1" applyAlignment="1">
      <alignment horizontal="right" vertical="center"/>
    </xf>
    <xf numFmtId="44" fontId="13" fillId="3" borderId="0" xfId="1" applyFont="1" applyFill="1" applyAlignment="1">
      <alignment horizontal="right" vertical="center"/>
    </xf>
    <xf numFmtId="0" fontId="6" fillId="0" borderId="0" xfId="0" applyFont="1"/>
    <xf numFmtId="0" fontId="11" fillId="0" borderId="0" xfId="0" applyFont="1"/>
    <xf numFmtId="44" fontId="4" fillId="0" borderId="0" xfId="2" applyNumberFormat="1" applyFont="1"/>
    <xf numFmtId="44" fontId="11" fillId="16" borderId="0" xfId="1" applyFont="1" applyFill="1"/>
    <xf numFmtId="0" fontId="32" fillId="0" borderId="0" xfId="0" applyFont="1" applyAlignment="1">
      <alignment horizontal="right" vertical="center"/>
    </xf>
    <xf numFmtId="170" fontId="32" fillId="0" borderId="0" xfId="0" applyNumberFormat="1" applyFont="1" applyAlignment="1">
      <alignment horizontal="right" vertical="center" shrinkToFit="1"/>
    </xf>
    <xf numFmtId="171" fontId="32" fillId="0" borderId="0" xfId="0" applyNumberFormat="1" applyFont="1" applyAlignment="1">
      <alignment horizontal="right" vertical="center"/>
    </xf>
    <xf numFmtId="172" fontId="32" fillId="0" borderId="0" xfId="0" applyNumberFormat="1" applyFont="1" applyAlignment="1">
      <alignment horizontal="right" vertical="center"/>
    </xf>
    <xf numFmtId="0" fontId="0" fillId="9" borderId="27" xfId="0" applyFill="1" applyBorder="1"/>
    <xf numFmtId="0" fontId="0" fillId="12" borderId="0" xfId="0" applyFill="1" applyAlignment="1">
      <alignment horizontal="center"/>
    </xf>
    <xf numFmtId="8" fontId="0" fillId="0" borderId="5" xfId="0" applyNumberFormat="1" applyBorder="1"/>
    <xf numFmtId="9" fontId="11" fillId="0" borderId="0" xfId="2" applyFont="1"/>
    <xf numFmtId="9" fontId="0" fillId="0" borderId="0" xfId="2" applyFont="1" applyFill="1"/>
    <xf numFmtId="8" fontId="0" fillId="0" borderId="0" xfId="1" applyNumberFormat="1" applyFont="1"/>
    <xf numFmtId="9" fontId="0" fillId="0" borderId="0" xfId="2" applyFont="1" applyFill="1" applyAlignment="1">
      <alignment horizontal="center"/>
    </xf>
    <xf numFmtId="9" fontId="0" fillId="0" borderId="0" xfId="2" applyFont="1" applyFill="1" applyAlignment="1">
      <alignment horizontal="right"/>
    </xf>
    <xf numFmtId="9" fontId="0" fillId="0" borderId="0" xfId="2" applyFont="1" applyFill="1" applyBorder="1" applyAlignment="1">
      <alignment horizontal="center"/>
    </xf>
    <xf numFmtId="9" fontId="0" fillId="0" borderId="0" xfId="2" applyFont="1" applyFill="1" applyBorder="1"/>
    <xf numFmtId="16" fontId="0" fillId="0" borderId="0" xfId="0" quotePrefix="1" applyNumberFormat="1"/>
    <xf numFmtId="0" fontId="0" fillId="0" borderId="0" xfId="0" quotePrefix="1" applyAlignment="1">
      <alignment horizontal="center"/>
    </xf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6" xfId="0" applyBorder="1"/>
    <xf numFmtId="0" fontId="0" fillId="0" borderId="4" xfId="0" applyBorder="1" applyAlignment="1">
      <alignment horizontal="right"/>
    </xf>
    <xf numFmtId="0" fontId="0" fillId="0" borderId="0" xfId="0" quotePrefix="1" applyAlignment="1">
      <alignment horizontal="left"/>
    </xf>
    <xf numFmtId="44" fontId="0" fillId="0" borderId="0" xfId="0" applyNumberFormat="1" applyAlignment="1">
      <alignment horizontal="center"/>
    </xf>
    <xf numFmtId="44" fontId="0" fillId="0" borderId="5" xfId="1" applyFont="1" applyFill="1" applyBorder="1"/>
    <xf numFmtId="0" fontId="0" fillId="0" borderId="4" xfId="0" applyBorder="1"/>
    <xf numFmtId="0" fontId="0" fillId="0" borderId="3" xfId="0" applyBorder="1"/>
    <xf numFmtId="0" fontId="0" fillId="0" borderId="25" xfId="0" applyBorder="1"/>
    <xf numFmtId="0" fontId="21" fillId="0" borderId="0" xfId="0" applyFont="1"/>
    <xf numFmtId="0" fontId="0" fillId="0" borderId="0" xfId="0" quotePrefix="1"/>
    <xf numFmtId="0" fontId="14" fillId="0" borderId="0" xfId="0" quotePrefix="1" applyFont="1"/>
    <xf numFmtId="0" fontId="0" fillId="0" borderId="12" xfId="0" applyBorder="1"/>
    <xf numFmtId="0" fontId="0" fillId="0" borderId="17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11" xfId="0" applyBorder="1" applyAlignment="1">
      <alignment horizontal="center"/>
    </xf>
    <xf numFmtId="0" fontId="0" fillId="0" borderId="13" xfId="0" applyBorder="1"/>
    <xf numFmtId="44" fontId="0" fillId="0" borderId="13" xfId="1" applyFont="1" applyFill="1" applyBorder="1"/>
    <xf numFmtId="44" fontId="0" fillId="0" borderId="11" xfId="1" applyFont="1" applyFill="1" applyBorder="1"/>
    <xf numFmtId="0" fontId="0" fillId="0" borderId="15" xfId="0" applyBorder="1"/>
    <xf numFmtId="44" fontId="0" fillId="0" borderId="16" xfId="0" applyNumberFormat="1" applyBorder="1"/>
    <xf numFmtId="0" fontId="22" fillId="0" borderId="0" xfId="0" applyFont="1"/>
    <xf numFmtId="0" fontId="22" fillId="0" borderId="0" xfId="0" quotePrefix="1" applyFont="1"/>
    <xf numFmtId="44" fontId="17" fillId="0" borderId="0" xfId="0" applyNumberFormat="1" applyFont="1"/>
    <xf numFmtId="166" fontId="0" fillId="0" borderId="0" xfId="0" applyNumberFormat="1"/>
    <xf numFmtId="166" fontId="20" fillId="0" borderId="0" xfId="0" applyNumberFormat="1" applyFont="1"/>
    <xf numFmtId="0" fontId="20" fillId="0" borderId="0" xfId="0" applyFont="1"/>
    <xf numFmtId="0" fontId="30" fillId="0" borderId="0" xfId="3" applyFill="1" applyBorder="1"/>
    <xf numFmtId="0" fontId="28" fillId="0" borderId="0" xfId="0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3" fillId="0" borderId="0" xfId="0" applyFont="1" applyAlignment="1">
      <alignment horizontal="center" vertical="top"/>
    </xf>
    <xf numFmtId="0" fontId="4" fillId="0" borderId="0" xfId="0" applyFont="1" applyAlignment="1">
      <alignment horizontal="right"/>
    </xf>
    <xf numFmtId="44" fontId="32" fillId="0" borderId="0" xfId="1" quotePrefix="1" applyFont="1" applyFill="1" applyBorder="1" applyAlignment="1">
      <alignment horizontal="right" vertical="top"/>
    </xf>
    <xf numFmtId="44" fontId="32" fillId="0" borderId="0" xfId="1" applyFont="1" applyFill="1" applyBorder="1" applyAlignment="1">
      <alignment horizontal="right" vertical="top"/>
    </xf>
    <xf numFmtId="0" fontId="22" fillId="0" borderId="0" xfId="0" applyFont="1" applyAlignment="1">
      <alignment horizontal="right"/>
    </xf>
    <xf numFmtId="9" fontId="32" fillId="0" borderId="0" xfId="2" applyFont="1" applyFill="1" applyBorder="1" applyAlignment="1">
      <alignment horizontal="right" vertical="top"/>
    </xf>
    <xf numFmtId="169" fontId="0" fillId="0" borderId="0" xfId="1" applyNumberFormat="1" applyFont="1" applyFill="1" applyBorder="1"/>
    <xf numFmtId="9" fontId="32" fillId="0" borderId="0" xfId="2" applyFont="1" applyFill="1" applyBorder="1" applyAlignment="1">
      <alignment horizontal="right" vertical="center" shrinkToFit="1"/>
    </xf>
    <xf numFmtId="9" fontId="32" fillId="0" borderId="0" xfId="2" applyFont="1" applyFill="1" applyBorder="1" applyAlignment="1">
      <alignment horizontal="right" vertical="center"/>
    </xf>
    <xf numFmtId="0" fontId="24" fillId="0" borderId="0" xfId="0" applyFont="1"/>
    <xf numFmtId="0" fontId="17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7" fillId="0" borderId="0" xfId="0" applyFont="1" applyAlignment="1">
      <alignment horizontal="left" vertical="top"/>
    </xf>
    <xf numFmtId="0" fontId="27" fillId="0" borderId="0" xfId="0" applyFont="1" applyAlignment="1">
      <alignment horizontal="right" vertical="top"/>
    </xf>
    <xf numFmtId="44" fontId="17" fillId="0" borderId="0" xfId="0" applyNumberFormat="1" applyFont="1" applyAlignment="1">
      <alignment horizontal="center"/>
    </xf>
    <xf numFmtId="9" fontId="17" fillId="0" borderId="0" xfId="0" applyNumberFormat="1" applyFont="1"/>
    <xf numFmtId="0" fontId="23" fillId="0" borderId="0" xfId="0" applyFont="1" applyAlignment="1">
      <alignment horizontal="left" vertical="top"/>
    </xf>
    <xf numFmtId="173" fontId="0" fillId="0" borderId="0" xfId="0" applyNumberFormat="1"/>
    <xf numFmtId="173" fontId="0" fillId="0" borderId="0" xfId="2" applyNumberFormat="1" applyFont="1" applyFill="1"/>
    <xf numFmtId="0" fontId="0" fillId="0" borderId="26" xfId="0" applyBorder="1"/>
    <xf numFmtId="44" fontId="0" fillId="17" borderId="0" xfId="1" quotePrefix="1" applyFont="1" applyFill="1"/>
    <xf numFmtId="9" fontId="0" fillId="0" borderId="0" xfId="2" applyFont="1" applyAlignment="1">
      <alignment horizontal="center"/>
    </xf>
    <xf numFmtId="9" fontId="0" fillId="0" borderId="1" xfId="2" applyFont="1" applyBorder="1"/>
    <xf numFmtId="44" fontId="4" fillId="5" borderId="0" xfId="0" applyNumberFormat="1" applyFont="1" applyFill="1"/>
    <xf numFmtId="0" fontId="11" fillId="20" borderId="2" xfId="0" applyFont="1" applyFill="1" applyBorder="1"/>
    <xf numFmtId="44" fontId="4" fillId="20" borderId="0" xfId="0" applyNumberFormat="1" applyFont="1" applyFill="1"/>
    <xf numFmtId="44" fontId="0" fillId="17" borderId="1" xfId="1" quotePrefix="1" applyFont="1" applyFill="1" applyBorder="1"/>
    <xf numFmtId="44" fontId="0" fillId="17" borderId="0" xfId="1" quotePrefix="1" applyFont="1" applyFill="1" applyBorder="1"/>
    <xf numFmtId="44" fontId="0" fillId="0" borderId="0" xfId="1" quotePrefix="1" applyFont="1" applyFill="1"/>
    <xf numFmtId="44" fontId="0" fillId="0" borderId="1" xfId="1" quotePrefix="1" applyFont="1" applyFill="1" applyBorder="1"/>
    <xf numFmtId="10" fontId="0" fillId="0" borderId="0" xfId="2" applyNumberFormat="1" applyFont="1" applyAlignment="1">
      <alignment horizontal="center"/>
    </xf>
    <xf numFmtId="173" fontId="0" fillId="0" borderId="1" xfId="2" applyNumberFormat="1" applyFont="1" applyBorder="1"/>
    <xf numFmtId="44" fontId="0" fillId="3" borderId="1" xfId="1" applyFont="1" applyFill="1" applyBorder="1" applyAlignment="1">
      <alignment horizontal="right"/>
    </xf>
    <xf numFmtId="1" fontId="0" fillId="3" borderId="1" xfId="0" applyNumberFormat="1" applyFill="1" applyBorder="1" applyAlignment="1">
      <alignment horizontal="right"/>
    </xf>
    <xf numFmtId="0" fontId="0" fillId="4" borderId="1" xfId="0" applyFill="1" applyBorder="1"/>
    <xf numFmtId="3" fontId="34" fillId="0" borderId="0" xfId="0" applyNumberFormat="1" applyFont="1"/>
    <xf numFmtId="44" fontId="0" fillId="6" borderId="0" xfId="0" applyNumberFormat="1" applyFill="1"/>
    <xf numFmtId="0" fontId="0" fillId="22" borderId="0" xfId="0" applyFill="1"/>
    <xf numFmtId="0" fontId="2" fillId="2" borderId="35" xfId="0" applyFont="1" applyFill="1" applyBorder="1"/>
    <xf numFmtId="0" fontId="4" fillId="4" borderId="28" xfId="0" applyFont="1" applyFill="1" applyBorder="1"/>
    <xf numFmtId="0" fontId="0" fillId="4" borderId="28" xfId="0" applyFill="1" applyBorder="1"/>
    <xf numFmtId="0" fontId="0" fillId="3" borderId="28" xfId="0" applyFill="1" applyBorder="1" applyAlignment="1">
      <alignment horizontal="right"/>
    </xf>
    <xf numFmtId="0" fontId="0" fillId="5" borderId="28" xfId="0" applyFill="1" applyBorder="1"/>
    <xf numFmtId="44" fontId="0" fillId="3" borderId="28" xfId="1" applyFont="1" applyFill="1" applyBorder="1"/>
    <xf numFmtId="0" fontId="0" fillId="3" borderId="28" xfId="0" applyFill="1" applyBorder="1"/>
    <xf numFmtId="0" fontId="0" fillId="4" borderId="28" xfId="0" applyFill="1" applyBorder="1" applyAlignment="1">
      <alignment horizontal="right"/>
    </xf>
    <xf numFmtId="44" fontId="0" fillId="3" borderId="29" xfId="1" applyFont="1" applyFill="1" applyBorder="1" applyAlignment="1">
      <alignment horizontal="right"/>
    </xf>
    <xf numFmtId="44" fontId="0" fillId="3" borderId="28" xfId="1" applyFont="1" applyFill="1" applyBorder="1" applyAlignment="1">
      <alignment horizontal="right"/>
    </xf>
    <xf numFmtId="1" fontId="0" fillId="3" borderId="28" xfId="1" applyNumberFormat="1" applyFont="1" applyFill="1" applyBorder="1" applyAlignment="1">
      <alignment horizontal="right"/>
    </xf>
    <xf numFmtId="9" fontId="0" fillId="3" borderId="28" xfId="2" applyFont="1" applyFill="1" applyBorder="1" applyAlignment="1">
      <alignment horizontal="right"/>
    </xf>
    <xf numFmtId="0" fontId="3" fillId="2" borderId="36" xfId="0" applyFont="1" applyFill="1" applyBorder="1"/>
    <xf numFmtId="0" fontId="4" fillId="4" borderId="37" xfId="0" applyFont="1" applyFill="1" applyBorder="1"/>
    <xf numFmtId="0" fontId="0" fillId="3" borderId="37" xfId="0" applyFill="1" applyBorder="1" applyAlignment="1">
      <alignment horizontal="left" indent="1"/>
    </xf>
    <xf numFmtId="0" fontId="0" fillId="3" borderId="37" xfId="0" applyFill="1" applyBorder="1"/>
    <xf numFmtId="0" fontId="0" fillId="5" borderId="37" xfId="0" applyFill="1" applyBorder="1"/>
    <xf numFmtId="0" fontId="0" fillId="3" borderId="37" xfId="0" applyFill="1" applyBorder="1" applyAlignment="1">
      <alignment horizontal="left" indent="2"/>
    </xf>
    <xf numFmtId="0" fontId="0" fillId="3" borderId="38" xfId="0" applyFill="1" applyBorder="1"/>
    <xf numFmtId="44" fontId="0" fillId="0" borderId="0" xfId="2" applyNumberFormat="1" applyFont="1" applyFill="1" applyAlignment="1">
      <alignment vertical="center"/>
    </xf>
    <xf numFmtId="10" fontId="0" fillId="3" borderId="28" xfId="2" applyNumberFormat="1" applyFont="1" applyFill="1" applyBorder="1" applyAlignment="1">
      <alignment horizontal="right"/>
    </xf>
    <xf numFmtId="0" fontId="35" fillId="23" borderId="0" xfId="0" applyFont="1" applyFill="1" applyAlignment="1">
      <alignment horizontal="center" vertical="center"/>
    </xf>
    <xf numFmtId="0" fontId="3" fillId="9" borderId="0" xfId="0" applyFont="1" applyFill="1"/>
    <xf numFmtId="0" fontId="0" fillId="9" borderId="0" xfId="0" applyFill="1" applyAlignment="1">
      <alignment horizontal="center" vertical="center"/>
    </xf>
    <xf numFmtId="9" fontId="0" fillId="9" borderId="0" xfId="2" applyFont="1" applyFill="1"/>
    <xf numFmtId="44" fontId="0" fillId="9" borderId="0" xfId="0" applyNumberFormat="1" applyFill="1"/>
    <xf numFmtId="44" fontId="0" fillId="9" borderId="0" xfId="1" applyFont="1" applyFill="1"/>
    <xf numFmtId="8" fontId="0" fillId="9" borderId="0" xfId="1" applyNumberFormat="1" applyFont="1" applyFill="1"/>
    <xf numFmtId="10" fontId="0" fillId="9" borderId="0" xfId="2" applyNumberFormat="1" applyFont="1" applyFill="1"/>
    <xf numFmtId="0" fontId="0" fillId="9" borderId="0" xfId="0" applyFill="1" applyAlignment="1">
      <alignment horizontal="right"/>
    </xf>
    <xf numFmtId="0" fontId="0" fillId="9" borderId="32" xfId="0" applyFill="1" applyBorder="1"/>
    <xf numFmtId="44" fontId="4" fillId="9" borderId="0" xfId="0" applyNumberFormat="1" applyFont="1" applyFill="1"/>
    <xf numFmtId="1" fontId="0" fillId="9" borderId="0" xfId="0" applyNumberFormat="1" applyFill="1"/>
    <xf numFmtId="44" fontId="0" fillId="9" borderId="0" xfId="1" applyFont="1" applyFill="1" applyBorder="1"/>
    <xf numFmtId="9" fontId="11" fillId="9" borderId="0" xfId="0" applyNumberFormat="1" applyFont="1" applyFill="1"/>
    <xf numFmtId="0" fontId="0" fillId="9" borderId="0" xfId="0" quotePrefix="1" applyFill="1"/>
    <xf numFmtId="0" fontId="0" fillId="9" borderId="15" xfId="0" applyFill="1" applyBorder="1"/>
    <xf numFmtId="0" fontId="3" fillId="2" borderId="27" xfId="0" applyFont="1" applyFill="1" applyBorder="1"/>
    <xf numFmtId="0" fontId="0" fillId="2" borderId="39" xfId="0" applyFill="1" applyBorder="1"/>
    <xf numFmtId="0" fontId="18" fillId="2" borderId="39" xfId="0" applyFont="1" applyFill="1" applyBorder="1"/>
    <xf numFmtId="0" fontId="18" fillId="2" borderId="35" xfId="0" applyFont="1" applyFill="1" applyBorder="1"/>
    <xf numFmtId="0" fontId="0" fillId="9" borderId="40" xfId="0" applyFill="1" applyBorder="1"/>
    <xf numFmtId="0" fontId="0" fillId="9" borderId="28" xfId="0" applyFill="1" applyBorder="1"/>
    <xf numFmtId="0" fontId="3" fillId="2" borderId="40" xfId="0" applyFont="1" applyFill="1" applyBorder="1"/>
    <xf numFmtId="0" fontId="0" fillId="2" borderId="28" xfId="0" applyFill="1" applyBorder="1"/>
    <xf numFmtId="0" fontId="4" fillId="5" borderId="31" xfId="0" applyFont="1" applyFill="1" applyBorder="1"/>
    <xf numFmtId="0" fontId="0" fillId="9" borderId="31" xfId="0" applyFill="1" applyBorder="1"/>
    <xf numFmtId="0" fontId="4" fillId="7" borderId="31" xfId="0" applyFont="1" applyFill="1" applyBorder="1"/>
    <xf numFmtId="0" fontId="0" fillId="17" borderId="31" xfId="0" applyFill="1" applyBorder="1" applyAlignment="1">
      <alignment horizontal="left" indent="2"/>
    </xf>
    <xf numFmtId="44" fontId="0" fillId="17" borderId="0" xfId="1" applyFont="1" applyFill="1" applyBorder="1"/>
    <xf numFmtId="0" fontId="5" fillId="17" borderId="31" xfId="0" applyFont="1" applyFill="1" applyBorder="1" applyAlignment="1">
      <alignment horizontal="left" indent="2"/>
    </xf>
    <xf numFmtId="0" fontId="4" fillId="17" borderId="31" xfId="0" applyFont="1" applyFill="1" applyBorder="1" applyAlignment="1">
      <alignment horizontal="left" indent="2"/>
    </xf>
    <xf numFmtId="0" fontId="11" fillId="5" borderId="31" xfId="0" applyFont="1" applyFill="1" applyBorder="1"/>
    <xf numFmtId="0" fontId="11" fillId="6" borderId="31" xfId="0" applyFont="1" applyFill="1" applyBorder="1"/>
    <xf numFmtId="0" fontId="3" fillId="2" borderId="31" xfId="0" applyFont="1" applyFill="1" applyBorder="1"/>
    <xf numFmtId="0" fontId="11" fillId="5" borderId="30" xfId="0" applyFont="1" applyFill="1" applyBorder="1"/>
    <xf numFmtId="44" fontId="11" fillId="5" borderId="24" xfId="1" applyFont="1" applyFill="1" applyBorder="1"/>
    <xf numFmtId="0" fontId="0" fillId="9" borderId="39" xfId="0" applyFill="1" applyBorder="1"/>
    <xf numFmtId="0" fontId="0" fillId="9" borderId="35" xfId="0" applyFill="1" applyBorder="1"/>
    <xf numFmtId="0" fontId="0" fillId="9" borderId="42" xfId="0" applyFill="1" applyBorder="1"/>
    <xf numFmtId="0" fontId="0" fillId="9" borderId="24" xfId="0" applyFill="1" applyBorder="1"/>
    <xf numFmtId="0" fontId="0" fillId="9" borderId="29" xfId="0" applyFill="1" applyBorder="1"/>
    <xf numFmtId="0" fontId="3" fillId="2" borderId="35" xfId="0" applyFont="1" applyFill="1" applyBorder="1" applyAlignment="1">
      <alignment horizontal="right"/>
    </xf>
    <xf numFmtId="0" fontId="0" fillId="3" borderId="40" xfId="0" applyFill="1" applyBorder="1"/>
    <xf numFmtId="9" fontId="0" fillId="3" borderId="28" xfId="2" applyFont="1" applyFill="1" applyBorder="1"/>
    <xf numFmtId="0" fontId="0" fillId="3" borderId="42" xfId="0" applyFill="1" applyBorder="1"/>
    <xf numFmtId="9" fontId="0" fillId="3" borderId="29" xfId="2" applyFont="1" applyFill="1" applyBorder="1"/>
    <xf numFmtId="0" fontId="3" fillId="2" borderId="39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5" borderId="40" xfId="0" applyFont="1" applyFill="1" applyBorder="1"/>
    <xf numFmtId="1" fontId="10" fillId="5" borderId="0" xfId="0" applyNumberFormat="1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5" borderId="28" xfId="0" applyFont="1" applyFill="1" applyBorder="1" applyAlignment="1">
      <alignment horizontal="center" vertical="center"/>
    </xf>
    <xf numFmtId="0" fontId="0" fillId="9" borderId="40" xfId="0" applyFill="1" applyBorder="1" applyAlignment="1">
      <alignment horizontal="left" indent="2"/>
    </xf>
    <xf numFmtId="44" fontId="0" fillId="9" borderId="28" xfId="1" applyFont="1" applyFill="1" applyBorder="1"/>
    <xf numFmtId="44" fontId="4" fillId="9" borderId="0" xfId="1" applyFont="1" applyFill="1" applyBorder="1"/>
    <xf numFmtId="44" fontId="4" fillId="9" borderId="28" xfId="1" applyFont="1" applyFill="1" applyBorder="1"/>
    <xf numFmtId="44" fontId="0" fillId="9" borderId="28" xfId="0" applyNumberFormat="1" applyFill="1" applyBorder="1"/>
    <xf numFmtId="0" fontId="6" fillId="2" borderId="40" xfId="0" applyFont="1" applyFill="1" applyBorder="1"/>
    <xf numFmtId="0" fontId="6" fillId="2" borderId="28" xfId="0" applyFont="1" applyFill="1" applyBorder="1" applyAlignment="1">
      <alignment horizontal="center" vertical="center"/>
    </xf>
    <xf numFmtId="1" fontId="10" fillId="5" borderId="28" xfId="0" applyNumberFormat="1" applyFont="1" applyFill="1" applyBorder="1" applyAlignment="1">
      <alignment horizontal="center" vertical="center"/>
    </xf>
    <xf numFmtId="0" fontId="4" fillId="9" borderId="40" xfId="0" applyFont="1" applyFill="1" applyBorder="1" applyAlignment="1">
      <alignment horizontal="left" indent="2"/>
    </xf>
    <xf numFmtId="44" fontId="4" fillId="9" borderId="28" xfId="0" applyNumberFormat="1" applyFont="1" applyFill="1" applyBorder="1"/>
    <xf numFmtId="0" fontId="4" fillId="9" borderId="42" xfId="0" applyFont="1" applyFill="1" applyBorder="1" applyAlignment="1">
      <alignment horizontal="left" indent="2"/>
    </xf>
    <xf numFmtId="44" fontId="4" fillId="9" borderId="24" xfId="0" applyNumberFormat="1" applyFont="1" applyFill="1" applyBorder="1"/>
    <xf numFmtId="44" fontId="4" fillId="9" borderId="29" xfId="0" applyNumberFormat="1" applyFont="1" applyFill="1" applyBorder="1"/>
    <xf numFmtId="0" fontId="0" fillId="2" borderId="35" xfId="0" applyFill="1" applyBorder="1"/>
    <xf numFmtId="9" fontId="0" fillId="21" borderId="40" xfId="2" applyFont="1" applyFill="1" applyBorder="1"/>
    <xf numFmtId="0" fontId="3" fillId="2" borderId="0" xfId="0" applyFont="1" applyFill="1" applyAlignment="1">
      <alignment horizontal="right"/>
    </xf>
    <xf numFmtId="9" fontId="0" fillId="3" borderId="0" xfId="2" applyFont="1" applyFill="1" applyBorder="1"/>
    <xf numFmtId="8" fontId="0" fillId="9" borderId="0" xfId="1" applyNumberFormat="1" applyFont="1" applyFill="1" applyBorder="1"/>
    <xf numFmtId="173" fontId="0" fillId="21" borderId="0" xfId="2" applyNumberFormat="1" applyFont="1" applyFill="1" applyBorder="1" applyAlignment="1">
      <alignment horizontal="center"/>
    </xf>
    <xf numFmtId="0" fontId="3" fillId="2" borderId="0" xfId="0" applyFont="1" applyFill="1" applyAlignment="1">
      <alignment horizontal="left"/>
    </xf>
    <xf numFmtId="0" fontId="0" fillId="24" borderId="0" xfId="0" applyFill="1"/>
    <xf numFmtId="173" fontId="0" fillId="21" borderId="28" xfId="2" applyNumberFormat="1" applyFont="1" applyFill="1" applyBorder="1" applyAlignment="1">
      <alignment horizontal="center"/>
    </xf>
    <xf numFmtId="8" fontId="0" fillId="9" borderId="28" xfId="1" applyNumberFormat="1" applyFont="1" applyFill="1" applyBorder="1"/>
    <xf numFmtId="0" fontId="3" fillId="2" borderId="40" xfId="0" applyFont="1" applyFill="1" applyBorder="1" applyAlignment="1">
      <alignment horizontal="left"/>
    </xf>
    <xf numFmtId="1" fontId="0" fillId="0" borderId="0" xfId="2" applyNumberFormat="1" applyFont="1" applyFill="1" applyAlignment="1">
      <alignment vertical="center"/>
    </xf>
    <xf numFmtId="1" fontId="0" fillId="3" borderId="28" xfId="0" applyNumberFormat="1" applyFill="1" applyBorder="1" applyAlignment="1">
      <alignment horizontal="right"/>
    </xf>
    <xf numFmtId="0" fontId="0" fillId="19" borderId="27" xfId="0" applyFill="1" applyBorder="1"/>
    <xf numFmtId="0" fontId="0" fillId="0" borderId="39" xfId="0" applyBorder="1"/>
    <xf numFmtId="0" fontId="0" fillId="0" borderId="35" xfId="0" applyBorder="1"/>
    <xf numFmtId="0" fontId="0" fillId="0" borderId="40" xfId="0" applyBorder="1"/>
    <xf numFmtId="0" fontId="0" fillId="0" borderId="28" xfId="0" applyBorder="1" applyAlignment="1">
      <alignment horizontal="center"/>
    </xf>
    <xf numFmtId="9" fontId="0" fillId="0" borderId="40" xfId="2" applyFont="1" applyFill="1" applyBorder="1"/>
    <xf numFmtId="173" fontId="0" fillId="0" borderId="0" xfId="2" applyNumberFormat="1" applyFont="1" applyFill="1" applyBorder="1"/>
    <xf numFmtId="173" fontId="0" fillId="0" borderId="28" xfId="0" applyNumberFormat="1" applyBorder="1"/>
    <xf numFmtId="9" fontId="17" fillId="0" borderId="40" xfId="0" applyNumberFormat="1" applyFont="1" applyBorder="1"/>
    <xf numFmtId="173" fontId="17" fillId="0" borderId="0" xfId="0" applyNumberFormat="1" applyFont="1"/>
    <xf numFmtId="173" fontId="17" fillId="0" borderId="28" xfId="0" applyNumberFormat="1" applyFont="1" applyBorder="1"/>
    <xf numFmtId="9" fontId="0" fillId="0" borderId="42" xfId="2" applyFont="1" applyFill="1" applyBorder="1"/>
    <xf numFmtId="173" fontId="0" fillId="0" borderId="24" xfId="0" applyNumberFormat="1" applyBorder="1"/>
    <xf numFmtId="173" fontId="0" fillId="0" borderId="24" xfId="2" applyNumberFormat="1" applyFont="1" applyFill="1" applyBorder="1"/>
    <xf numFmtId="173" fontId="0" fillId="0" borderId="29" xfId="0" applyNumberFormat="1" applyBorder="1"/>
    <xf numFmtId="9" fontId="0" fillId="0" borderId="0" xfId="2" applyFont="1" applyBorder="1"/>
    <xf numFmtId="9" fontId="0" fillId="0" borderId="28" xfId="0" applyNumberFormat="1" applyBorder="1"/>
    <xf numFmtId="9" fontId="0" fillId="0" borderId="24" xfId="0" applyNumberFormat="1" applyBorder="1"/>
    <xf numFmtId="9" fontId="0" fillId="0" borderId="24" xfId="2" applyFont="1" applyBorder="1"/>
    <xf numFmtId="9" fontId="0" fillId="0" borderId="29" xfId="0" applyNumberFormat="1" applyBorder="1"/>
    <xf numFmtId="0" fontId="0" fillId="0" borderId="27" xfId="0" applyBorder="1"/>
    <xf numFmtId="0" fontId="0" fillId="0" borderId="33" xfId="0" applyBorder="1"/>
    <xf numFmtId="0" fontId="0" fillId="0" borderId="34" xfId="0" applyBorder="1"/>
    <xf numFmtId="9" fontId="0" fillId="0" borderId="31" xfId="2" applyFont="1" applyFill="1" applyBorder="1"/>
    <xf numFmtId="9" fontId="0" fillId="0" borderId="28" xfId="2" applyFont="1" applyFill="1" applyBorder="1"/>
    <xf numFmtId="9" fontId="17" fillId="0" borderId="31" xfId="0" applyNumberFormat="1" applyFont="1" applyBorder="1"/>
    <xf numFmtId="9" fontId="0" fillId="0" borderId="30" xfId="2" applyFont="1" applyFill="1" applyBorder="1"/>
    <xf numFmtId="9" fontId="0" fillId="0" borderId="24" xfId="2" applyFont="1" applyFill="1" applyBorder="1"/>
    <xf numFmtId="9" fontId="0" fillId="0" borderId="29" xfId="2" applyFont="1" applyFill="1" applyBorder="1"/>
    <xf numFmtId="0" fontId="0" fillId="7" borderId="0" xfId="0" applyFill="1"/>
    <xf numFmtId="0" fontId="0" fillId="0" borderId="28" xfId="0" applyBorder="1"/>
    <xf numFmtId="0" fontId="0" fillId="0" borderId="40" xfId="0" applyBorder="1" applyAlignment="1">
      <alignment horizontal="right"/>
    </xf>
    <xf numFmtId="9" fontId="0" fillId="0" borderId="28" xfId="2" applyFont="1" applyFill="1" applyBorder="1" applyAlignment="1">
      <alignment horizontal="center"/>
    </xf>
    <xf numFmtId="0" fontId="33" fillId="0" borderId="0" xfId="0" applyFont="1"/>
    <xf numFmtId="0" fontId="0" fillId="0" borderId="31" xfId="0" applyBorder="1" applyAlignment="1">
      <alignment horizontal="right"/>
    </xf>
    <xf numFmtId="173" fontId="0" fillId="0" borderId="0" xfId="2" applyNumberFormat="1" applyFont="1" applyBorder="1"/>
    <xf numFmtId="173" fontId="0" fillId="0" borderId="0" xfId="2" applyNumberFormat="1" applyFont="1" applyBorder="1" applyAlignment="1">
      <alignment horizontal="right"/>
    </xf>
    <xf numFmtId="173" fontId="0" fillId="0" borderId="0" xfId="2" quotePrefix="1" applyNumberFormat="1" applyFont="1" applyBorder="1"/>
    <xf numFmtId="0" fontId="0" fillId="0" borderId="31" xfId="0" applyBorder="1"/>
    <xf numFmtId="173" fontId="0" fillId="0" borderId="0" xfId="2" quotePrefix="1" applyNumberFormat="1" applyFont="1" applyBorder="1" applyAlignment="1">
      <alignment horizontal="right"/>
    </xf>
    <xf numFmtId="0" fontId="0" fillId="0" borderId="42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33" xfId="0" applyBorder="1" applyAlignment="1">
      <alignment horizontal="left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14" fillId="0" borderId="40" xfId="0" applyFont="1" applyBorder="1"/>
    <xf numFmtId="0" fontId="15" fillId="0" borderId="0" xfId="0" applyFont="1" applyAlignment="1">
      <alignment horizontal="center"/>
    </xf>
    <xf numFmtId="166" fontId="0" fillId="0" borderId="28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166" fontId="26" fillId="0" borderId="0" xfId="0" applyNumberFormat="1" applyFont="1"/>
    <xf numFmtId="0" fontId="26" fillId="0" borderId="0" xfId="0" applyFont="1"/>
    <xf numFmtId="0" fontId="26" fillId="0" borderId="28" xfId="0" applyFont="1" applyBorder="1"/>
    <xf numFmtId="166" fontId="0" fillId="0" borderId="24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0" fontId="0" fillId="25" borderId="0" xfId="0" applyFill="1"/>
    <xf numFmtId="44" fontId="0" fillId="0" borderId="0" xfId="2" applyNumberFormat="1" applyFont="1" applyAlignment="1">
      <alignment vertical="center"/>
    </xf>
    <xf numFmtId="1" fontId="0" fillId="0" borderId="0" xfId="2" applyNumberFormat="1" applyFont="1" applyAlignment="1">
      <alignment vertical="center"/>
    </xf>
    <xf numFmtId="44" fontId="11" fillId="20" borderId="0" xfId="1" applyFont="1" applyFill="1" applyBorder="1"/>
    <xf numFmtId="44" fontId="11" fillId="6" borderId="0" xfId="1" applyFont="1" applyFill="1" applyBorder="1"/>
    <xf numFmtId="44" fontId="11" fillId="8" borderId="0" xfId="1" applyFont="1" applyFill="1" applyBorder="1"/>
    <xf numFmtId="44" fontId="3" fillId="2" borderId="0" xfId="1" applyFont="1" applyFill="1" applyBorder="1"/>
    <xf numFmtId="44" fontId="5" fillId="17" borderId="0" xfId="1" applyFont="1" applyFill="1" applyBorder="1"/>
    <xf numFmtId="44" fontId="0" fillId="17" borderId="5" xfId="1" applyFont="1" applyFill="1" applyBorder="1"/>
    <xf numFmtId="44" fontId="11" fillId="5" borderId="1" xfId="1" applyFont="1" applyFill="1" applyBorder="1"/>
    <xf numFmtId="44" fontId="11" fillId="5" borderId="44" xfId="1" applyFont="1" applyFill="1" applyBorder="1"/>
    <xf numFmtId="44" fontId="0" fillId="17" borderId="3" xfId="1" applyFont="1" applyFill="1" applyBorder="1"/>
    <xf numFmtId="44" fontId="11" fillId="9" borderId="0" xfId="0" applyNumberFormat="1" applyFont="1" applyFill="1"/>
    <xf numFmtId="44" fontId="11" fillId="9" borderId="28" xfId="0" applyNumberFormat="1" applyFont="1" applyFill="1" applyBorder="1"/>
    <xf numFmtId="44" fontId="11" fillId="9" borderId="0" xfId="1" applyFont="1" applyFill="1" applyBorder="1"/>
    <xf numFmtId="44" fontId="11" fillId="9" borderId="28" xfId="1" applyFont="1" applyFill="1" applyBorder="1"/>
    <xf numFmtId="0" fontId="0" fillId="17" borderId="41" xfId="0" applyFill="1" applyBorder="1" applyAlignment="1">
      <alignment horizontal="left" indent="2"/>
    </xf>
    <xf numFmtId="0" fontId="0" fillId="3" borderId="0" xfId="1" applyNumberFormat="1" applyFont="1" applyFill="1" applyAlignment="1">
      <alignment horizontal="right"/>
    </xf>
    <xf numFmtId="0" fontId="4" fillId="9" borderId="0" xfId="0" applyFont="1" applyFill="1" applyAlignment="1">
      <alignment horizontal="center"/>
    </xf>
    <xf numFmtId="0" fontId="4" fillId="9" borderId="0" xfId="0" applyFont="1" applyFill="1"/>
    <xf numFmtId="0" fontId="0" fillId="9" borderId="0" xfId="0" applyFill="1" applyAlignment="1">
      <alignment horizontal="center"/>
    </xf>
    <xf numFmtId="44" fontId="11" fillId="17" borderId="0" xfId="0" applyNumberFormat="1" applyFont="1" applyFill="1"/>
    <xf numFmtId="8" fontId="0" fillId="6" borderId="0" xfId="0" applyNumberFormat="1" applyFill="1"/>
    <xf numFmtId="0" fontId="18" fillId="2" borderId="0" xfId="0" applyFont="1" applyFill="1"/>
    <xf numFmtId="44" fontId="0" fillId="0" borderId="0" xfId="0" applyNumberFormat="1" applyAlignment="1">
      <alignment horizontal="left"/>
    </xf>
    <xf numFmtId="165" fontId="0" fillId="0" borderId="0" xfId="0" applyNumberFormat="1"/>
    <xf numFmtId="44" fontId="0" fillId="9" borderId="0" xfId="1" applyFont="1" applyFill="1" applyBorder="1" applyAlignment="1">
      <alignment horizontal="center"/>
    </xf>
    <xf numFmtId="0" fontId="5" fillId="12" borderId="30" xfId="0" applyFont="1" applyFill="1" applyBorder="1" applyAlignment="1">
      <alignment horizontal="left"/>
    </xf>
    <xf numFmtId="44" fontId="5" fillId="12" borderId="44" xfId="1" applyFont="1" applyFill="1" applyBorder="1" applyAlignment="1">
      <alignment horizontal="left"/>
    </xf>
    <xf numFmtId="44" fontId="5" fillId="12" borderId="24" xfId="1" applyFont="1" applyFill="1" applyBorder="1" applyAlignment="1">
      <alignment horizontal="left"/>
    </xf>
    <xf numFmtId="0" fontId="0" fillId="9" borderId="40" xfId="0" applyFill="1" applyBorder="1" applyAlignment="1">
      <alignment horizontal="right"/>
    </xf>
    <xf numFmtId="0" fontId="0" fillId="8" borderId="0" xfId="0" applyFill="1"/>
    <xf numFmtId="173" fontId="0" fillId="9" borderId="0" xfId="2" applyNumberFormat="1" applyFont="1" applyFill="1"/>
    <xf numFmtId="0" fontId="0" fillId="2" borderId="5" xfId="0" applyFill="1" applyBorder="1"/>
    <xf numFmtId="0" fontId="5" fillId="12" borderId="25" xfId="0" applyFont="1" applyFill="1" applyBorder="1" applyAlignment="1">
      <alignment horizontal="left"/>
    </xf>
    <xf numFmtId="44" fontId="5" fillId="12" borderId="24" xfId="1" applyFont="1" applyFill="1" applyBorder="1"/>
    <xf numFmtId="0" fontId="4" fillId="26" borderId="31" xfId="0" applyFont="1" applyFill="1" applyBorder="1"/>
    <xf numFmtId="0" fontId="0" fillId="26" borderId="0" xfId="0" applyFill="1"/>
    <xf numFmtId="0" fontId="0" fillId="11" borderId="31" xfId="0" applyFill="1" applyBorder="1" applyAlignment="1">
      <alignment horizontal="left" indent="2"/>
    </xf>
    <xf numFmtId="44" fontId="0" fillId="11" borderId="0" xfId="1" applyFont="1" applyFill="1" applyBorder="1"/>
    <xf numFmtId="0" fontId="0" fillId="11" borderId="31" xfId="0" applyFill="1" applyBorder="1" applyAlignment="1">
      <alignment horizontal="left" indent="3"/>
    </xf>
    <xf numFmtId="0" fontId="11" fillId="11" borderId="31" xfId="0" applyFont="1" applyFill="1" applyBorder="1" applyAlignment="1">
      <alignment horizontal="left" indent="2"/>
    </xf>
    <xf numFmtId="44" fontId="11" fillId="11" borderId="0" xfId="0" applyNumberFormat="1" applyFont="1" applyFill="1"/>
    <xf numFmtId="0" fontId="5" fillId="11" borderId="31" xfId="0" applyFont="1" applyFill="1" applyBorder="1" applyAlignment="1">
      <alignment horizontal="left" indent="2"/>
    </xf>
    <xf numFmtId="0" fontId="11" fillId="11" borderId="31" xfId="0" applyFont="1" applyFill="1" applyBorder="1"/>
    <xf numFmtId="44" fontId="11" fillId="11" borderId="0" xfId="1" applyFont="1" applyFill="1" applyBorder="1"/>
    <xf numFmtId="0" fontId="5" fillId="27" borderId="31" xfId="0" applyFont="1" applyFill="1" applyBorder="1" applyAlignment="1">
      <alignment horizontal="left" indent="2"/>
    </xf>
    <xf numFmtId="44" fontId="5" fillId="27" borderId="0" xfId="1" applyFont="1" applyFill="1" applyBorder="1" applyAlignment="1">
      <alignment horizontal="left"/>
    </xf>
    <xf numFmtId="44" fontId="5" fillId="27" borderId="0" xfId="1" applyFont="1" applyFill="1" applyBorder="1" applyAlignment="1">
      <alignment horizontal="left" indent="2"/>
    </xf>
    <xf numFmtId="0" fontId="4" fillId="27" borderId="31" xfId="0" applyFont="1" applyFill="1" applyBorder="1" applyAlignment="1">
      <alignment horizontal="left" indent="2"/>
    </xf>
    <xf numFmtId="44" fontId="4" fillId="27" borderId="0" xfId="1" applyFont="1" applyFill="1" applyBorder="1" applyAlignment="1">
      <alignment horizontal="left"/>
    </xf>
    <xf numFmtId="44" fontId="4" fillId="27" borderId="0" xfId="1" applyFont="1" applyFill="1" applyBorder="1" applyAlignment="1">
      <alignment horizontal="left" indent="2"/>
    </xf>
    <xf numFmtId="0" fontId="11" fillId="2" borderId="31" xfId="0" applyFont="1" applyFill="1" applyBorder="1"/>
    <xf numFmtId="44" fontId="11" fillId="2" borderId="0" xfId="1" applyFont="1" applyFill="1" applyBorder="1"/>
    <xf numFmtId="0" fontId="11" fillId="15" borderId="31" xfId="0" applyFont="1" applyFill="1" applyBorder="1"/>
    <xf numFmtId="0" fontId="0" fillId="9" borderId="0" xfId="1" applyNumberFormat="1" applyFont="1" applyFill="1"/>
    <xf numFmtId="0" fontId="35" fillId="23" borderId="0" xfId="0" applyFont="1" applyFill="1" applyAlignment="1">
      <alignment horizontal="center" vertical="center"/>
    </xf>
    <xf numFmtId="0" fontId="35" fillId="2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22" fillId="0" borderId="0" xfId="0" applyFont="1" applyAlignment="1">
      <alignment horizontal="center"/>
    </xf>
  </cellXfs>
  <cellStyles count="4">
    <cellStyle name="Currency" xfId="1" builtinId="4"/>
    <cellStyle name="Hyperlink" xfId="3" builtinId="8"/>
    <cellStyle name="Normal" xfId="0" builtinId="0"/>
    <cellStyle name="Per cent" xfId="2" builtinId="5"/>
  </cellStyles>
  <dxfs count="483">
    <dxf>
      <font>
        <color rgb="FF9C0006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12" formatCode="&quot;CHF&quot;\ #,##0.00;[Red]&quot;CHF&quot;\ \-#,##0.00"/>
    </dxf>
    <dxf>
      <numFmt numFmtId="34" formatCode="_ &quot;CHF&quot;\ * #,##0.00_ ;_ &quot;CHF&quot;\ * \-#,##0.00_ ;_ &quot;CHF&quot;\ * &quot;-&quot;??_ ;_ @_ 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2" formatCode="&quot;CHF&quot;\ #,##0.00;[Red]&quot;CHF&quot;\ \-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</dxf>
    <dxf>
      <numFmt numFmtId="0" formatCode="General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alignment horizontal="right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numFmt numFmtId="34" formatCode="_ &quot;CHF&quot;\ * #,##0.00_ ;_ &quot;CHF&quot;\ * \-#,##0.00_ ;_ &quot;CHF&quot;\ * &quot;-&quot;??_ ;_ @_ 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numFmt numFmtId="12" formatCode="&quot;CHF&quot;\ #,##0.00;[Red]&quot;CHF&quot;\ \-#,##0.0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none"/>
      </font>
      <fill>
        <patternFill patternType="solid">
          <fgColor rgb="FF000000"/>
          <bgColor rgb="FFE8E8E8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border outline="0">
        <bottom style="thin">
          <color rgb="FF00FF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ill>
        <patternFill patternType="solid">
          <fgColor indexed="64"/>
          <bgColor theme="2"/>
        </patternFill>
      </fill>
    </dxf>
    <dxf>
      <fill>
        <patternFill>
          <fgColor indexed="64"/>
          <bgColor theme="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4" formatCode="#,##0.0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4" formatCode="#,##0.0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border outline="0">
        <top style="thin">
          <color rgb="FF000000"/>
        </top>
      </border>
    </dxf>
    <dxf>
      <fill>
        <patternFill>
          <fgColor rgb="FF000000"/>
          <bgColor rgb="FFE8E8E8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2"/>
        </patternFill>
      </fill>
    </dxf>
    <dxf>
      <font>
        <b/>
      </font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right" vertical="bottom" textRotation="0" wrapText="0" indent="0" justifyLastLine="0" shrinkToFit="0" readingOrder="0"/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  <alignment horizontal="right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fill>
        <patternFill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3" formatCode="#,##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3" formatCode="#,##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1"/>
        <scheme val="none"/>
      </font>
      <numFmt numFmtId="3" formatCode="#,##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4" formatCode="#,##0.0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numFmt numFmtId="4" formatCode="#,##0.00"/>
      <fill>
        <patternFill patternType="solid">
          <fgColor indexed="64"/>
          <bgColor theme="2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sz val="10"/>
        <color rgb="FF000000"/>
        <name val="Arial"/>
        <family val="2"/>
        <charset val="1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ill>
        <patternFill>
          <fgColor indexed="64"/>
          <bgColor theme="2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theme="2"/>
        </patternFill>
      </fill>
    </dxf>
    <dxf>
      <font>
        <b/>
      </font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right" vertical="bottom" textRotation="0" wrapText="0" indent="0" justifyLastLine="0" shrinkToFit="0" readingOrder="0"/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  <alignment horizontal="right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fill>
        <patternFill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numFmt numFmtId="0" formatCode="General"/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rgb="FF000000"/>
          <bgColor rgb="FFE8E8E8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rgb="FF000000"/>
          <bgColor rgb="FFE8E8E8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scheme val="minor"/>
      </font>
      <fill>
        <patternFill patternType="solid">
          <fgColor indexed="64"/>
          <bgColor theme="2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ptos Narrow"/>
        <scheme val="minor"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font>
        <b/>
      </font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34" formatCode="_ &quot;CHF&quot;\ * #,##0.00_ ;_ &quot;CHF&quot;\ * \-#,##0.00_ ;_ &quot;CHF&quot;\ * &quot;-&quot;??_ ;_ @_ 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scheme val="minor"/>
      </font>
      <fill>
        <patternFill patternType="solid"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 and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Timeline'!$B$8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Timeline'!$C$9:$BC$9</c:f>
              <c:numCache>
                <c:formatCode>_("CHF"* #,##0.00_);_("CHF"* \(#,##0.00\);_("CHF"* "-"??_);_(@_)</c:formatCode>
                <c:ptCount val="53"/>
                <c:pt idx="0">
                  <c:v>100000</c:v>
                </c:pt>
                <c:pt idx="1">
                  <c:v>103713.74335979213</c:v>
                </c:pt>
                <c:pt idx="2">
                  <c:v>107523.2132099712</c:v>
                </c:pt>
                <c:pt idx="3">
                  <c:v>111431.18112786009</c:v>
                </c:pt>
                <c:pt idx="4">
                  <c:v>115440.50142539543</c:v>
                </c:pt>
                <c:pt idx="5">
                  <c:v>119554.11363698088</c:v>
                </c:pt>
                <c:pt idx="6">
                  <c:v>123775.04508227963</c:v>
                </c:pt>
                <c:pt idx="7">
                  <c:v>128106.41350620333</c:v>
                </c:pt>
                <c:pt idx="8">
                  <c:v>132551.42979842433</c:v>
                </c:pt>
                <c:pt idx="9">
                  <c:v>137113.40079480727</c:v>
                </c:pt>
                <c:pt idx="10">
                  <c:v>141795.73216322847</c:v>
                </c:pt>
                <c:pt idx="11">
                  <c:v>146601.93137632645</c:v>
                </c:pt>
                <c:pt idx="12">
                  <c:v>151535.61077380291</c:v>
                </c:pt>
                <c:pt idx="13">
                  <c:v>156600.4907169728</c:v>
                </c:pt>
                <c:pt idx="14">
                  <c:v>161800.40283834317</c:v>
                </c:pt>
                <c:pt idx="15">
                  <c:v>167139.29338908469</c:v>
                </c:pt>
                <c:pt idx="16">
                  <c:v>172621.22668734577</c:v>
                </c:pt>
                <c:pt idx="17">
                  <c:v>178250.38867044792</c:v>
                </c:pt>
                <c:pt idx="18">
                  <c:v>184031.09055409278</c:v>
                </c:pt>
                <c:pt idx="19">
                  <c:v>189967.7726018058</c:v>
                </c:pt>
                <c:pt idx="20">
                  <c:v>196065.00800793851</c:v>
                </c:pt>
                <c:pt idx="21">
                  <c:v>202327.50689765107</c:v>
                </c:pt>
                <c:pt idx="22">
                  <c:v>208760.12044740084</c:v>
                </c:pt>
                <c:pt idx="23">
                  <c:v>215367.8451295679</c:v>
                </c:pt>
                <c:pt idx="24">
                  <c:v>222155.82708495855</c:v>
                </c:pt>
                <c:pt idx="25">
                  <c:v>229129.36662704084</c:v>
                </c:pt>
                <c:pt idx="26">
                  <c:v>236293.92288188101</c:v>
                </c:pt>
                <c:pt idx="27">
                  <c:v>243655.11856787093</c:v>
                </c:pt>
                <c:pt idx="28">
                  <c:v>251218.74491945893</c:v>
                </c:pt>
                <c:pt idx="29">
                  <c:v>258990.7667592236</c:v>
                </c:pt>
                <c:pt idx="30">
                  <c:v>266977.32772276056</c:v>
                </c:pt>
                <c:pt idx="31">
                  <c:v>275184.75564098835</c:v>
                </c:pt>
                <c:pt idx="32">
                  <c:v>283619.56808461575</c:v>
                </c:pt>
                <c:pt idx="33">
                  <c:v>292288.47807565867</c:v>
                </c:pt>
                <c:pt idx="34">
                  <c:v>301198.39997104026</c:v>
                </c:pt>
                <c:pt idx="35">
                  <c:v>310356.45552345959</c:v>
                </c:pt>
                <c:pt idx="36">
                  <c:v>319769.98012487195</c:v>
                </c:pt>
                <c:pt idx="37">
                  <c:v>329446.52923808293</c:v>
                </c:pt>
                <c:pt idx="38">
                  <c:v>107583.77781328086</c:v>
                </c:pt>
                <c:pt idx="39">
                  <c:v>107583.77781328086</c:v>
                </c:pt>
                <c:pt idx="40">
                  <c:v>107583.77781328086</c:v>
                </c:pt>
                <c:pt idx="41">
                  <c:v>107583.77781328086</c:v>
                </c:pt>
                <c:pt idx="42">
                  <c:v>107583.77781328086</c:v>
                </c:pt>
                <c:pt idx="43">
                  <c:v>107583.77781328086</c:v>
                </c:pt>
                <c:pt idx="44">
                  <c:v>107583.77781328086</c:v>
                </c:pt>
                <c:pt idx="45">
                  <c:v>107583.77781328086</c:v>
                </c:pt>
                <c:pt idx="46">
                  <c:v>107583.77781328086</c:v>
                </c:pt>
                <c:pt idx="47">
                  <c:v>107583.77781328086</c:v>
                </c:pt>
                <c:pt idx="48">
                  <c:v>107583.77781328086</c:v>
                </c:pt>
                <c:pt idx="49">
                  <c:v>107583.77781328086</c:v>
                </c:pt>
                <c:pt idx="50">
                  <c:v>107583.77781328086</c:v>
                </c:pt>
                <c:pt idx="51">
                  <c:v>107583.77781328086</c:v>
                </c:pt>
                <c:pt idx="52">
                  <c:v>107583.77781328086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5247-A7E9-F10DB780A14E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2-5247-A7E9-F10DB780A14E}"/>
            </c:ext>
          </c:extLst>
        </c:ser>
        <c:ser>
          <c:idx val="3"/>
          <c:order val="2"/>
          <c:tx>
            <c:strRef>
              <c:f>'CF Timeline'!$B$15</c:f>
              <c:strCache>
                <c:ptCount val="1"/>
                <c:pt idx="0">
                  <c:v>Total Income after Tax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'CF Timeline'!$C$15:$BC$15</c:f>
              <c:numCache>
                <c:formatCode>_("CHF"* #,##0.00_);_("CHF"* \(#,##0.00\);_("CHF"* "-"??_);_(@_)</c:formatCode>
                <c:ptCount val="53"/>
                <c:pt idx="0">
                  <c:v>128357.79454376595</c:v>
                </c:pt>
                <c:pt idx="1">
                  <c:v>132109.6251955053</c:v>
                </c:pt>
                <c:pt idx="2">
                  <c:v>135952.60295162769</c:v>
                </c:pt>
                <c:pt idx="3">
                  <c:v>138138.73038536203</c:v>
                </c:pt>
                <c:pt idx="4">
                  <c:v>141889.29337892041</c:v>
                </c:pt>
                <c:pt idx="5">
                  <c:v>145931.10376940097</c:v>
                </c:pt>
                <c:pt idx="6">
                  <c:v>150072.48345387564</c:v>
                </c:pt>
                <c:pt idx="7">
                  <c:v>154399.71886671067</c:v>
                </c:pt>
                <c:pt idx="8">
                  <c:v>158723.41894245712</c:v>
                </c:pt>
                <c:pt idx="9">
                  <c:v>163053.16145402132</c:v>
                </c:pt>
                <c:pt idx="10">
                  <c:v>167482.79260064446</c:v>
                </c:pt>
                <c:pt idx="11">
                  <c:v>171924.80666121817</c:v>
                </c:pt>
                <c:pt idx="12">
                  <c:v>176477.95748765202</c:v>
                </c:pt>
                <c:pt idx="13">
                  <c:v>180021.40441727912</c:v>
                </c:pt>
                <c:pt idx="14">
                  <c:v>184764.04095443262</c:v>
                </c:pt>
                <c:pt idx="15">
                  <c:v>189626.36179547763</c:v>
                </c:pt>
                <c:pt idx="16">
                  <c:v>194611.69061636878</c:v>
                </c:pt>
                <c:pt idx="17">
                  <c:v>200352.90935166978</c:v>
                </c:pt>
                <c:pt idx="18">
                  <c:v>205609.56409829063</c:v>
                </c:pt>
                <c:pt idx="19">
                  <c:v>210999.93664716085</c:v>
                </c:pt>
                <c:pt idx="20">
                  <c:v>216527.74536731641</c:v>
                </c:pt>
                <c:pt idx="21">
                  <c:v>222196.81478568556</c:v>
                </c:pt>
                <c:pt idx="22">
                  <c:v>229769.35455345162</c:v>
                </c:pt>
                <c:pt idx="23">
                  <c:v>232947.82911708066</c:v>
                </c:pt>
                <c:pt idx="24">
                  <c:v>238839.21427720843</c:v>
                </c:pt>
                <c:pt idx="25">
                  <c:v>244882.71144671756</c:v>
                </c:pt>
                <c:pt idx="26">
                  <c:v>251082.57431910356</c:v>
                </c:pt>
                <c:pt idx="27">
                  <c:v>258105.96361627759</c:v>
                </c:pt>
                <c:pt idx="28">
                  <c:v>264647.99133348122</c:v>
                </c:pt>
                <c:pt idx="29">
                  <c:v>271360.13270303776</c:v>
                </c:pt>
                <c:pt idx="30">
                  <c:v>278247.15211639571</c:v>
                </c:pt>
                <c:pt idx="31">
                  <c:v>285313.95042315876</c:v>
                </c:pt>
                <c:pt idx="32">
                  <c:v>292565.56887695473</c:v>
                </c:pt>
                <c:pt idx="33">
                  <c:v>280901.83062223194</c:v>
                </c:pt>
                <c:pt idx="34">
                  <c:v>287998.91746161284</c:v>
                </c:pt>
                <c:pt idx="35">
                  <c:v>295284.17141610594</c:v>
                </c:pt>
                <c:pt idx="36">
                  <c:v>302762.92318292928</c:v>
                </c:pt>
                <c:pt idx="37">
                  <c:v>310440.65750510222</c:v>
                </c:pt>
                <c:pt idx="38">
                  <c:v>195129.17368879728</c:v>
                </c:pt>
                <c:pt idx="39">
                  <c:v>144541.08338026484</c:v>
                </c:pt>
                <c:pt idx="40">
                  <c:v>144541.08338026484</c:v>
                </c:pt>
                <c:pt idx="41">
                  <c:v>144541.08338026484</c:v>
                </c:pt>
                <c:pt idx="42">
                  <c:v>144541.08338026484</c:v>
                </c:pt>
                <c:pt idx="43">
                  <c:v>144541.08338026484</c:v>
                </c:pt>
                <c:pt idx="44">
                  <c:v>144541.08338026484</c:v>
                </c:pt>
                <c:pt idx="45">
                  <c:v>144541.08338026484</c:v>
                </c:pt>
                <c:pt idx="46">
                  <c:v>144541.08338026484</c:v>
                </c:pt>
                <c:pt idx="47">
                  <c:v>144541.08338026484</c:v>
                </c:pt>
                <c:pt idx="48">
                  <c:v>144541.08338026484</c:v>
                </c:pt>
                <c:pt idx="49">
                  <c:v>144541.08338026484</c:v>
                </c:pt>
                <c:pt idx="50">
                  <c:v>144541.08338026484</c:v>
                </c:pt>
                <c:pt idx="51">
                  <c:v>144541.08338026484</c:v>
                </c:pt>
                <c:pt idx="52">
                  <c:v>144541.08338026484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12-5247-A7E9-F10DB780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 and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Timeline'!$B$8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Timeline'!$C$9:$BC$9</c:f>
              <c:numCache>
                <c:formatCode>_("CHF"* #,##0.00_);_("CHF"* \(#,##0.00\);_("CHF"* "-"??_);_(@_)</c:formatCode>
                <c:ptCount val="53"/>
                <c:pt idx="0">
                  <c:v>100000</c:v>
                </c:pt>
                <c:pt idx="1">
                  <c:v>103713.74335979213</c:v>
                </c:pt>
                <c:pt idx="2">
                  <c:v>107523.2132099712</c:v>
                </c:pt>
                <c:pt idx="3">
                  <c:v>111431.18112786009</c:v>
                </c:pt>
                <c:pt idx="4">
                  <c:v>115440.50142539543</c:v>
                </c:pt>
                <c:pt idx="5">
                  <c:v>119554.11363698088</c:v>
                </c:pt>
                <c:pt idx="6">
                  <c:v>123775.04508227963</c:v>
                </c:pt>
                <c:pt idx="7">
                  <c:v>128106.41350620333</c:v>
                </c:pt>
                <c:pt idx="8">
                  <c:v>132551.42979842433</c:v>
                </c:pt>
                <c:pt idx="9">
                  <c:v>137113.40079480727</c:v>
                </c:pt>
                <c:pt idx="10">
                  <c:v>141795.73216322847</c:v>
                </c:pt>
                <c:pt idx="11">
                  <c:v>146601.93137632645</c:v>
                </c:pt>
                <c:pt idx="12">
                  <c:v>151535.61077380291</c:v>
                </c:pt>
                <c:pt idx="13">
                  <c:v>156600.4907169728</c:v>
                </c:pt>
                <c:pt idx="14">
                  <c:v>161800.40283834317</c:v>
                </c:pt>
                <c:pt idx="15">
                  <c:v>167139.29338908469</c:v>
                </c:pt>
                <c:pt idx="16">
                  <c:v>172621.22668734577</c:v>
                </c:pt>
                <c:pt idx="17">
                  <c:v>178250.38867044792</c:v>
                </c:pt>
                <c:pt idx="18">
                  <c:v>184031.09055409278</c:v>
                </c:pt>
                <c:pt idx="19">
                  <c:v>189967.7726018058</c:v>
                </c:pt>
                <c:pt idx="20">
                  <c:v>196065.00800793851</c:v>
                </c:pt>
                <c:pt idx="21">
                  <c:v>202327.50689765107</c:v>
                </c:pt>
                <c:pt idx="22">
                  <c:v>208760.12044740084</c:v>
                </c:pt>
                <c:pt idx="23">
                  <c:v>215367.8451295679</c:v>
                </c:pt>
                <c:pt idx="24">
                  <c:v>222155.82708495855</c:v>
                </c:pt>
                <c:pt idx="25">
                  <c:v>229129.36662704084</c:v>
                </c:pt>
                <c:pt idx="26">
                  <c:v>236293.92288188101</c:v>
                </c:pt>
                <c:pt idx="27">
                  <c:v>243655.11856787093</c:v>
                </c:pt>
                <c:pt idx="28">
                  <c:v>251218.74491945893</c:v>
                </c:pt>
                <c:pt idx="29">
                  <c:v>258990.7667592236</c:v>
                </c:pt>
                <c:pt idx="30">
                  <c:v>266977.32772276056</c:v>
                </c:pt>
                <c:pt idx="31">
                  <c:v>275184.75564098835</c:v>
                </c:pt>
                <c:pt idx="32">
                  <c:v>283619.56808461575</c:v>
                </c:pt>
                <c:pt idx="33">
                  <c:v>292288.47807565867</c:v>
                </c:pt>
                <c:pt idx="34">
                  <c:v>301198.39997104026</c:v>
                </c:pt>
                <c:pt idx="35">
                  <c:v>310356.45552345959</c:v>
                </c:pt>
                <c:pt idx="36">
                  <c:v>319769.98012487195</c:v>
                </c:pt>
                <c:pt idx="37">
                  <c:v>329446.52923808293</c:v>
                </c:pt>
                <c:pt idx="38">
                  <c:v>107583.77781328086</c:v>
                </c:pt>
                <c:pt idx="39">
                  <c:v>107583.77781328086</c:v>
                </c:pt>
                <c:pt idx="40">
                  <c:v>107583.77781328086</c:v>
                </c:pt>
                <c:pt idx="41">
                  <c:v>107583.77781328086</c:v>
                </c:pt>
                <c:pt idx="42">
                  <c:v>107583.77781328086</c:v>
                </c:pt>
                <c:pt idx="43">
                  <c:v>107583.77781328086</c:v>
                </c:pt>
                <c:pt idx="44">
                  <c:v>107583.77781328086</c:v>
                </c:pt>
                <c:pt idx="45">
                  <c:v>107583.77781328086</c:v>
                </c:pt>
                <c:pt idx="46">
                  <c:v>107583.77781328086</c:v>
                </c:pt>
                <c:pt idx="47">
                  <c:v>107583.77781328086</c:v>
                </c:pt>
                <c:pt idx="48">
                  <c:v>107583.77781328086</c:v>
                </c:pt>
                <c:pt idx="49">
                  <c:v>107583.77781328086</c:v>
                </c:pt>
                <c:pt idx="50">
                  <c:v>107583.77781328086</c:v>
                </c:pt>
                <c:pt idx="51">
                  <c:v>107583.77781328086</c:v>
                </c:pt>
                <c:pt idx="52">
                  <c:v>107583.77781328086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6-E748-A526-1114ED5C3F47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6-E748-A526-1114ED5C3F47}"/>
            </c:ext>
          </c:extLst>
        </c:ser>
        <c:ser>
          <c:idx val="2"/>
          <c:order val="2"/>
          <c:tx>
            <c:strRef>
              <c:f>'CF Timeline'!$B$15</c:f>
              <c:strCache>
                <c:ptCount val="1"/>
                <c:pt idx="0">
                  <c:v>Total Income after Tax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'CF Timeline'!$C$15:$BC$15</c:f>
              <c:numCache>
                <c:formatCode>_("CHF"* #,##0.00_);_("CHF"* \(#,##0.00\);_("CHF"* "-"??_);_(@_)</c:formatCode>
                <c:ptCount val="53"/>
                <c:pt idx="0">
                  <c:v>128357.79454376595</c:v>
                </c:pt>
                <c:pt idx="1">
                  <c:v>132109.6251955053</c:v>
                </c:pt>
                <c:pt idx="2">
                  <c:v>135952.60295162769</c:v>
                </c:pt>
                <c:pt idx="3">
                  <c:v>138138.73038536203</c:v>
                </c:pt>
                <c:pt idx="4">
                  <c:v>141889.29337892041</c:v>
                </c:pt>
                <c:pt idx="5">
                  <c:v>145931.10376940097</c:v>
                </c:pt>
                <c:pt idx="6">
                  <c:v>150072.48345387564</c:v>
                </c:pt>
                <c:pt idx="7">
                  <c:v>154399.71886671067</c:v>
                </c:pt>
                <c:pt idx="8">
                  <c:v>158723.41894245712</c:v>
                </c:pt>
                <c:pt idx="9">
                  <c:v>163053.16145402132</c:v>
                </c:pt>
                <c:pt idx="10">
                  <c:v>167482.79260064446</c:v>
                </c:pt>
                <c:pt idx="11">
                  <c:v>171924.80666121817</c:v>
                </c:pt>
                <c:pt idx="12">
                  <c:v>176477.95748765202</c:v>
                </c:pt>
                <c:pt idx="13">
                  <c:v>180021.40441727912</c:v>
                </c:pt>
                <c:pt idx="14">
                  <c:v>184764.04095443262</c:v>
                </c:pt>
                <c:pt idx="15">
                  <c:v>189626.36179547763</c:v>
                </c:pt>
                <c:pt idx="16">
                  <c:v>194611.69061636878</c:v>
                </c:pt>
                <c:pt idx="17">
                  <c:v>200352.90935166978</c:v>
                </c:pt>
                <c:pt idx="18">
                  <c:v>205609.56409829063</c:v>
                </c:pt>
                <c:pt idx="19">
                  <c:v>210999.93664716085</c:v>
                </c:pt>
                <c:pt idx="20">
                  <c:v>216527.74536731641</c:v>
                </c:pt>
                <c:pt idx="21">
                  <c:v>222196.81478568556</c:v>
                </c:pt>
                <c:pt idx="22">
                  <c:v>229769.35455345162</c:v>
                </c:pt>
                <c:pt idx="23">
                  <c:v>232947.82911708066</c:v>
                </c:pt>
                <c:pt idx="24">
                  <c:v>238839.21427720843</c:v>
                </c:pt>
                <c:pt idx="25">
                  <c:v>244882.71144671756</c:v>
                </c:pt>
                <c:pt idx="26">
                  <c:v>251082.57431910356</c:v>
                </c:pt>
                <c:pt idx="27">
                  <c:v>258105.96361627759</c:v>
                </c:pt>
                <c:pt idx="28">
                  <c:v>264647.99133348122</c:v>
                </c:pt>
                <c:pt idx="29">
                  <c:v>271360.13270303776</c:v>
                </c:pt>
                <c:pt idx="30">
                  <c:v>278247.15211639571</c:v>
                </c:pt>
                <c:pt idx="31">
                  <c:v>285313.95042315876</c:v>
                </c:pt>
                <c:pt idx="32">
                  <c:v>292565.56887695473</c:v>
                </c:pt>
                <c:pt idx="33">
                  <c:v>280901.83062223194</c:v>
                </c:pt>
                <c:pt idx="34">
                  <c:v>287998.91746161284</c:v>
                </c:pt>
                <c:pt idx="35">
                  <c:v>295284.17141610594</c:v>
                </c:pt>
                <c:pt idx="36">
                  <c:v>302762.92318292928</c:v>
                </c:pt>
                <c:pt idx="37">
                  <c:v>310440.65750510222</c:v>
                </c:pt>
                <c:pt idx="38">
                  <c:v>195129.17368879728</c:v>
                </c:pt>
                <c:pt idx="39">
                  <c:v>144541.08338026484</c:v>
                </c:pt>
                <c:pt idx="40">
                  <c:v>144541.08338026484</c:v>
                </c:pt>
                <c:pt idx="41">
                  <c:v>144541.08338026484</c:v>
                </c:pt>
                <c:pt idx="42">
                  <c:v>144541.08338026484</c:v>
                </c:pt>
                <c:pt idx="43">
                  <c:v>144541.08338026484</c:v>
                </c:pt>
                <c:pt idx="44">
                  <c:v>144541.08338026484</c:v>
                </c:pt>
                <c:pt idx="45">
                  <c:v>144541.08338026484</c:v>
                </c:pt>
                <c:pt idx="46">
                  <c:v>144541.08338026484</c:v>
                </c:pt>
                <c:pt idx="47">
                  <c:v>144541.08338026484</c:v>
                </c:pt>
                <c:pt idx="48">
                  <c:v>144541.08338026484</c:v>
                </c:pt>
                <c:pt idx="49">
                  <c:v>144541.08338026484</c:v>
                </c:pt>
                <c:pt idx="50">
                  <c:v>144541.08338026484</c:v>
                </c:pt>
                <c:pt idx="51">
                  <c:v>144541.08338026484</c:v>
                </c:pt>
                <c:pt idx="52">
                  <c:v>144541.08338026484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6-E748-A526-1114ED5C3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Pension Investment</a:t>
            </a:r>
            <a:r>
              <a:rPr lang="it-IT" baseline="0"/>
              <a:t> Scenarios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'Pension calculator 3a'!$L$3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3a'!$L$4:$L$56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78-DF48-92F9-D44E67AF4360}"/>
            </c:ext>
          </c:extLst>
        </c:ser>
        <c:ser>
          <c:idx val="1"/>
          <c:order val="1"/>
          <c:tx>
            <c:strRef>
              <c:f>'Pension calculator 3a'!$M$3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3a'!$M$4:$M$56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78-DF48-92F9-D44E67AF4360}"/>
            </c:ext>
          </c:extLst>
        </c:ser>
        <c:ser>
          <c:idx val="2"/>
          <c:order val="2"/>
          <c:tx>
            <c:strRef>
              <c:f>'Pension calculator 3a'!$N$3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3a'!$N$4:$N$56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78-DF48-92F9-D44E67AF4360}"/>
            </c:ext>
          </c:extLst>
        </c:ser>
        <c:ser>
          <c:idx val="3"/>
          <c:order val="3"/>
          <c:tx>
            <c:strRef>
              <c:f>'Pension calculator 3a'!$O$3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3a'!$O$4:$O$56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78-DF48-92F9-D44E67AF4360}"/>
            </c:ext>
          </c:extLst>
        </c:ser>
        <c:ser>
          <c:idx val="4"/>
          <c:order val="4"/>
          <c:tx>
            <c:strRef>
              <c:f>'Pension calculator 3a'!$P$3</c:f>
              <c:strCache>
                <c:ptCount val="1"/>
                <c:pt idx="0">
                  <c:v>Expected capital2</c:v>
                </c:pt>
              </c:strCache>
            </c:strRef>
          </c:tx>
          <c:spPr>
            <a:ln w="25400" cap="flat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3a'!$P$4:$P$56</c:f>
              <c:numCache>
                <c:formatCode>_("CHF"* #,##0.00_);_("CHF"* \(#,##0.00\);_("CHF"* "-"??_);_(@_)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78-DF48-92F9-D44E67AF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85696"/>
        <c:axId val="338741120"/>
      </c:scatterChart>
      <c:valAx>
        <c:axId val="33878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41120"/>
        <c:crosses val="autoZero"/>
        <c:crossBetween val="midCat"/>
      </c:valAx>
      <c:valAx>
        <c:axId val="3387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8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Car Investment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'!$I$17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'!$I$18:$I$60</c:f>
              <c:numCache>
                <c:formatCode>"CHF"#,##0.00_);[Red]\("CHF"#,##0.00\)</c:formatCode>
                <c:ptCount val="43"/>
                <c:pt idx="0">
                  <c:v>2021.5545874195627</c:v>
                </c:pt>
                <c:pt idx="1">
                  <c:v>4053.2401436243849</c:v>
                </c:pt>
                <c:pt idx="2">
                  <c:v>6095.1074397039101</c:v>
                </c:pt>
                <c:pt idx="3">
                  <c:v>8147.2075011852667</c:v>
                </c:pt>
                <c:pt idx="4">
                  <c:v>10209.591609309276</c:v>
                </c:pt>
                <c:pt idx="5">
                  <c:v>12282.311302310585</c:v>
                </c:pt>
                <c:pt idx="6">
                  <c:v>14365.418376707012</c:v>
                </c:pt>
                <c:pt idx="7">
                  <c:v>16458.964888593109</c:v>
                </c:pt>
                <c:pt idx="8">
                  <c:v>18563.003154941074</c:v>
                </c:pt>
                <c:pt idx="9">
                  <c:v>20677.585754908465</c:v>
                </c:pt>
                <c:pt idx="10">
                  <c:v>22802.765531151643</c:v>
                </c:pt>
                <c:pt idx="11">
                  <c:v>24938.595591146939</c:v>
                </c:pt>
                <c:pt idx="12">
                  <c:v>27085.129308517324</c:v>
                </c:pt>
                <c:pt idx="13">
                  <c:v>29242.420324366045</c:v>
                </c:pt>
                <c:pt idx="14">
                  <c:v>31410.52254861773</c:v>
                </c:pt>
                <c:pt idx="15">
                  <c:v>33589.490161364884</c:v>
                </c:pt>
                <c:pt idx="16">
                  <c:v>35779.377614222554</c:v>
                </c:pt>
                <c:pt idx="17">
                  <c:v>37980.239631688069</c:v>
                </c:pt>
                <c:pt idx="18">
                  <c:v>40192.131212509761</c:v>
                </c:pt>
                <c:pt idx="19">
                  <c:v>42415.107631060324</c:v>
                </c:pt>
                <c:pt idx="20">
                  <c:v>44649.224438719059</c:v>
                </c:pt>
                <c:pt idx="21">
                  <c:v>46894.537465258778</c:v>
                </c:pt>
                <c:pt idx="22">
                  <c:v>49151.102820242697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C-C24A-A2D4-BC8C38660D22}"/>
            </c:ext>
          </c:extLst>
        </c:ser>
        <c:ser>
          <c:idx val="1"/>
          <c:order val="1"/>
          <c:tx>
            <c:strRef>
              <c:f>'Luxus '!$J$17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'!$J$18:$J$60</c:f>
              <c:numCache>
                <c:formatCode>"CHF"#,##0.00_);[Red]\("CHF"#,##0.00\)</c:formatCode>
                <c:ptCount val="43"/>
                <c:pt idx="0">
                  <c:v>2071.5312904378775</c:v>
                </c:pt>
                <c:pt idx="1">
                  <c:v>4249.0460532159523</c:v>
                </c:pt>
                <c:pt idx="2">
                  <c:v>6537.9666039232416</c:v>
                </c:pt>
                <c:pt idx="3">
                  <c:v>8943.9926741052241</c:v>
                </c:pt>
                <c:pt idx="4">
                  <c:v>11473.115604390641</c:v>
                </c:pt>
                <c:pt idx="5">
                  <c:v>14131.633263765674</c:v>
                </c:pt>
                <c:pt idx="6">
                  <c:v>16926.165732146437</c:v>
                </c:pt>
                <c:pt idx="7">
                  <c:v>19863.671785301678</c:v>
                </c:pt>
                <c:pt idx="8">
                  <c:v>22951.46622317543</c:v>
                </c:pt>
                <c:pt idx="9">
                  <c:v>26197.238084759461</c:v>
                </c:pt>
                <c:pt idx="10">
                  <c:v>29609.069794873252</c:v>
                </c:pt>
                <c:pt idx="11">
                  <c:v>33195.45729052955</c:v>
                </c:pt>
                <c:pt idx="12">
                  <c:v>36965.33117700294</c:v>
                </c:pt>
                <c:pt idx="13">
                  <c:v>40928.078966283101</c:v>
                </c:pt>
                <c:pt idx="14">
                  <c:v>45093.568453289467</c:v>
                </c:pt>
                <c:pt idx="15">
                  <c:v>49472.172288057496</c:v>
                </c:pt>
                <c:pt idx="16">
                  <c:v>54074.79380508449</c:v>
                </c:pt>
                <c:pt idx="17">
                  <c:v>58912.894174153909</c:v>
                </c:pt>
                <c:pt idx="18">
                  <c:v>63998.520940247181</c:v>
                </c:pt>
                <c:pt idx="19">
                  <c:v>69344.33802361197</c:v>
                </c:pt>
                <c:pt idx="20">
                  <c:v>74963.657254690275</c:v>
                </c:pt>
                <c:pt idx="21">
                  <c:v>80870.471522433872</c:v>
                </c:pt>
                <c:pt idx="22">
                  <c:v>87079.489618550157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9C-C24A-A2D4-BC8C38660D22}"/>
            </c:ext>
          </c:extLst>
        </c:ser>
        <c:ser>
          <c:idx val="2"/>
          <c:order val="2"/>
          <c:tx>
            <c:strRef>
              <c:f>'Luxus '!$K$17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'!$K$18:$K$60</c:f>
              <c:numCache>
                <c:formatCode>"CHF"#,##0.00_);[Red]\("CHF"#,##0.00\)</c:formatCode>
                <c:ptCount val="43"/>
                <c:pt idx="0">
                  <c:v>2082.8252018271169</c:v>
                </c:pt>
                <c:pt idx="1">
                  <c:v>4294.114504599167</c:v>
                </c:pt>
                <c:pt idx="2">
                  <c:v>6641.791292965554</c:v>
                </c:pt>
                <c:pt idx="3">
                  <c:v>9134.2676486034597</c:v>
                </c:pt>
                <c:pt idx="4">
                  <c:v>11780.474491981109</c:v>
                </c:pt>
                <c:pt idx="5">
                  <c:v>14589.893583199155</c:v>
                </c:pt>
                <c:pt idx="6">
                  <c:v>17572.591496573878</c:v>
                </c:pt>
                <c:pt idx="7">
                  <c:v>20739.255690698345</c:v>
                </c:pt>
                <c:pt idx="8">
                  <c:v>24101.232803226063</c:v>
                </c:pt>
                <c:pt idx="9">
                  <c:v>27670.569307593025</c:v>
                </c:pt>
                <c:pt idx="10">
                  <c:v>31460.054677357402</c:v>
                </c:pt>
                <c:pt idx="11">
                  <c:v>35483.267212821374</c:v>
                </c:pt>
                <c:pt idx="12">
                  <c:v>39754.62269413859</c:v>
                </c:pt>
                <c:pt idx="13">
                  <c:v>44289.426035238881</c:v>
                </c:pt>
                <c:pt idx="14">
                  <c:v>49103.926123654033</c:v>
                </c:pt>
                <c:pt idx="15">
                  <c:v>54215.374042744079</c:v>
                </c:pt>
                <c:pt idx="16">
                  <c:v>59642.084884942931</c:v>
                </c:pt>
                <c:pt idx="17">
                  <c:v>65403.50337750998</c:v>
                </c:pt>
                <c:pt idx="18">
                  <c:v>71520.273555934182</c:v>
                </c:pt>
                <c:pt idx="19">
                  <c:v>78014.312734641586</c:v>
                </c:pt>
                <c:pt idx="20">
                  <c:v>84908.89004005403</c:v>
                </c:pt>
                <c:pt idx="21">
                  <c:v>92228.709787394939</c:v>
                </c:pt>
                <c:pt idx="22">
                  <c:v>99999.999999994339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9C-C24A-A2D4-BC8C38660D22}"/>
            </c:ext>
          </c:extLst>
        </c:ser>
        <c:ser>
          <c:idx val="3"/>
          <c:order val="3"/>
          <c:tx>
            <c:strRef>
              <c:f>'Luxus '!$L$17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'!$L$18:$L$60</c:f>
              <c:numCache>
                <c:formatCode>"CHF"#,##0.00_);[Red]\("CHF"#,##0.00\)</c:formatCode>
                <c:ptCount val="43"/>
                <c:pt idx="0">
                  <c:v>2105.6213119339723</c:v>
                </c:pt>
                <c:pt idx="1">
                  <c:v>4386.0081542818498</c:v>
                </c:pt>
                <c:pt idx="2">
                  <c:v>6855.6659798749306</c:v>
                </c:pt>
                <c:pt idx="3">
                  <c:v>9530.3041869755507</c:v>
                </c:pt>
                <c:pt idx="4">
                  <c:v>12426.936046154042</c:v>
                </c:pt>
                <c:pt idx="5">
                  <c:v>15563.986921047266</c:v>
                </c:pt>
                <c:pt idx="6">
                  <c:v>18961.411471386702</c:v>
                </c:pt>
                <c:pt idx="7">
                  <c:v>22640.820583820037</c:v>
                </c:pt>
                <c:pt idx="8">
                  <c:v>26625.618837928389</c:v>
                </c:pt>
                <c:pt idx="9">
                  <c:v>30941.153381855169</c:v>
                </c:pt>
                <c:pt idx="10">
                  <c:v>35614.875164538644</c:v>
                </c:pt>
                <c:pt idx="11">
                  <c:v>40676.513550140357</c:v>
                </c:pt>
                <c:pt idx="12">
                  <c:v>46158.265425384961</c:v>
                </c:pt>
                <c:pt idx="13">
                  <c:v>52095.000002716049</c:v>
                </c:pt>
                <c:pt idx="14">
                  <c:v>58524.480622012692</c:v>
                </c:pt>
                <c:pt idx="15">
                  <c:v>65487.604961739387</c:v>
                </c:pt>
                <c:pt idx="16">
                  <c:v>73028.66518750276</c:v>
                </c:pt>
                <c:pt idx="17">
                  <c:v>81195.629692810267</c:v>
                </c:pt>
                <c:pt idx="18">
                  <c:v>90040.448224172695</c:v>
                </c:pt>
                <c:pt idx="19">
                  <c:v>99619.382331440152</c:v>
                </c:pt>
                <c:pt idx="20">
                  <c:v>109993.36324535243</c:v>
                </c:pt>
                <c:pt idx="21">
                  <c:v>121228.37945874993</c:v>
                </c:pt>
                <c:pt idx="22">
                  <c:v>133395.89647683382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9C-C24A-A2D4-BC8C38660D22}"/>
            </c:ext>
          </c:extLst>
        </c:ser>
        <c:ser>
          <c:idx val="4"/>
          <c:order val="4"/>
          <c:tx>
            <c:strRef>
              <c:f>'Luxus '!$M$17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'!$M$18:$M$60</c:f>
              <c:numCache>
                <c:formatCode>_("CHF"* #,##0.00_);_("CHF"* \(#,##0.00\);_("CHF"* "-"??_);_(@_)</c:formatCode>
                <c:ptCount val="4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9C-C24A-A2D4-BC8C38660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969328"/>
        <c:axId val="2110971040"/>
      </c:scatterChart>
      <c:valAx>
        <c:axId val="211096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10971040"/>
        <c:crosses val="autoZero"/>
        <c:crossBetween val="midCat"/>
      </c:valAx>
      <c:valAx>
        <c:axId val="21109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1096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Special Travel Investment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'!$U$17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'!$U$18:$U$67</c:f>
              <c:numCache>
                <c:formatCode>"CHF"#,##0.00_);[Red]\("CHF"#,##0.00\)</c:formatCode>
                <c:ptCount val="50"/>
                <c:pt idx="0">
                  <c:v>1525.524165810431</c:v>
                </c:pt>
                <c:pt idx="1">
                  <c:v>3058.6934567147691</c:v>
                </c:pt>
                <c:pt idx="2">
                  <c:v>4599.5461860607475</c:v>
                </c:pt>
                <c:pt idx="3">
                  <c:v>6148.120859202214</c:v>
                </c:pt>
                <c:pt idx="4">
                  <c:v>7704.4561744620396</c:v>
                </c:pt>
                <c:pt idx="5">
                  <c:v>9268.591024098143</c:v>
                </c:pt>
                <c:pt idx="6">
                  <c:v>10840.564495276478</c:v>
                </c:pt>
                <c:pt idx="7">
                  <c:v>12420.415871047182</c:v>
                </c:pt>
                <c:pt idx="8">
                  <c:v>14008.18463132629</c:v>
                </c:pt>
                <c:pt idx="9">
                  <c:v>15603.910453882572</c:v>
                </c:pt>
                <c:pt idx="10">
                  <c:v>17207.633215328693</c:v>
                </c:pt>
                <c:pt idx="11">
                  <c:v>18819.392992118203</c:v>
                </c:pt>
                <c:pt idx="12">
                  <c:v>20439.230061546688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BF-824A-AE2C-F78E76997FA0}"/>
            </c:ext>
          </c:extLst>
        </c:ser>
        <c:ser>
          <c:idx val="1"/>
          <c:order val="1"/>
          <c:tx>
            <c:strRef>
              <c:f>'Luxus '!$V$17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'!$V$18:$V$67</c:f>
              <c:numCache>
                <c:formatCode>"CHF"#,##0.00_);[Red]\("CHF"#,##0.00\)</c:formatCode>
                <c:ptCount val="50"/>
                <c:pt idx="0">
                  <c:v>1563.2380463340771</c:v>
                </c:pt>
                <c:pt idx="1">
                  <c:v>3206.454317959538</c:v>
                </c:pt>
                <c:pt idx="2">
                  <c:v>4933.7406526715004</c:v>
                </c:pt>
                <c:pt idx="3">
                  <c:v>6749.3982344525139</c:v>
                </c:pt>
                <c:pt idx="4">
                  <c:v>8657.9483040207997</c:v>
                </c:pt>
                <c:pt idx="5">
                  <c:v>10664.143417350515</c:v>
                </c:pt>
                <c:pt idx="6">
                  <c:v>12772.979280199239</c:v>
                </c:pt>
                <c:pt idx="7">
                  <c:v>14989.707188112361</c:v>
                </c:pt>
                <c:pt idx="8">
                  <c:v>17319.847102881726</c:v>
                </c:pt>
                <c:pt idx="9">
                  <c:v>19769.201398020676</c:v>
                </c:pt>
                <c:pt idx="10">
                  <c:v>22343.869307483703</c:v>
                </c:pt>
                <c:pt idx="11">
                  <c:v>25050.262113610057</c:v>
                </c:pt>
                <c:pt idx="12">
                  <c:v>27895.119112111304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BF-824A-AE2C-F78E76997FA0}"/>
            </c:ext>
          </c:extLst>
        </c:ser>
        <c:ser>
          <c:idx val="2"/>
          <c:order val="2"/>
          <c:tx>
            <c:strRef>
              <c:f>'Luxus '!$W$17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'!$W$18:$W$67</c:f>
              <c:numCache>
                <c:formatCode>"CHF"#,##0.00_);[Red]\("CHF"#,##0.00\)</c:formatCode>
                <c:ptCount val="50"/>
                <c:pt idx="0">
                  <c:v>1571.7607619006149</c:v>
                </c:pt>
                <c:pt idx="1">
                  <c:v>3240.4642883697393</c:v>
                </c:pt>
                <c:pt idx="2">
                  <c:v>5012.0897970020405</c:v>
                </c:pt>
                <c:pt idx="3">
                  <c:v>6892.9852904501167</c:v>
                </c:pt>
                <c:pt idx="4">
                  <c:v>8889.890302279864</c:v>
                </c:pt>
                <c:pt idx="5">
                  <c:v>11009.960045740521</c:v>
                </c:pt>
                <c:pt idx="6">
                  <c:v>13260.791051977962</c:v>
                </c:pt>
                <c:pt idx="7">
                  <c:v>15650.448389556883</c:v>
                </c:pt>
                <c:pt idx="8">
                  <c:v>18187.494562823613</c:v>
                </c:pt>
                <c:pt idx="9">
                  <c:v>20881.020192656644</c:v>
                </c:pt>
                <c:pt idx="10">
                  <c:v>23740.676589538711</c:v>
                </c:pt>
                <c:pt idx="11">
                  <c:v>26776.710335664771</c:v>
                </c:pt>
                <c:pt idx="12">
                  <c:v>29999.999999998672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BF-824A-AE2C-F78E76997FA0}"/>
            </c:ext>
          </c:extLst>
        </c:ser>
        <c:ser>
          <c:idx val="3"/>
          <c:order val="3"/>
          <c:tx>
            <c:strRef>
              <c:f>'Luxus '!$X$17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'!$X$18:$X$67</c:f>
              <c:numCache>
                <c:formatCode>"CHF"#,##0.00_);[Red]\("CHF"#,##0.00\)</c:formatCode>
                <c:ptCount val="50"/>
                <c:pt idx="0">
                  <c:v>1588.9633727382839</c:v>
                </c:pt>
                <c:pt idx="1">
                  <c:v>3309.8099217490453</c:v>
                </c:pt>
                <c:pt idx="2">
                  <c:v>5173.4858856191022</c:v>
                </c:pt>
                <c:pt idx="3">
                  <c:v>7191.8460353393875</c:v>
                </c:pt>
                <c:pt idx="4">
                  <c:v>9377.7290820463877</c:v>
                </c:pt>
                <c:pt idx="5">
                  <c:v>11745.039343568964</c:v>
                </c:pt>
                <c:pt idx="6">
                  <c:v>14308.835189258276</c:v>
                </c:pt>
                <c:pt idx="7">
                  <c:v>17085.424825694943</c:v>
                </c:pt>
                <c:pt idx="8">
                  <c:v>20092.470032562691</c:v>
                </c:pt>
                <c:pt idx="9">
                  <c:v>23349.098508548355</c:v>
                </c:pt>
                <c:pt idx="10">
                  <c:v>26876.025541896124</c:v>
                </c:pt>
                <c:pt idx="11">
                  <c:v>30695.685779557825</c:v>
                </c:pt>
                <c:pt idx="12">
                  <c:v>34832.375933117699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BF-824A-AE2C-F78E76997FA0}"/>
            </c:ext>
          </c:extLst>
        </c:ser>
        <c:ser>
          <c:idx val="4"/>
          <c:order val="4"/>
          <c:tx>
            <c:strRef>
              <c:f>'Luxus '!$Y$17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'!$Y$18:$Y$67</c:f>
              <c:numCache>
                <c:formatCode>_("CHF"* #,##0.00_);_("CHF"* \(#,##0.00\);_("CHF"* "-"??_);_(@_)</c:formatCode>
                <c:ptCount val="50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BF-824A-AE2C-F78E76997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406703"/>
        <c:axId val="2041769919"/>
      </c:scatterChart>
      <c:valAx>
        <c:axId val="208540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1769919"/>
        <c:crosses val="autoZero"/>
        <c:crossBetween val="midCat"/>
      </c:valAx>
      <c:valAx>
        <c:axId val="204176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85406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Watch Investment</a:t>
            </a:r>
            <a:r>
              <a:rPr lang="it-IT" baseline="0"/>
              <a:t> Prediction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'!$AG$17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'!$AG$18:$AG$60</c:f>
              <c:numCache>
                <c:formatCode>"CHF"#,##0.00_);[Red]\("CHF"#,##0.00\)</c:formatCode>
                <c:ptCount val="43"/>
                <c:pt idx="0">
                  <c:v>3608.8862500171463</c:v>
                </c:pt>
                <c:pt idx="1">
                  <c:v>7235.8583405928421</c:v>
                </c:pt>
                <c:pt idx="2">
                  <c:v>10881.00690845178</c:v>
                </c:pt>
                <c:pt idx="3">
                  <c:v>14544.423044541692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D-4E45-8145-6E7655124871}"/>
            </c:ext>
          </c:extLst>
        </c:ser>
        <c:ser>
          <c:idx val="1"/>
          <c:order val="1"/>
          <c:tx>
            <c:strRef>
              <c:f>'Luxus '!$AH$17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'!$AH$18:$AH$60</c:f>
              <c:numCache>
                <c:formatCode>"CHF"#,##0.00_);[Red]\("CHF"#,##0.00\)</c:formatCode>
                <c:ptCount val="43"/>
                <c:pt idx="0">
                  <c:v>3628.5010453989853</c:v>
                </c:pt>
                <c:pt idx="1">
                  <c:v>7311.8053591646085</c:v>
                </c:pt>
                <c:pt idx="2">
                  <c:v>11050.740665524094</c:v>
                </c:pt>
                <c:pt idx="3">
                  <c:v>14846.147190283735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0D-4E45-8145-6E7655124871}"/>
            </c:ext>
          </c:extLst>
        </c:ser>
        <c:ser>
          <c:idx val="2"/>
          <c:order val="2"/>
          <c:tx>
            <c:strRef>
              <c:f>'Luxus '!$AI$17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'!$AI$18:$AI$60</c:f>
              <c:numCache>
                <c:formatCode>"CHF"#,##0.00_);[Red]\("CHF"#,##0.00\)</c:formatCode>
                <c:ptCount val="43"/>
                <c:pt idx="0">
                  <c:v>3638.3534935929451</c:v>
                </c:pt>
                <c:pt idx="1">
                  <c:v>7350.1448081956742</c:v>
                </c:pt>
                <c:pt idx="2">
                  <c:v>11136.856238907782</c:v>
                </c:pt>
                <c:pt idx="3">
                  <c:v>15000.000000000653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0D-4E45-8145-6E7655124871}"/>
            </c:ext>
          </c:extLst>
        </c:ser>
        <c:ser>
          <c:idx val="3"/>
          <c:order val="3"/>
          <c:tx>
            <c:strRef>
              <c:f>'Luxus '!$AJ$17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'!$AJ$18:$AJ$60</c:f>
              <c:numCache>
                <c:formatCode>"CHF"#,##0.00_);[Red]\("CHF"#,##0.00\)</c:formatCode>
                <c:ptCount val="43"/>
                <c:pt idx="0">
                  <c:v>3658.1489612786104</c:v>
                </c:pt>
                <c:pt idx="1">
                  <c:v>7427.5640237466523</c:v>
                </c:pt>
                <c:pt idx="2">
                  <c:v>11311.629452343886</c:v>
                </c:pt>
                <c:pt idx="3">
                  <c:v>15313.832447666548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0D-4E45-8145-6E7655124871}"/>
            </c:ext>
          </c:extLst>
        </c:ser>
        <c:ser>
          <c:idx val="4"/>
          <c:order val="4"/>
          <c:tx>
            <c:strRef>
              <c:f>'Luxus '!$AK$17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'!$AK$18:$AK$60</c:f>
              <c:numCache>
                <c:formatCode>_("CHF"* #,##0.00_);_("CHF"* \(#,##0.00\);_("CHF"* "-"??_);_(@_)</c:formatCode>
                <c:ptCount val="43"/>
                <c:pt idx="0">
                  <c:v>15000</c:v>
                </c:pt>
                <c:pt idx="1">
                  <c:v>15000</c:v>
                </c:pt>
                <c:pt idx="2">
                  <c:v>15000</c:v>
                </c:pt>
                <c:pt idx="3">
                  <c:v>15000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0D-4E45-8145-6E7655124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70847"/>
        <c:axId val="302172559"/>
      </c:scatterChart>
      <c:valAx>
        <c:axId val="30217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02172559"/>
        <c:crosses val="autoZero"/>
        <c:crossBetween val="midCat"/>
      </c:valAx>
      <c:valAx>
        <c:axId val="3021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02170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Wedding</a:t>
            </a:r>
            <a:r>
              <a:rPr lang="it-IT" baseline="0"/>
              <a:t> Investment Scenario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'!$AS$17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'!$AS$18:$AS$60</c:f>
              <c:numCache>
                <c:formatCode>"CHF"#,##0.00_);[Red]\("CHF"#,##0.00\)</c:formatCode>
                <c:ptCount val="43"/>
                <c:pt idx="0">
                  <c:v>3240.4892122152655</c:v>
                </c:pt>
                <c:pt idx="1">
                  <c:v>6497.2180527157252</c:v>
                </c:pt>
                <c:pt idx="2">
                  <c:v>9770.2679059807579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D7-3746-9973-D81449C6272B}"/>
            </c:ext>
          </c:extLst>
        </c:ser>
        <c:ser>
          <c:idx val="1"/>
          <c:order val="1"/>
          <c:tx>
            <c:strRef>
              <c:f>'Luxus '!$AT$17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'!$AT$18:$AT$60</c:f>
              <c:numCache>
                <c:formatCode>"CHF"#,##0.00_);[Red]\("CHF"#,##0.00\)</c:formatCode>
                <c:ptCount val="43"/>
                <c:pt idx="0">
                  <c:v>3258.1017187979705</c:v>
                </c:pt>
                <c:pt idx="1">
                  <c:v>6565.4123590285253</c:v>
                </c:pt>
                <c:pt idx="2">
                  <c:v>9922.6751503872511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D7-3746-9973-D81449C6272B}"/>
            </c:ext>
          </c:extLst>
        </c:ser>
        <c:ser>
          <c:idx val="2"/>
          <c:order val="2"/>
          <c:tx>
            <c:strRef>
              <c:f>'Luxus '!$AU$17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'!$AU$18:$AU$60</c:f>
              <c:numCache>
                <c:formatCode>"CHF"#,##0.00_);[Red]\("CHF"#,##0.00\)</c:formatCode>
                <c:ptCount val="43"/>
                <c:pt idx="0">
                  <c:v>3266.9484238129276</c:v>
                </c:pt>
                <c:pt idx="1">
                  <c:v>6599.8380966052791</c:v>
                </c:pt>
                <c:pt idx="2">
                  <c:v>10000.000000000409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D7-3746-9973-D81449C6272B}"/>
            </c:ext>
          </c:extLst>
        </c:ser>
        <c:ser>
          <c:idx val="3"/>
          <c:order val="3"/>
          <c:tx>
            <c:strRef>
              <c:f>'Luxus '!$AV$17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'!$AV$18:$AV$60</c:f>
              <c:numCache>
                <c:formatCode>"CHF"#,##0.00_);[Red]\("CHF"#,##0.00\)</c:formatCode>
                <c:ptCount val="43"/>
                <c:pt idx="0">
                  <c:v>3284.7231595740918</c:v>
                </c:pt>
                <c:pt idx="1">
                  <c:v>6669.3543172425798</c:v>
                </c:pt>
                <c:pt idx="2">
                  <c:v>10156.93227037086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D7-3746-9973-D81449C6272B}"/>
            </c:ext>
          </c:extLst>
        </c:ser>
        <c:ser>
          <c:idx val="4"/>
          <c:order val="4"/>
          <c:tx>
            <c:strRef>
              <c:f>'Luxus '!$AW$17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'!$AW$18:$AW$60</c:f>
              <c:numCache>
                <c:formatCode>_("CHF"* #,##0.00_);_("CHF"* \(#,##0.00\);_("CHF"* "-"??_);_(@_)</c:formatCode>
                <c:ptCount val="4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D7-3746-9973-D81449C62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48959"/>
        <c:axId val="345484784"/>
      </c:scatterChart>
      <c:valAx>
        <c:axId val="196794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45484784"/>
        <c:crosses val="autoZero"/>
        <c:crossBetween val="midCat"/>
      </c:valAx>
      <c:valAx>
        <c:axId val="3454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967948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House</a:t>
            </a:r>
            <a:r>
              <a:rPr lang="it-IT" baseline="0"/>
              <a:t> investment scenario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'House calculator '!$L$3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'!$L$4:$L$46</c:f>
              <c:numCache>
                <c:formatCode>_("CHF"* #,##0.00_);_("CHF"* \(#,##0.00\);_("CHF"* "-"??_);_(@_)</c:formatCode>
                <c:ptCount val="43"/>
                <c:pt idx="0">
                  <c:v>59453.833257247941</c:v>
                </c:pt>
                <c:pt idx="1">
                  <c:v>119205.61786967647</c:v>
                </c:pt>
                <c:pt idx="2">
                  <c:v>179256.84701283713</c:v>
                </c:pt>
                <c:pt idx="3">
                  <c:v>239609.02134528288</c:v>
                </c:pt>
                <c:pt idx="4">
                  <c:v>300263.6490460952</c:v>
                </c:pt>
                <c:pt idx="5">
                  <c:v>361222.24585253309</c:v>
                </c:pt>
                <c:pt idx="6">
                  <c:v>422486.33509795228</c:v>
                </c:pt>
                <c:pt idx="7">
                  <c:v>484057.44774984923</c:v>
                </c:pt>
                <c:pt idx="8">
                  <c:v>545937.12244812073</c:v>
                </c:pt>
                <c:pt idx="9">
                  <c:v>608126.90554352349</c:v>
                </c:pt>
                <c:pt idx="10">
                  <c:v>670628.35113630292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F5-4A49-9AC3-A0EEE88B5369}"/>
            </c:ext>
          </c:extLst>
        </c:ser>
        <c:ser>
          <c:idx val="1"/>
          <c:order val="1"/>
          <c:tx>
            <c:strRef>
              <c:f>'House calculator '!$M$3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'!$M$4:$M$46</c:f>
              <c:numCache>
                <c:formatCode>_("CHF"* #,##0.00_);_("CHF"* \(#,##0.00\);_("CHF"* "-"??_);_(@_)</c:formatCode>
                <c:ptCount val="43"/>
                <c:pt idx="0">
                  <c:v>60923.645938284986</c:v>
                </c:pt>
                <c:pt idx="1">
                  <c:v>124964.26122864736</c:v>
                </c:pt>
                <c:pt idx="2">
                  <c:v>192281.31593877851</c:v>
                </c:pt>
                <c:pt idx="3">
                  <c:v>263042.43892768864</c:v>
                </c:pt>
                <c:pt idx="4">
                  <c:v>337423.83526495402</c:v>
                </c:pt>
                <c:pt idx="5">
                  <c:v>415610.72500592738</c:v>
                </c:pt>
                <c:pt idx="6">
                  <c:v>497797.80441551877</c:v>
                </c:pt>
                <c:pt idx="7">
                  <c:v>584189.7307890614</c:v>
                </c:pt>
                <c:pt idx="8">
                  <c:v>675001.63207753364</c:v>
                </c:pt>
                <c:pt idx="9">
                  <c:v>770459.64258617279</c:v>
                </c:pt>
                <c:pt idx="10">
                  <c:v>870801.46608044824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F5-4A49-9AC3-A0EEE88B5369}"/>
            </c:ext>
          </c:extLst>
        </c:ser>
        <c:ser>
          <c:idx val="2"/>
          <c:order val="2"/>
          <c:tx>
            <c:strRef>
              <c:f>'House calculator '!$N$3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'!$N$4:$N$46</c:f>
              <c:numCache>
                <c:formatCode>_("CHF"* #,##0.00_);_("CHF"* \(#,##0.00\);_("CHF"* "-"??_);_(@_)</c:formatCode>
                <c:ptCount val="43"/>
                <c:pt idx="0">
                  <c:v>61255.799385308681</c:v>
                </c:pt>
                <c:pt idx="1">
                  <c:v>126289.722440714</c:v>
                </c:pt>
                <c:pt idx="2">
                  <c:v>195334.79556714045</c:v>
                </c:pt>
                <c:pt idx="3">
                  <c:v>268638.41772402939</c:v>
                </c:pt>
                <c:pt idx="4">
                  <c:v>346463.2468972971</c:v>
                </c:pt>
                <c:pt idx="5">
                  <c:v>429088.1412427004</c:v>
                </c:pt>
                <c:pt idx="6">
                  <c:v>516809.15827686351</c:v>
                </c:pt>
                <c:pt idx="7">
                  <c:v>609940.61569622182</c:v>
                </c:pt>
                <c:pt idx="8">
                  <c:v>708816.21762495779</c:v>
                </c:pt>
                <c:pt idx="9">
                  <c:v>813790.2503274437</c:v>
                </c:pt>
                <c:pt idx="10">
                  <c:v>925238.85166961083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5-4A49-9AC3-A0EEE88B5369}"/>
            </c:ext>
          </c:extLst>
        </c:ser>
        <c:ser>
          <c:idx val="3"/>
          <c:order val="3"/>
          <c:tx>
            <c:strRef>
              <c:f>'House calculator '!$O$3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'!$O$4:$O$46</c:f>
              <c:numCache>
                <c:formatCode>_("CHF"* #,##0.00_);_("CHF"* \(#,##0.00\);_("CHF"* "-"??_);_(@_)</c:formatCode>
                <c:ptCount val="43"/>
                <c:pt idx="0">
                  <c:v>61926.232000703378</c:v>
                </c:pt>
                <c:pt idx="1">
                  <c:v>128992.31071591267</c:v>
                </c:pt>
                <c:pt idx="2">
                  <c:v>201624.84088799782</c:v>
                </c:pt>
                <c:pt idx="3">
                  <c:v>280285.83524254779</c:v>
                </c:pt>
                <c:pt idx="4">
                  <c:v>365475.65333351365</c:v>
                </c:pt>
                <c:pt idx="5">
                  <c:v>457736.18431105115</c:v>
                </c:pt>
                <c:pt idx="6">
                  <c:v>557654.29385752336</c:v>
                </c:pt>
                <c:pt idx="7">
                  <c:v>665865.55721749156</c:v>
                </c:pt>
                <c:pt idx="8">
                  <c:v>783058.30206735444</c:v>
                </c:pt>
                <c:pt idx="9">
                  <c:v>909977.9869411746</c:v>
                </c:pt>
                <c:pt idx="10">
                  <c:v>1047431.9430636864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5-4A49-9AC3-A0EEE88B5369}"/>
            </c:ext>
          </c:extLst>
        </c:ser>
        <c:ser>
          <c:idx val="4"/>
          <c:order val="4"/>
          <c:tx>
            <c:strRef>
              <c:f>'House calculator '!$P$3</c:f>
              <c:strCache>
                <c:ptCount val="1"/>
                <c:pt idx="0">
                  <c:v>Expected capital2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'!$P$4:$P$46</c:f>
              <c:numCache>
                <c:formatCode>_("CHF"* #,##0.00_);_("CHF"* \(#,##0.00\);_("CHF"* "-"??_);_(@_)</c:formatCode>
                <c:ptCount val="43"/>
                <c:pt idx="0">
                  <c:v>925238.85166964959</c:v>
                </c:pt>
                <c:pt idx="1">
                  <c:v>925238.85166964959</c:v>
                </c:pt>
                <c:pt idx="2">
                  <c:v>925238.85166964959</c:v>
                </c:pt>
                <c:pt idx="3">
                  <c:v>925238.85166964959</c:v>
                </c:pt>
                <c:pt idx="4">
                  <c:v>925238.85166964959</c:v>
                </c:pt>
                <c:pt idx="5">
                  <c:v>925238.85166964959</c:v>
                </c:pt>
                <c:pt idx="6">
                  <c:v>925238.85166964959</c:v>
                </c:pt>
                <c:pt idx="7">
                  <c:v>925238.85166964959</c:v>
                </c:pt>
                <c:pt idx="8">
                  <c:v>925238.85166964959</c:v>
                </c:pt>
                <c:pt idx="9">
                  <c:v>925238.85166964959</c:v>
                </c:pt>
                <c:pt idx="10">
                  <c:v>925238.85166964959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5-4A49-9AC3-A0EEE88B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467695"/>
        <c:axId val="1494143951"/>
      </c:scatterChart>
      <c:valAx>
        <c:axId val="149346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94143951"/>
        <c:crosses val="autoZero"/>
        <c:crossBetween val="midCat"/>
      </c:valAx>
      <c:valAx>
        <c:axId val="14941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93467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Income,</a:t>
            </a:r>
            <a:r>
              <a:rPr lang="it-IT" baseline="0"/>
              <a:t> costs and wealth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Timeline'!$B$8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Timeline'!$C$9:$BC$9</c:f>
              <c:numCache>
                <c:formatCode>_("CHF"* #,##0.00_);_("CHF"* \(#,##0.00\);_("CHF"* "-"??_);_(@_)</c:formatCode>
                <c:ptCount val="53"/>
                <c:pt idx="0">
                  <c:v>100000</c:v>
                </c:pt>
                <c:pt idx="1">
                  <c:v>103713.74335979213</c:v>
                </c:pt>
                <c:pt idx="2">
                  <c:v>107523.2132099712</c:v>
                </c:pt>
                <c:pt idx="3">
                  <c:v>111431.18112786009</c:v>
                </c:pt>
                <c:pt idx="4">
                  <c:v>115440.50142539543</c:v>
                </c:pt>
                <c:pt idx="5">
                  <c:v>119554.11363698088</c:v>
                </c:pt>
                <c:pt idx="6">
                  <c:v>123775.04508227963</c:v>
                </c:pt>
                <c:pt idx="7">
                  <c:v>128106.41350620333</c:v>
                </c:pt>
                <c:pt idx="8">
                  <c:v>132551.42979842433</c:v>
                </c:pt>
                <c:pt idx="9">
                  <c:v>137113.40079480727</c:v>
                </c:pt>
                <c:pt idx="10">
                  <c:v>141795.73216322847</c:v>
                </c:pt>
                <c:pt idx="11">
                  <c:v>146601.93137632645</c:v>
                </c:pt>
                <c:pt idx="12">
                  <c:v>151535.61077380291</c:v>
                </c:pt>
                <c:pt idx="13">
                  <c:v>156600.4907169728</c:v>
                </c:pt>
                <c:pt idx="14">
                  <c:v>161800.40283834317</c:v>
                </c:pt>
                <c:pt idx="15">
                  <c:v>167139.29338908469</c:v>
                </c:pt>
                <c:pt idx="16">
                  <c:v>172621.22668734577</c:v>
                </c:pt>
                <c:pt idx="17">
                  <c:v>178250.38867044792</c:v>
                </c:pt>
                <c:pt idx="18">
                  <c:v>184031.09055409278</c:v>
                </c:pt>
                <c:pt idx="19">
                  <c:v>189967.7726018058</c:v>
                </c:pt>
                <c:pt idx="20">
                  <c:v>196065.00800793851</c:v>
                </c:pt>
                <c:pt idx="21">
                  <c:v>202327.50689765107</c:v>
                </c:pt>
                <c:pt idx="22">
                  <c:v>208760.12044740084</c:v>
                </c:pt>
                <c:pt idx="23">
                  <c:v>215367.8451295679</c:v>
                </c:pt>
                <c:pt idx="24">
                  <c:v>222155.82708495855</c:v>
                </c:pt>
                <c:pt idx="25">
                  <c:v>229129.36662704084</c:v>
                </c:pt>
                <c:pt idx="26">
                  <c:v>236293.92288188101</c:v>
                </c:pt>
                <c:pt idx="27">
                  <c:v>243655.11856787093</c:v>
                </c:pt>
                <c:pt idx="28">
                  <c:v>251218.74491945893</c:v>
                </c:pt>
                <c:pt idx="29">
                  <c:v>258990.7667592236</c:v>
                </c:pt>
                <c:pt idx="30">
                  <c:v>266977.32772276056</c:v>
                </c:pt>
                <c:pt idx="31">
                  <c:v>275184.75564098835</c:v>
                </c:pt>
                <c:pt idx="32">
                  <c:v>283619.56808461575</c:v>
                </c:pt>
                <c:pt idx="33">
                  <c:v>292288.47807565867</c:v>
                </c:pt>
                <c:pt idx="34">
                  <c:v>301198.39997104026</c:v>
                </c:pt>
                <c:pt idx="35">
                  <c:v>310356.45552345959</c:v>
                </c:pt>
                <c:pt idx="36">
                  <c:v>319769.98012487195</c:v>
                </c:pt>
                <c:pt idx="37">
                  <c:v>329446.52923808293</c:v>
                </c:pt>
                <c:pt idx="38">
                  <c:v>107583.77781328086</c:v>
                </c:pt>
                <c:pt idx="39">
                  <c:v>107583.77781328086</c:v>
                </c:pt>
                <c:pt idx="40">
                  <c:v>107583.77781328086</c:v>
                </c:pt>
                <c:pt idx="41">
                  <c:v>107583.77781328086</c:v>
                </c:pt>
                <c:pt idx="42">
                  <c:v>107583.77781328086</c:v>
                </c:pt>
                <c:pt idx="43">
                  <c:v>107583.77781328086</c:v>
                </c:pt>
                <c:pt idx="44">
                  <c:v>107583.77781328086</c:v>
                </c:pt>
                <c:pt idx="45">
                  <c:v>107583.77781328086</c:v>
                </c:pt>
                <c:pt idx="46">
                  <c:v>107583.77781328086</c:v>
                </c:pt>
                <c:pt idx="47">
                  <c:v>107583.77781328086</c:v>
                </c:pt>
                <c:pt idx="48">
                  <c:v>107583.77781328086</c:v>
                </c:pt>
                <c:pt idx="49">
                  <c:v>107583.77781328086</c:v>
                </c:pt>
                <c:pt idx="50">
                  <c:v>107583.77781328086</c:v>
                </c:pt>
                <c:pt idx="51">
                  <c:v>107583.77781328086</c:v>
                </c:pt>
                <c:pt idx="52">
                  <c:v>107583.77781328086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E-A642-988F-8A8EFB559813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E-A642-988F-8A8EFB559813}"/>
            </c:ext>
          </c:extLst>
        </c:ser>
        <c:ser>
          <c:idx val="2"/>
          <c:order val="2"/>
          <c:tx>
            <c:strRef>
              <c:f>'CF Timeline'!$B$38</c:f>
              <c:strCache>
                <c:ptCount val="1"/>
                <c:pt idx="0">
                  <c:v>Costs + Investments</c:v>
                </c:pt>
              </c:strCache>
            </c:strRef>
          </c:tx>
          <c:spPr>
            <a:ln w="28575" cap="rnd">
              <a:solidFill>
                <a:srgbClr val="FFC000">
                  <a:alpha val="69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Timeline'!$C$38:$BC$38</c:f>
              <c:numCache>
                <c:formatCode>_("CHF"* #,##0.00_);_("CHF"* \(#,##0.00\);_("CHF"* "-"??_);_(@_)</c:formatCode>
                <c:ptCount val="53"/>
                <c:pt idx="0">
                  <c:v>135229.78884359368</c:v>
                </c:pt>
                <c:pt idx="1">
                  <c:v>137009.41526129091</c:v>
                </c:pt>
                <c:pt idx="2">
                  <c:v>138831.67773338448</c:v>
                </c:pt>
                <c:pt idx="3">
                  <c:v>136735.00627242512</c:v>
                </c:pt>
                <c:pt idx="4">
                  <c:v>149472.39395078612</c:v>
                </c:pt>
                <c:pt idx="5">
                  <c:v>151804.10992678275</c:v>
                </c:pt>
                <c:pt idx="6">
                  <c:v>165877.08075612722</c:v>
                </c:pt>
                <c:pt idx="7">
                  <c:v>168705.50635115834</c:v>
                </c:pt>
                <c:pt idx="8">
                  <c:v>182974.14098818009</c:v>
                </c:pt>
                <c:pt idx="9">
                  <c:v>188956.02628932527</c:v>
                </c:pt>
                <c:pt idx="10">
                  <c:v>220693.54041230952</c:v>
                </c:pt>
                <c:pt idx="11">
                  <c:v>166209.06387686273</c:v>
                </c:pt>
                <c:pt idx="12">
                  <c:v>169192.26910668798</c:v>
                </c:pt>
                <c:pt idx="13">
                  <c:v>175371.01057019533</c:v>
                </c:pt>
                <c:pt idx="14">
                  <c:v>178618.08262091517</c:v>
                </c:pt>
                <c:pt idx="15">
                  <c:v>181946.09454891967</c:v>
                </c:pt>
                <c:pt idx="16">
                  <c:v>185357.26398752377</c:v>
                </c:pt>
                <c:pt idx="17">
                  <c:v>198124.48140953787</c:v>
                </c:pt>
                <c:pt idx="18">
                  <c:v>201951.10099854073</c:v>
                </c:pt>
                <c:pt idx="19">
                  <c:v>215481.24100670408</c:v>
                </c:pt>
                <c:pt idx="20">
                  <c:v>219754.62187357162</c:v>
                </c:pt>
                <c:pt idx="21">
                  <c:v>234823.113560089</c:v>
                </c:pt>
                <c:pt idx="22">
                  <c:v>240969.00465286223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E-A642-988F-8A8EFB559813}"/>
            </c:ext>
          </c:extLst>
        </c:ser>
        <c:ser>
          <c:idx val="3"/>
          <c:order val="3"/>
          <c:tx>
            <c:strRef>
              <c:f>'CF Timeline'!$B$48</c:f>
              <c:strCache>
                <c:ptCount val="1"/>
                <c:pt idx="0">
                  <c:v>Total liquid Wealth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'CF Timeline'!$C$48:$BC$48</c:f>
              <c:numCache>
                <c:formatCode>_("CHF"* #,##0.00_);_("CHF"* \(#,##0.00\);_("CHF"* "-"??_);_(@_)</c:formatCode>
                <c:ptCount val="53"/>
                <c:pt idx="0">
                  <c:v>165205.17571203335</c:v>
                </c:pt>
                <c:pt idx="1">
                  <c:v>232382.55565810885</c:v>
                </c:pt>
                <c:pt idx="2">
                  <c:v>291580.65088821313</c:v>
                </c:pt>
                <c:pt idx="3">
                  <c:v>346858.06783073838</c:v>
                </c:pt>
                <c:pt idx="4">
                  <c:v>404580.66372564796</c:v>
                </c:pt>
                <c:pt idx="5">
                  <c:v>464013.35403504147</c:v>
                </c:pt>
                <c:pt idx="6">
                  <c:v>513514.45319956518</c:v>
                </c:pt>
                <c:pt idx="7">
                  <c:v>564514.36218189285</c:v>
                </c:pt>
                <c:pt idx="8">
                  <c:v>605569.33660294511</c:v>
                </c:pt>
                <c:pt idx="9">
                  <c:v>644972.16823441652</c:v>
                </c:pt>
                <c:pt idx="10">
                  <c:v>-730791.16061494767</c:v>
                </c:pt>
                <c:pt idx="11">
                  <c:v>-721569.14270881913</c:v>
                </c:pt>
                <c:pt idx="12">
                  <c:v>-740777.17920608202</c:v>
                </c:pt>
                <c:pt idx="13">
                  <c:v>-734119.38114307472</c:v>
                </c:pt>
                <c:pt idx="14">
                  <c:v>-725966.01859363378</c:v>
                </c:pt>
                <c:pt idx="15">
                  <c:v>-716278.3471311524</c:v>
                </c:pt>
                <c:pt idx="16">
                  <c:v>-705016.51628638385</c:v>
                </c:pt>
                <c:pt idx="17">
                  <c:v>-700780.68412832846</c:v>
                </c:pt>
                <c:pt idx="18">
                  <c:v>-695114.81681265507</c:v>
                </c:pt>
                <c:pt idx="19">
                  <c:v>-697588.71695627482</c:v>
                </c:pt>
                <c:pt idx="20">
                  <c:v>-698808.18924660655</c:v>
                </c:pt>
                <c:pt idx="21">
                  <c:v>-709427.08380508656</c:v>
                </c:pt>
                <c:pt idx="22">
                  <c:v>-818619.32968857372</c:v>
                </c:pt>
                <c:pt idx="23">
                  <c:v>-789255.8804654429</c:v>
                </c:pt>
                <c:pt idx="24">
                  <c:v>-757879.18807488622</c:v>
                </c:pt>
                <c:pt idx="25">
                  <c:v>-687844.84157265711</c:v>
                </c:pt>
                <c:pt idx="26">
                  <c:v>-614762.63526440458</c:v>
                </c:pt>
                <c:pt idx="27">
                  <c:v>-499632.85917065316</c:v>
                </c:pt>
                <c:pt idx="28">
                  <c:v>-380305.87111514364</c:v>
                </c:pt>
                <c:pt idx="29">
                  <c:v>-256671.00748175301</c:v>
                </c:pt>
                <c:pt idx="30">
                  <c:v>-128614.46429400303</c:v>
                </c:pt>
                <c:pt idx="31">
                  <c:v>3980.793618795753</c:v>
                </c:pt>
                <c:pt idx="32">
                  <c:v>141235.12610044621</c:v>
                </c:pt>
                <c:pt idx="33">
                  <c:v>270261.56195633824</c:v>
                </c:pt>
                <c:pt idx="34">
                  <c:v>403830.49697669031</c:v>
                </c:pt>
                <c:pt idx="35">
                  <c:v>542064.23177761526</c:v>
                </c:pt>
                <c:pt idx="36">
                  <c:v>685088.57977638568</c:v>
                </c:pt>
                <c:pt idx="37">
                  <c:v>833032.96973689669</c:v>
                </c:pt>
                <c:pt idx="38">
                  <c:v>916404.26566007431</c:v>
                </c:pt>
                <c:pt idx="39">
                  <c:v>960667.81879034988</c:v>
                </c:pt>
                <c:pt idx="40">
                  <c:v>1004603.8988453837</c:v>
                </c:pt>
                <c:pt idx="41">
                  <c:v>1048205.9238551161</c:v>
                </c:pt>
                <c:pt idx="42">
                  <c:v>1091467.1795566883</c:v>
                </c:pt>
                <c:pt idx="43">
                  <c:v>1134380.816735453</c:v>
                </c:pt>
                <c:pt idx="44">
                  <c:v>1176939.8485125422</c:v>
                </c:pt>
                <c:pt idx="45">
                  <c:v>1219137.1475779165</c:v>
                </c:pt>
                <c:pt idx="46">
                  <c:v>1260965.4433678011</c:v>
                </c:pt>
                <c:pt idx="47">
                  <c:v>1302417.3191853904</c:v>
                </c:pt>
                <c:pt idx="48">
                  <c:v>1343485.2092636798</c:v>
                </c:pt>
                <c:pt idx="49">
                  <c:v>1384161.3957692645</c:v>
                </c:pt>
                <c:pt idx="50">
                  <c:v>1424438.0057459148</c:v>
                </c:pt>
                <c:pt idx="51">
                  <c:v>1464307.0079967207</c:v>
                </c:pt>
                <c:pt idx="52">
                  <c:v>1503760.2099035701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1E-A642-988F-8A8EFB55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 and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Timeline'!$B$15</c:f>
              <c:strCache>
                <c:ptCount val="1"/>
                <c:pt idx="0">
                  <c:v>Total Income after Tax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Timeline'!$C$15:$BC$15</c:f>
              <c:numCache>
                <c:formatCode>_("CHF"* #,##0.00_);_("CHF"* \(#,##0.00\);_("CHF"* "-"??_);_(@_)</c:formatCode>
                <c:ptCount val="53"/>
                <c:pt idx="0">
                  <c:v>128357.79454376595</c:v>
                </c:pt>
                <c:pt idx="1">
                  <c:v>132109.6251955053</c:v>
                </c:pt>
                <c:pt idx="2">
                  <c:v>135952.60295162769</c:v>
                </c:pt>
                <c:pt idx="3">
                  <c:v>138138.73038536203</c:v>
                </c:pt>
                <c:pt idx="4">
                  <c:v>141889.29337892041</c:v>
                </c:pt>
                <c:pt idx="5">
                  <c:v>145931.10376940097</c:v>
                </c:pt>
                <c:pt idx="6">
                  <c:v>150072.48345387564</c:v>
                </c:pt>
                <c:pt idx="7">
                  <c:v>154399.71886671067</c:v>
                </c:pt>
                <c:pt idx="8">
                  <c:v>158723.41894245712</c:v>
                </c:pt>
                <c:pt idx="9">
                  <c:v>163053.16145402132</c:v>
                </c:pt>
                <c:pt idx="10">
                  <c:v>167482.79260064446</c:v>
                </c:pt>
                <c:pt idx="11">
                  <c:v>171924.80666121817</c:v>
                </c:pt>
                <c:pt idx="12">
                  <c:v>176477.95748765202</c:v>
                </c:pt>
                <c:pt idx="13">
                  <c:v>180021.40441727912</c:v>
                </c:pt>
                <c:pt idx="14">
                  <c:v>184764.04095443262</c:v>
                </c:pt>
                <c:pt idx="15">
                  <c:v>189626.36179547763</c:v>
                </c:pt>
                <c:pt idx="16">
                  <c:v>194611.69061636878</c:v>
                </c:pt>
                <c:pt idx="17">
                  <c:v>200352.90935166978</c:v>
                </c:pt>
                <c:pt idx="18">
                  <c:v>205609.56409829063</c:v>
                </c:pt>
                <c:pt idx="19">
                  <c:v>210999.93664716085</c:v>
                </c:pt>
                <c:pt idx="20">
                  <c:v>216527.74536731641</c:v>
                </c:pt>
                <c:pt idx="21">
                  <c:v>222196.81478568556</c:v>
                </c:pt>
                <c:pt idx="22">
                  <c:v>229769.35455345162</c:v>
                </c:pt>
                <c:pt idx="23">
                  <c:v>232947.82911708066</c:v>
                </c:pt>
                <c:pt idx="24">
                  <c:v>238839.21427720843</c:v>
                </c:pt>
                <c:pt idx="25">
                  <c:v>244882.71144671756</c:v>
                </c:pt>
                <c:pt idx="26">
                  <c:v>251082.57431910356</c:v>
                </c:pt>
                <c:pt idx="27">
                  <c:v>258105.96361627759</c:v>
                </c:pt>
                <c:pt idx="28">
                  <c:v>264647.99133348122</c:v>
                </c:pt>
                <c:pt idx="29">
                  <c:v>271360.13270303776</c:v>
                </c:pt>
                <c:pt idx="30">
                  <c:v>278247.15211639571</c:v>
                </c:pt>
                <c:pt idx="31">
                  <c:v>285313.95042315876</c:v>
                </c:pt>
                <c:pt idx="32">
                  <c:v>292565.56887695473</c:v>
                </c:pt>
                <c:pt idx="33">
                  <c:v>280901.83062223194</c:v>
                </c:pt>
                <c:pt idx="34">
                  <c:v>287998.91746161284</c:v>
                </c:pt>
                <c:pt idx="35">
                  <c:v>295284.17141610594</c:v>
                </c:pt>
                <c:pt idx="36">
                  <c:v>302762.92318292928</c:v>
                </c:pt>
                <c:pt idx="37">
                  <c:v>310440.65750510222</c:v>
                </c:pt>
                <c:pt idx="38">
                  <c:v>195129.17368879728</c:v>
                </c:pt>
                <c:pt idx="39">
                  <c:v>144541.08338026484</c:v>
                </c:pt>
                <c:pt idx="40">
                  <c:v>144541.08338026484</c:v>
                </c:pt>
                <c:pt idx="41">
                  <c:v>144541.08338026484</c:v>
                </c:pt>
                <c:pt idx="42">
                  <c:v>144541.08338026484</c:v>
                </c:pt>
                <c:pt idx="43">
                  <c:v>144541.08338026484</c:v>
                </c:pt>
                <c:pt idx="44">
                  <c:v>144541.08338026484</c:v>
                </c:pt>
                <c:pt idx="45">
                  <c:v>144541.08338026484</c:v>
                </c:pt>
                <c:pt idx="46">
                  <c:v>144541.08338026484</c:v>
                </c:pt>
                <c:pt idx="47">
                  <c:v>144541.08338026484</c:v>
                </c:pt>
                <c:pt idx="48">
                  <c:v>144541.08338026484</c:v>
                </c:pt>
                <c:pt idx="49">
                  <c:v>144541.08338026484</c:v>
                </c:pt>
                <c:pt idx="50">
                  <c:v>144541.08338026484</c:v>
                </c:pt>
                <c:pt idx="51">
                  <c:v>144541.08338026484</c:v>
                </c:pt>
                <c:pt idx="52">
                  <c:v>144541.08338026484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4-DF41-985F-CF0594724875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4-DF41-985F-CF0594724875}"/>
            </c:ext>
          </c:extLst>
        </c:ser>
        <c:ser>
          <c:idx val="3"/>
          <c:order val="2"/>
          <c:tx>
            <c:strRef>
              <c:f>'CF Timeline'!$B$13</c:f>
              <c:strCache>
                <c:ptCount val="1"/>
                <c:pt idx="0">
                  <c:v>Tot income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'CF Timeline'!$C$13:$BC$13</c:f>
              <c:numCache>
                <c:formatCode>_("CHF"* #,##0.00_);_("CHF"* \(#,##0.00\);_("CHF"* "-"??_);_(@_)</c:formatCode>
                <c:ptCount val="53"/>
                <c:pt idx="0">
                  <c:v>153996.1</c:v>
                </c:pt>
                <c:pt idx="1">
                  <c:v>159231.25895226764</c:v>
                </c:pt>
                <c:pt idx="2">
                  <c:v>164593.67296179873</c:v>
                </c:pt>
                <c:pt idx="3">
                  <c:v>168336.33740688639</c:v>
                </c:pt>
                <c:pt idx="4">
                  <c:v>173884.97068743972</c:v>
                </c:pt>
                <c:pt idx="5">
                  <c:v>179569.89912761591</c:v>
                </c:pt>
                <c:pt idx="6">
                  <c:v>185394.87778022594</c:v>
                </c:pt>
                <c:pt idx="7">
                  <c:v>189839.07245252165</c:v>
                </c:pt>
                <c:pt idx="8">
                  <c:v>195889.17235633256</c:v>
                </c:pt>
                <c:pt idx="9">
                  <c:v>202089.48747879834</c:v>
                </c:pt>
                <c:pt idx="10">
                  <c:v>208444.16848157006</c:v>
                </c:pt>
                <c:pt idx="11">
                  <c:v>214957.48434071714</c:v>
                </c:pt>
                <c:pt idx="12">
                  <c:v>221633.82575915565</c:v>
                </c:pt>
                <c:pt idx="13">
                  <c:v>227353.79183962359</c:v>
                </c:pt>
                <c:pt idx="14">
                  <c:v>234327.75700462525</c:v>
                </c:pt>
                <c:pt idx="15">
                  <c:v>241477.73921103965</c:v>
                </c:pt>
                <c:pt idx="16">
                  <c:v>248808.62896186803</c:v>
                </c:pt>
                <c:pt idx="17">
                  <c:v>252530.69679548254</c:v>
                </c:pt>
                <c:pt idx="18">
                  <c:v>260094.1186430791</c:v>
                </c:pt>
                <c:pt idx="19">
                  <c:v>267850.07482019236</c:v>
                </c:pt>
                <c:pt idx="20">
                  <c:v>275803.9252065653</c:v>
                </c:pt>
                <c:pt idx="21">
                  <c:v>283961.18287909456</c:v>
                </c:pt>
                <c:pt idx="22">
                  <c:v>292327.51853695896</c:v>
                </c:pt>
                <c:pt idx="23">
                  <c:v>298257.97837124905</c:v>
                </c:pt>
                <c:pt idx="24">
                  <c:v>306972.31905887567</c:v>
                </c:pt>
                <c:pt idx="25">
                  <c:v>315911.72970301146</c:v>
                </c:pt>
                <c:pt idx="26">
                  <c:v>325082.50872783671</c:v>
                </c:pt>
                <c:pt idx="27">
                  <c:v>331233.2082891555</c:v>
                </c:pt>
                <c:pt idx="28">
                  <c:v>340772.89221758698</c:v>
                </c:pt>
                <c:pt idx="29">
                  <c:v>350560.81797749037</c:v>
                </c:pt>
                <c:pt idx="30">
                  <c:v>360603.94583845686</c:v>
                </c:pt>
                <c:pt idx="31">
                  <c:v>370909.43564565439</c:v>
                </c:pt>
                <c:pt idx="32">
                  <c:v>381484.6525968645</c:v>
                </c:pt>
                <c:pt idx="33">
                  <c:v>390161.7407780689</c:v>
                </c:pt>
                <c:pt idx="34">
                  <c:v>401233.16259006009</c:v>
                </c:pt>
                <c:pt idx="35">
                  <c:v>412596.15851310559</c:v>
                </c:pt>
                <c:pt idx="36">
                  <c:v>424258.93820754101</c:v>
                </c:pt>
                <c:pt idx="37">
                  <c:v>436229.94723872567</c:v>
                </c:pt>
                <c:pt idx="38">
                  <c:v>271683.93327620201</c:v>
                </c:pt>
                <c:pt idx="39">
                  <c:v>180796.64471606095</c:v>
                </c:pt>
                <c:pt idx="40">
                  <c:v>180796.64471606095</c:v>
                </c:pt>
                <c:pt idx="41">
                  <c:v>180796.64471606095</c:v>
                </c:pt>
                <c:pt idx="42">
                  <c:v>180796.64471606095</c:v>
                </c:pt>
                <c:pt idx="43">
                  <c:v>180796.64471606095</c:v>
                </c:pt>
                <c:pt idx="44">
                  <c:v>180796.64471606095</c:v>
                </c:pt>
                <c:pt idx="45">
                  <c:v>180796.64471606095</c:v>
                </c:pt>
                <c:pt idx="46">
                  <c:v>180796.64471606095</c:v>
                </c:pt>
                <c:pt idx="47">
                  <c:v>180796.64471606095</c:v>
                </c:pt>
                <c:pt idx="48">
                  <c:v>180796.64471606095</c:v>
                </c:pt>
                <c:pt idx="49">
                  <c:v>180796.64471606095</c:v>
                </c:pt>
                <c:pt idx="50">
                  <c:v>180796.64471606095</c:v>
                </c:pt>
                <c:pt idx="51">
                  <c:v>180796.64471606095</c:v>
                </c:pt>
                <c:pt idx="52">
                  <c:v>180796.64471606095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4-0E4C-B3BF-C31A7FB4F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 and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Timeline'!$B$15</c:f>
              <c:strCache>
                <c:ptCount val="1"/>
                <c:pt idx="0">
                  <c:v>Total Income after Tax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Timeline'!$C$15:$BC$15</c:f>
              <c:numCache>
                <c:formatCode>_("CHF"* #,##0.00_);_("CHF"* \(#,##0.00\);_("CHF"* "-"??_);_(@_)</c:formatCode>
                <c:ptCount val="53"/>
                <c:pt idx="0">
                  <c:v>128357.79454376595</c:v>
                </c:pt>
                <c:pt idx="1">
                  <c:v>132109.6251955053</c:v>
                </c:pt>
                <c:pt idx="2">
                  <c:v>135952.60295162769</c:v>
                </c:pt>
                <c:pt idx="3">
                  <c:v>138138.73038536203</c:v>
                </c:pt>
                <c:pt idx="4">
                  <c:v>141889.29337892041</c:v>
                </c:pt>
                <c:pt idx="5">
                  <c:v>145931.10376940097</c:v>
                </c:pt>
                <c:pt idx="6">
                  <c:v>150072.48345387564</c:v>
                </c:pt>
                <c:pt idx="7">
                  <c:v>154399.71886671067</c:v>
                </c:pt>
                <c:pt idx="8">
                  <c:v>158723.41894245712</c:v>
                </c:pt>
                <c:pt idx="9">
                  <c:v>163053.16145402132</c:v>
                </c:pt>
                <c:pt idx="10">
                  <c:v>167482.79260064446</c:v>
                </c:pt>
                <c:pt idx="11">
                  <c:v>171924.80666121817</c:v>
                </c:pt>
                <c:pt idx="12">
                  <c:v>176477.95748765202</c:v>
                </c:pt>
                <c:pt idx="13">
                  <c:v>180021.40441727912</c:v>
                </c:pt>
                <c:pt idx="14">
                  <c:v>184764.04095443262</c:v>
                </c:pt>
                <c:pt idx="15">
                  <c:v>189626.36179547763</c:v>
                </c:pt>
                <c:pt idx="16">
                  <c:v>194611.69061636878</c:v>
                </c:pt>
                <c:pt idx="17">
                  <c:v>200352.90935166978</c:v>
                </c:pt>
                <c:pt idx="18">
                  <c:v>205609.56409829063</c:v>
                </c:pt>
                <c:pt idx="19">
                  <c:v>210999.93664716085</c:v>
                </c:pt>
                <c:pt idx="20">
                  <c:v>216527.74536731641</c:v>
                </c:pt>
                <c:pt idx="21">
                  <c:v>222196.81478568556</c:v>
                </c:pt>
                <c:pt idx="22">
                  <c:v>229769.35455345162</c:v>
                </c:pt>
                <c:pt idx="23">
                  <c:v>232947.82911708066</c:v>
                </c:pt>
                <c:pt idx="24">
                  <c:v>238839.21427720843</c:v>
                </c:pt>
                <c:pt idx="25">
                  <c:v>244882.71144671756</c:v>
                </c:pt>
                <c:pt idx="26">
                  <c:v>251082.57431910356</c:v>
                </c:pt>
                <c:pt idx="27">
                  <c:v>258105.96361627759</c:v>
                </c:pt>
                <c:pt idx="28">
                  <c:v>264647.99133348122</c:v>
                </c:pt>
                <c:pt idx="29">
                  <c:v>271360.13270303776</c:v>
                </c:pt>
                <c:pt idx="30">
                  <c:v>278247.15211639571</c:v>
                </c:pt>
                <c:pt idx="31">
                  <c:v>285313.95042315876</c:v>
                </c:pt>
                <c:pt idx="32">
                  <c:v>292565.56887695473</c:v>
                </c:pt>
                <c:pt idx="33">
                  <c:v>280901.83062223194</c:v>
                </c:pt>
                <c:pt idx="34">
                  <c:v>287998.91746161284</c:v>
                </c:pt>
                <c:pt idx="35">
                  <c:v>295284.17141610594</c:v>
                </c:pt>
                <c:pt idx="36">
                  <c:v>302762.92318292928</c:v>
                </c:pt>
                <c:pt idx="37">
                  <c:v>310440.65750510222</c:v>
                </c:pt>
                <c:pt idx="38">
                  <c:v>195129.17368879728</c:v>
                </c:pt>
                <c:pt idx="39">
                  <c:v>144541.08338026484</c:v>
                </c:pt>
                <c:pt idx="40">
                  <c:v>144541.08338026484</c:v>
                </c:pt>
                <c:pt idx="41">
                  <c:v>144541.08338026484</c:v>
                </c:pt>
                <c:pt idx="42">
                  <c:v>144541.08338026484</c:v>
                </c:pt>
                <c:pt idx="43">
                  <c:v>144541.08338026484</c:v>
                </c:pt>
                <c:pt idx="44">
                  <c:v>144541.08338026484</c:v>
                </c:pt>
                <c:pt idx="45">
                  <c:v>144541.08338026484</c:v>
                </c:pt>
                <c:pt idx="46">
                  <c:v>144541.08338026484</c:v>
                </c:pt>
                <c:pt idx="47">
                  <c:v>144541.08338026484</c:v>
                </c:pt>
                <c:pt idx="48">
                  <c:v>144541.08338026484</c:v>
                </c:pt>
                <c:pt idx="49">
                  <c:v>144541.08338026484</c:v>
                </c:pt>
                <c:pt idx="50">
                  <c:v>144541.08338026484</c:v>
                </c:pt>
                <c:pt idx="51">
                  <c:v>144541.08338026484</c:v>
                </c:pt>
                <c:pt idx="52">
                  <c:v>144541.08338026484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3-354C-81D5-851147C384B1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3-354C-81D5-851147C38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Income,</a:t>
            </a:r>
            <a:r>
              <a:rPr lang="it-IT" baseline="0"/>
              <a:t> costs and wealth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'CF Timeline'!$B$8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Timeline'!$C$9:$BC$9</c:f>
              <c:numCache>
                <c:formatCode>_("CHF"* #,##0.00_);_("CHF"* \(#,##0.00\);_("CHF"* "-"??_);_(@_)</c:formatCode>
                <c:ptCount val="53"/>
                <c:pt idx="0">
                  <c:v>100000</c:v>
                </c:pt>
                <c:pt idx="1">
                  <c:v>103713.74335979213</c:v>
                </c:pt>
                <c:pt idx="2">
                  <c:v>107523.2132099712</c:v>
                </c:pt>
                <c:pt idx="3">
                  <c:v>111431.18112786009</c:v>
                </c:pt>
                <c:pt idx="4">
                  <c:v>115440.50142539543</c:v>
                </c:pt>
                <c:pt idx="5">
                  <c:v>119554.11363698088</c:v>
                </c:pt>
                <c:pt idx="6">
                  <c:v>123775.04508227963</c:v>
                </c:pt>
                <c:pt idx="7">
                  <c:v>128106.41350620333</c:v>
                </c:pt>
                <c:pt idx="8">
                  <c:v>132551.42979842433</c:v>
                </c:pt>
                <c:pt idx="9">
                  <c:v>137113.40079480727</c:v>
                </c:pt>
                <c:pt idx="10">
                  <c:v>141795.73216322847</c:v>
                </c:pt>
                <c:pt idx="11">
                  <c:v>146601.93137632645</c:v>
                </c:pt>
                <c:pt idx="12">
                  <c:v>151535.61077380291</c:v>
                </c:pt>
                <c:pt idx="13">
                  <c:v>156600.4907169728</c:v>
                </c:pt>
                <c:pt idx="14">
                  <c:v>161800.40283834317</c:v>
                </c:pt>
                <c:pt idx="15">
                  <c:v>167139.29338908469</c:v>
                </c:pt>
                <c:pt idx="16">
                  <c:v>172621.22668734577</c:v>
                </c:pt>
                <c:pt idx="17">
                  <c:v>178250.38867044792</c:v>
                </c:pt>
                <c:pt idx="18">
                  <c:v>184031.09055409278</c:v>
                </c:pt>
                <c:pt idx="19">
                  <c:v>189967.7726018058</c:v>
                </c:pt>
                <c:pt idx="20">
                  <c:v>196065.00800793851</c:v>
                </c:pt>
                <c:pt idx="21">
                  <c:v>202327.50689765107</c:v>
                </c:pt>
                <c:pt idx="22">
                  <c:v>208760.12044740084</c:v>
                </c:pt>
                <c:pt idx="23">
                  <c:v>215367.8451295679</c:v>
                </c:pt>
                <c:pt idx="24">
                  <c:v>222155.82708495855</c:v>
                </c:pt>
                <c:pt idx="25">
                  <c:v>229129.36662704084</c:v>
                </c:pt>
                <c:pt idx="26">
                  <c:v>236293.92288188101</c:v>
                </c:pt>
                <c:pt idx="27">
                  <c:v>243655.11856787093</c:v>
                </c:pt>
                <c:pt idx="28">
                  <c:v>251218.74491945893</c:v>
                </c:pt>
                <c:pt idx="29">
                  <c:v>258990.7667592236</c:v>
                </c:pt>
                <c:pt idx="30">
                  <c:v>266977.32772276056</c:v>
                </c:pt>
                <c:pt idx="31">
                  <c:v>275184.75564098835</c:v>
                </c:pt>
                <c:pt idx="32">
                  <c:v>283619.56808461575</c:v>
                </c:pt>
                <c:pt idx="33">
                  <c:v>292288.47807565867</c:v>
                </c:pt>
                <c:pt idx="34">
                  <c:v>301198.39997104026</c:v>
                </c:pt>
                <c:pt idx="35">
                  <c:v>310356.45552345959</c:v>
                </c:pt>
                <c:pt idx="36">
                  <c:v>319769.98012487195</c:v>
                </c:pt>
                <c:pt idx="37">
                  <c:v>329446.52923808293</c:v>
                </c:pt>
                <c:pt idx="38">
                  <c:v>107583.77781328086</c:v>
                </c:pt>
                <c:pt idx="39">
                  <c:v>107583.77781328086</c:v>
                </c:pt>
                <c:pt idx="40">
                  <c:v>107583.77781328086</c:v>
                </c:pt>
                <c:pt idx="41">
                  <c:v>107583.77781328086</c:v>
                </c:pt>
                <c:pt idx="42">
                  <c:v>107583.77781328086</c:v>
                </c:pt>
                <c:pt idx="43">
                  <c:v>107583.77781328086</c:v>
                </c:pt>
                <c:pt idx="44">
                  <c:v>107583.77781328086</c:v>
                </c:pt>
                <c:pt idx="45">
                  <c:v>107583.77781328086</c:v>
                </c:pt>
                <c:pt idx="46">
                  <c:v>107583.77781328086</c:v>
                </c:pt>
                <c:pt idx="47">
                  <c:v>107583.77781328086</c:v>
                </c:pt>
                <c:pt idx="48">
                  <c:v>107583.77781328086</c:v>
                </c:pt>
                <c:pt idx="49">
                  <c:v>107583.77781328086</c:v>
                </c:pt>
                <c:pt idx="50">
                  <c:v>107583.77781328086</c:v>
                </c:pt>
                <c:pt idx="51">
                  <c:v>107583.77781328086</c:v>
                </c:pt>
                <c:pt idx="52">
                  <c:v>107583.77781328086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9-3546-8C1C-D736336ECE16}"/>
            </c:ext>
          </c:extLst>
        </c:ser>
        <c:ser>
          <c:idx val="1"/>
          <c:order val="1"/>
          <c:tx>
            <c:strRef>
              <c:f>'CF Timeline'!$B$16</c:f>
              <c:strCache>
                <c:ptCount val="1"/>
                <c:pt idx="0">
                  <c:v>Cost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Timeline'!$C$25:$BC$25</c:f>
              <c:numCache>
                <c:formatCode>_("CHF"* #,##0.00_);_("CHF"* \(#,##0.00\);_("CHF"* "-"??_);_(@_)</c:formatCode>
                <c:ptCount val="53"/>
                <c:pt idx="0">
                  <c:v>63152.618831732609</c:v>
                </c:pt>
                <c:pt idx="1">
                  <c:v>64932.24524942982</c:v>
                </c:pt>
                <c:pt idx="2">
                  <c:v>66754.507721523391</c:v>
                </c:pt>
                <c:pt idx="3">
                  <c:v>67861.313442836778</c:v>
                </c:pt>
                <c:pt idx="4">
                  <c:v>84166.697484010831</c:v>
                </c:pt>
                <c:pt idx="5">
                  <c:v>86498.413460007461</c:v>
                </c:pt>
                <c:pt idx="6">
                  <c:v>100571.38428935192</c:v>
                </c:pt>
                <c:pt idx="7">
                  <c:v>103399.80988438305</c:v>
                </c:pt>
                <c:pt idx="8">
                  <c:v>117668.44452140479</c:v>
                </c:pt>
                <c:pt idx="9">
                  <c:v>123650.32982254997</c:v>
                </c:pt>
                <c:pt idx="10">
                  <c:v>155387.84394553423</c:v>
                </c:pt>
                <c:pt idx="11">
                  <c:v>162702.78875508966</c:v>
                </c:pt>
                <c:pt idx="12">
                  <c:v>165685.99398491491</c:v>
                </c:pt>
                <c:pt idx="13">
                  <c:v>173363.60635427185</c:v>
                </c:pt>
                <c:pt idx="14">
                  <c:v>176610.67840499169</c:v>
                </c:pt>
                <c:pt idx="15">
                  <c:v>179938.69033299619</c:v>
                </c:pt>
                <c:pt idx="16">
                  <c:v>183349.85977160028</c:v>
                </c:pt>
                <c:pt idx="17">
                  <c:v>196117.07719361439</c:v>
                </c:pt>
                <c:pt idx="18">
                  <c:v>199943.69678261725</c:v>
                </c:pt>
                <c:pt idx="19">
                  <c:v>213473.8367907806</c:v>
                </c:pt>
                <c:pt idx="20">
                  <c:v>217747.21765764814</c:v>
                </c:pt>
                <c:pt idx="21">
                  <c:v>232815.70934416552</c:v>
                </c:pt>
                <c:pt idx="22">
                  <c:v>238961.60043693875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9-3546-8C1C-D736336ECE16}"/>
            </c:ext>
          </c:extLst>
        </c:ser>
        <c:ser>
          <c:idx val="2"/>
          <c:order val="2"/>
          <c:tx>
            <c:strRef>
              <c:f>'CF Timeline'!$B$38</c:f>
              <c:strCache>
                <c:ptCount val="1"/>
                <c:pt idx="0">
                  <c:v>Costs + Investments</c:v>
                </c:pt>
              </c:strCache>
            </c:strRef>
          </c:tx>
          <c:spPr>
            <a:ln w="28575" cap="rnd">
              <a:solidFill>
                <a:srgbClr val="FFC000">
                  <a:alpha val="69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'CF Timeline'!$C$4:$BC$4</c:f>
              <c:numCache>
                <c:formatCode>General</c:formatCode>
                <c:ptCount val="5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</c:numCache>
            </c:numRef>
          </c:cat>
          <c:val>
            <c:numRef>
              <c:f>'CF Timeline'!$C$38:$BC$38</c:f>
              <c:numCache>
                <c:formatCode>_("CHF"* #,##0.00_);_("CHF"* \(#,##0.00\);_("CHF"* "-"??_);_(@_)</c:formatCode>
                <c:ptCount val="53"/>
                <c:pt idx="0">
                  <c:v>135229.78884359368</c:v>
                </c:pt>
                <c:pt idx="1">
                  <c:v>137009.41526129091</c:v>
                </c:pt>
                <c:pt idx="2">
                  <c:v>138831.67773338448</c:v>
                </c:pt>
                <c:pt idx="3">
                  <c:v>136735.00627242512</c:v>
                </c:pt>
                <c:pt idx="4">
                  <c:v>149472.39395078612</c:v>
                </c:pt>
                <c:pt idx="5">
                  <c:v>151804.10992678275</c:v>
                </c:pt>
                <c:pt idx="6">
                  <c:v>165877.08075612722</c:v>
                </c:pt>
                <c:pt idx="7">
                  <c:v>168705.50635115834</c:v>
                </c:pt>
                <c:pt idx="8">
                  <c:v>182974.14098818009</c:v>
                </c:pt>
                <c:pt idx="9">
                  <c:v>188956.02628932527</c:v>
                </c:pt>
                <c:pt idx="10">
                  <c:v>220693.54041230952</c:v>
                </c:pt>
                <c:pt idx="11">
                  <c:v>166209.06387686273</c:v>
                </c:pt>
                <c:pt idx="12">
                  <c:v>169192.26910668798</c:v>
                </c:pt>
                <c:pt idx="13">
                  <c:v>175371.01057019533</c:v>
                </c:pt>
                <c:pt idx="14">
                  <c:v>178618.08262091517</c:v>
                </c:pt>
                <c:pt idx="15">
                  <c:v>181946.09454891967</c:v>
                </c:pt>
                <c:pt idx="16">
                  <c:v>185357.26398752377</c:v>
                </c:pt>
                <c:pt idx="17">
                  <c:v>198124.48140953787</c:v>
                </c:pt>
                <c:pt idx="18">
                  <c:v>201951.10099854073</c:v>
                </c:pt>
                <c:pt idx="19">
                  <c:v>215481.24100670408</c:v>
                </c:pt>
                <c:pt idx="20">
                  <c:v>219754.62187357162</c:v>
                </c:pt>
                <c:pt idx="21">
                  <c:v>234823.113560089</c:v>
                </c:pt>
                <c:pt idx="22">
                  <c:v>240969.00465286223</c:v>
                </c:pt>
                <c:pt idx="23">
                  <c:v>203584.37989394984</c:v>
                </c:pt>
                <c:pt idx="24">
                  <c:v>207462.52188665178</c:v>
                </c:pt>
                <c:pt idx="25">
                  <c:v>174848.36494448845</c:v>
                </c:pt>
                <c:pt idx="26">
                  <c:v>178000.36801085103</c:v>
                </c:pt>
                <c:pt idx="27">
                  <c:v>142976.18752252616</c:v>
                </c:pt>
                <c:pt idx="28">
                  <c:v>145321.0032779717</c:v>
                </c:pt>
                <c:pt idx="29">
                  <c:v>147725.2690696471</c:v>
                </c:pt>
                <c:pt idx="30">
                  <c:v>150190.60892864573</c:v>
                </c:pt>
                <c:pt idx="31">
                  <c:v>152718.69251035998</c:v>
                </c:pt>
                <c:pt idx="32">
                  <c:v>155311.23639530427</c:v>
                </c:pt>
                <c:pt idx="33">
                  <c:v>151875.39476633992</c:v>
                </c:pt>
                <c:pt idx="34">
                  <c:v>154429.98244126077</c:v>
                </c:pt>
                <c:pt idx="35">
                  <c:v>157050.43661518098</c:v>
                </c:pt>
                <c:pt idx="36">
                  <c:v>159738.57518415889</c:v>
                </c:pt>
                <c:pt idx="37">
                  <c:v>162496.26754459128</c:v>
                </c:pt>
                <c:pt idx="38">
                  <c:v>111757.87776561966</c:v>
                </c:pt>
                <c:pt idx="39">
                  <c:v>100277.53024998933</c:v>
                </c:pt>
                <c:pt idx="40">
                  <c:v>100605.0033252311</c:v>
                </c:pt>
                <c:pt idx="41">
                  <c:v>100939.0583705324</c:v>
                </c:pt>
                <c:pt idx="42">
                  <c:v>101279.82767869267</c:v>
                </c:pt>
                <c:pt idx="43">
                  <c:v>101627.44620150018</c:v>
                </c:pt>
                <c:pt idx="44">
                  <c:v>101982.05160317571</c:v>
                </c:pt>
                <c:pt idx="45">
                  <c:v>102343.78431489057</c:v>
                </c:pt>
                <c:pt idx="46">
                  <c:v>102712.78759038018</c:v>
                </c:pt>
                <c:pt idx="47">
                  <c:v>103089.20756267561</c:v>
                </c:pt>
                <c:pt idx="48">
                  <c:v>103473.19330197535</c:v>
                </c:pt>
                <c:pt idx="49">
                  <c:v>103864.89687468014</c:v>
                </c:pt>
                <c:pt idx="50">
                  <c:v>104264.47340361455</c:v>
                </c:pt>
                <c:pt idx="51">
                  <c:v>104672.08112945879</c:v>
                </c:pt>
                <c:pt idx="52">
                  <c:v>105087.88147341541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9-3546-8C1C-D736336ECE16}"/>
            </c:ext>
          </c:extLst>
        </c:ser>
        <c:ser>
          <c:idx val="3"/>
          <c:order val="3"/>
          <c:tx>
            <c:strRef>
              <c:f>'CF Timeline'!$B$48</c:f>
              <c:strCache>
                <c:ptCount val="1"/>
                <c:pt idx="0">
                  <c:v>Total liquid Wealth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'CF Timeline'!$C$48:$BC$48</c:f>
              <c:numCache>
                <c:formatCode>_("CHF"* #,##0.00_);_("CHF"* \(#,##0.00\);_("CHF"* "-"??_);_(@_)</c:formatCode>
                <c:ptCount val="53"/>
                <c:pt idx="0">
                  <c:v>165205.17571203335</c:v>
                </c:pt>
                <c:pt idx="1">
                  <c:v>232382.55565810885</c:v>
                </c:pt>
                <c:pt idx="2">
                  <c:v>291580.65088821313</c:v>
                </c:pt>
                <c:pt idx="3">
                  <c:v>346858.06783073838</c:v>
                </c:pt>
                <c:pt idx="4">
                  <c:v>404580.66372564796</c:v>
                </c:pt>
                <c:pt idx="5">
                  <c:v>464013.35403504147</c:v>
                </c:pt>
                <c:pt idx="6">
                  <c:v>513514.45319956518</c:v>
                </c:pt>
                <c:pt idx="7">
                  <c:v>564514.36218189285</c:v>
                </c:pt>
                <c:pt idx="8">
                  <c:v>605569.33660294511</c:v>
                </c:pt>
                <c:pt idx="9">
                  <c:v>644972.16823441652</c:v>
                </c:pt>
                <c:pt idx="10">
                  <c:v>-730791.16061494767</c:v>
                </c:pt>
                <c:pt idx="11">
                  <c:v>-721569.14270881913</c:v>
                </c:pt>
                <c:pt idx="12">
                  <c:v>-740777.17920608202</c:v>
                </c:pt>
                <c:pt idx="13">
                  <c:v>-734119.38114307472</c:v>
                </c:pt>
                <c:pt idx="14">
                  <c:v>-725966.01859363378</c:v>
                </c:pt>
                <c:pt idx="15">
                  <c:v>-716278.3471311524</c:v>
                </c:pt>
                <c:pt idx="16">
                  <c:v>-705016.51628638385</c:v>
                </c:pt>
                <c:pt idx="17">
                  <c:v>-700780.68412832846</c:v>
                </c:pt>
                <c:pt idx="18">
                  <c:v>-695114.81681265507</c:v>
                </c:pt>
                <c:pt idx="19">
                  <c:v>-697588.71695627482</c:v>
                </c:pt>
                <c:pt idx="20">
                  <c:v>-698808.18924660655</c:v>
                </c:pt>
                <c:pt idx="21">
                  <c:v>-709427.08380508656</c:v>
                </c:pt>
                <c:pt idx="22">
                  <c:v>-818619.32968857372</c:v>
                </c:pt>
                <c:pt idx="23">
                  <c:v>-789255.8804654429</c:v>
                </c:pt>
                <c:pt idx="24">
                  <c:v>-757879.18807488622</c:v>
                </c:pt>
                <c:pt idx="25">
                  <c:v>-687844.84157265711</c:v>
                </c:pt>
                <c:pt idx="26">
                  <c:v>-614762.63526440458</c:v>
                </c:pt>
                <c:pt idx="27">
                  <c:v>-499632.85917065316</c:v>
                </c:pt>
                <c:pt idx="28">
                  <c:v>-380305.87111514364</c:v>
                </c:pt>
                <c:pt idx="29">
                  <c:v>-256671.00748175301</c:v>
                </c:pt>
                <c:pt idx="30">
                  <c:v>-128614.46429400303</c:v>
                </c:pt>
                <c:pt idx="31">
                  <c:v>3980.793618795753</c:v>
                </c:pt>
                <c:pt idx="32">
                  <c:v>141235.12610044621</c:v>
                </c:pt>
                <c:pt idx="33">
                  <c:v>270261.56195633824</c:v>
                </c:pt>
                <c:pt idx="34">
                  <c:v>403830.49697669031</c:v>
                </c:pt>
                <c:pt idx="35">
                  <c:v>542064.23177761526</c:v>
                </c:pt>
                <c:pt idx="36">
                  <c:v>685088.57977638568</c:v>
                </c:pt>
                <c:pt idx="37">
                  <c:v>833032.96973689669</c:v>
                </c:pt>
                <c:pt idx="38">
                  <c:v>916404.26566007431</c:v>
                </c:pt>
                <c:pt idx="39">
                  <c:v>960667.81879034988</c:v>
                </c:pt>
                <c:pt idx="40">
                  <c:v>1004603.8988453837</c:v>
                </c:pt>
                <c:pt idx="41">
                  <c:v>1048205.9238551161</c:v>
                </c:pt>
                <c:pt idx="42">
                  <c:v>1091467.1795566883</c:v>
                </c:pt>
                <c:pt idx="43">
                  <c:v>1134380.816735453</c:v>
                </c:pt>
                <c:pt idx="44">
                  <c:v>1176939.8485125422</c:v>
                </c:pt>
                <c:pt idx="45">
                  <c:v>1219137.1475779165</c:v>
                </c:pt>
                <c:pt idx="46">
                  <c:v>1260965.4433678011</c:v>
                </c:pt>
                <c:pt idx="47">
                  <c:v>1302417.3191853904</c:v>
                </c:pt>
                <c:pt idx="48">
                  <c:v>1343485.2092636798</c:v>
                </c:pt>
                <c:pt idx="49">
                  <c:v>1384161.3957692645</c:v>
                </c:pt>
                <c:pt idx="50">
                  <c:v>1424438.0057459148</c:v>
                </c:pt>
                <c:pt idx="51">
                  <c:v>1464307.0079967207</c:v>
                </c:pt>
                <c:pt idx="52">
                  <c:v>1503760.2099035701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9-3546-8C1C-D736336EC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646735"/>
        <c:axId val="1769359631"/>
      </c:lineChart>
      <c:catAx>
        <c:axId val="20446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359631"/>
        <c:crosses val="autoZero"/>
        <c:auto val="1"/>
        <c:lblAlgn val="ctr"/>
        <c:lblOffset val="100"/>
        <c:noMultiLvlLbl val="0"/>
      </c:catAx>
      <c:valAx>
        <c:axId val="17693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4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'CF Timeline'!$B$131:$B$137</c:f>
              <c:strCache>
                <c:ptCount val="7"/>
                <c:pt idx="0">
                  <c:v>Wedding</c:v>
                </c:pt>
                <c:pt idx="1">
                  <c:v>Watch </c:v>
                </c:pt>
                <c:pt idx="2">
                  <c:v>Children</c:v>
                </c:pt>
                <c:pt idx="3">
                  <c:v>House</c:v>
                </c:pt>
                <c:pt idx="4">
                  <c:v>Special travel </c:v>
                </c:pt>
                <c:pt idx="5">
                  <c:v>Car</c:v>
                </c:pt>
                <c:pt idx="6">
                  <c:v>Pension</c:v>
                </c:pt>
              </c:strCache>
            </c:strRef>
          </c:cat>
          <c:val>
            <c:numRef>
              <c:f>'CF Timeline'!$C$131:$C$137</c:f>
              <c:numCache>
                <c:formatCode>General</c:formatCode>
                <c:ptCount val="7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38</c:v>
                </c:pt>
                <c:pt idx="4">
                  <c:v>40</c:v>
                </c:pt>
                <c:pt idx="5">
                  <c:v>50</c:v>
                </c:pt>
                <c:pt idx="6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D-2C4A-BF1D-50DAC6D5267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'CF Timeline'!$B$131:$B$137</c:f>
              <c:strCache>
                <c:ptCount val="7"/>
                <c:pt idx="0">
                  <c:v>Wedding</c:v>
                </c:pt>
                <c:pt idx="1">
                  <c:v>Watch </c:v>
                </c:pt>
                <c:pt idx="2">
                  <c:v>Children</c:v>
                </c:pt>
                <c:pt idx="3">
                  <c:v>House</c:v>
                </c:pt>
                <c:pt idx="4">
                  <c:v>Special travel </c:v>
                </c:pt>
                <c:pt idx="5">
                  <c:v>Car</c:v>
                </c:pt>
                <c:pt idx="6">
                  <c:v>Pension</c:v>
                </c:pt>
              </c:strCache>
            </c:strRef>
          </c:cat>
          <c:val>
            <c:numRef>
              <c:f>'CF Timeline'!$D$131:$D$137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8D-2C4A-BF1D-50DAC6D5267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'CF Timeline'!$B$131:$B$137</c:f>
              <c:strCache>
                <c:ptCount val="7"/>
                <c:pt idx="0">
                  <c:v>Wedding</c:v>
                </c:pt>
                <c:pt idx="1">
                  <c:v>Watch </c:v>
                </c:pt>
                <c:pt idx="2">
                  <c:v>Children</c:v>
                </c:pt>
                <c:pt idx="3">
                  <c:v>House</c:v>
                </c:pt>
                <c:pt idx="4">
                  <c:v>Special travel </c:v>
                </c:pt>
                <c:pt idx="5">
                  <c:v>Car</c:v>
                </c:pt>
                <c:pt idx="6">
                  <c:v>Pension</c:v>
                </c:pt>
              </c:strCache>
            </c:strRef>
          </c:cat>
          <c:val>
            <c:numRef>
              <c:f>'CF Timeline'!$E$131:$E$137</c:f>
              <c:numCache>
                <c:formatCode>_("CHF"* #,##0.00_);_("CHF"* \(#,##0.00\);_("CHF"* "-"??_);_(@_)</c:formatCode>
                <c:ptCount val="7"/>
                <c:pt idx="0">
                  <c:v>486229.94723872567</c:v>
                </c:pt>
                <c:pt idx="1">
                  <c:v>486229.94723872567</c:v>
                </c:pt>
                <c:pt idx="2">
                  <c:v>486229.94723872567</c:v>
                </c:pt>
                <c:pt idx="3">
                  <c:v>486229.94723872567</c:v>
                </c:pt>
                <c:pt idx="4">
                  <c:v>486229.94723872567</c:v>
                </c:pt>
                <c:pt idx="5">
                  <c:v>486229.94723872567</c:v>
                </c:pt>
                <c:pt idx="6">
                  <c:v>486229.94723872567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D-2C4A-BF1D-50DAC6D52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010576"/>
        <c:axId val="1049205120"/>
      </c:barChart>
      <c:catAx>
        <c:axId val="53501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049205120"/>
        <c:crosses val="autoZero"/>
        <c:auto val="1"/>
        <c:lblAlgn val="ctr"/>
        <c:lblOffset val="100"/>
        <c:noMultiLvlLbl val="0"/>
      </c:catAx>
      <c:valAx>
        <c:axId val="10492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350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'Income and Pension'!$U$93</c:f>
              <c:strCache>
                <c:ptCount val="1"/>
                <c:pt idx="0">
                  <c:v>Salary and pension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'Income and Pension'!$B$21:$B$81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cat>
          <c:val>
            <c:numRef>
              <c:f>'Income and Pension'!$U$94:$U$154</c:f>
              <c:numCache>
                <c:formatCode>_("CHF"* #,##0.00_);_("CHF"* \(#,##0.00\);_("CHF"*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100000</c:v>
                </c:pt>
                <c:pt idx="9">
                  <c:v>103713.74335979213</c:v>
                </c:pt>
                <c:pt idx="10">
                  <c:v>107523.2132099712</c:v>
                </c:pt>
                <c:pt idx="11">
                  <c:v>111431.18112786009</c:v>
                </c:pt>
                <c:pt idx="12">
                  <c:v>115440.50142539543</c:v>
                </c:pt>
                <c:pt idx="13">
                  <c:v>119554.11363698088</c:v>
                </c:pt>
                <c:pt idx="14">
                  <c:v>123775.04508227963</c:v>
                </c:pt>
                <c:pt idx="15">
                  <c:v>128106.41350620333</c:v>
                </c:pt>
                <c:pt idx="16">
                  <c:v>132551.42979842433</c:v>
                </c:pt>
                <c:pt idx="17">
                  <c:v>137113.40079480727</c:v>
                </c:pt>
                <c:pt idx="18">
                  <c:v>141795.73216322847</c:v>
                </c:pt>
                <c:pt idx="19">
                  <c:v>146601.93137632645</c:v>
                </c:pt>
                <c:pt idx="20">
                  <c:v>151535.61077380291</c:v>
                </c:pt>
                <c:pt idx="21">
                  <c:v>156600.4907169728</c:v>
                </c:pt>
                <c:pt idx="22">
                  <c:v>161800.40283834317</c:v>
                </c:pt>
                <c:pt idx="23">
                  <c:v>167139.29338908469</c:v>
                </c:pt>
                <c:pt idx="24">
                  <c:v>172621.22668734577</c:v>
                </c:pt>
                <c:pt idx="25">
                  <c:v>178250.38867044792</c:v>
                </c:pt>
                <c:pt idx="26">
                  <c:v>184031.09055409278</c:v>
                </c:pt>
                <c:pt idx="27">
                  <c:v>189967.7726018058</c:v>
                </c:pt>
                <c:pt idx="28">
                  <c:v>196065.00800793851</c:v>
                </c:pt>
                <c:pt idx="29">
                  <c:v>202327.50689765107</c:v>
                </c:pt>
                <c:pt idx="30">
                  <c:v>208760.12044740084</c:v>
                </c:pt>
                <c:pt idx="31">
                  <c:v>215367.8451295679</c:v>
                </c:pt>
                <c:pt idx="32">
                  <c:v>222155.82708495855</c:v>
                </c:pt>
                <c:pt idx="33">
                  <c:v>229129.36662704084</c:v>
                </c:pt>
                <c:pt idx="34">
                  <c:v>236293.92288188101</c:v>
                </c:pt>
                <c:pt idx="35">
                  <c:v>243655.11856787093</c:v>
                </c:pt>
                <c:pt idx="36">
                  <c:v>251218.74491945893</c:v>
                </c:pt>
                <c:pt idx="37">
                  <c:v>258990.7667592236</c:v>
                </c:pt>
                <c:pt idx="38">
                  <c:v>266977.32772276056</c:v>
                </c:pt>
                <c:pt idx="39">
                  <c:v>275184.75564098835</c:v>
                </c:pt>
                <c:pt idx="40">
                  <c:v>283619.56808461575</c:v>
                </c:pt>
                <c:pt idx="41">
                  <c:v>292288.47807565867</c:v>
                </c:pt>
                <c:pt idx="42">
                  <c:v>301198.39997104026</c:v>
                </c:pt>
                <c:pt idx="43">
                  <c:v>310356.45552345959</c:v>
                </c:pt>
                <c:pt idx="44">
                  <c:v>319769.98012487195</c:v>
                </c:pt>
                <c:pt idx="45">
                  <c:v>329446.52923808293</c:v>
                </c:pt>
                <c:pt idx="46">
                  <c:v>107583.77781328086</c:v>
                </c:pt>
                <c:pt idx="47">
                  <c:v>107583.77781328086</c:v>
                </c:pt>
                <c:pt idx="48">
                  <c:v>107583.77781328086</c:v>
                </c:pt>
                <c:pt idx="49">
                  <c:v>107583.77781328086</c:v>
                </c:pt>
                <c:pt idx="50">
                  <c:v>107583.77781328086</c:v>
                </c:pt>
                <c:pt idx="51">
                  <c:v>107583.77781328086</c:v>
                </c:pt>
                <c:pt idx="52">
                  <c:v>107583.77781328086</c:v>
                </c:pt>
                <c:pt idx="53">
                  <c:v>107583.77781328086</c:v>
                </c:pt>
                <c:pt idx="54">
                  <c:v>107583.77781328086</c:v>
                </c:pt>
                <c:pt idx="55">
                  <c:v>107583.77781328086</c:v>
                </c:pt>
                <c:pt idx="56">
                  <c:v>107583.77781328086</c:v>
                </c:pt>
                <c:pt idx="57">
                  <c:v>107583.77781328086</c:v>
                </c:pt>
                <c:pt idx="58">
                  <c:v>107583.77781328086</c:v>
                </c:pt>
                <c:pt idx="59">
                  <c:v>107583.77781328086</c:v>
                </c:pt>
                <c:pt idx="60">
                  <c:v>107583.77781328086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5-B346-8C18-158F63ED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51535"/>
        <c:axId val="1377233839"/>
      </c:lineChart>
      <c:catAx>
        <c:axId val="16030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377233839"/>
        <c:crosses val="autoZero"/>
        <c:auto val="1"/>
        <c:lblAlgn val="ctr"/>
        <c:lblOffset val="100"/>
        <c:noMultiLvlLbl val="0"/>
      </c:catAx>
      <c:valAx>
        <c:axId val="13772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030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'Partner Income and Pension'!$V$94</c:f>
              <c:strCache>
                <c:ptCount val="1"/>
                <c:pt idx="0">
                  <c:v>Salary and pension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'Partner Income and Pension'!$B$21:$B$84</c:f>
              <c:numCache>
                <c:formatCode>General</c:formatCode>
                <c:ptCount val="6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</c:numCache>
            </c:numRef>
          </c:cat>
          <c:val>
            <c:numRef>
              <c:f>'Partner Income and Pension'!$V$95:$V$155</c:f>
              <c:numCache>
                <c:formatCode>_("CHF"* #,##0.00_);_("CHF"* \(#,##0.00\);_("CHF"*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70000</c:v>
                </c:pt>
                <c:pt idx="3">
                  <c:v>72111.59862702692</c:v>
                </c:pt>
                <c:pt idx="4">
                  <c:v>74269.279107235896</c:v>
                </c:pt>
                <c:pt idx="5">
                  <c:v>76474.165832508297</c:v>
                </c:pt>
                <c:pt idx="6">
                  <c:v>78727.411314378551</c:v>
                </c:pt>
                <c:pt idx="7">
                  <c:v>81030.196890802297</c:v>
                </c:pt>
                <c:pt idx="8">
                  <c:v>83383.733450706786</c:v>
                </c:pt>
                <c:pt idx="9">
                  <c:v>85789.262176770368</c:v>
                </c:pt>
                <c:pt idx="10">
                  <c:v>88248.055306890485</c:v>
                </c:pt>
                <c:pt idx="11">
                  <c:v>90761.416914809495</c:v>
                </c:pt>
                <c:pt idx="12">
                  <c:v>93330.683710381563</c:v>
                </c:pt>
                <c:pt idx="13">
                  <c:v>95957.225859973812</c:v>
                </c:pt>
                <c:pt idx="14">
                  <c:v>98642.447827509372</c:v>
                </c:pt>
                <c:pt idx="15">
                  <c:v>101387.7892366708</c:v>
                </c:pt>
                <c:pt idx="16">
                  <c:v>104194.7257547972</c:v>
                </c:pt>
                <c:pt idx="17">
                  <c:v>107064.76999902053</c:v>
                </c:pt>
                <c:pt idx="18">
                  <c:v>109999.47246520076</c:v>
                </c:pt>
                <c:pt idx="19">
                  <c:v>113000.42248023374</c:v>
                </c:pt>
                <c:pt idx="20">
                  <c:v>116069.24917831988</c:v>
                </c:pt>
                <c:pt idx="21">
                  <c:v>119207.6225017964</c:v>
                </c:pt>
                <c:pt idx="22">
                  <c:v>122417.25422715192</c:v>
                </c:pt>
                <c:pt idx="23">
                  <c:v>125699.89901685619</c:v>
                </c:pt>
                <c:pt idx="24">
                  <c:v>129057.35549765534</c:v>
                </c:pt>
                <c:pt idx="25">
                  <c:v>132491.46736599837</c:v>
                </c:pt>
                <c:pt idx="26">
                  <c:v>136004.1245212775</c:v>
                </c:pt>
                <c:pt idx="27">
                  <c:v>139597.26422758267</c:v>
                </c:pt>
                <c:pt idx="28">
                  <c:v>143272.87230468719</c:v>
                </c:pt>
                <c:pt idx="29">
                  <c:v>147032.98434900091</c:v>
                </c:pt>
                <c:pt idx="30">
                  <c:v>150879.68698524425</c:v>
                </c:pt>
                <c:pt idx="31">
                  <c:v>154815.11914961654</c:v>
                </c:pt>
                <c:pt idx="32">
                  <c:v>158841.47340525154</c:v>
                </c:pt>
                <c:pt idx="33">
                  <c:v>162960.99729077195</c:v>
                </c:pt>
                <c:pt idx="34">
                  <c:v>167175.99470277637</c:v>
                </c:pt>
                <c:pt idx="35">
                  <c:v>171488.8273131125</c:v>
                </c:pt>
                <c:pt idx="36">
                  <c:v>175901.91602181183</c:v>
                </c:pt>
                <c:pt idx="37">
                  <c:v>180417.74244658329</c:v>
                </c:pt>
                <c:pt idx="38">
                  <c:v>185038.85044978623</c:v>
                </c:pt>
                <c:pt idx="39">
                  <c:v>189767.84770382522</c:v>
                </c:pt>
                <c:pt idx="40">
                  <c:v>194607.40729593398</c:v>
                </c:pt>
                <c:pt idx="41">
                  <c:v>73212.866902780079</c:v>
                </c:pt>
                <c:pt idx="42">
                  <c:v>73212.866902780079</c:v>
                </c:pt>
                <c:pt idx="43">
                  <c:v>73212.866902780079</c:v>
                </c:pt>
                <c:pt idx="44">
                  <c:v>73212.866902780079</c:v>
                </c:pt>
                <c:pt idx="45">
                  <c:v>73212.866902780079</c:v>
                </c:pt>
                <c:pt idx="46">
                  <c:v>73212.866902780079</c:v>
                </c:pt>
                <c:pt idx="47">
                  <c:v>73212.866902780079</c:v>
                </c:pt>
                <c:pt idx="48">
                  <c:v>73212.866902780079</c:v>
                </c:pt>
                <c:pt idx="49">
                  <c:v>73212.866902780079</c:v>
                </c:pt>
                <c:pt idx="50">
                  <c:v>73212.866902780079</c:v>
                </c:pt>
                <c:pt idx="51">
                  <c:v>73212.866902780079</c:v>
                </c:pt>
                <c:pt idx="52">
                  <c:v>73212.866902780079</c:v>
                </c:pt>
                <c:pt idx="53">
                  <c:v>73212.866902780079</c:v>
                </c:pt>
                <c:pt idx="54">
                  <c:v>73212.866902780079</c:v>
                </c:pt>
                <c:pt idx="55">
                  <c:v>73212.866902780079</c:v>
                </c:pt>
                <c:pt idx="56">
                  <c:v>73212.866902780079</c:v>
                </c:pt>
                <c:pt idx="57">
                  <c:v>73212.866902780079</c:v>
                </c:pt>
                <c:pt idx="58">
                  <c:v>73212.866902780079</c:v>
                </c:pt>
                <c:pt idx="59">
                  <c:v>73212.866902780079</c:v>
                </c:pt>
                <c:pt idx="60">
                  <c:v>73212.866902780079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A-724B-9EC2-7B927B82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51535"/>
        <c:axId val="1377233839"/>
      </c:lineChart>
      <c:catAx>
        <c:axId val="16030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377233839"/>
        <c:crosses val="autoZero"/>
        <c:auto val="1"/>
        <c:lblAlgn val="ctr"/>
        <c:lblOffset val="100"/>
        <c:noMultiLvlLbl val="0"/>
      </c:catAx>
      <c:valAx>
        <c:axId val="13772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0305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Special Travel Investment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'!$U$17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'!$U$18:$U$67</c:f>
              <c:numCache>
                <c:formatCode>"CHF"#,##0.00_);[Red]\("CHF"#,##0.00\)</c:formatCode>
                <c:ptCount val="50"/>
                <c:pt idx="0">
                  <c:v>1525.524165810431</c:v>
                </c:pt>
                <c:pt idx="1">
                  <c:v>3058.6934567147691</c:v>
                </c:pt>
                <c:pt idx="2">
                  <c:v>4599.5461860607475</c:v>
                </c:pt>
                <c:pt idx="3">
                  <c:v>6148.120859202214</c:v>
                </c:pt>
                <c:pt idx="4">
                  <c:v>7704.4561744620396</c:v>
                </c:pt>
                <c:pt idx="5">
                  <c:v>9268.591024098143</c:v>
                </c:pt>
                <c:pt idx="6">
                  <c:v>10840.564495276478</c:v>
                </c:pt>
                <c:pt idx="7">
                  <c:v>12420.415871047182</c:v>
                </c:pt>
                <c:pt idx="8">
                  <c:v>14008.18463132629</c:v>
                </c:pt>
                <c:pt idx="9">
                  <c:v>15603.910453882572</c:v>
                </c:pt>
                <c:pt idx="10">
                  <c:v>17207.633215328693</c:v>
                </c:pt>
                <c:pt idx="11">
                  <c:v>18819.392992118203</c:v>
                </c:pt>
                <c:pt idx="12">
                  <c:v>20439.230061546688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C-B442-A381-36D225A4E22D}"/>
            </c:ext>
          </c:extLst>
        </c:ser>
        <c:ser>
          <c:idx val="1"/>
          <c:order val="1"/>
          <c:tx>
            <c:strRef>
              <c:f>'Luxus '!$V$17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'!$V$18:$V$67</c:f>
              <c:numCache>
                <c:formatCode>"CHF"#,##0.00_);[Red]\("CHF"#,##0.00\)</c:formatCode>
                <c:ptCount val="50"/>
                <c:pt idx="0">
                  <c:v>1563.2380463340771</c:v>
                </c:pt>
                <c:pt idx="1">
                  <c:v>3206.454317959538</c:v>
                </c:pt>
                <c:pt idx="2">
                  <c:v>4933.7406526715004</c:v>
                </c:pt>
                <c:pt idx="3">
                  <c:v>6749.3982344525139</c:v>
                </c:pt>
                <c:pt idx="4">
                  <c:v>8657.9483040207997</c:v>
                </c:pt>
                <c:pt idx="5">
                  <c:v>10664.143417350515</c:v>
                </c:pt>
                <c:pt idx="6">
                  <c:v>12772.979280199239</c:v>
                </c:pt>
                <c:pt idx="7">
                  <c:v>14989.707188112361</c:v>
                </c:pt>
                <c:pt idx="8">
                  <c:v>17319.847102881726</c:v>
                </c:pt>
                <c:pt idx="9">
                  <c:v>19769.201398020676</c:v>
                </c:pt>
                <c:pt idx="10">
                  <c:v>22343.869307483703</c:v>
                </c:pt>
                <c:pt idx="11">
                  <c:v>25050.262113610057</c:v>
                </c:pt>
                <c:pt idx="12">
                  <c:v>27895.119112111304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C-B442-A381-36D225A4E22D}"/>
            </c:ext>
          </c:extLst>
        </c:ser>
        <c:ser>
          <c:idx val="2"/>
          <c:order val="2"/>
          <c:tx>
            <c:strRef>
              <c:f>'Luxus '!$W$17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'!$W$18:$W$67</c:f>
              <c:numCache>
                <c:formatCode>"CHF"#,##0.00_);[Red]\("CHF"#,##0.00\)</c:formatCode>
                <c:ptCount val="50"/>
                <c:pt idx="0">
                  <c:v>1571.7607619006149</c:v>
                </c:pt>
                <c:pt idx="1">
                  <c:v>3240.4642883697393</c:v>
                </c:pt>
                <c:pt idx="2">
                  <c:v>5012.0897970020405</c:v>
                </c:pt>
                <c:pt idx="3">
                  <c:v>6892.9852904501167</c:v>
                </c:pt>
                <c:pt idx="4">
                  <c:v>8889.890302279864</c:v>
                </c:pt>
                <c:pt idx="5">
                  <c:v>11009.960045740521</c:v>
                </c:pt>
                <c:pt idx="6">
                  <c:v>13260.791051977962</c:v>
                </c:pt>
                <c:pt idx="7">
                  <c:v>15650.448389556883</c:v>
                </c:pt>
                <c:pt idx="8">
                  <c:v>18187.494562823613</c:v>
                </c:pt>
                <c:pt idx="9">
                  <c:v>20881.020192656644</c:v>
                </c:pt>
                <c:pt idx="10">
                  <c:v>23740.676589538711</c:v>
                </c:pt>
                <c:pt idx="11">
                  <c:v>26776.710335664771</c:v>
                </c:pt>
                <c:pt idx="12">
                  <c:v>29999.999999998672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7C-B442-A381-36D225A4E22D}"/>
            </c:ext>
          </c:extLst>
        </c:ser>
        <c:ser>
          <c:idx val="3"/>
          <c:order val="3"/>
          <c:tx>
            <c:strRef>
              <c:f>'Luxus '!$X$17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'!$X$18:$X$67</c:f>
              <c:numCache>
                <c:formatCode>"CHF"#,##0.00_);[Red]\("CHF"#,##0.00\)</c:formatCode>
                <c:ptCount val="50"/>
                <c:pt idx="0">
                  <c:v>1588.9633727382839</c:v>
                </c:pt>
                <c:pt idx="1">
                  <c:v>3309.8099217490453</c:v>
                </c:pt>
                <c:pt idx="2">
                  <c:v>5173.4858856191022</c:v>
                </c:pt>
                <c:pt idx="3">
                  <c:v>7191.8460353393875</c:v>
                </c:pt>
                <c:pt idx="4">
                  <c:v>9377.7290820463877</c:v>
                </c:pt>
                <c:pt idx="5">
                  <c:v>11745.039343568964</c:v>
                </c:pt>
                <c:pt idx="6">
                  <c:v>14308.835189258276</c:v>
                </c:pt>
                <c:pt idx="7">
                  <c:v>17085.424825694943</c:v>
                </c:pt>
                <c:pt idx="8">
                  <c:v>20092.470032562691</c:v>
                </c:pt>
                <c:pt idx="9">
                  <c:v>23349.098508548355</c:v>
                </c:pt>
                <c:pt idx="10">
                  <c:v>26876.025541896124</c:v>
                </c:pt>
                <c:pt idx="11">
                  <c:v>30695.685779557825</c:v>
                </c:pt>
                <c:pt idx="12">
                  <c:v>34832.375933117699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7C-B442-A381-36D225A4E22D}"/>
            </c:ext>
          </c:extLst>
        </c:ser>
        <c:ser>
          <c:idx val="4"/>
          <c:order val="4"/>
          <c:tx>
            <c:strRef>
              <c:f>'Luxus '!$Y$17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'!$S$18:$S$67</c:f>
              <c:strCache>
                <c:ptCount val="1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</c:strCache>
            </c:strRef>
          </c:xVal>
          <c:yVal>
            <c:numRef>
              <c:f>'Luxus '!$Y$18:$Y$67</c:f>
              <c:numCache>
                <c:formatCode>_("CHF"* #,##0.00_);_("CHF"* \(#,##0.00\);_("CHF"* "-"??_);_(@_)</c:formatCode>
                <c:ptCount val="50"/>
                <c:pt idx="0">
                  <c:v>30000</c:v>
                </c:pt>
                <c:pt idx="1">
                  <c:v>30000</c:v>
                </c:pt>
                <c:pt idx="2">
                  <c:v>30000</c:v>
                </c:pt>
                <c:pt idx="3">
                  <c:v>30000</c:v>
                </c:pt>
                <c:pt idx="4">
                  <c:v>30000</c:v>
                </c:pt>
                <c:pt idx="5">
                  <c:v>30000</c:v>
                </c:pt>
                <c:pt idx="6">
                  <c:v>30000</c:v>
                </c:pt>
                <c:pt idx="7">
                  <c:v>30000</c:v>
                </c:pt>
                <c:pt idx="8">
                  <c:v>30000</c:v>
                </c:pt>
                <c:pt idx="9">
                  <c:v>30000</c:v>
                </c:pt>
                <c:pt idx="10">
                  <c:v>30000</c:v>
                </c:pt>
                <c:pt idx="11">
                  <c:v>30000</c:v>
                </c:pt>
                <c:pt idx="12">
                  <c:v>30000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7C-B442-A381-36D225A4E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406703"/>
        <c:axId val="2041769919"/>
      </c:scatterChart>
      <c:valAx>
        <c:axId val="208540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1769919"/>
        <c:crosses val="autoZero"/>
        <c:crossBetween val="midCat"/>
      </c:valAx>
      <c:valAx>
        <c:axId val="204176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85406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Wedding</a:t>
            </a:r>
            <a:r>
              <a:rPr lang="it-IT" baseline="0"/>
              <a:t> Investment Scenario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'!$AS$17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'!$AS$18:$AS$60</c:f>
              <c:numCache>
                <c:formatCode>"CHF"#,##0.00_);[Red]\("CHF"#,##0.00\)</c:formatCode>
                <c:ptCount val="43"/>
                <c:pt idx="0">
                  <c:v>3240.4892122152655</c:v>
                </c:pt>
                <c:pt idx="1">
                  <c:v>6497.2180527157252</c:v>
                </c:pt>
                <c:pt idx="2">
                  <c:v>9770.2679059807579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A8-F248-B07E-12CF80CC272D}"/>
            </c:ext>
          </c:extLst>
        </c:ser>
        <c:ser>
          <c:idx val="1"/>
          <c:order val="1"/>
          <c:tx>
            <c:strRef>
              <c:f>'Luxus '!$AT$17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'!$AT$18:$AT$60</c:f>
              <c:numCache>
                <c:formatCode>"CHF"#,##0.00_);[Red]\("CHF"#,##0.00\)</c:formatCode>
                <c:ptCount val="43"/>
                <c:pt idx="0">
                  <c:v>3258.1017187979705</c:v>
                </c:pt>
                <c:pt idx="1">
                  <c:v>6565.4123590285253</c:v>
                </c:pt>
                <c:pt idx="2">
                  <c:v>9922.6751503872511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A8-F248-B07E-12CF80CC272D}"/>
            </c:ext>
          </c:extLst>
        </c:ser>
        <c:ser>
          <c:idx val="2"/>
          <c:order val="2"/>
          <c:tx>
            <c:strRef>
              <c:f>'Luxus '!$AU$17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'!$AU$18:$AU$60</c:f>
              <c:numCache>
                <c:formatCode>"CHF"#,##0.00_);[Red]\("CHF"#,##0.00\)</c:formatCode>
                <c:ptCount val="43"/>
                <c:pt idx="0">
                  <c:v>3266.9484238129276</c:v>
                </c:pt>
                <c:pt idx="1">
                  <c:v>6599.8380966052791</c:v>
                </c:pt>
                <c:pt idx="2">
                  <c:v>10000.000000000409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A8-F248-B07E-12CF80CC272D}"/>
            </c:ext>
          </c:extLst>
        </c:ser>
        <c:ser>
          <c:idx val="3"/>
          <c:order val="3"/>
          <c:tx>
            <c:strRef>
              <c:f>'Luxus '!$AV$17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'!$AV$18:$AV$60</c:f>
              <c:numCache>
                <c:formatCode>"CHF"#,##0.00_);[Red]\("CHF"#,##0.00\)</c:formatCode>
                <c:ptCount val="43"/>
                <c:pt idx="0">
                  <c:v>3284.7231595740918</c:v>
                </c:pt>
                <c:pt idx="1">
                  <c:v>6669.3543172425798</c:v>
                </c:pt>
                <c:pt idx="2">
                  <c:v>10156.93227037086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A8-F248-B07E-12CF80CC272D}"/>
            </c:ext>
          </c:extLst>
        </c:ser>
        <c:ser>
          <c:idx val="4"/>
          <c:order val="4"/>
          <c:tx>
            <c:strRef>
              <c:f>'Luxus '!$AW$17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'!$AQ$18:$AQ$60</c:f>
              <c:strCache>
                <c:ptCount val="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</c:strCache>
            </c:strRef>
          </c:xVal>
          <c:yVal>
            <c:numRef>
              <c:f>'Luxus '!$AW$18:$AW$60</c:f>
              <c:numCache>
                <c:formatCode>_("CHF"* #,##0.00_);_("CHF"* \(#,##0.00\);_("CHF"* "-"??_);_(@_)</c:formatCode>
                <c:ptCount val="4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A8-F248-B07E-12CF80CC2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48959"/>
        <c:axId val="345484784"/>
      </c:scatterChart>
      <c:valAx>
        <c:axId val="1967948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45484784"/>
        <c:crosses val="autoZero"/>
        <c:crossBetween val="midCat"/>
      </c:valAx>
      <c:valAx>
        <c:axId val="3454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967948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Car Investment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'!$I$17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'!$I$18:$I$60</c:f>
              <c:numCache>
                <c:formatCode>"CHF"#,##0.00_);[Red]\("CHF"#,##0.00\)</c:formatCode>
                <c:ptCount val="43"/>
                <c:pt idx="0">
                  <c:v>2021.5545874195627</c:v>
                </c:pt>
                <c:pt idx="1">
                  <c:v>4053.2401436243849</c:v>
                </c:pt>
                <c:pt idx="2">
                  <c:v>6095.1074397039101</c:v>
                </c:pt>
                <c:pt idx="3">
                  <c:v>8147.2075011852667</c:v>
                </c:pt>
                <c:pt idx="4">
                  <c:v>10209.591609309276</c:v>
                </c:pt>
                <c:pt idx="5">
                  <c:v>12282.311302310585</c:v>
                </c:pt>
                <c:pt idx="6">
                  <c:v>14365.418376707012</c:v>
                </c:pt>
                <c:pt idx="7">
                  <c:v>16458.964888593109</c:v>
                </c:pt>
                <c:pt idx="8">
                  <c:v>18563.003154941074</c:v>
                </c:pt>
                <c:pt idx="9">
                  <c:v>20677.585754908465</c:v>
                </c:pt>
                <c:pt idx="10">
                  <c:v>22802.765531151643</c:v>
                </c:pt>
                <c:pt idx="11">
                  <c:v>24938.595591146939</c:v>
                </c:pt>
                <c:pt idx="12">
                  <c:v>27085.129308517324</c:v>
                </c:pt>
                <c:pt idx="13">
                  <c:v>29242.420324366045</c:v>
                </c:pt>
                <c:pt idx="14">
                  <c:v>31410.52254861773</c:v>
                </c:pt>
                <c:pt idx="15">
                  <c:v>33589.490161364884</c:v>
                </c:pt>
                <c:pt idx="16">
                  <c:v>35779.377614222554</c:v>
                </c:pt>
                <c:pt idx="17">
                  <c:v>37980.239631688069</c:v>
                </c:pt>
                <c:pt idx="18">
                  <c:v>40192.131212509761</c:v>
                </c:pt>
                <c:pt idx="19">
                  <c:v>42415.107631060324</c:v>
                </c:pt>
                <c:pt idx="20">
                  <c:v>44649.224438719059</c:v>
                </c:pt>
                <c:pt idx="21">
                  <c:v>46894.537465258778</c:v>
                </c:pt>
                <c:pt idx="22">
                  <c:v>49151.102820242697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B-FE4D-A8E3-CDF1C8ADD3CA}"/>
            </c:ext>
          </c:extLst>
        </c:ser>
        <c:ser>
          <c:idx val="1"/>
          <c:order val="1"/>
          <c:tx>
            <c:strRef>
              <c:f>'Luxus '!$J$17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'!$J$18:$J$60</c:f>
              <c:numCache>
                <c:formatCode>"CHF"#,##0.00_);[Red]\("CHF"#,##0.00\)</c:formatCode>
                <c:ptCount val="43"/>
                <c:pt idx="0">
                  <c:v>2071.5312904378775</c:v>
                </c:pt>
                <c:pt idx="1">
                  <c:v>4249.0460532159523</c:v>
                </c:pt>
                <c:pt idx="2">
                  <c:v>6537.9666039232416</c:v>
                </c:pt>
                <c:pt idx="3">
                  <c:v>8943.9926741052241</c:v>
                </c:pt>
                <c:pt idx="4">
                  <c:v>11473.115604390641</c:v>
                </c:pt>
                <c:pt idx="5">
                  <c:v>14131.633263765674</c:v>
                </c:pt>
                <c:pt idx="6">
                  <c:v>16926.165732146437</c:v>
                </c:pt>
                <c:pt idx="7">
                  <c:v>19863.671785301678</c:v>
                </c:pt>
                <c:pt idx="8">
                  <c:v>22951.46622317543</c:v>
                </c:pt>
                <c:pt idx="9">
                  <c:v>26197.238084759461</c:v>
                </c:pt>
                <c:pt idx="10">
                  <c:v>29609.069794873252</c:v>
                </c:pt>
                <c:pt idx="11">
                  <c:v>33195.45729052955</c:v>
                </c:pt>
                <c:pt idx="12">
                  <c:v>36965.33117700294</c:v>
                </c:pt>
                <c:pt idx="13">
                  <c:v>40928.078966283101</c:v>
                </c:pt>
                <c:pt idx="14">
                  <c:v>45093.568453289467</c:v>
                </c:pt>
                <c:pt idx="15">
                  <c:v>49472.172288057496</c:v>
                </c:pt>
                <c:pt idx="16">
                  <c:v>54074.79380508449</c:v>
                </c:pt>
                <c:pt idx="17">
                  <c:v>58912.894174153909</c:v>
                </c:pt>
                <c:pt idx="18">
                  <c:v>63998.520940247181</c:v>
                </c:pt>
                <c:pt idx="19">
                  <c:v>69344.33802361197</c:v>
                </c:pt>
                <c:pt idx="20">
                  <c:v>74963.657254690275</c:v>
                </c:pt>
                <c:pt idx="21">
                  <c:v>80870.471522433872</c:v>
                </c:pt>
                <c:pt idx="22">
                  <c:v>87079.489618550157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BB-FE4D-A8E3-CDF1C8ADD3CA}"/>
            </c:ext>
          </c:extLst>
        </c:ser>
        <c:ser>
          <c:idx val="2"/>
          <c:order val="2"/>
          <c:tx>
            <c:strRef>
              <c:f>'Luxus '!$K$17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'!$K$18:$K$60</c:f>
              <c:numCache>
                <c:formatCode>"CHF"#,##0.00_);[Red]\("CHF"#,##0.00\)</c:formatCode>
                <c:ptCount val="43"/>
                <c:pt idx="0">
                  <c:v>2082.8252018271169</c:v>
                </c:pt>
                <c:pt idx="1">
                  <c:v>4294.114504599167</c:v>
                </c:pt>
                <c:pt idx="2">
                  <c:v>6641.791292965554</c:v>
                </c:pt>
                <c:pt idx="3">
                  <c:v>9134.2676486034597</c:v>
                </c:pt>
                <c:pt idx="4">
                  <c:v>11780.474491981109</c:v>
                </c:pt>
                <c:pt idx="5">
                  <c:v>14589.893583199155</c:v>
                </c:pt>
                <c:pt idx="6">
                  <c:v>17572.591496573878</c:v>
                </c:pt>
                <c:pt idx="7">
                  <c:v>20739.255690698345</c:v>
                </c:pt>
                <c:pt idx="8">
                  <c:v>24101.232803226063</c:v>
                </c:pt>
                <c:pt idx="9">
                  <c:v>27670.569307593025</c:v>
                </c:pt>
                <c:pt idx="10">
                  <c:v>31460.054677357402</c:v>
                </c:pt>
                <c:pt idx="11">
                  <c:v>35483.267212821374</c:v>
                </c:pt>
                <c:pt idx="12">
                  <c:v>39754.62269413859</c:v>
                </c:pt>
                <c:pt idx="13">
                  <c:v>44289.426035238881</c:v>
                </c:pt>
                <c:pt idx="14">
                  <c:v>49103.926123654033</c:v>
                </c:pt>
                <c:pt idx="15">
                  <c:v>54215.374042744079</c:v>
                </c:pt>
                <c:pt idx="16">
                  <c:v>59642.084884942931</c:v>
                </c:pt>
                <c:pt idx="17">
                  <c:v>65403.50337750998</c:v>
                </c:pt>
                <c:pt idx="18">
                  <c:v>71520.273555934182</c:v>
                </c:pt>
                <c:pt idx="19">
                  <c:v>78014.312734641586</c:v>
                </c:pt>
                <c:pt idx="20">
                  <c:v>84908.89004005403</c:v>
                </c:pt>
                <c:pt idx="21">
                  <c:v>92228.709787394939</c:v>
                </c:pt>
                <c:pt idx="22">
                  <c:v>99999.999999994339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BB-FE4D-A8E3-CDF1C8ADD3CA}"/>
            </c:ext>
          </c:extLst>
        </c:ser>
        <c:ser>
          <c:idx val="3"/>
          <c:order val="3"/>
          <c:tx>
            <c:strRef>
              <c:f>'Luxus '!$L$17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'!$L$18:$L$60</c:f>
              <c:numCache>
                <c:formatCode>"CHF"#,##0.00_);[Red]\("CHF"#,##0.00\)</c:formatCode>
                <c:ptCount val="43"/>
                <c:pt idx="0">
                  <c:v>2105.6213119339723</c:v>
                </c:pt>
                <c:pt idx="1">
                  <c:v>4386.0081542818498</c:v>
                </c:pt>
                <c:pt idx="2">
                  <c:v>6855.6659798749306</c:v>
                </c:pt>
                <c:pt idx="3">
                  <c:v>9530.3041869755507</c:v>
                </c:pt>
                <c:pt idx="4">
                  <c:v>12426.936046154042</c:v>
                </c:pt>
                <c:pt idx="5">
                  <c:v>15563.986921047266</c:v>
                </c:pt>
                <c:pt idx="6">
                  <c:v>18961.411471386702</c:v>
                </c:pt>
                <c:pt idx="7">
                  <c:v>22640.820583820037</c:v>
                </c:pt>
                <c:pt idx="8">
                  <c:v>26625.618837928389</c:v>
                </c:pt>
                <c:pt idx="9">
                  <c:v>30941.153381855169</c:v>
                </c:pt>
                <c:pt idx="10">
                  <c:v>35614.875164538644</c:v>
                </c:pt>
                <c:pt idx="11">
                  <c:v>40676.513550140357</c:v>
                </c:pt>
                <c:pt idx="12">
                  <c:v>46158.265425384961</c:v>
                </c:pt>
                <c:pt idx="13">
                  <c:v>52095.000002716049</c:v>
                </c:pt>
                <c:pt idx="14">
                  <c:v>58524.480622012692</c:v>
                </c:pt>
                <c:pt idx="15">
                  <c:v>65487.604961739387</c:v>
                </c:pt>
                <c:pt idx="16">
                  <c:v>73028.66518750276</c:v>
                </c:pt>
                <c:pt idx="17">
                  <c:v>81195.629692810267</c:v>
                </c:pt>
                <c:pt idx="18">
                  <c:v>90040.448224172695</c:v>
                </c:pt>
                <c:pt idx="19">
                  <c:v>99619.382331440152</c:v>
                </c:pt>
                <c:pt idx="20">
                  <c:v>109993.36324535243</c:v>
                </c:pt>
                <c:pt idx="21">
                  <c:v>121228.37945874993</c:v>
                </c:pt>
                <c:pt idx="22">
                  <c:v>133395.89647683382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BB-FE4D-A8E3-CDF1C8ADD3CA}"/>
            </c:ext>
          </c:extLst>
        </c:ser>
        <c:ser>
          <c:idx val="4"/>
          <c:order val="4"/>
          <c:tx>
            <c:strRef>
              <c:f>'Luxus '!$M$17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'!$G$18:$G$60</c:f>
              <c:strCache>
                <c:ptCount val="23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</c:strCache>
            </c:strRef>
          </c:xVal>
          <c:yVal>
            <c:numRef>
              <c:f>'Luxus '!$M$18:$M$60</c:f>
              <c:numCache>
                <c:formatCode>_("CHF"* #,##0.00_);_("CHF"* \(#,##0.00\);_("CHF"* "-"??_);_(@_)</c:formatCode>
                <c:ptCount val="4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BB-FE4D-A8E3-CDF1C8ADD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969328"/>
        <c:axId val="2110971040"/>
      </c:scatterChart>
      <c:valAx>
        <c:axId val="211096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10971040"/>
        <c:crosses val="autoZero"/>
        <c:crossBetween val="midCat"/>
      </c:valAx>
      <c:valAx>
        <c:axId val="21109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1096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Watch Investment</a:t>
            </a:r>
            <a:r>
              <a:rPr lang="it-IT" baseline="0"/>
              <a:t> Prediction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'Luxus '!$AG$17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'!$AG$18:$AG$60</c:f>
              <c:numCache>
                <c:formatCode>"CHF"#,##0.00_);[Red]\("CHF"#,##0.00\)</c:formatCode>
                <c:ptCount val="43"/>
                <c:pt idx="0">
                  <c:v>3608.8862500171463</c:v>
                </c:pt>
                <c:pt idx="1">
                  <c:v>7235.8583405928421</c:v>
                </c:pt>
                <c:pt idx="2">
                  <c:v>10881.00690845178</c:v>
                </c:pt>
                <c:pt idx="3">
                  <c:v>14544.423044541692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E-EC43-92B0-76565BE29343}"/>
            </c:ext>
          </c:extLst>
        </c:ser>
        <c:ser>
          <c:idx val="1"/>
          <c:order val="1"/>
          <c:tx>
            <c:strRef>
              <c:f>'Luxus '!$AH$17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'!$AH$18:$AH$60</c:f>
              <c:numCache>
                <c:formatCode>"CHF"#,##0.00_);[Red]\("CHF"#,##0.00\)</c:formatCode>
                <c:ptCount val="43"/>
                <c:pt idx="0">
                  <c:v>3628.5010453989853</c:v>
                </c:pt>
                <c:pt idx="1">
                  <c:v>7311.8053591646085</c:v>
                </c:pt>
                <c:pt idx="2">
                  <c:v>11050.740665524094</c:v>
                </c:pt>
                <c:pt idx="3">
                  <c:v>14846.147190283735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E-EC43-92B0-76565BE29343}"/>
            </c:ext>
          </c:extLst>
        </c:ser>
        <c:ser>
          <c:idx val="2"/>
          <c:order val="2"/>
          <c:tx>
            <c:strRef>
              <c:f>'Luxus '!$AI$17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'!$AI$18:$AI$60</c:f>
              <c:numCache>
                <c:formatCode>"CHF"#,##0.00_);[Red]\("CHF"#,##0.00\)</c:formatCode>
                <c:ptCount val="43"/>
                <c:pt idx="0">
                  <c:v>3638.3534935929451</c:v>
                </c:pt>
                <c:pt idx="1">
                  <c:v>7350.1448081956742</c:v>
                </c:pt>
                <c:pt idx="2">
                  <c:v>11136.856238907782</c:v>
                </c:pt>
                <c:pt idx="3">
                  <c:v>15000.000000000653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FE-EC43-92B0-76565BE29343}"/>
            </c:ext>
          </c:extLst>
        </c:ser>
        <c:ser>
          <c:idx val="3"/>
          <c:order val="3"/>
          <c:tx>
            <c:strRef>
              <c:f>'Luxus '!$AJ$17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'!$AJ$18:$AJ$60</c:f>
              <c:numCache>
                <c:formatCode>"CHF"#,##0.00_);[Red]\("CHF"#,##0.00\)</c:formatCode>
                <c:ptCount val="43"/>
                <c:pt idx="0">
                  <c:v>3658.1489612786104</c:v>
                </c:pt>
                <c:pt idx="1">
                  <c:v>7427.5640237466523</c:v>
                </c:pt>
                <c:pt idx="2">
                  <c:v>11311.629452343886</c:v>
                </c:pt>
                <c:pt idx="3">
                  <c:v>15313.832447666548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FE-EC43-92B0-76565BE29343}"/>
            </c:ext>
          </c:extLst>
        </c:ser>
        <c:ser>
          <c:idx val="4"/>
          <c:order val="4"/>
          <c:tx>
            <c:strRef>
              <c:f>'Luxus '!$AK$17</c:f>
              <c:strCache>
                <c:ptCount val="1"/>
                <c:pt idx="0">
                  <c:v>Expected capial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'Luxus '!$AE$18:$AE$60</c:f>
              <c:strCache>
                <c:ptCount val="4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</c:strCache>
            </c:strRef>
          </c:xVal>
          <c:yVal>
            <c:numRef>
              <c:f>'Luxus '!$AK$18:$AK$60</c:f>
              <c:numCache>
                <c:formatCode>_("CHF"* #,##0.00_);_("CHF"* \(#,##0.00\);_("CHF"* "-"??_);_(@_)</c:formatCode>
                <c:ptCount val="43"/>
                <c:pt idx="0">
                  <c:v>15000</c:v>
                </c:pt>
                <c:pt idx="1">
                  <c:v>15000</c:v>
                </c:pt>
                <c:pt idx="2">
                  <c:v>15000</c:v>
                </c:pt>
                <c:pt idx="3">
                  <c:v>15000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FE-EC43-92B0-76565BE29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70847"/>
        <c:axId val="302172559"/>
      </c:scatterChart>
      <c:valAx>
        <c:axId val="30217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02172559"/>
        <c:crosses val="autoZero"/>
        <c:crossBetween val="midCat"/>
      </c:valAx>
      <c:valAx>
        <c:axId val="3021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02170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Pension Investment</a:t>
            </a:r>
            <a:r>
              <a:rPr lang="it-IT" baseline="0"/>
              <a:t> Scenarios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'Pension calculator 3a'!$L$3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3a'!$L$4:$L$56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E0-AD4E-8F09-248C6B0095F7}"/>
            </c:ext>
          </c:extLst>
        </c:ser>
        <c:ser>
          <c:idx val="1"/>
          <c:order val="1"/>
          <c:tx>
            <c:strRef>
              <c:f>'Pension calculator 3a'!$M$3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3a'!$M$4:$M$56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E0-AD4E-8F09-248C6B0095F7}"/>
            </c:ext>
          </c:extLst>
        </c:ser>
        <c:ser>
          <c:idx val="2"/>
          <c:order val="2"/>
          <c:tx>
            <c:strRef>
              <c:f>'Pension calculator 3a'!$N$3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3a'!$N$4:$N$56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E0-AD4E-8F09-248C6B0095F7}"/>
            </c:ext>
          </c:extLst>
        </c:ser>
        <c:ser>
          <c:idx val="3"/>
          <c:order val="3"/>
          <c:tx>
            <c:strRef>
              <c:f>'Pension calculator 3a'!$O$3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3a'!$O$4:$O$56</c:f>
              <c:numCache>
                <c:formatCode>"CHF"#,##0.00_);[Red]\("CHF"#,##0.00\)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E0-AD4E-8F09-248C6B0095F7}"/>
            </c:ext>
          </c:extLst>
        </c:ser>
        <c:ser>
          <c:idx val="4"/>
          <c:order val="4"/>
          <c:tx>
            <c:strRef>
              <c:f>'Pension calculator 3a'!$P$3</c:f>
              <c:strCache>
                <c:ptCount val="1"/>
                <c:pt idx="0">
                  <c:v>Expected capital2</c:v>
                </c:pt>
              </c:strCache>
            </c:strRef>
          </c:tx>
          <c:spPr>
            <a:ln w="25400" cap="flat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'Pension calculator 3a'!$J$4:$J$56</c:f>
              <c:strCache>
                <c:ptCount val="38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</c:strCache>
            </c:strRef>
          </c:xVal>
          <c:yVal>
            <c:numRef>
              <c:f>'Pension calculator 3a'!$P$4:$P$56</c:f>
              <c:numCache>
                <c:formatCode>_("CHF"* #,##0.00_);_("CHF"* \(#,##0.00\);_("CHF"* "-"??_);_(@_)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E0-AD4E-8F09-248C6B009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85696"/>
        <c:axId val="338741120"/>
      </c:scatterChart>
      <c:valAx>
        <c:axId val="33878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41120"/>
        <c:crosses val="autoZero"/>
        <c:crossBetween val="midCat"/>
      </c:valAx>
      <c:valAx>
        <c:axId val="3387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8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Investment</a:t>
            </a:r>
            <a:r>
              <a:rPr lang="it-IT" baseline="0"/>
              <a:t> scenarios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'Pension calculator 3a'!$L$3</c:f>
              <c:strCache>
                <c:ptCount val="1"/>
                <c:pt idx="0">
                  <c:v>Saving accoount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rgbClr val="0070C0"/>
              </a:solidFill>
            </a:ln>
            <a:effectLst/>
          </c:spPr>
          <c:cat>
            <c:numRef>
              <c:f>'Pension calculator 3a'!$J$4:$J$13</c:f>
              <c:numCache>
                <c:formatCode>General</c:formatCode>
                <c:ptCount val="10"/>
                <c:pt idx="0" formatCode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'Pension calculator 3a'!$L$4:$L$13</c:f>
              <c:numCache>
                <c:formatCode>"CHF"#,##0.00_);[Red]\("CHF"#,##0.00\)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A-C946-AF1F-CF38140486D4}"/>
            </c:ext>
          </c:extLst>
        </c:ser>
        <c:ser>
          <c:idx val="1"/>
          <c:order val="1"/>
          <c:tx>
            <c:strRef>
              <c:f>'Pension calculator 3a'!$M$3</c:f>
              <c:strCache>
                <c:ptCount val="1"/>
                <c:pt idx="0">
                  <c:v>Worst scenario</c:v>
                </c:pt>
              </c:strCache>
            </c:strRef>
          </c:tx>
          <c:spPr>
            <a:solidFill>
              <a:schemeClr val="bg2">
                <a:alpha val="35000"/>
              </a:schemeClr>
            </a:solidFill>
            <a:ln w="12700">
              <a:solidFill>
                <a:srgbClr val="FF0000"/>
              </a:solidFill>
            </a:ln>
            <a:effectLst/>
          </c:spPr>
          <c:cat>
            <c:numRef>
              <c:f>'Pension calculator 3a'!$J$4:$J$13</c:f>
              <c:numCache>
                <c:formatCode>General</c:formatCode>
                <c:ptCount val="10"/>
                <c:pt idx="0" formatCode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'Pension calculator 3a'!$M$4:$M$13</c:f>
              <c:numCache>
                <c:formatCode>"CHF"#,##0.00_);[Red]\("CHF"#,##0.00\)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A-C946-AF1F-CF38140486D4}"/>
            </c:ext>
          </c:extLst>
        </c:ser>
        <c:ser>
          <c:idx val="2"/>
          <c:order val="2"/>
          <c:tx>
            <c:strRef>
              <c:f>'Pension calculator 3a'!$N$3</c:f>
              <c:strCache>
                <c:ptCount val="1"/>
                <c:pt idx="0">
                  <c:v>Expected capital</c:v>
                </c:pt>
              </c:strCache>
            </c:strRef>
          </c:tx>
          <c:spPr>
            <a:noFill/>
            <a:ln w="22225">
              <a:solidFill>
                <a:srgbClr val="00B050"/>
              </a:solidFill>
            </a:ln>
            <a:effectLst/>
          </c:spPr>
          <c:cat>
            <c:numRef>
              <c:f>'Pension calculator 3a'!$J$4:$J$13</c:f>
              <c:numCache>
                <c:formatCode>General</c:formatCode>
                <c:ptCount val="10"/>
                <c:pt idx="0" formatCode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'Pension calculator 3a'!$N$4:$N$13</c:f>
              <c:numCache>
                <c:formatCode>"CHF"#,##0.00_);[Red]\("CHF"#,##0.00\)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A-C946-AF1F-CF38140486D4}"/>
            </c:ext>
          </c:extLst>
        </c:ser>
        <c:ser>
          <c:idx val="3"/>
          <c:order val="3"/>
          <c:tx>
            <c:strRef>
              <c:f>'Pension calculator 3a'!$O$3</c:f>
              <c:strCache>
                <c:ptCount val="1"/>
                <c:pt idx="0">
                  <c:v>Better scenario</c:v>
                </c:pt>
              </c:strCache>
            </c:strRef>
          </c:tx>
          <c:spPr>
            <a:solidFill>
              <a:schemeClr val="tx2">
                <a:lumMod val="10000"/>
                <a:lumOff val="90000"/>
                <a:alpha val="37000"/>
              </a:schemeClr>
            </a:solidFill>
            <a:ln w="12700">
              <a:solidFill>
                <a:srgbClr val="00B0F0"/>
              </a:solidFill>
            </a:ln>
            <a:effectLst/>
          </c:spPr>
          <c:cat>
            <c:numRef>
              <c:f>'Pension calculator 3a'!$J$4:$J$13</c:f>
              <c:numCache>
                <c:formatCode>General</c:formatCode>
                <c:ptCount val="10"/>
                <c:pt idx="0" formatCode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'Pension calculator 3a'!$O$4:$O$13</c:f>
              <c:numCache>
                <c:formatCode>"CHF"#,##0.00_);[Red]\("CHF"#,##0.00\)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A-C946-AF1F-CF38140486D4}"/>
            </c:ext>
          </c:extLst>
        </c:ser>
        <c:ser>
          <c:idx val="4"/>
          <c:order val="4"/>
          <c:tx>
            <c:strRef>
              <c:f>'Pension calculator 3a'!$P$3</c:f>
              <c:strCache>
                <c:ptCount val="1"/>
                <c:pt idx="0">
                  <c:v>Expected capital2</c:v>
                </c:pt>
              </c:strCache>
            </c:strRef>
          </c:tx>
          <c:spPr>
            <a:noFill/>
            <a:ln w="25400" cap="flat">
              <a:solidFill>
                <a:srgbClr val="FF0000"/>
              </a:solidFill>
              <a:prstDash val="sysDot"/>
            </a:ln>
            <a:effectLst/>
          </c:spPr>
          <c:cat>
            <c:numRef>
              <c:f>'Pension calculator 3a'!$J$4:$J$13</c:f>
              <c:numCache>
                <c:formatCode>General</c:formatCode>
                <c:ptCount val="10"/>
                <c:pt idx="0" formatCode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'Pension calculator 3a'!$P$4:$P$13</c:f>
              <c:numCache>
                <c:formatCode>_("CHF"* #,##0.00_);_("CHF"* \(#,##0.00\);_("CHF"*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A-C946-AF1F-CF3814048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85696"/>
        <c:axId val="338741120"/>
      </c:areaChart>
      <c:catAx>
        <c:axId val="33878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41120"/>
        <c:crosses val="autoZero"/>
        <c:auto val="1"/>
        <c:lblAlgn val="ctr"/>
        <c:lblOffset val="100"/>
        <c:noMultiLvlLbl val="0"/>
      </c:catAx>
      <c:valAx>
        <c:axId val="3387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CHF&quot;#,##0.00_);[Red]\(&quot;CHF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33878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House</a:t>
            </a:r>
            <a:r>
              <a:rPr lang="it-IT" baseline="0"/>
              <a:t> investment scenario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'House calculator '!$L$3</c:f>
              <c:strCache>
                <c:ptCount val="1"/>
                <c:pt idx="0">
                  <c:v>Saving accoount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'!$L$4:$L$46</c:f>
              <c:numCache>
                <c:formatCode>_("CHF"* #,##0.00_);_("CHF"* \(#,##0.00\);_("CHF"* "-"??_);_(@_)</c:formatCode>
                <c:ptCount val="43"/>
                <c:pt idx="0">
                  <c:v>59453.833257247941</c:v>
                </c:pt>
                <c:pt idx="1">
                  <c:v>119205.61786967647</c:v>
                </c:pt>
                <c:pt idx="2">
                  <c:v>179256.84701283713</c:v>
                </c:pt>
                <c:pt idx="3">
                  <c:v>239609.02134528288</c:v>
                </c:pt>
                <c:pt idx="4">
                  <c:v>300263.6490460952</c:v>
                </c:pt>
                <c:pt idx="5">
                  <c:v>361222.24585253309</c:v>
                </c:pt>
                <c:pt idx="6">
                  <c:v>422486.33509795228</c:v>
                </c:pt>
                <c:pt idx="7">
                  <c:v>484057.44774984923</c:v>
                </c:pt>
                <c:pt idx="8">
                  <c:v>545937.12244812073</c:v>
                </c:pt>
                <c:pt idx="9">
                  <c:v>608126.90554352349</c:v>
                </c:pt>
                <c:pt idx="10">
                  <c:v>670628.35113630292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D8-684D-9811-240E60B3E303}"/>
            </c:ext>
          </c:extLst>
        </c:ser>
        <c:ser>
          <c:idx val="1"/>
          <c:order val="1"/>
          <c:tx>
            <c:strRef>
              <c:f>'House calculator '!$M$3</c:f>
              <c:strCache>
                <c:ptCount val="1"/>
                <c:pt idx="0">
                  <c:v>Worst scenario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'!$M$4:$M$46</c:f>
              <c:numCache>
                <c:formatCode>_("CHF"* #,##0.00_);_("CHF"* \(#,##0.00\);_("CHF"* "-"??_);_(@_)</c:formatCode>
                <c:ptCount val="43"/>
                <c:pt idx="0">
                  <c:v>60923.645938284986</c:v>
                </c:pt>
                <c:pt idx="1">
                  <c:v>124964.26122864736</c:v>
                </c:pt>
                <c:pt idx="2">
                  <c:v>192281.31593877851</c:v>
                </c:pt>
                <c:pt idx="3">
                  <c:v>263042.43892768864</c:v>
                </c:pt>
                <c:pt idx="4">
                  <c:v>337423.83526495402</c:v>
                </c:pt>
                <c:pt idx="5">
                  <c:v>415610.72500592738</c:v>
                </c:pt>
                <c:pt idx="6">
                  <c:v>497797.80441551877</c:v>
                </c:pt>
                <c:pt idx="7">
                  <c:v>584189.7307890614</c:v>
                </c:pt>
                <c:pt idx="8">
                  <c:v>675001.63207753364</c:v>
                </c:pt>
                <c:pt idx="9">
                  <c:v>770459.64258617279</c:v>
                </c:pt>
                <c:pt idx="10">
                  <c:v>870801.46608044824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D8-684D-9811-240E60B3E303}"/>
            </c:ext>
          </c:extLst>
        </c:ser>
        <c:ser>
          <c:idx val="2"/>
          <c:order val="2"/>
          <c:tx>
            <c:strRef>
              <c:f>'House calculator '!$N$3</c:f>
              <c:strCache>
                <c:ptCount val="1"/>
                <c:pt idx="0">
                  <c:v>Expected capital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'!$N$4:$N$46</c:f>
              <c:numCache>
                <c:formatCode>_("CHF"* #,##0.00_);_("CHF"* \(#,##0.00\);_("CHF"* "-"??_);_(@_)</c:formatCode>
                <c:ptCount val="43"/>
                <c:pt idx="0">
                  <c:v>61255.799385308681</c:v>
                </c:pt>
                <c:pt idx="1">
                  <c:v>126289.722440714</c:v>
                </c:pt>
                <c:pt idx="2">
                  <c:v>195334.79556714045</c:v>
                </c:pt>
                <c:pt idx="3">
                  <c:v>268638.41772402939</c:v>
                </c:pt>
                <c:pt idx="4">
                  <c:v>346463.2468972971</c:v>
                </c:pt>
                <c:pt idx="5">
                  <c:v>429088.1412427004</c:v>
                </c:pt>
                <c:pt idx="6">
                  <c:v>516809.15827686351</c:v>
                </c:pt>
                <c:pt idx="7">
                  <c:v>609940.61569622182</c:v>
                </c:pt>
                <c:pt idx="8">
                  <c:v>708816.21762495779</c:v>
                </c:pt>
                <c:pt idx="9">
                  <c:v>813790.2503274437</c:v>
                </c:pt>
                <c:pt idx="10">
                  <c:v>925238.85166961083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D8-684D-9811-240E60B3E303}"/>
            </c:ext>
          </c:extLst>
        </c:ser>
        <c:ser>
          <c:idx val="3"/>
          <c:order val="3"/>
          <c:tx>
            <c:strRef>
              <c:f>'House calculator '!$O$3</c:f>
              <c:strCache>
                <c:ptCount val="1"/>
                <c:pt idx="0">
                  <c:v>Better scenario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'!$O$4:$O$46</c:f>
              <c:numCache>
                <c:formatCode>_("CHF"* #,##0.00_);_("CHF"* \(#,##0.00\);_("CHF"* "-"??_);_(@_)</c:formatCode>
                <c:ptCount val="43"/>
                <c:pt idx="0">
                  <c:v>61926.232000703378</c:v>
                </c:pt>
                <c:pt idx="1">
                  <c:v>128992.31071591267</c:v>
                </c:pt>
                <c:pt idx="2">
                  <c:v>201624.84088799782</c:v>
                </c:pt>
                <c:pt idx="3">
                  <c:v>280285.83524254779</c:v>
                </c:pt>
                <c:pt idx="4">
                  <c:v>365475.65333351365</c:v>
                </c:pt>
                <c:pt idx="5">
                  <c:v>457736.18431105115</c:v>
                </c:pt>
                <c:pt idx="6">
                  <c:v>557654.29385752336</c:v>
                </c:pt>
                <c:pt idx="7">
                  <c:v>665865.55721749156</c:v>
                </c:pt>
                <c:pt idx="8">
                  <c:v>783058.30206735444</c:v>
                </c:pt>
                <c:pt idx="9">
                  <c:v>909977.9869411746</c:v>
                </c:pt>
                <c:pt idx="10">
                  <c:v>1047431.9430636864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D8-684D-9811-240E60B3E303}"/>
            </c:ext>
          </c:extLst>
        </c:ser>
        <c:ser>
          <c:idx val="4"/>
          <c:order val="4"/>
          <c:tx>
            <c:strRef>
              <c:f>'House calculator '!$P$3</c:f>
              <c:strCache>
                <c:ptCount val="1"/>
                <c:pt idx="0">
                  <c:v>Expected capital2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strRef>
              <c:f>'House calculator '!$J$4:$J$46</c:f>
              <c:strCach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</c:strCache>
            </c:strRef>
          </c:xVal>
          <c:yVal>
            <c:numRef>
              <c:f>'House calculator '!$P$4:$P$46</c:f>
              <c:numCache>
                <c:formatCode>_("CHF"* #,##0.00_);_("CHF"* \(#,##0.00\);_("CHF"* "-"??_);_(@_)</c:formatCode>
                <c:ptCount val="43"/>
                <c:pt idx="0">
                  <c:v>925238.85166964959</c:v>
                </c:pt>
                <c:pt idx="1">
                  <c:v>925238.85166964959</c:v>
                </c:pt>
                <c:pt idx="2">
                  <c:v>925238.85166964959</c:v>
                </c:pt>
                <c:pt idx="3">
                  <c:v>925238.85166964959</c:v>
                </c:pt>
                <c:pt idx="4">
                  <c:v>925238.85166964959</c:v>
                </c:pt>
                <c:pt idx="5">
                  <c:v>925238.85166964959</c:v>
                </c:pt>
                <c:pt idx="6">
                  <c:v>925238.85166964959</c:v>
                </c:pt>
                <c:pt idx="7">
                  <c:v>925238.85166964959</c:v>
                </c:pt>
                <c:pt idx="8">
                  <c:v>925238.85166964959</c:v>
                </c:pt>
                <c:pt idx="9">
                  <c:v>925238.85166964959</c:v>
                </c:pt>
                <c:pt idx="10">
                  <c:v>925238.85166964959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D8-684D-9811-240E60B3E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467695"/>
        <c:axId val="1494143951"/>
      </c:scatterChart>
      <c:valAx>
        <c:axId val="149346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94143951"/>
        <c:crosses val="autoZero"/>
        <c:crossBetween val="midCat"/>
      </c:valAx>
      <c:valAx>
        <c:axId val="14941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CHF&quot;* #,##0.00_);_(&quot;CHF&quot;* \(#,##0.00\);_(&quot;CHF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93467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1219200</xdr:colOff>
      <xdr:row>62</xdr:row>
      <xdr:rowOff>108266</xdr:rowOff>
    </xdr:from>
    <xdr:to>
      <xdr:col>27</xdr:col>
      <xdr:colOff>1303866</xdr:colOff>
      <xdr:row>84</xdr:row>
      <xdr:rowOff>169334</xdr:rowOff>
    </xdr:to>
    <xdr:graphicFrame macro="">
      <xdr:nvGraphicFramePr>
        <xdr:cNvPr id="25" name="Grafico 7">
          <a:extLst>
            <a:ext uri="{FF2B5EF4-FFF2-40B4-BE49-F238E27FC236}">
              <a16:creationId xmlns:a16="http://schemas.microsoft.com/office/drawing/2014/main" id="{A17F7BB0-2A0C-F14A-B50E-FEFAA8912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108708</xdr:colOff>
      <xdr:row>62</xdr:row>
      <xdr:rowOff>123318</xdr:rowOff>
    </xdr:from>
    <xdr:to>
      <xdr:col>15</xdr:col>
      <xdr:colOff>914401</xdr:colOff>
      <xdr:row>84</xdr:row>
      <xdr:rowOff>50800</xdr:rowOff>
    </xdr:to>
    <xdr:graphicFrame macro="">
      <xdr:nvGraphicFramePr>
        <xdr:cNvPr id="27" name="Grafico 18">
          <a:extLst>
            <a:ext uri="{FF2B5EF4-FFF2-40B4-BE49-F238E27FC236}">
              <a16:creationId xmlns:a16="http://schemas.microsoft.com/office/drawing/2014/main" id="{9E25A8FC-5FFB-444C-988E-44093BE7E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9622</xdr:colOff>
      <xdr:row>7</xdr:row>
      <xdr:rowOff>0</xdr:rowOff>
    </xdr:from>
    <xdr:to>
      <xdr:col>23</xdr:col>
      <xdr:colOff>1562100</xdr:colOff>
      <xdr:row>7</xdr:row>
      <xdr:rowOff>2780</xdr:rowOff>
    </xdr:to>
    <xdr:cxnSp macro="">
      <xdr:nvCxnSpPr>
        <xdr:cNvPr id="2" name="Connettore 2 1">
          <a:extLst>
            <a:ext uri="{FF2B5EF4-FFF2-40B4-BE49-F238E27FC236}">
              <a16:creationId xmlns:a16="http://schemas.microsoft.com/office/drawing/2014/main" id="{A0BA0D0B-8040-E94C-AD76-0746B4AB834F}"/>
            </a:ext>
          </a:extLst>
        </xdr:cNvPr>
        <xdr:cNvCxnSpPr/>
      </xdr:nvCxnSpPr>
      <xdr:spPr>
        <a:xfrm flipV="1">
          <a:off x="10741122" y="3022600"/>
          <a:ext cx="19891278" cy="278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788555</xdr:colOff>
      <xdr:row>6</xdr:row>
      <xdr:rowOff>70427</xdr:rowOff>
    </xdr:from>
    <xdr:to>
      <xdr:col>7</xdr:col>
      <xdr:colOff>788555</xdr:colOff>
      <xdr:row>7</xdr:row>
      <xdr:rowOff>124923</xdr:rowOff>
    </xdr:to>
    <xdr:cxnSp macro="">
      <xdr:nvCxnSpPr>
        <xdr:cNvPr id="3" name="Connettore 1 2">
          <a:extLst>
            <a:ext uri="{FF2B5EF4-FFF2-40B4-BE49-F238E27FC236}">
              <a16:creationId xmlns:a16="http://schemas.microsoft.com/office/drawing/2014/main" id="{9B467986-714C-8C44-8914-EFF029F4EE72}"/>
            </a:ext>
          </a:extLst>
        </xdr:cNvPr>
        <xdr:cNvCxnSpPr/>
      </xdr:nvCxnSpPr>
      <xdr:spPr>
        <a:xfrm>
          <a:off x="14644255" y="2889827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788555</xdr:colOff>
      <xdr:row>6</xdr:row>
      <xdr:rowOff>67348</xdr:rowOff>
    </xdr:from>
    <xdr:to>
      <xdr:col>9</xdr:col>
      <xdr:colOff>788555</xdr:colOff>
      <xdr:row>7</xdr:row>
      <xdr:rowOff>121844</xdr:rowOff>
    </xdr:to>
    <xdr:cxnSp macro="">
      <xdr:nvCxnSpPr>
        <xdr:cNvPr id="4" name="Connettore 1 3">
          <a:extLst>
            <a:ext uri="{FF2B5EF4-FFF2-40B4-BE49-F238E27FC236}">
              <a16:creationId xmlns:a16="http://schemas.microsoft.com/office/drawing/2014/main" id="{B3854235-FB87-3F46-90BE-56D3D79C29F2}"/>
            </a:ext>
          </a:extLst>
        </xdr:cNvPr>
        <xdr:cNvCxnSpPr/>
      </xdr:nvCxnSpPr>
      <xdr:spPr>
        <a:xfrm>
          <a:off x="16549255" y="2886748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785476</xdr:colOff>
      <xdr:row>6</xdr:row>
      <xdr:rowOff>76970</xdr:rowOff>
    </xdr:from>
    <xdr:to>
      <xdr:col>11</xdr:col>
      <xdr:colOff>785476</xdr:colOff>
      <xdr:row>7</xdr:row>
      <xdr:rowOff>131466</xdr:rowOff>
    </xdr:to>
    <xdr:cxnSp macro="">
      <xdr:nvCxnSpPr>
        <xdr:cNvPr id="5" name="Connettore 1 4">
          <a:extLst>
            <a:ext uri="{FF2B5EF4-FFF2-40B4-BE49-F238E27FC236}">
              <a16:creationId xmlns:a16="http://schemas.microsoft.com/office/drawing/2014/main" id="{146E00E3-35EA-134A-B7D0-DE0D56038C67}"/>
            </a:ext>
          </a:extLst>
        </xdr:cNvPr>
        <xdr:cNvCxnSpPr/>
      </xdr:nvCxnSpPr>
      <xdr:spPr>
        <a:xfrm>
          <a:off x="18451176" y="2896370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791634</xdr:colOff>
      <xdr:row>6</xdr:row>
      <xdr:rowOff>89669</xdr:rowOff>
    </xdr:from>
    <xdr:to>
      <xdr:col>13</xdr:col>
      <xdr:colOff>791634</xdr:colOff>
      <xdr:row>7</xdr:row>
      <xdr:rowOff>144165</xdr:rowOff>
    </xdr:to>
    <xdr:cxnSp macro="">
      <xdr:nvCxnSpPr>
        <xdr:cNvPr id="6" name="Connettore 1 5">
          <a:extLst>
            <a:ext uri="{FF2B5EF4-FFF2-40B4-BE49-F238E27FC236}">
              <a16:creationId xmlns:a16="http://schemas.microsoft.com/office/drawing/2014/main" id="{C03ACF7F-BC18-BF45-8AF0-8C8D98F4455E}"/>
            </a:ext>
          </a:extLst>
        </xdr:cNvPr>
        <xdr:cNvCxnSpPr/>
      </xdr:nvCxnSpPr>
      <xdr:spPr>
        <a:xfrm>
          <a:off x="20362334" y="2909069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807412</xdr:colOff>
      <xdr:row>6</xdr:row>
      <xdr:rowOff>89670</xdr:rowOff>
    </xdr:from>
    <xdr:to>
      <xdr:col>15</xdr:col>
      <xdr:colOff>807412</xdr:colOff>
      <xdr:row>7</xdr:row>
      <xdr:rowOff>144166</xdr:rowOff>
    </xdr:to>
    <xdr:cxnSp macro="">
      <xdr:nvCxnSpPr>
        <xdr:cNvPr id="7" name="Connettore 1 6">
          <a:extLst>
            <a:ext uri="{FF2B5EF4-FFF2-40B4-BE49-F238E27FC236}">
              <a16:creationId xmlns:a16="http://schemas.microsoft.com/office/drawing/2014/main" id="{138CF91F-4D9B-6648-86D2-2696FC4A1FBC}"/>
            </a:ext>
          </a:extLst>
        </xdr:cNvPr>
        <xdr:cNvCxnSpPr/>
      </xdr:nvCxnSpPr>
      <xdr:spPr>
        <a:xfrm>
          <a:off x="22283112" y="2909070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797999</xdr:colOff>
      <xdr:row>6</xdr:row>
      <xdr:rowOff>82789</xdr:rowOff>
    </xdr:from>
    <xdr:to>
      <xdr:col>17</xdr:col>
      <xdr:colOff>797999</xdr:colOff>
      <xdr:row>7</xdr:row>
      <xdr:rowOff>137285</xdr:rowOff>
    </xdr:to>
    <xdr:cxnSp macro="">
      <xdr:nvCxnSpPr>
        <xdr:cNvPr id="10" name="Connettore 1 9">
          <a:extLst>
            <a:ext uri="{FF2B5EF4-FFF2-40B4-BE49-F238E27FC236}">
              <a16:creationId xmlns:a16="http://schemas.microsoft.com/office/drawing/2014/main" id="{0CDA2A45-C6DA-FA4B-9A73-451D9C2C65AF}"/>
            </a:ext>
          </a:extLst>
        </xdr:cNvPr>
        <xdr:cNvCxnSpPr/>
      </xdr:nvCxnSpPr>
      <xdr:spPr>
        <a:xfrm>
          <a:off x="24178699" y="2902189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785300</xdr:colOff>
      <xdr:row>6</xdr:row>
      <xdr:rowOff>95488</xdr:rowOff>
    </xdr:from>
    <xdr:to>
      <xdr:col>19</xdr:col>
      <xdr:colOff>785300</xdr:colOff>
      <xdr:row>7</xdr:row>
      <xdr:rowOff>149984</xdr:rowOff>
    </xdr:to>
    <xdr:cxnSp macro="">
      <xdr:nvCxnSpPr>
        <xdr:cNvPr id="12" name="Connettore 1 11">
          <a:extLst>
            <a:ext uri="{FF2B5EF4-FFF2-40B4-BE49-F238E27FC236}">
              <a16:creationId xmlns:a16="http://schemas.microsoft.com/office/drawing/2014/main" id="{3D9AEA34-7D1D-B04B-A216-EBD2374CB0CF}"/>
            </a:ext>
          </a:extLst>
        </xdr:cNvPr>
        <xdr:cNvCxnSpPr/>
      </xdr:nvCxnSpPr>
      <xdr:spPr>
        <a:xfrm>
          <a:off x="26071000" y="2914888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801150</xdr:colOff>
      <xdr:row>6</xdr:row>
      <xdr:rowOff>95489</xdr:rowOff>
    </xdr:from>
    <xdr:to>
      <xdr:col>21</xdr:col>
      <xdr:colOff>801150</xdr:colOff>
      <xdr:row>7</xdr:row>
      <xdr:rowOff>149985</xdr:rowOff>
    </xdr:to>
    <xdr:cxnSp macro="">
      <xdr:nvCxnSpPr>
        <xdr:cNvPr id="13" name="Connettore 1 12">
          <a:extLst>
            <a:ext uri="{FF2B5EF4-FFF2-40B4-BE49-F238E27FC236}">
              <a16:creationId xmlns:a16="http://schemas.microsoft.com/office/drawing/2014/main" id="{AAC8A0FB-EB64-2B40-9EC4-4DDBF0F1399D}"/>
            </a:ext>
          </a:extLst>
        </xdr:cNvPr>
        <xdr:cNvCxnSpPr/>
      </xdr:nvCxnSpPr>
      <xdr:spPr>
        <a:xfrm>
          <a:off x="27979150" y="2914889"/>
          <a:ext cx="0" cy="2576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55034</xdr:colOff>
      <xdr:row>107</xdr:row>
      <xdr:rowOff>117029</xdr:rowOff>
    </xdr:from>
    <xdr:to>
      <xdr:col>29</xdr:col>
      <xdr:colOff>207433</xdr:colOff>
      <xdr:row>123</xdr:row>
      <xdr:rowOff>194734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9FC26234-6240-B446-8604-601BC7636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55947</xdr:colOff>
      <xdr:row>90</xdr:row>
      <xdr:rowOff>88591</xdr:rowOff>
    </xdr:from>
    <xdr:to>
      <xdr:col>30</xdr:col>
      <xdr:colOff>677334</xdr:colOff>
      <xdr:row>106</xdr:row>
      <xdr:rowOff>127000</xdr:rowOff>
    </xdr:to>
    <xdr:graphicFrame macro="">
      <xdr:nvGraphicFramePr>
        <xdr:cNvPr id="23" name="Grafico 10">
          <a:extLst>
            <a:ext uri="{FF2B5EF4-FFF2-40B4-BE49-F238E27FC236}">
              <a16:creationId xmlns:a16="http://schemas.microsoft.com/office/drawing/2014/main" id="{4DAE4886-FE07-094E-A8F0-AAEE324A1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1257300</xdr:colOff>
      <xdr:row>159</xdr:row>
      <xdr:rowOff>50800</xdr:rowOff>
    </xdr:from>
    <xdr:to>
      <xdr:col>29</xdr:col>
      <xdr:colOff>21166</xdr:colOff>
      <xdr:row>177</xdr:row>
      <xdr:rowOff>93133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F03A733F-D9F4-C748-ABF7-E58F0A082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24201</xdr:colOff>
      <xdr:row>107</xdr:row>
      <xdr:rowOff>67436</xdr:rowOff>
    </xdr:from>
    <xdr:to>
      <xdr:col>15</xdr:col>
      <xdr:colOff>1151467</xdr:colOff>
      <xdr:row>123</xdr:row>
      <xdr:rowOff>156634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2CF1057C-14C9-ED40-9A3F-658D7DED1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24469</xdr:colOff>
      <xdr:row>156</xdr:row>
      <xdr:rowOff>71847</xdr:rowOff>
    </xdr:from>
    <xdr:to>
      <xdr:col>15</xdr:col>
      <xdr:colOff>169333</xdr:colOff>
      <xdr:row>175</xdr:row>
      <xdr:rowOff>93134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21DDBC9-9430-F24C-9477-5BBD81270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51279</xdr:colOff>
      <xdr:row>124</xdr:row>
      <xdr:rowOff>50894</xdr:rowOff>
    </xdr:from>
    <xdr:to>
      <xdr:col>15</xdr:col>
      <xdr:colOff>1176868</xdr:colOff>
      <xdr:row>142</xdr:row>
      <xdr:rowOff>173567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4AA85D36-4B33-3A4C-9CB1-06E5C381E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76200</xdr:colOff>
      <xdr:row>85</xdr:row>
      <xdr:rowOff>12700</xdr:rowOff>
    </xdr:from>
    <xdr:to>
      <xdr:col>15</xdr:col>
      <xdr:colOff>990600</xdr:colOff>
      <xdr:row>105</xdr:row>
      <xdr:rowOff>114300</xdr:rowOff>
    </xdr:to>
    <xdr:graphicFrame macro="">
      <xdr:nvGraphicFramePr>
        <xdr:cNvPr id="8" name="Grafico 3">
          <a:extLst>
            <a:ext uri="{FF2B5EF4-FFF2-40B4-BE49-F238E27FC236}">
              <a16:creationId xmlns:a16="http://schemas.microsoft.com/office/drawing/2014/main" id="{7D51D8D2-1DA9-A545-85D3-F2977E5A0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43628</xdr:colOff>
      <xdr:row>128</xdr:row>
      <xdr:rowOff>106197</xdr:rowOff>
    </xdr:from>
    <xdr:to>
      <xdr:col>11</xdr:col>
      <xdr:colOff>1419128</xdr:colOff>
      <xdr:row>147</xdr:row>
      <xdr:rowOff>84110</xdr:rowOff>
    </xdr:to>
    <xdr:graphicFrame macro="">
      <xdr:nvGraphicFramePr>
        <xdr:cNvPr id="13" name="Grafico 1">
          <a:extLst>
            <a:ext uri="{FF2B5EF4-FFF2-40B4-BE49-F238E27FC236}">
              <a16:creationId xmlns:a16="http://schemas.microsoft.com/office/drawing/2014/main" id="{1191B980-F72B-7CB3-37A4-B74179C87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97806</xdr:colOff>
      <xdr:row>128</xdr:row>
      <xdr:rowOff>95167</xdr:rowOff>
    </xdr:from>
    <xdr:to>
      <xdr:col>19</xdr:col>
      <xdr:colOff>41670</xdr:colOff>
      <xdr:row>147</xdr:row>
      <xdr:rowOff>73080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2AB90E2-DA5A-1446-B179-D3BAF6CCE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2710593</xdr:colOff>
      <xdr:row>148</xdr:row>
      <xdr:rowOff>8360</xdr:rowOff>
    </xdr:from>
    <xdr:to>
      <xdr:col>9</xdr:col>
      <xdr:colOff>412050</xdr:colOff>
      <xdr:row>166</xdr:row>
      <xdr:rowOff>194292</xdr:rowOff>
    </xdr:to>
    <xdr:graphicFrame macro="">
      <xdr:nvGraphicFramePr>
        <xdr:cNvPr id="19" name="Grafico 3">
          <a:extLst>
            <a:ext uri="{FF2B5EF4-FFF2-40B4-BE49-F238E27FC236}">
              <a16:creationId xmlns:a16="http://schemas.microsoft.com/office/drawing/2014/main" id="{7C370F53-421C-1F4D-BEB9-58ABEA5E1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2733163</xdr:colOff>
      <xdr:row>168</xdr:row>
      <xdr:rowOff>125096</xdr:rowOff>
    </xdr:from>
    <xdr:to>
      <xdr:col>5</xdr:col>
      <xdr:colOff>1359190</xdr:colOff>
      <xdr:row>182</xdr:row>
      <xdr:rowOff>151652</xdr:rowOff>
    </xdr:to>
    <xdr:graphicFrame macro="">
      <xdr:nvGraphicFramePr>
        <xdr:cNvPr id="5" name="Grafico 8">
          <a:extLst>
            <a:ext uri="{FF2B5EF4-FFF2-40B4-BE49-F238E27FC236}">
              <a16:creationId xmlns:a16="http://schemas.microsoft.com/office/drawing/2014/main" id="{8C9DB236-94D7-C600-99B2-C660C1AFD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758752</xdr:colOff>
      <xdr:row>3</xdr:row>
      <xdr:rowOff>116111</xdr:rowOff>
    </xdr:from>
    <xdr:to>
      <xdr:col>8</xdr:col>
      <xdr:colOff>6787</xdr:colOff>
      <xdr:row>17</xdr:row>
      <xdr:rowOff>4680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8DC0823-22AC-C085-0023-24F11B6BE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758752</xdr:colOff>
      <xdr:row>3</xdr:row>
      <xdr:rowOff>116111</xdr:rowOff>
    </xdr:from>
    <xdr:to>
      <xdr:col>9</xdr:col>
      <xdr:colOff>1566334</xdr:colOff>
      <xdr:row>17</xdr:row>
      <xdr:rowOff>4680</xdr:rowOff>
    </xdr:to>
    <xdr:graphicFrame macro="">
      <xdr:nvGraphicFramePr>
        <xdr:cNvPr id="3" name="Grafico 1">
          <a:extLst>
            <a:ext uri="{FF2B5EF4-FFF2-40B4-BE49-F238E27FC236}">
              <a16:creationId xmlns:a16="http://schemas.microsoft.com/office/drawing/2014/main" id="{5C82CD23-730B-2F4B-8877-702B9B427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107461</xdr:colOff>
      <xdr:row>1</xdr:row>
      <xdr:rowOff>191476</xdr:rowOff>
    </xdr:from>
    <xdr:to>
      <xdr:col>24</xdr:col>
      <xdr:colOff>1221154</xdr:colOff>
      <xdr:row>14</xdr:row>
      <xdr:rowOff>126999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A179800-7D73-EFB0-E3D4-AC4DCFDD6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815729</xdr:colOff>
      <xdr:row>2</xdr:row>
      <xdr:rowOff>174380</xdr:rowOff>
    </xdr:from>
    <xdr:to>
      <xdr:col>48</xdr:col>
      <xdr:colOff>1143000</xdr:colOff>
      <xdr:row>13</xdr:row>
      <xdr:rowOff>183173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8527A20-135F-8A44-1672-3D60F930E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253999</xdr:colOff>
      <xdr:row>1</xdr:row>
      <xdr:rowOff>60037</xdr:rowOff>
    </xdr:from>
    <xdr:to>
      <xdr:col>12</xdr:col>
      <xdr:colOff>1281545</xdr:colOff>
      <xdr:row>14</xdr:row>
      <xdr:rowOff>101600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0BEF3-AD4D-735A-2C99-42E555918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490681</xdr:colOff>
      <xdr:row>1</xdr:row>
      <xdr:rowOff>71582</xdr:rowOff>
    </xdr:from>
    <xdr:to>
      <xdr:col>36</xdr:col>
      <xdr:colOff>1050636</xdr:colOff>
      <xdr:row>14</xdr:row>
      <xdr:rowOff>113145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D2BD623-ABCE-1BCC-C938-2BAB3CB9A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59267</xdr:colOff>
      <xdr:row>25</xdr:row>
      <xdr:rowOff>42332</xdr:rowOff>
    </xdr:from>
    <xdr:to>
      <xdr:col>5</xdr:col>
      <xdr:colOff>990600</xdr:colOff>
      <xdr:row>38</xdr:row>
      <xdr:rowOff>186265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BBA397B-0449-5A53-1789-94238495F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93134</xdr:colOff>
      <xdr:row>39</xdr:row>
      <xdr:rowOff>143934</xdr:rowOff>
    </xdr:from>
    <xdr:to>
      <xdr:col>5</xdr:col>
      <xdr:colOff>1024467</xdr:colOff>
      <xdr:row>53</xdr:row>
      <xdr:rowOff>84667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72D0C4D-EF99-EE4A-AA6B-6AB3C003B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815121</xdr:colOff>
      <xdr:row>26</xdr:row>
      <xdr:rowOff>54342</xdr:rowOff>
    </xdr:from>
    <xdr:to>
      <xdr:col>7</xdr:col>
      <xdr:colOff>312616</xdr:colOff>
      <xdr:row>39</xdr:row>
      <xdr:rowOff>88473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E804BC-D1D9-D679-F632-0DF076946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rnold, Jan" id="{E22E699E-8CF2-2041-96C7-0FD6EFF92826}" userId="S::jan.arnold@student.unisg.ch::ffa0ef30-2748-4fa1-82d7-ffa624a8ed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5FB23FE-9F95-E54F-AC9D-DA3AD1E195F8}" name="Tabella87" displayName="Tabella87" ref="AI3:AL15" headerRowCount="0" headerRowDxfId="482">
  <tableColumns count="4">
    <tableColumn id="1" xr3:uid="{48FA032E-179F-1448-BEA2-80DD6DAFC33B}" name="Colonna1" totalsRowLabel="Totale" headerRowDxfId="481"/>
    <tableColumn id="2" xr3:uid="{539E0963-2D90-C945-BE29-E4DB3906F882}" name="Colonna2" headerRowDxfId="480"/>
    <tableColumn id="3" xr3:uid="{83F4CED2-712A-DB45-9B2D-16E4F3BDB0C4}" name="Colonna3" headerRowDxfId="479"/>
    <tableColumn id="4" xr3:uid="{59E32738-4057-7846-B4AF-E2669CF25278}" name="Colonna4" totalsRowFunction="cou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9B803CF-CDB3-E54A-9853-50B22A38B449}" name="Tabella8789" displayName="Tabella8789" ref="AI18:AL25" headerRowCount="0" headerRowDxfId="478">
  <tableColumns count="4">
    <tableColumn id="1" xr3:uid="{0BF1A948-0008-F841-88A5-966B2AAC831E}" name="Colonna1" totalsRowLabel="Totale" headerRowDxfId="477"/>
    <tableColumn id="2" xr3:uid="{599A2B5C-3145-8849-ACE0-01FBF4B86557}" name="Colonna2" headerRowDxfId="476"/>
    <tableColumn id="3" xr3:uid="{2C7BF1EE-38F4-2048-972A-3784AD721F4B}" name="Colonna3" headerRowDxfId="475"/>
    <tableColumn id="4" xr3:uid="{F63BF5A1-82D7-2B41-B8FE-B4A2AAB34507}" name="Colonna4" totalsRowFunction="cou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626FAB3-F8EA-7340-88C3-AFF445DEF8AC}" name="Tabella878990" displayName="Tabella878990" ref="AI28:AL35" headerRowCount="0" headerRowDxfId="474">
  <tableColumns count="4">
    <tableColumn id="1" xr3:uid="{01E9F278-2A0B-314D-BF86-694A0E1B88D7}" name="Colonna1" totalsRowLabel="Totale" headerRowDxfId="473"/>
    <tableColumn id="2" xr3:uid="{DB5CA2A3-B25E-3241-AAB7-E9409181C4D7}" name="Colonna2" headerRowDxfId="472"/>
    <tableColumn id="3" xr3:uid="{A683E82A-EDE8-4446-854A-807E6DC7A84A}" name="Colonna3" headerRowDxfId="471"/>
    <tableColumn id="4" xr3:uid="{5839D4D7-2150-9C4B-BF6E-7BAAE43F3B85}" name="Colonna4" totalsRowFunction="count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13101F-647E-B040-AE33-CA46BB72A548}" name="Tabella1" displayName="Tabella1" ref="B3:BC40" headerRowCount="0" totalsRowCount="1" headerRowDxfId="470" tableBorderDxfId="469">
  <tableColumns count="54">
    <tableColumn id="1" xr3:uid="{66F151F2-BCC0-DC45-BB40-CBAF17B62E77}" name="Colonna1" totalsRowLabel="Can you meet your goals" headerRowDxfId="468" totalsRowDxfId="467"/>
    <tableColumn id="2" xr3:uid="{6097291D-F781-0C49-BEBA-63516BFC9CF7}" name="Colonna2" totalsRowFunction="custom" headerRowDxfId="466">
      <totalsRowFormula>IF(C39&lt;0, "Adjust Goals","You are fine")</totalsRowFormula>
    </tableColumn>
    <tableColumn id="3" xr3:uid="{4A1284A0-4C2C-6242-A623-1B022A9D2784}" name="Colonna3" totalsRowFunction="custom" headerRowDxfId="465">
      <totalsRowFormula>IF(D39&lt;0, "Adjust Goals","You are fine")</totalsRowFormula>
    </tableColumn>
    <tableColumn id="4" xr3:uid="{408C4F34-BA8B-1A4F-B8AB-2BCF042458C7}" name="Colonna4" totalsRowFunction="custom" headerRowDxfId="464">
      <totalsRowFormula>IF(E39&lt;0, "Adjust Goals","You are fine")</totalsRowFormula>
    </tableColumn>
    <tableColumn id="5" xr3:uid="{D86131DD-59D7-9C43-9F8F-8FED0A601F59}" name="Colonna5" totalsRowFunction="custom" headerRowDxfId="463">
      <totalsRowFormula>IF(F39&lt;0, "Adjust Goals","You are fine")</totalsRowFormula>
    </tableColumn>
    <tableColumn id="6" xr3:uid="{4FF80CB7-3B46-3C40-B629-5C39E579D9D9}" name="Colonna6" totalsRowFunction="custom" headerRowDxfId="462">
      <totalsRowFormula>IF(G39&lt;0, "Adjust Goals","You are fine")</totalsRowFormula>
    </tableColumn>
    <tableColumn id="7" xr3:uid="{66E4CC6F-677F-0C4D-BE00-41BCCC6CCAE9}" name="Colonna7" totalsRowFunction="custom" headerRowDxfId="461">
      <totalsRowFormula>IF(H39&lt;0, "Adjust Goals","You are fine")</totalsRowFormula>
    </tableColumn>
    <tableColumn id="8" xr3:uid="{AF8AF042-F8BA-7C44-8E53-6B5B02765E2E}" name="Colonna8" totalsRowFunction="custom" headerRowDxfId="460">
      <totalsRowFormula>IF(I39&lt;0, "Adjust Goals","You are fine")</totalsRowFormula>
    </tableColumn>
    <tableColumn id="9" xr3:uid="{8EC6D976-B9D5-F84E-9F66-341822636A4B}" name="Colonna9" totalsRowFunction="custom" headerRowDxfId="459">
      <totalsRowFormula>IF(J39&lt;0, "Adjust Goals","You are fine")</totalsRowFormula>
    </tableColumn>
    <tableColumn id="10" xr3:uid="{3488FFE3-C4CA-474A-A1EB-BB9A4C5E7ED3}" name="Colonna10" totalsRowFunction="custom" headerRowDxfId="458">
      <totalsRowFormula>IF(K39&lt;0, "Adjust Goals","You are fine")</totalsRowFormula>
    </tableColumn>
    <tableColumn id="11" xr3:uid="{32EDCF27-7A1C-3745-925B-BA0D3345848F}" name="Colonna11" totalsRowFunction="custom" headerRowDxfId="457">
      <totalsRowFormula>IF(L39&lt;0, "Adjust Goals","You are fine")</totalsRowFormula>
    </tableColumn>
    <tableColumn id="12" xr3:uid="{A9FA3AEF-E5DB-CB40-8978-5E239A9B8C68}" name="Colonna12" totalsRowFunction="custom" headerRowDxfId="456">
      <totalsRowFormula>IF(M39&lt;0, "Adjust Goals","You are fine")</totalsRowFormula>
    </tableColumn>
    <tableColumn id="13" xr3:uid="{CDD06090-8C03-8D4A-A81A-71C9CBA8B0FB}" name="Colonna13" totalsRowFunction="custom" headerRowDxfId="455">
      <totalsRowFormula>IF(N39&lt;0, "Adjust Goals","You are fine")</totalsRowFormula>
    </tableColumn>
    <tableColumn id="14" xr3:uid="{C5256A0B-06BD-2140-9839-B31FBAD35850}" name="Colonna14" totalsRowFunction="custom" headerRowDxfId="454">
      <totalsRowFormula>IF(O39&lt;0, "Adjust Goals","You are fine")</totalsRowFormula>
    </tableColumn>
    <tableColumn id="15" xr3:uid="{4AAABBB5-D8A4-7C4B-B721-AA3882AAF484}" name="Colonna15" totalsRowFunction="custom" headerRowDxfId="453">
      <totalsRowFormula>IF(P39&lt;0, "Adjust Goals","You are fine")</totalsRowFormula>
    </tableColumn>
    <tableColumn id="16" xr3:uid="{0984072F-711F-B84C-A824-02CBF22E713B}" name="Colonna16" totalsRowFunction="custom" headerRowDxfId="452">
      <totalsRowFormula>IF(Q39&lt;0, "Adjust Goals","You are fine")</totalsRowFormula>
    </tableColumn>
    <tableColumn id="17" xr3:uid="{9DDA0C34-679D-4345-9EAA-460A50831890}" name="Colonna17" totalsRowFunction="custom" headerRowDxfId="451">
      <totalsRowFormula>IF(R39&lt;0, "Adjust Goals","You are fine")</totalsRowFormula>
    </tableColumn>
    <tableColumn id="18" xr3:uid="{0769CC81-5022-1D43-A89B-7A418FF90B3F}" name="Colonna18" totalsRowFunction="custom" headerRowDxfId="450">
      <totalsRowFormula>IF(S39&lt;0, "Adjust Goals","You are fine")</totalsRowFormula>
    </tableColumn>
    <tableColumn id="19" xr3:uid="{0246C5C8-47A0-BF42-8B27-91FE2A215B6A}" name="Colonna19" totalsRowFunction="custom" headerRowDxfId="449">
      <totalsRowFormula>IF(T39&lt;0, "Adjust Goals","You are fine")</totalsRowFormula>
    </tableColumn>
    <tableColumn id="20" xr3:uid="{F71590F9-8AC5-2341-A1F4-2723B2E11733}" name="Colonna20" totalsRowFunction="custom" headerRowDxfId="448">
      <totalsRowFormula>IF(U39&lt;0, "Adjust Goals","You are fine")</totalsRowFormula>
    </tableColumn>
    <tableColumn id="21" xr3:uid="{1848F9A8-2DCB-E444-A57D-CCA602402FF7}" name="Colonna21" totalsRowFunction="custom" headerRowDxfId="447">
      <totalsRowFormula>IF(V39&lt;0, "Adjust Goals","You are fine")</totalsRowFormula>
    </tableColumn>
    <tableColumn id="22" xr3:uid="{10D895E2-DC69-C84D-AC62-130518C8F302}" name="Colonna22" totalsRowFunction="custom" headerRowDxfId="446">
      <totalsRowFormula>IF(W39&lt;0, "Adjust Goals","You are fine")</totalsRowFormula>
    </tableColumn>
    <tableColumn id="23" xr3:uid="{2B490588-2E66-8D4E-A97C-E29CB5E50B14}" name="Colonna23" totalsRowFunction="custom" headerRowDxfId="445">
      <totalsRowFormula>IF(X39&lt;0, "Adjust Goals","You are fine")</totalsRowFormula>
    </tableColumn>
    <tableColumn id="24" xr3:uid="{82F5FAEC-8E54-FD44-AFC8-2A617E427083}" name="Colonna24" totalsRowFunction="custom" headerRowDxfId="444">
      <totalsRowFormula>IF(Y39&lt;0, "Adjust Goals","You are fine")</totalsRowFormula>
    </tableColumn>
    <tableColumn id="25" xr3:uid="{762C49F2-0E6C-CB43-A443-A64D3AD85D3F}" name="Colonna25" totalsRowFunction="custom" headerRowDxfId="443">
      <totalsRowFormula>IF(Z39&lt;0, "Adjust Goals","You are fine")</totalsRowFormula>
    </tableColumn>
    <tableColumn id="26" xr3:uid="{EC1269B0-D6A8-AD4F-9204-ADD0BA0A002B}" name="Colonna26" totalsRowFunction="custom" headerRowDxfId="442">
      <totalsRowFormula>IF(AA39&lt;0, "Adjust Goals","You are fine")</totalsRowFormula>
    </tableColumn>
    <tableColumn id="27" xr3:uid="{E8CB78DF-A21D-584B-BFAB-867E13CC5EE0}" name="Colonna27" totalsRowFunction="custom" headerRowDxfId="441">
      <totalsRowFormula>IF(AB39&lt;0, "Adjust Goals","You are fine")</totalsRowFormula>
    </tableColumn>
    <tableColumn id="28" xr3:uid="{3F606D21-7BD8-3647-8600-2CE325DC25F5}" name="Colonna28" totalsRowFunction="custom" headerRowDxfId="440">
      <totalsRowFormula>IF(AC39&lt;0, "Adjust Goals","You are fine")</totalsRowFormula>
    </tableColumn>
    <tableColumn id="29" xr3:uid="{954D4FC5-91D1-3944-BAC8-EBC1321C4C22}" name="Colonna29" totalsRowFunction="custom" headerRowDxfId="439">
      <totalsRowFormula>IF(AD39&lt;0, "Adjust Goals","You are fine")</totalsRowFormula>
    </tableColumn>
    <tableColumn id="30" xr3:uid="{1BCE4598-D2D5-454C-85DA-4D5BCEE6A69C}" name="Colonna30" totalsRowFunction="custom" headerRowDxfId="438">
      <totalsRowFormula>IF(AE39&lt;0, "Adjust Goals","You are fine")</totalsRowFormula>
    </tableColumn>
    <tableColumn id="31" xr3:uid="{8A079662-3193-CC43-B52B-AC2573783352}" name="Colonna31" totalsRowFunction="custom" headerRowDxfId="437">
      <totalsRowFormula>IF(AF39&lt;0, "Adjust Goals","You are fine")</totalsRowFormula>
    </tableColumn>
    <tableColumn id="32" xr3:uid="{83D5675B-90D5-B14A-B901-0C04C7F71A10}" name="Colonna32" totalsRowFunction="custom" headerRowDxfId="436">
      <totalsRowFormula>IF(AG39&lt;0, "Adjust Goals","You are fine")</totalsRowFormula>
    </tableColumn>
    <tableColumn id="33" xr3:uid="{AFF5DDC8-E699-0149-90F1-6C19B3809378}" name="Colonna33" totalsRowFunction="custom" headerRowDxfId="435">
      <totalsRowFormula>IF(AH39&lt;0, "Adjust Goals","You are fine")</totalsRowFormula>
    </tableColumn>
    <tableColumn id="34" xr3:uid="{62C371CF-9862-FB46-80AF-DDABE83C6768}" name="Colonna34" totalsRowFunction="custom" headerRowDxfId="434">
      <totalsRowFormula>IF(AI39&lt;0, "Adjust Goals","You are fine")</totalsRowFormula>
    </tableColumn>
    <tableColumn id="35" xr3:uid="{A9C3356E-0066-D348-8C22-C0A434524875}" name="Colonna35" totalsRowFunction="custom" headerRowDxfId="433">
      <totalsRowFormula>IF(AJ39&lt;0, "Adjust Goals","You are fine")</totalsRowFormula>
    </tableColumn>
    <tableColumn id="36" xr3:uid="{FBDC75AD-CD49-9D40-87C2-41BD41D5894D}" name="Colonna36" totalsRowFunction="custom" headerRowDxfId="432">
      <totalsRowFormula>IF(AK39&lt;0, "Adjust Goals","You are fine")</totalsRowFormula>
    </tableColumn>
    <tableColumn id="37" xr3:uid="{39252B5A-E63A-6A48-AFBE-5007526C3689}" name="Colonna37" totalsRowFunction="custom" headerRowDxfId="431">
      <totalsRowFormula>IF(AL39&lt;0, "Adjust Goals","You are fine")</totalsRowFormula>
    </tableColumn>
    <tableColumn id="38" xr3:uid="{A5FE6512-25FB-274C-847B-388F468FE103}" name="Colonna38" totalsRowFunction="custom" headerRowDxfId="430">
      <totalsRowFormula>IF(AM39&lt;0, "Adjust Goals","You are fine")</totalsRowFormula>
    </tableColumn>
    <tableColumn id="39" xr3:uid="{FF8A95DD-9ED4-6F4E-8F6C-CFF1B78AB835}" name="Colonna39" totalsRowFunction="custom" headerRowDxfId="429">
      <totalsRowFormula>IF(AN39&lt;0, "Adjust Goals","You are fine")</totalsRowFormula>
    </tableColumn>
    <tableColumn id="40" xr3:uid="{55563A97-6EA2-F540-A509-6216AE07F354}" name="Colonna40" totalsRowFunction="custom" headerRowDxfId="428">
      <totalsRowFormula>IF(AO39&lt;0, "Adjust Goals","You are fine")</totalsRowFormula>
    </tableColumn>
    <tableColumn id="41" xr3:uid="{2E53536B-2B8D-E448-AAF4-C39A8E25BC00}" name="Colonna41" totalsRowFunction="custom" headerRowDxfId="427">
      <totalsRowFormula>IF(AP39&lt;0, "Adjust Goals","You are fine")</totalsRowFormula>
    </tableColumn>
    <tableColumn id="42" xr3:uid="{DE738C58-C77F-9B4E-98E9-98A471C32A78}" name="Colonna42" totalsRowFunction="custom" headerRowDxfId="426">
      <totalsRowFormula>IF(AQ39&lt;0, "Adjust Goals","You are fine")</totalsRowFormula>
    </tableColumn>
    <tableColumn id="43" xr3:uid="{7A472846-9480-074C-9E9E-2B87E86B735F}" name="Colonna43" totalsRowFunction="custom" headerRowDxfId="425">
      <totalsRowFormula>IF(AR39&lt;0, "Adjust Goals","You are fine")</totalsRowFormula>
    </tableColumn>
    <tableColumn id="44" xr3:uid="{2CD9A6DA-A142-CB42-B3A6-4D049BC2BA78}" name="Colonna44" totalsRowFunction="custom" headerRowDxfId="424">
      <totalsRowFormula>IF(AS39&lt;0, "Adjust Goals","You are fine")</totalsRowFormula>
    </tableColumn>
    <tableColumn id="45" xr3:uid="{1D855C70-AE7D-194A-AD25-73567E3FA521}" name="Colonna45" totalsRowFunction="custom" headerRowDxfId="423">
      <totalsRowFormula>IF(AT39&lt;0, "Adjust Goals","You are fine")</totalsRowFormula>
    </tableColumn>
    <tableColumn id="46" xr3:uid="{405CB4D9-7A95-5547-AE25-73784512614A}" name="Colonna46" totalsRowFunction="custom" headerRowDxfId="422">
      <totalsRowFormula>IF(AU39&lt;0, "Adjust Goals","You are fine")</totalsRowFormula>
    </tableColumn>
    <tableColumn id="47" xr3:uid="{79962210-BDCC-F242-97F9-B94CEB600E66}" name="Colonna47" totalsRowFunction="custom" headerRowDxfId="421">
      <totalsRowFormula>IF(AV39&lt;0, "Adjust Goals","You are fine")</totalsRowFormula>
    </tableColumn>
    <tableColumn id="48" xr3:uid="{5E2C594A-3451-4046-AE34-6CEE2AA519CA}" name="Colonna48" totalsRowFunction="custom" headerRowDxfId="420">
      <totalsRowFormula>IF(AW39&lt;0, "Adjust Goals","You are fine")</totalsRowFormula>
    </tableColumn>
    <tableColumn id="49" xr3:uid="{A3F03514-3D33-054C-AFDF-6B2147CD2CF4}" name="Colonna49" totalsRowFunction="custom" headerRowDxfId="419">
      <totalsRowFormula>IF(AX39&lt;0, "Adjust Goals","You are fine")</totalsRowFormula>
    </tableColumn>
    <tableColumn id="50" xr3:uid="{A495C62C-ACD3-1241-9A44-C39546DF7A00}" name="Colonna50" totalsRowFunction="custom" headerRowDxfId="418">
      <totalsRowFormula>IF(AY39&lt;0, "Adjust Goals","You are fine")</totalsRowFormula>
    </tableColumn>
    <tableColumn id="51" xr3:uid="{55E905ED-9A0A-6644-AD64-349A5C9FBC0F}" name="Colonna51" totalsRowFunction="custom" headerRowDxfId="417">
      <totalsRowFormula>IF(AZ39&lt;0, "Adjust Goals","You are fine")</totalsRowFormula>
    </tableColumn>
    <tableColumn id="52" xr3:uid="{82DF24AF-F920-104E-8FF3-6F2A60A425CC}" name="Colonna52" totalsRowFunction="custom" headerRowDxfId="416">
      <totalsRowFormula>IF(BA39&lt;0, "Adjust Goals","You are fine")</totalsRowFormula>
    </tableColumn>
    <tableColumn id="53" xr3:uid="{37674583-2A53-BA4A-A180-5FED50542B0F}" name="Colonna53" totalsRowFunction="custom" headerRowDxfId="415">
      <totalsRowFormula>IF(BB39&lt;0, "Adjust Goals","You are fine")</totalsRowFormula>
    </tableColumn>
    <tableColumn id="54" xr3:uid="{D2F581A2-41F3-5C45-AD0F-957C8991F622}" name="Colonna54" totalsRowFunction="custom" headerRowDxfId="414">
      <totalsRowFormula>IF(BC39&lt;0, "Adjust Goals","You are fine")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B9BBE2-A3D1-A442-9A45-36263CF8116C}" name="Tabella6" displayName="Tabella6" ref="B20:K81" totalsRowShown="0" headerRowDxfId="413" dataDxfId="412">
  <autoFilter ref="B20:K81" xr:uid="{BEB9BBE2-A3D1-A442-9A45-36263CF8116C}"/>
  <tableColumns count="10">
    <tableColumn id="1" xr3:uid="{6631D5C8-E647-B74E-8BE4-70F53814C9C8}" name="Age" dataDxfId="411"/>
    <tableColumn id="9" xr3:uid="{EC7637F4-3757-3348-9F14-6CBA71E0AD36}" name="Year" dataDxfId="410">
      <calculatedColumnFormula>IF(Tabella6[[#This Row],[Age]]=$C$5,$C$10,IF(Tabella6[[#This Row],[Age]]&lt;$C$5,$C$10-($C$5-Tabella6[[#This Row],[Age]]),IF(Tabella6[[#This Row],[Age]]&gt;$C$5,$C$10+Tabella6[[#This Row],[Age]]-$C$5)))</calculatedColumnFormula>
    </tableColumn>
    <tableColumn id="2" xr3:uid="{8D2914E7-BD39-094F-80F0-4476E7BDF6E0}" name="Gross Base Salary" dataDxfId="409">
      <calculatedColumnFormula>IF(AND(Tabella6[[#This Row],[Age]]&gt;=$C$5, Tabella6[[#This Row],[Age]]&lt;=$C$9),$C$6,0)</calculatedColumnFormula>
    </tableColumn>
    <tableColumn id="3" xr3:uid="{391F0CB7-7EBD-CE47-8D55-1C439B966E5A}" name="Salary + inflation" dataDxfId="408">
      <calculatedColumnFormula>Tabella6[[#This Row],[Gross Base Salary]]*(1+$C$7)</calculatedColumnFormula>
    </tableColumn>
    <tableColumn id="4" xr3:uid="{D250C8D4-B097-A34C-8EBA-142BCC1B3B1F}" name="Salary + salary increases" dataDxfId="407">
      <calculatedColumnFormula>IF(Tabella6[[#This Row],[Gross Base Salary]]=0,Tabella6[[#This Row],[Gross Base Salary]], IF(AND(Tabella6[[#This Row],[Gross Base Salary]]&gt;0,F20&gt;0),F20*(1+$C$8),Tabella6[[#This Row],[Gross Base Salary]]))</calculatedColumnFormula>
    </tableColumn>
    <tableColumn id="5" xr3:uid="{8CBDB2A6-1D62-AD42-A88B-9DDAABA4FEBD}" name="Inflation + salary increases" dataDxfId="406">
      <calculatedColumnFormula>Tabella6[[#This Row],[Salary + inflation]]+Tabella6[[#This Row],[Salary + salary increases]]-(Tabella6[[#This Row],[Gross Base Salary]]*2)</calculatedColumnFormula>
    </tableColumn>
    <tableColumn id="6" xr3:uid="{D3C25EFF-931E-7C4F-B8D6-E9AF61075BC7}" name="Adjusted salary" dataDxfId="405">
      <calculatedColumnFormula>Tabella6[[#This Row],[Inflation + salary increases]]+Tabella6[[#This Row],[Gross Base Salary]]</calculatedColumnFormula>
    </tableColumn>
    <tableColumn id="8" xr3:uid="{06EA9567-2D2A-E142-B1F4-67A24D9C4EBB}" name="Salary and Pension" dataDxfId="404">
      <calculatedColumnFormula>IF(Tabella6[[#This Row],[Age]]&lt;=$C$9,Tabella6[[#This Row],[Adjusted salary]],$G$109)</calculatedColumnFormula>
    </tableColumn>
    <tableColumn id="7" xr3:uid="{C8BF7259-BBCF-404E-862C-925EC047EAC5}" name="Partmer Salary and Pension" dataDxfId="403">
      <calculatedColumnFormula>IF('General overview'!$C$8="Yes",SUMIF(Tabella678[[#All],[Year]],Tabella6[[#This Row],[Year]],Tabella678[[#All],[Salary and Pension]]),0)</calculatedColumnFormula>
    </tableColumn>
    <tableColumn id="10" xr3:uid="{4E8446F0-FF8D-2347-84EC-AAABA7DB17DB}" name="Total income" dataDxfId="402">
      <calculatedColumnFormula>Tabella6[[#This Row],[Salary and Pension]]+Tabella6[[#This Row],[Partmer Salary and Pension]]</calculatedColumnFormula>
    </tableColumn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B3F570-9614-4148-9E68-543AED2C9864}" name="Tabella25" displayName="Tabella25" ref="I93:W155" totalsRowCount="1" headerRowDxfId="401" dataDxfId="400">
  <autoFilter ref="I93:W154" xr:uid="{10B3F570-9614-4148-9E68-543AED2C9864}"/>
  <tableColumns count="15">
    <tableColumn id="1" xr3:uid="{8F674BA2-C70C-6043-A441-675B45D9A048}" name="Age" totalsRowLabel="Totale" dataDxfId="399" totalsRowDxfId="398">
      <calculatedColumnFormula>B21</calculatedColumnFormula>
    </tableColumn>
    <tableColumn id="2" xr3:uid="{1B84EA4C-1716-AB4A-9F80-1E502ACE99F4}" name="Adjusted Salary" dataDxfId="397" totalsRowDxfId="396">
      <calculatedColumnFormula>H21</calculatedColumnFormula>
    </tableColumn>
    <tableColumn id="3" xr3:uid="{7B7157D7-ACAA-3D4F-BFFF-A984387A1DB9}" name="1° Pillar deductions" dataDxfId="395" totalsRowDxfId="394">
      <calculatedColumnFormula>Tabella25[[#This Row],[Adjusted Salary]]*$C$94+Tabella25[[#This Row],[Adjusted Salary]]*$C$98+Tabella25[[#This Row],[Adjusted Salary]]*$C$99</calculatedColumnFormula>
    </tableColumn>
    <tableColumn id="4" xr3:uid="{41E2F19F-2AA3-4043-B4A1-9038782C14B7}" name=" " dataDxfId="393" totalsRowDxfId="392"/>
    <tableColumn id="5" xr3:uid="{673CEE87-A601-DE42-96C8-2DE79FD2F510}" name="Retirements credits" dataDxfId="391" totalsRowDxfId="390"/>
    <tableColumn id="6" xr3:uid="{49462080-0C84-3D45-A9B1-2BC24533F9C8}" name="Compulsory contributions" dataDxfId="389" totalsRowDxfId="388">
      <calculatedColumnFormula>IF(Tabella25[[#This Row],[Age]]&lt;25,0, IF(MIN(Tabella25[[#This Row],[Adjusted Salary]]-$C$111, $C$112)&lt;0,0, MIN(Tabella25[[#This Row],[Adjusted Salary]]-$C$111,$C$112)))</calculatedColumnFormula>
    </tableColumn>
    <tableColumn id="7" xr3:uid="{C734B50C-A352-A143-874F-DBFBFFC546E5}" name="Over compulsory contributions" dataDxfId="387" totalsRowDxfId="386">
      <calculatedColumnFormula>IF(Tabella25[[#This Row],[Age]]&lt;25,0,IF(Tabella25[[#This Row],[Compulsory contributions]]=88200, Tabella25[[#This Row],[Adjusted Salary]]-$C$112-$C$111, 0))</calculatedColumnFormula>
    </tableColumn>
    <tableColumn id="8" xr3:uid="{80534DC1-28D5-A747-8AD4-9BD551D856D6}" name="Contributions" dataDxfId="385" totalsRowDxfId="384">
      <calculatedColumnFormula>Tabella25[[#This Row],[Compulsory contributions]]+Tabella25[[#This Row],[Over compulsory contributions]]</calculatedColumnFormula>
    </tableColumn>
    <tableColumn id="9" xr3:uid="{7917AAC3-02A6-9C4E-8B1C-4EDC2160171B}" name="Retirement assets" totalsRowFunction="sum" dataDxfId="383" totalsRowDxfId="382">
      <calculatedColumnFormula>Tabella25[[#This Row],[Contributions]]*Tabella25[[#This Row],[Retirements credits]]</calculatedColumnFormula>
    </tableColumn>
    <tableColumn id="10" xr3:uid="{757204CB-8B4A-F94B-ACFD-A89270D8067A}" name="Interests" totalsRowFunction="sum" dataDxfId="381" totalsRowDxfId="380"/>
    <tableColumn id="11" xr3:uid="{2FDE1059-30C7-6B4A-90ED-316148D25F1E}" name="Comulated assets" totalsRowFunction="custom" dataDxfId="379" totalsRowDxfId="378">
      <totalsRowFormula>S139</totalsRowFormula>
    </tableColumn>
    <tableColumn id="12" xr3:uid="{6F1857DA-E09F-7745-8C1E-F89A7C4847C1}" name="   " dataDxfId="377" totalsRowDxfId="376"/>
    <tableColumn id="13" xr3:uid="{DC62CDBF-2E9F-0B4B-9EE5-32EBE2BBEA20}" name="Salary and pension" dataDxfId="375" totalsRowDxfId="374">
      <calculatedColumnFormula>IF(Tabella25[[#This Row],[Age]]&lt;=$C$9,(Tabella25[[#This Row],[Adjusted Salary]]),$G$109)</calculatedColumnFormula>
    </tableColumn>
    <tableColumn id="14" xr3:uid="{084748AA-8D3D-CF49-B642-27F4C31F484F}" name="Pension deductions" dataDxfId="373" totalsRowDxfId="372">
      <calculatedColumnFormula>Tabella25[[#This Row],[1° Pillar deductions]]+(Tabella25[[#This Row],[Retirement assets]]/2)</calculatedColumnFormula>
    </tableColumn>
    <tableColumn id="15" xr3:uid="{532A2A26-097B-914A-A7BE-EA01C1D5193A}" name="Netto Salary and Pension" dataDxfId="371" totalsRowDxfId="370">
      <calculatedColumnFormula>Tabella25[[#This Row],[Salary and pension]]-Tabella25[[#This Row],[Pension deductions]]</calculatedColumnFormula>
    </tableColumn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D92D9B1-1D3B-AC4F-AA68-8FC9FC7E1A4D}" name="Tabella678" displayName="Tabella678" ref="B20:I84" totalsRowShown="0" headerRowDxfId="369" dataDxfId="368">
  <autoFilter ref="B20:I84" xr:uid="{BEB9BBE2-A3D1-A442-9A45-36263CF8116C}"/>
  <tableColumns count="8">
    <tableColumn id="1" xr3:uid="{DB282C58-3750-4045-BA7F-1B41523DEB99}" name="Age" dataDxfId="367"/>
    <tableColumn id="7" xr3:uid="{320E9BFB-5397-1A49-885A-8DD9D1C4FE34}" name="Year" dataDxfId="366">
      <calculatedColumnFormula>IF(Tabella678[[#This Row],[Age]]=$C$5,$C$10,IF(Tabella678[[#This Row],[Age]]&lt;$C$5,$C$10-($C$5-Tabella678[[#This Row],[Age]]),IF(Tabella678[[#This Row],[Age]]&gt;$C$5,$C$10+Tabella678[[#This Row],[Age]]-$C$5)))</calculatedColumnFormula>
    </tableColumn>
    <tableColumn id="2" xr3:uid="{51AD5683-7572-7047-971C-673222A2C55A}" name="Gross Base Salary" dataDxfId="365">
      <calculatedColumnFormula>IF(AND(Tabella678[[#This Row],[Age]]&gt;=$C$5, Tabella678[[#This Row],[Age]]&lt;=$C$9),$C$6,0)</calculatedColumnFormula>
    </tableColumn>
    <tableColumn id="3" xr3:uid="{5671B3D9-6113-3C4D-BF23-C6DEC5183F8F}" name="Salary + inflation" dataDxfId="364">
      <calculatedColumnFormula>Tabella678[[#This Row],[Gross Base Salary]]*(1+$C$7)</calculatedColumnFormula>
    </tableColumn>
    <tableColumn id="4" xr3:uid="{8D15E7B5-1299-254A-85A8-56FF7492890C}" name="Salary + salary increases" dataDxfId="363">
      <calculatedColumnFormula>IF(Tabella678[[#This Row],[Gross Base Salary]]=0,Tabella678[[#This Row],[Gross Base Salary]], IF(AND(Tabella678[[#This Row],[Gross Base Salary]]&gt;0,F20&gt;0),F20*(1+$C$8),Tabella678[[#This Row],[Gross Base Salary]]))</calculatedColumnFormula>
    </tableColumn>
    <tableColumn id="5" xr3:uid="{5381C1D0-A99B-5642-8BBD-E6229E62AC3B}" name="Inflation + salary increases" dataDxfId="362">
      <calculatedColumnFormula>Tabella678[[#This Row],[Salary + inflation]]+Tabella678[[#This Row],[Salary + salary increases]]-(Tabella678[[#This Row],[Gross Base Salary]]*2)</calculatedColumnFormula>
    </tableColumn>
    <tableColumn id="6" xr3:uid="{08CCCCA0-6300-D343-A754-B7B81024B72B}" name="Adjusted salary" dataDxfId="361">
      <calculatedColumnFormula>Tabella678[[#This Row],[Inflation + salary increases]]+Tabella678[[#This Row],[Gross Base Salary]]</calculatedColumnFormula>
    </tableColumn>
    <tableColumn id="8" xr3:uid="{0A28B493-2377-4F48-9755-590437B33428}" name="Salary and Pension" dataDxfId="360">
      <calculatedColumnFormula>IFERROR(IF('General overview'!$C$8="Yes",IF(Tabella678[[#This Row],[Age]]&lt;=$C$9,Tabella678[[#This Row],[Adjusted salary]],$G$110),0),0)</calculatedColumnFormula>
    </tableColumn>
  </tableColumns>
  <tableStyleInfo name="TableStyleLight1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199C1423-D126-E347-91AE-D6ED630B874C}" name="Tabella2579" displayName="Tabella2579" ref="I94:X156" totalsRowCount="1" headerRowDxfId="359" dataDxfId="358">
  <autoFilter ref="I94:X155" xr:uid="{10B3F570-9614-4148-9E68-543AED2C9864}"/>
  <tableColumns count="16">
    <tableColumn id="1" xr3:uid="{983AFFC1-035B-764F-98E6-F0C88C3BB6C0}" name="Age" totalsRowLabel="Totale" dataDxfId="357" totalsRowDxfId="356">
      <calculatedColumnFormula>B21</calculatedColumnFormula>
    </tableColumn>
    <tableColumn id="16" xr3:uid="{684AEC31-0B0C-FA4E-A39B-9CCDB3C0C204}" name="Year" dataDxfId="355" totalsRowDxfId="354">
      <calculatedColumnFormula>IF(Tabella2579[[#This Row],[Age]]=$C$5,$C$10,IF(Tabella2579[[#This Row],[Age]]&lt;$C$5,$C$10-($C$5-Tabella2579[[#This Row],[Age]]),IF(Tabella2579[[#This Row],[Age]]&gt;$C$5,$C$10+Tabella2579[[#This Row],[Age]]-$C$5)))</calculatedColumnFormula>
    </tableColumn>
    <tableColumn id="2" xr3:uid="{34681582-7325-8B44-97F0-21E6BA7ECDAC}" name="Adjusted Salary" dataDxfId="353" totalsRowDxfId="352">
      <calculatedColumnFormula>H21</calculatedColumnFormula>
    </tableColumn>
    <tableColumn id="3" xr3:uid="{8A4E1A22-5F26-CB43-B9FB-FA943187E0A6}" name="1° Pillar deductions" dataDxfId="351" totalsRowDxfId="350">
      <calculatedColumnFormula>Tabella2579[[#This Row],[Adjusted Salary]]*$C$95+Tabella2579[[#This Row],[Adjusted Salary]]*$C$99+Tabella2579[[#This Row],[Adjusted Salary]]*$C$100</calculatedColumnFormula>
    </tableColumn>
    <tableColumn id="4" xr3:uid="{F61A77E2-BF9B-9349-8A31-DC2C1D4AED6D}" name=" " dataDxfId="349" totalsRowDxfId="348"/>
    <tableColumn id="5" xr3:uid="{C1289265-C8CE-FA47-913C-85BE8EEC5E29}" name="Retirements credits" dataDxfId="347" totalsRowDxfId="346"/>
    <tableColumn id="6" xr3:uid="{B8B5355B-8DC4-E64E-894C-BC7261B72338}" name="Compulsory contributions" dataDxfId="345" totalsRowDxfId="344">
      <calculatedColumnFormula>IF(Tabella2579[[#This Row],[Age]]&lt;25,0, IF(MIN(Tabella2579[[#This Row],[Adjusted Salary]]-$C$112, $C$113)&lt;0,0, MIN(Tabella2579[[#This Row],[Adjusted Salary]]-$C$112,$C$113)))</calculatedColumnFormula>
    </tableColumn>
    <tableColumn id="7" xr3:uid="{A8F72198-0B17-3643-80FD-03B80601B07B}" name="Over compulsory contributions" dataDxfId="343" totalsRowDxfId="342">
      <calculatedColumnFormula>IF(Tabella2579[[#This Row],[Age]]&lt;25,0,IF(Tabella2579[[#This Row],[Compulsory contributions]]=88200, Tabella2579[[#This Row],[Adjusted Salary]]-$C$113-$C$112, 0))</calculatedColumnFormula>
    </tableColumn>
    <tableColumn id="8" xr3:uid="{F8476F73-BDFF-FA44-8B60-FE40E8B4EA32}" name="Contributions" dataDxfId="341" totalsRowDxfId="340">
      <calculatedColumnFormula>Tabella2579[[#This Row],[Compulsory contributions]]+Tabella2579[[#This Row],[Over compulsory contributions]]</calculatedColumnFormula>
    </tableColumn>
    <tableColumn id="9" xr3:uid="{1D8CCA80-FE47-BC44-8342-5CC93ACA5FE4}" name="Retirement assets" totalsRowFunction="sum" dataDxfId="339" totalsRowDxfId="338">
      <calculatedColumnFormula>Tabella2579[[#This Row],[Contributions]]*Tabella2579[[#This Row],[Retirements credits]]</calculatedColumnFormula>
    </tableColumn>
    <tableColumn id="10" xr3:uid="{BF4DA858-B9BE-3A4A-8F72-5D65A9C45841}" name="Interests" totalsRowFunction="sum" dataDxfId="337" totalsRowDxfId="336"/>
    <tableColumn id="11" xr3:uid="{B56D2794-9D10-AE4B-88B8-EE2E7F1D0FBD}" name="Comulated assets" totalsRowFunction="custom" dataDxfId="335" totalsRowDxfId="334">
      <totalsRowFormula>T140</totalsRowFormula>
    </tableColumn>
    <tableColumn id="12" xr3:uid="{B5F5FE95-738B-FA4D-AF6A-68AE476805F6}" name="   " dataDxfId="333" totalsRowDxfId="332"/>
    <tableColumn id="13" xr3:uid="{FF307E10-B7A7-8240-960B-2745E1699BF9}" name="Salary and pension" dataDxfId="331" totalsRowDxfId="330">
      <calculatedColumnFormula>IF('General overview'!$C$8="No",0,IF(Tabella2579[[#This Row],[Age]]&lt;=$C$9,(Tabella2579[[#This Row],[Adjusted Salary]]),$G$110))</calculatedColumnFormula>
    </tableColumn>
    <tableColumn id="14" xr3:uid="{3DB91237-AEFC-3D40-8938-F2C8691338A0}" name="Pension deductions" dataDxfId="329" totalsRowDxfId="328">
      <calculatedColumnFormula>Tabella2579[[#This Row],[1° Pillar deductions]]+(Tabella2579[[#This Row],[Retirement assets]]/2)</calculatedColumnFormula>
    </tableColumn>
    <tableColumn id="15" xr3:uid="{85F4FCA4-B7E1-F440-B07F-B8969072F4D8}" name="Netto Salary and Pension" dataDxfId="327" totalsRowDxfId="326">
      <calculatedColumnFormula>Tabella2579[[#This Row],[Salary and pension]]-Tabella2579[[#This Row],[Pension deductions]]</calculatedColumnFormula>
    </tableColumn>
  </tableColumns>
  <tableStyleInfo name="TableStyleLight1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AAF406-ACD8-8640-B28A-D3C5387E0283}" name="Tabella2" displayName="Tabella2" ref="L4:U66" totalsRowCount="1" headerRowDxfId="325">
  <autoFilter ref="L4:U65" xr:uid="{06AAF406-ACD8-8640-B28A-D3C5387E0283}"/>
  <tableColumns count="10">
    <tableColumn id="1" xr3:uid="{C5E5A1E9-8E60-1642-9AA9-E438BCF2954C}" name="Age" totalsRowLabel="Totale" dataDxfId="324" totalsRowDxfId="323"/>
    <tableColumn id="2" xr3:uid="{EF0F721F-91CB-614C-9D61-FE7283D3D847}" name="Salary and Pension" totalsRowFunction="sum" dataDxfId="322" totalsRowDxfId="321">
      <calculatedColumnFormula>'Income and Pension'!$K21</calculatedColumnFormula>
    </tableColumn>
    <tableColumn id="3" xr3:uid="{9376FB6A-8212-B243-AE08-EF3AE56A49FD}" name="1° Pillar deductions" dataDxfId="320" totalsRowDxfId="319">
      <calculatedColumnFormula>SUM('Income and Pension'!$K94,'Partner Income and Pension'!L95)</calculatedColumnFormula>
    </tableColumn>
    <tableColumn id="4" xr3:uid="{2D441DCC-089F-7B4E-A080-A72F2EA997B7}" name="2° Pillar deductions" dataDxfId="318" totalsRowDxfId="317">
      <calculatedColumnFormula>SUM('Income and Pension'!$Q94,'Partner Income and Pension'!R95)</calculatedColumnFormula>
    </tableColumn>
    <tableColumn id="5" xr3:uid="{CC59FFF7-A03E-FD4B-90F0-3D3A4A0995FF}" name="3° Pillar deductions" dataDxfId="316" totalsRowDxfId="315">
      <calculatedColumnFormula>IF(SUMIF('CF Timeline'!$C$4:$BC$4,Tabella2[[#This Row],[Age]],'CF Timeline'!$C$43:$BC$43)&lt;7258, SUMIF('CF Timeline'!$C$4:$BC$4,Tabella2[[#This Row],[Age]],'CF Timeline'!$C$43:$BC$43), 7258)</calculatedColumnFormula>
    </tableColumn>
    <tableColumn id="9" xr3:uid="{0C8AC40B-17F5-3049-94CB-D232507FF3A7}" name="Taxable salary" dataDxfId="314" totalsRowDxfId="313">
      <calculatedColumnFormula>Tabella2[[#This Row],[Salary and Pension]]-Tabella2[[#This Row],[1° Pillar deductions]]-Tabella2[[#This Row],[2° Pillar deductions]]-Tabella2[[#This Row],[3° Pillar deductions]]</calculatedColumnFormula>
    </tableColumn>
    <tableColumn id="6" xr3:uid="{8EE45839-9A78-BF4A-8DA7-28FF5548C84D}" name="Federal taxes" dataDxfId="312" totalsRowDxfId="311">
      <calculatedColumnFormula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calculatedColumnFormula>
    </tableColumn>
    <tableColumn id="7" xr3:uid="{5E967E66-EB2C-5947-9152-0D5CD378DE4A}" name="Cantonal taxes" dataDxfId="310" totalsRowDxfId="309">
      <calculatedColumnFormula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calculatedColumnFormula>
    </tableColumn>
    <tableColumn id="8" xr3:uid="{4E2D9912-1856-184D-BB47-B2A62877D18C}" name="Comunal taxes" dataDxfId="308" totalsRowDxfId="307">
      <calculatedColumnFormula>Tabella2[[#This Row],[Cantonal taxes]]*$E$8/100</calculatedColumnFormula>
    </tableColumn>
    <tableColumn id="10" xr3:uid="{F703ACC7-0E19-D440-A1F7-10FD9515B65C}" name="Total taxes" dataDxfId="306" totalsRowDxfId="305">
      <calculatedColumnFormula>Tabella2[[#This Row],[Federal taxes]]+Tabella2[[#This Row],[Cantonal taxes]]+Tabella2[[#This Row],[Comunal taxes]]</calculatedColumnFormula>
    </tableColumn>
  </tableColumns>
  <tableStyleInfo name="TableStyleLight1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09DAAB-D4D0-3F44-9815-037A4F7C8429}" name="Tabella3" displayName="Tabella3" ref="B6:E12" totalsRowShown="0">
  <autoFilter ref="B6:E12" xr:uid="{DF09DAAB-D4D0-3F44-9815-037A4F7C8429}"/>
  <tableColumns count="4">
    <tableColumn id="1" xr3:uid="{801AFD86-C76E-544F-ABDB-F31A71E5AEE1}" name="General information"/>
    <tableColumn id="2" xr3:uid="{21B67404-CD79-9643-A3B3-7633F037B46D}" name=" "/>
    <tableColumn id="3" xr3:uid="{08B332CF-F4D9-414D-8F81-6A71543D2973}" name="Colonna1"/>
    <tableColumn id="4" xr3:uid="{4086FFCD-F818-4A40-BF31-80C9BCFAD7CA}" name="Colonna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6A9252-7B5C-6C4D-92A3-499458B7A069}" name="Tabella7" displayName="Tabella7" ref="B13:E27" totalsRowShown="0">
  <autoFilter ref="B13:E27" xr:uid="{096A9252-7B5C-6C4D-92A3-499458B7A069}">
    <filterColumn colId="0" hiddenButton="1"/>
    <filterColumn colId="1" hiddenButton="1"/>
    <filterColumn colId="2" hiddenButton="1"/>
    <filterColumn colId="3" hiddenButton="1"/>
  </autoFilter>
  <tableColumns count="4">
    <tableColumn id="1" xr3:uid="{4E8D7C1F-41DA-634C-A9BF-87C51D15FDF5}" name="Federal taxes"/>
    <tableColumn id="2" xr3:uid="{A82819E8-FA05-6E4A-A341-45E69A0AB810}" name=" "/>
    <tableColumn id="3" xr3:uid="{FDA2B2D3-A173-5140-A974-4419ECDB46CA}" name="  "/>
    <tableColumn id="4" xr3:uid="{6A33CD94-3C03-6A41-92D2-6D8B5CD639BF}" name="   "/>
  </tableColumns>
  <tableStyleInfo name="TableStyleLight1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4E4E0BE-F895-A94A-91EF-4205EF7EE09A}" name="Tabella8" displayName="Tabella8" ref="B75:J2221" totalsRowCount="1" headerRowDxfId="304" dataDxfId="302" headerRowBorderDxfId="303" tableBorderDxfId="301">
  <autoFilter ref="B75:J2220" xr:uid="{84E4E0BE-F895-A94A-91EF-4205EF7EE09A}"/>
  <tableColumns count="9">
    <tableColumn id="1" xr3:uid="{DC15D5DC-A02E-7447-A458-ECE4DB4004F3}" name="Colonna1" dataDxfId="300" totalsRowDxfId="299"/>
    <tableColumn id="2" xr3:uid="{47A89247-7479-514F-87BA-063260820CA6}" name="Colonna2" dataDxfId="298" totalsRowDxfId="297"/>
    <tableColumn id="3" xr3:uid="{A538A467-C852-0546-AED2-7E66A4EB467A}" name="Colonna3" dataDxfId="296" totalsRowDxfId="295"/>
    <tableColumn id="4" xr3:uid="{1E1C59FC-15D5-2443-A083-82D26920C1D9}" name="Colonna4" dataDxfId="294" totalsRowDxfId="293"/>
    <tableColumn id="5" xr3:uid="{C302CF8E-BEB6-8045-9512-593D12C9F76F}" name="Colonna5" totalsRowFunction="custom" dataDxfId="292" totalsRowDxfId="291">
      <totalsRowFormula>COUNTIFS(F78:F2220, "Name not found")</totalsRowFormula>
    </tableColumn>
    <tableColumn id="6" xr3:uid="{EB9E626C-9822-C548-9929-491B069EF706}" name="   " dataDxfId="290" totalsRowDxfId="289"/>
    <tableColumn id="9" xr3:uid="{9AD205D8-7FAA-AE4A-951A-9E9C80318728}" name="Colonna9" dataDxfId="288" totalsRowDxfId="287"/>
    <tableColumn id="7" xr3:uid="{5AC39C7C-6611-6A4B-9CCD-572DCE1BD71B}" name="Colonna7" dataDxfId="286" totalsRowDxfId="285"/>
    <tableColumn id="8" xr3:uid="{0606BF02-9252-3B4D-AA81-A16CB115F0B6}" name="Colonna8" dataDxfId="284" totalsRowDxfId="283"/>
  </tableColumns>
  <tableStyleInfo name="TableStyleLight1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742E75D-98D9-CF40-A18C-DF741AC187BC}" name="Tabella711" displayName="Tabella711" ref="Q82:T99" totalsRowShown="0">
  <autoFilter ref="Q82:T99" xr:uid="{E742E75D-98D9-CF40-A18C-DF741AC187BC}">
    <filterColumn colId="0" hiddenButton="1"/>
    <filterColumn colId="1" hiddenButton="1"/>
    <filterColumn colId="2" hiddenButton="1"/>
    <filterColumn colId="3" hiddenButton="1"/>
  </autoFilter>
  <tableColumns count="4">
    <tableColumn id="1" xr3:uid="{FA109EEF-ED76-A748-9497-6A3CB1193164}" name="Ticino Cantonal Taxes"/>
    <tableColumn id="2" xr3:uid="{614BEA74-FEB4-AC4D-BF17-1C1134ED6E19}" name=" "/>
    <tableColumn id="3" xr3:uid="{C76E1E7A-1C51-FB4D-8E5C-01543FF2453B}" name="  "/>
    <tableColumn id="4" xr3:uid="{2B276371-AFDE-414F-ABEA-305E203095F0}" name="   "/>
  </tableColumns>
  <tableStyleInfo name="TableStyleLight1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FE4967-727D-2341-AB80-00A03A0A2942}" name="Tabella71112" displayName="Tabella71112" ref="Q101:U118" totalsRowShown="0">
  <autoFilter ref="Q101:U118" xr:uid="{9CFE4967-727D-2341-AB80-00A03A0A2942}"/>
  <tableColumns count="5">
    <tableColumn id="1" xr3:uid="{F35F8FB6-6151-FB43-A7CE-07FDC93D06CF}" name="Zurich Cantonal Taxes"/>
    <tableColumn id="2" xr3:uid="{9268AD6D-BCE7-8B4E-A2F5-91054F49593B}" name=" "/>
    <tableColumn id="3" xr3:uid="{1CE371C2-2890-C148-9E8A-BC6DF5493BDE}" name="  "/>
    <tableColumn id="4" xr3:uid="{6F927BD7-613F-964D-9F22-B7CD119A3DF1}" name="   "/>
    <tableColumn id="5" xr3:uid="{11C3B664-1467-414B-8122-B864B777906D}" name="Column1"/>
  </tableColumns>
  <tableStyleInfo name="TableStyleLight1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F3FDD8-00E1-514D-A39F-D27D3F45394C}" name="Tabella9" displayName="Tabella9" ref="B2232:C7996" totalsRowShown="0" headerRowDxfId="282" headerRowBorderDxfId="281" tableBorderDxfId="280">
  <autoFilter ref="B2232:C7996" xr:uid="{08F3FDD8-00E1-514D-A39F-D27D3F45394C}"/>
  <tableColumns count="2">
    <tableColumn id="1" xr3:uid="{E36862D9-89A4-AB4D-AC50-3C73598ADA20}" name="Ortschaftsname" dataDxfId="279"/>
    <tableColumn id="2" xr3:uid="{E3F43876-2987-A443-A9E9-CCAD3D58E748}" name="PLZ" dataDxfId="278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D82065A-2DC5-0C4B-AFAF-9997CABC36C9}" name="Tabella7111213" displayName="Tabella7111213" ref="Q120:T137" totalsRowShown="0">
  <autoFilter ref="Q120:T137" xr:uid="{BD82065A-2DC5-0C4B-AFAF-9997CABC36C9}"/>
  <tableColumns count="4">
    <tableColumn id="1" xr3:uid="{F4A6D52A-8246-D643-8F6B-44F03688289A}" name="St. Gallen Cantonal Taxes"/>
    <tableColumn id="2" xr3:uid="{ADC6BE6B-800A-9A4A-A91A-C329332E1BFB}" name=" "/>
    <tableColumn id="3" xr3:uid="{42C35935-BC06-6149-9B1C-6D6373C1E62D}" name="  "/>
    <tableColumn id="4" xr3:uid="{C25100D3-B688-7B47-88E0-26BA820DFA6B}" name="   "/>
  </tableColumns>
  <tableStyleInfo name="TableStyleLight1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39D1097-F293-6044-A848-5B131BB729C0}" name="Tabella13" displayName="Tabella13" ref="Y4:BA65" totalsRowShown="0" headerRowDxfId="277" dataDxfId="275" headerRowBorderDxfId="276" tableBorderDxfId="274">
  <autoFilter ref="Y4:BA65" xr:uid="{439D1097-F293-6044-A848-5B131BB729C0}"/>
  <tableColumns count="29">
    <tableColumn id="29" xr3:uid="{D06E7332-70FD-3844-AEB6-079D90169D43}" name="Age" dataDxfId="273"/>
    <tableColumn id="1" xr3:uid="{A9C9BABA-C43E-E743-A7C7-9426C07F286D}" name="Taxable salary" dataDxfId="272">
      <calculatedColumnFormula>Tabella2[[#This Row],[Taxable salary]]</calculatedColumnFormula>
    </tableColumn>
    <tableColumn id="2" xr3:uid="{3266253C-F7EC-7642-880C-39399F6D5923}" name="TI" dataDxfId="271">
      <calculatedColumnFormula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calculatedColumnFormula>
    </tableColumn>
    <tableColumn id="3" xr3:uid="{3E7B8491-C8F5-144D-BEB8-93434B623D8E}" name="ZH" dataDxfId="270">
      <calculatedColumnFormula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calculatedColumnFormula>
    </tableColumn>
    <tableColumn id="4" xr3:uid="{DB379A3F-663F-BD47-BA18-1E98041BB0C3}" name="SG" dataDxfId="269">
      <calculatedColumnFormula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calculatedColumnFormula>
    </tableColumn>
    <tableColumn id="5" xr3:uid="{142448CD-47FF-884A-A3D3-5C1E45D1B9E0}" name="ZG" dataDxfId="268">
      <calculatedColumnFormula>IF(Tabella13[[#This Row],[Taxable salary]]&lt;$R$142,$S$141+((Tabella13[[#This Row],[Taxable salary]]-$R$141)/100)*$T$141, IF(Tabella13[[#This Row],[Taxable salary]]&lt;$R$143,S142+((Tabella13[[#This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calculatedColumnFormula>
    </tableColumn>
    <tableColumn id="6" xr3:uid="{3ABA8564-6608-6E46-A3C8-AEF770357B0F}" name="BE" dataDxfId="267">
      <calculatedColumnFormula>IF(Tabella13[[#This Row],[Taxable salary]]&lt;$R$161,Tabella13[[#This Row],[Taxable salary]]*S160,IF(Tabella13[[#This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calculatedColumnFormula>
    </tableColumn>
    <tableColumn id="7" xr3:uid="{CE20DFC7-DCD3-F545-B6B8-108F748F74B5}" name="SZ" dataDxfId="266">
      <calculatedColumnFormula>IF(Tabella13[[#This Row],[Taxable salary]]&lt;$R$180,Tabella13[[#This Row],[Taxable salary]]*S179,IF(Tabella13[[#This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salary]]&gt;R196,Tabella13[[#This Row],[Taxable salary]]*$S$196))))))))))))))))))</calculatedColumnFormula>
    </tableColumn>
    <tableColumn id="8" xr3:uid="{CAA63E1B-D869-E844-868C-89654478DDC0}" name="GR" dataDxfId="265">
      <calculatedColumnFormula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calculatedColumnFormula>
    </tableColumn>
    <tableColumn id="9" xr3:uid="{1383221A-1831-354F-B046-17D608D6EFC4}" name="GE" dataDxfId="264">
      <calculatedColumnFormula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calculatedColumnFormula>
    </tableColumn>
    <tableColumn id="10" xr3:uid="{B5725648-8277-A64D-BC96-EBC2A485C4D1}" name="AG" dataDxfId="263">
      <calculatedColumnFormula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calculatedColumnFormula>
    </tableColumn>
    <tableColumn id="11" xr3:uid="{221B5408-86FF-FB43-986C-519A2C517F21}" name="AI" dataDxfId="262">
      <calculatedColumnFormula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calculatedColumnFormula>
    </tableColumn>
    <tableColumn id="12" xr3:uid="{67C8EB40-63F6-4846-A91D-FF1FCE49ED16}" name="AR" dataDxfId="261">
      <calculatedColumnFormula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salary]]*S304))))))))))))</calculatedColumnFormula>
    </tableColumn>
    <tableColumn id="13" xr3:uid="{2EBCF245-8A10-5B42-AC88-AFF3BDD82016}" name="BL" dataDxfId="260">
      <calculatedColumnFormula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calculatedColumnFormula>
    </tableColumn>
    <tableColumn id="16" xr3:uid="{3EE3ABF6-6799-6846-8815-6F2F2307E799}" name="BS" dataDxfId="259">
      <calculatedColumnFormula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calculatedColumnFormula>
    </tableColumn>
    <tableColumn id="14" xr3:uid="{0DFAA84C-18FD-3A4F-830E-51888CFCB24F}" name="FR" dataDxfId="258">
      <calculatedColumnFormula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calculatedColumnFormula>
    </tableColumn>
    <tableColumn id="15" xr3:uid="{4F2BE166-AC74-D94C-A0DC-7461442E169C}" name="GL" dataDxfId="257">
      <calculatedColumnFormula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calculatedColumnFormula>
    </tableColumn>
    <tableColumn id="17" xr3:uid="{A4C9F131-A03A-464A-A225-DD86F7636D83}" name="JU" dataDxfId="256">
      <calculatedColumnFormula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calculatedColumnFormula>
    </tableColumn>
    <tableColumn id="18" xr3:uid="{402E8DBC-0E54-9440-B7F1-F70BEA7B69BF}" name="LU" dataDxfId="255">
      <calculatedColumnFormula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calculatedColumnFormula>
    </tableColumn>
    <tableColumn id="19" xr3:uid="{4A7AA824-70CC-A240-9D43-81FBB6F99161}" name="NE" dataDxfId="254">
      <calculatedColumnFormula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calculatedColumnFormula>
    </tableColumn>
    <tableColumn id="20" xr3:uid="{BD4E5C2B-599E-6A47-B595-525BA43DA104}" name="NW" dataDxfId="253">
      <calculatedColumnFormula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salary]]*$S$489,IF(Q477&lt;$R$491,Tabella13[[#This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calculatedColumnFormula>
    </tableColumn>
    <tableColumn id="21" xr3:uid="{9E3BC85C-5382-D647-B399-C020AC89F940}" name="OW" dataDxfId="252">
      <calculatedColumnFormula>Tabella13[[#This Row],[Taxable salary]]*$S$503</calculatedColumnFormula>
    </tableColumn>
    <tableColumn id="22" xr3:uid="{EB10EE59-6AFF-B04A-9322-E0A25A3A90B3}" name="SH" dataDxfId="251">
      <calculatedColumnFormula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calculatedColumnFormula>
    </tableColumn>
    <tableColumn id="23" xr3:uid="{2211AFC4-48A5-7748-8F83-733072406131}" name="SO" dataDxfId="250">
      <calculatedColumnFormula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calculatedColumnFormula>
    </tableColumn>
    <tableColumn id="24" xr3:uid="{32945A5D-1B33-BB42-B8AD-558885F2FB8A}" name="TG" dataDxfId="249">
      <calculatedColumnFormula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calculatedColumnFormula>
    </tableColumn>
    <tableColumn id="25" xr3:uid="{DCE380A4-1812-4942-83AD-A6BEAAFD9A00}" name="UR" dataDxfId="248">
      <calculatedColumnFormula>Tabella13[[#This Row],[Taxable salary]]*$S$606</calculatedColumnFormula>
    </tableColumn>
    <tableColumn id="26" xr3:uid="{A02693E1-C9AF-C64D-BBBF-565FB1353759}" name="VD" dataDxfId="247">
      <calculatedColumnFormula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calculatedColumnFormula>
    </tableColumn>
    <tableColumn id="27" xr3:uid="{E8BA762D-C7E0-794F-8FD0-87DA4D63FE04}" name="VS Canton" dataDxfId="246">
      <calculatedColumnFormula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salary]]*S653)))))))))))))</calculatedColumnFormula>
    </tableColumn>
    <tableColumn id="28" xr3:uid="{A8AB2366-FAB3-3942-BE60-D3EFC5E6843E}" name="VS commun" dataDxfId="245">
      <calculatedColumnFormula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779ED57-FC19-564A-ADD2-8BBCA42E1ABA}" name="Tabella71116" displayName="Tabella71116" ref="Q139:U156" totalsRowShown="0">
  <autoFilter ref="Q139:U156" xr:uid="{0779ED57-FC19-564A-ADD2-8BBCA42E1ABA}"/>
  <tableColumns count="5">
    <tableColumn id="1" xr3:uid="{C63D45C7-CDC3-9743-81A3-F69278E273CB}" name="Zug Cantonal taxes"/>
    <tableColumn id="2" xr3:uid="{FC4DAA2F-F7A2-4E40-A957-319DCCED5159}" name=" "/>
    <tableColumn id="3" xr3:uid="{E57B5D87-04DB-AB4F-9C40-4A1B7235F228}" name="  "/>
    <tableColumn id="4" xr3:uid="{7326331C-016D-954D-8595-BC3B424B2EF5}" name="   "/>
    <tableColumn id="5" xr3:uid="{9427CE7E-C40F-3145-952B-216995684E0D}" name="Column1"/>
  </tableColumns>
  <tableStyleInfo name="TableStyleLight1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BE0AC86-FD39-1547-AAE0-1A0A7154E5DA}" name="Tabella711121317" displayName="Tabella711121317" ref="Q158:T175" totalsRowShown="0">
  <autoFilter ref="Q158:T175" xr:uid="{4BE0AC86-FD39-1547-AAE0-1A0A7154E5DA}"/>
  <tableColumns count="4">
    <tableColumn id="1" xr3:uid="{83A96F18-85B0-8F4F-900F-9ADEEF44DBAB}" name="Bern Cantonal Taxes"/>
    <tableColumn id="2" xr3:uid="{DA1BB037-5433-6742-9AE3-832D32282245}" name=" "/>
    <tableColumn id="3" xr3:uid="{2CF7186C-B998-F14E-A6A0-E41CAD61EA52}" name="  "/>
    <tableColumn id="4" xr3:uid="{F04FAF4F-F64A-1746-888A-A29E8485254D}" name="   "/>
  </tableColumns>
  <tableStyleInfo name="TableStyleLight1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F1E4202-D333-FE4E-8686-0A27DCBE67CF}" name="Tabella71112131718" displayName="Tabella71112131718" ref="Q177:T197" totalsRowShown="0">
  <autoFilter ref="Q177:T197" xr:uid="{0F1E4202-D333-FE4E-8686-0A27DCBE67CF}"/>
  <tableColumns count="4">
    <tableColumn id="1" xr3:uid="{3899FC94-52EC-6240-97E3-E1EC781D84EA}" name="Schwiz Cantonal Taxes"/>
    <tableColumn id="2" xr3:uid="{BD43863F-F3E8-C846-BB84-DA8CB6D7AA09}" name=" "/>
    <tableColumn id="3" xr3:uid="{F7EC4EB9-15CF-3443-8987-0D1D0D059CB0}" name="  "/>
    <tableColumn id="4" xr3:uid="{B197B520-EC4B-324C-BF51-CBF0F72EF502}" name="   "/>
  </tableColumns>
  <tableStyleInfo name="TableStyleLight1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1BCCFF3-1456-2743-8253-18EC8A665FDF}" name="Tabella71119" displayName="Tabella71119" ref="Q199:T221" totalsRowShown="0">
  <autoFilter ref="Q199:T221" xr:uid="{F1BCCFF3-1456-2743-8253-18EC8A665FDF}"/>
  <tableColumns count="4">
    <tableColumn id="1" xr3:uid="{EC1554C5-184B-774E-9764-4C8C2AAC6014}" name="GR Cantonal Taxes"/>
    <tableColumn id="2" xr3:uid="{2BDF6D1A-B0C3-AD47-9CE9-939F862C7AA1}" name=" "/>
    <tableColumn id="3" xr3:uid="{7000A182-4350-1D49-BDE8-9471759AC120}" name="  "/>
    <tableColumn id="4" xr3:uid="{C9CA0507-2DC9-AF49-824A-A9C49367EA57}" name="   "/>
  </tableColumns>
  <tableStyleInfo name="TableStyleLight1" showFirstColumn="0" showLastColumn="0" showRowStripes="0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269CD72-6DCC-AA4D-BB8E-98BA21A76CBB}" name="Tabella7111915" displayName="Tabella7111915" ref="Q223:T245" totalsRowShown="0">
  <autoFilter ref="Q223:T245" xr:uid="{5269CD72-6DCC-AA4D-BB8E-98BA21A76CBB}"/>
  <tableColumns count="4">
    <tableColumn id="1" xr3:uid="{06B90923-0974-5841-9082-E5D89D71EEDC}" name="GE Cantonal Taxes"/>
    <tableColumn id="2" xr3:uid="{CC0B7382-83DB-2D45-97D0-EEAA6E2B25E7}" name=" "/>
    <tableColumn id="3" xr3:uid="{4168E611-0505-8242-AC16-731867FB869B}" name="  "/>
    <tableColumn id="4" xr3:uid="{09E31E1B-C012-CF42-AD80-28EC43A6DA9D}" name="   "/>
  </tableColumns>
  <tableStyleInfo name="TableStyleLight1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1EDA098-03CA-354F-842C-B5D247D9A527}" name="Tabella7111213171820" displayName="Tabella7111213171820" ref="Q247:T267" totalsRowShown="0">
  <autoFilter ref="Q247:T267" xr:uid="{91EDA098-03CA-354F-842C-B5D247D9A527}"/>
  <tableColumns count="4">
    <tableColumn id="1" xr3:uid="{F46B493A-B827-2C44-BAC1-0E6AAA2C91B6}" name="AG Cantonal Taxes"/>
    <tableColumn id="2" xr3:uid="{19A46B9F-6264-4C4C-883F-F0DFEF9F808E}" name=" "/>
    <tableColumn id="3" xr3:uid="{F1078EE6-8290-294D-9300-2FEA4BE62BBD}" name="  "/>
    <tableColumn id="4" xr3:uid="{4C7BB901-01E3-154A-9A69-15892725CBB3}" name="   "/>
  </tableColumns>
  <tableStyleInfo name="TableStyleLight1" showFirstColumn="0" showLastColumn="0" showRowStripes="0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3E7A1C9-14E0-1D43-88F8-BCEE882FE22F}" name="Tabella7111213171821" displayName="Tabella7111213171821" ref="Q269:T289" totalsRowShown="0">
  <autoFilter ref="Q269:T289" xr:uid="{63E7A1C9-14E0-1D43-88F8-BCEE882FE22F}"/>
  <tableColumns count="4">
    <tableColumn id="1" xr3:uid="{B86C8E77-12D5-C145-A51B-F2FA68ADB7E1}" name="AI Cantonal Taxes"/>
    <tableColumn id="2" xr3:uid="{64E06284-0643-894F-B115-093BEFC5CF15}" name=" "/>
    <tableColumn id="3" xr3:uid="{95CEF1FB-C630-C24B-B698-47758ED134D9}" name="  "/>
    <tableColumn id="4" xr3:uid="{67B89082-3DA7-A14D-AF69-D2F3E972086A}" name="   "/>
  </tableColumns>
  <tableStyleInfo name="TableStyleLight1" showFirstColumn="0" showLastColumn="0" showRowStripes="0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5B1D80F-7689-C74F-B319-533166BF9DBF}" name="Tabella711121317182122" displayName="Tabella711121317182122" ref="Q291:T311" totalsRowShown="0">
  <autoFilter ref="Q291:T311" xr:uid="{75B1D80F-7689-C74F-B319-533166BF9DBF}"/>
  <tableColumns count="4">
    <tableColumn id="1" xr3:uid="{DB9B1DF5-5A3B-C347-95A8-DA362450E77F}" name="AR Cantonal Taxes"/>
    <tableColumn id="2" xr3:uid="{68750343-1766-BD41-8DF1-77D065B3AF34}" name=" "/>
    <tableColumn id="3" xr3:uid="{90269F82-8885-464B-A141-B53F53108041}" name="  "/>
    <tableColumn id="4" xr3:uid="{220F5052-4974-6841-B5C6-A1DC1488DB99}" name="   "/>
  </tableColumns>
  <tableStyleInfo name="TableStyleLight1" showFirstColumn="0" showLastColumn="0" showRowStripes="0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E0040B2-1A33-AD40-BB29-D7BE0BB274CB}" name="Tabella71112131718212223" displayName="Tabella71112131718212223" ref="Q313:U333" totalsRowShown="0">
  <autoFilter ref="Q313:U333" xr:uid="{0E0040B2-1A33-AD40-BB29-D7BE0BB274CB}"/>
  <tableColumns count="5">
    <tableColumn id="1" xr3:uid="{346A55EE-4A2C-6040-826D-5D5A733C0C9A}" name="BL Cantonal Taxes"/>
    <tableColumn id="2" xr3:uid="{715FA5D8-E0E0-2840-AFD3-00C1109C13E7}" name=" "/>
    <tableColumn id="3" xr3:uid="{A884819B-5771-FE46-9D27-C9DAE821CA55}" name="  "/>
    <tableColumn id="4" xr3:uid="{BBB226BB-1DD9-C84D-B709-256EF7AC6164}" name="   "/>
    <tableColumn id="5" xr3:uid="{9622CFAF-4CE5-9447-B588-71AF8C790A12}" name="Colonna1" dataDxfId="244"/>
  </tableColumns>
  <tableStyleInfo name="TableStyleLight1" showFirstColumn="0" showLastColumn="0" showRowStripes="0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EEFA151-F1B3-7F49-ADE4-E678F37F8361}" name="Tabella71124" displayName="Tabella71124" ref="Q335:U352" totalsRowShown="0">
  <autoFilter ref="Q335:U352" xr:uid="{5EEFA151-F1B3-7F49-ADE4-E678F37F8361}"/>
  <tableColumns count="5">
    <tableColumn id="1" xr3:uid="{678458F1-71B0-E047-ADA7-6F0183EBDA54}" name="BS Cantonal Taxes"/>
    <tableColumn id="2" xr3:uid="{E07D8602-B9FE-D642-9CB2-6CE98700D9DA}" name=" "/>
    <tableColumn id="3" xr3:uid="{E60CDB5C-AD36-3D44-BC4A-8E20AF6711F8}" name="  "/>
    <tableColumn id="4" xr3:uid="{E900CD34-E313-6A47-9C8D-3E26C4FFBE9B}" name="   "/>
    <tableColumn id="5" xr3:uid="{E1384BC8-AABE-6D48-9B0B-7AC3BC54C2BE}" name="Column1"/>
  </tableColumns>
  <tableStyleInfo name="TableStyleLight1" showFirstColumn="0" showLastColumn="0" showRowStripes="0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F23816F-3A9C-4A4F-BCEE-98FF74CFC617}" name="Tabella71112131718212225" displayName="Tabella71112131718212225" ref="Q354:T374" totalsRowShown="0">
  <autoFilter ref="Q354:T374" xr:uid="{3F23816F-3A9C-4A4F-BCEE-98FF74CFC617}"/>
  <tableColumns count="4">
    <tableColumn id="1" xr3:uid="{FDFF718F-6425-FD49-A110-5224A15DC1A6}" name="FR Cantonal Taxes"/>
    <tableColumn id="2" xr3:uid="{7F029A6F-8762-3744-93E7-550FED061E44}" name=" "/>
    <tableColumn id="3" xr3:uid="{8A9A755C-B3BA-4B4E-82A6-EE779786A53E}" name="  "/>
    <tableColumn id="4" xr3:uid="{EAF2707B-2A85-594B-8987-2D323DA2BDD9}" name="   "/>
  </tableColumns>
  <tableStyleInfo name="TableStyleLight1" showFirstColumn="0" showLastColumn="0" showRowStripes="0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1996DCD-AB9D-7C45-92D5-25DA51E9787E}" name="Tabella711191526" displayName="Tabella711191526" ref="Q376:T398" totalsRowShown="0">
  <autoFilter ref="Q376:T398" xr:uid="{E1996DCD-AB9D-7C45-92D5-25DA51E9787E}"/>
  <tableColumns count="4">
    <tableColumn id="1" xr3:uid="{5E153242-F207-2749-8E8B-2720D63BA6C1}" name="GL Cantonal Taxes"/>
    <tableColumn id="2" xr3:uid="{0902A675-5412-CA4A-862E-0FBD4E46AC74}" name=" "/>
    <tableColumn id="3" xr3:uid="{43ADEA1C-E7C3-8847-B986-13E348EB28D8}" name="  "/>
    <tableColumn id="4" xr3:uid="{C639222C-AD0E-884B-926E-D82FDCDC5189}" name="   "/>
  </tableColumns>
  <tableStyleInfo name="TableStyleLight1" showFirstColumn="0" showLastColumn="0" showRowStripes="0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77520B0-5556-F642-B9A8-97775648CBB8}" name="Tabella71112131718212227" displayName="Tabella71112131718212227" ref="Q400:T420" totalsRowShown="0">
  <autoFilter ref="Q400:T420" xr:uid="{777520B0-5556-F642-B9A8-97775648CBB8}"/>
  <tableColumns count="4">
    <tableColumn id="1" xr3:uid="{804F561C-F100-E94A-ACB4-028913456C99}" name="JU Cantonal Taxes"/>
    <tableColumn id="2" xr3:uid="{1440F18F-056B-8648-BE65-DF2BAD7BB1E8}" name=" "/>
    <tableColumn id="3" xr3:uid="{95734F35-A554-D940-990B-D85CAAED6061}" name="  "/>
    <tableColumn id="4" xr3:uid="{B3804CD2-EC6C-8648-9F8B-F7B724027612}" name="   "/>
  </tableColumns>
  <tableStyleInfo name="TableStyleLight1" showFirstColumn="0" showLastColumn="0" showRowStripes="0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599DFA7-B158-C346-9D9C-36BF11081440}" name="Tabella711191528" displayName="Tabella711191528" ref="Q422:T444" totalsRowShown="0">
  <autoFilter ref="Q422:T444" xr:uid="{F599DFA7-B158-C346-9D9C-36BF11081440}"/>
  <tableColumns count="4">
    <tableColumn id="1" xr3:uid="{DA97A6AF-E0DD-9E4E-93FB-C4C870EBA18F}" name="LU Cantonal Taxes"/>
    <tableColumn id="2" xr3:uid="{D472A7A4-51D8-9741-BBAA-259B17CBA8AC}" name=" "/>
    <tableColumn id="3" xr3:uid="{F887DD5F-F39E-EF4C-B9FA-6F9361FC47A0}" name="  "/>
    <tableColumn id="4" xr3:uid="{5D635209-BF4F-7747-AE15-56E476657EDB}" name="   "/>
  </tableColumns>
  <tableStyleInfo name="TableStyleLight1" showFirstColumn="0" showLastColumn="0" showRowStripes="0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69C3BF8-972E-5846-A8FE-1C2636E5A688}" name="Tabella7111929" displayName="Tabella7111929" ref="Q446:T474" totalsRowShown="0">
  <autoFilter ref="Q446:T474" xr:uid="{869C3BF8-972E-5846-A8FE-1C2636E5A688}"/>
  <tableColumns count="4">
    <tableColumn id="1" xr3:uid="{60DE3C8D-3E93-614F-864B-CE1BBACECA98}" name="NE Cantonal Taxes"/>
    <tableColumn id="2" xr3:uid="{86358765-89E9-B245-A462-26181A1846D2}" name=" "/>
    <tableColumn id="3" xr3:uid="{B415B297-9B00-EC47-B956-358D20209444}" name="  "/>
    <tableColumn id="4" xr3:uid="{81DB6C38-4D9B-4B4D-9B83-260F06C9E5DF}" name="   "/>
  </tableColumns>
  <tableStyleInfo name="TableStyleLight1" showFirstColumn="0" showLastColumn="0" showRowStripes="0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9F221D9-227E-FF4A-935F-05D8840962AB}" name="Tabella7111213171821222730" displayName="Tabella7111213171821222730" ref="Q476:T499" totalsRowShown="0">
  <autoFilter ref="Q476:T499" xr:uid="{99F221D9-227E-FF4A-935F-05D8840962AB}"/>
  <tableColumns count="4">
    <tableColumn id="1" xr3:uid="{F2E1F933-BC1D-7346-BC11-E286AEADC378}" name="NW Cantonal Taxes"/>
    <tableColumn id="2" xr3:uid="{1560732F-BEDD-A04D-B2AB-9A42C2D3CFE8}" name=" "/>
    <tableColumn id="3" xr3:uid="{2A4D577F-4280-5844-8926-29E78A732C28}" name="  "/>
    <tableColumn id="4" xr3:uid="{9692C93B-258B-F14F-A5F5-4003FFD18EED}" name="   "/>
  </tableColumns>
  <tableStyleInfo name="TableStyleLight1" showFirstColumn="0" showLastColumn="0" showRowStripes="0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5F406D6-074B-5A43-8972-3CF561983638}" name="Tabella711121317182122273031" displayName="Tabella711121317182122273031" ref="Q501:T524" totalsRowShown="0">
  <autoFilter ref="Q501:T524" xr:uid="{15F406D6-074B-5A43-8972-3CF561983638}"/>
  <tableColumns count="4">
    <tableColumn id="1" xr3:uid="{E20B4120-2490-E743-A4B7-3E1D8C10D3D7}" name="OW Cantonal Taxes"/>
    <tableColumn id="2" xr3:uid="{BAB025AA-790C-704D-B6BD-DFF0450349CD}" name=" "/>
    <tableColumn id="3" xr3:uid="{C0304E00-5327-EE45-90AD-0EEEBEBE2F39}" name="  "/>
    <tableColumn id="4" xr3:uid="{B55B3F8D-BAA3-C84B-933B-C0507B02524B}" name="   "/>
  </tableColumns>
  <tableStyleInfo name="TableStyleLight1" showFirstColumn="0" showLastColumn="0" showRowStripes="0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904FD36-E359-154A-83B2-0A319FA7CE9A}" name="Tabella711192932" displayName="Tabella711192932" ref="Q526:T554" totalsRowShown="0">
  <autoFilter ref="Q526:T554" xr:uid="{D904FD36-E359-154A-83B2-0A319FA7CE9A}"/>
  <tableColumns count="4">
    <tableColumn id="1" xr3:uid="{BFF1103C-81AB-A146-8A04-104F4C2DB637}" name="SH Cantonal Taxes"/>
    <tableColumn id="2" xr3:uid="{494B6E69-8746-4E4D-9378-D10B403ABD8D}" name=" "/>
    <tableColumn id="3" xr3:uid="{8FF64AA6-CB21-A849-B1F4-2BB31BB288F5}" name="  "/>
    <tableColumn id="4" xr3:uid="{8B01C89A-5EB6-5748-B2AC-87B9206DD59C}" name="   "/>
  </tableColumns>
  <tableStyleInfo name="TableStyleLight1" showFirstColumn="0" showLastColumn="0" showRowStripes="0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CE53F4E-5BF5-334A-B4BC-97B74394EACE}" name="Tabella71119152833" displayName="Tabella71119152833" ref="Q556:T578" totalsRowShown="0">
  <autoFilter ref="Q556:T578" xr:uid="{7CE53F4E-5BF5-334A-B4BC-97B74394EACE}"/>
  <tableColumns count="4">
    <tableColumn id="1" xr3:uid="{CE1D87D4-FFA3-0243-A95E-0318A96313CD}" name="SO Cantonal Taxes"/>
    <tableColumn id="2" xr3:uid="{36823F69-6543-AC45-9B70-CF60A7888AD1}" name=" "/>
    <tableColumn id="3" xr3:uid="{D992BB6F-AE04-E945-BFAF-5C5369A3B47D}" name="  "/>
    <tableColumn id="4" xr3:uid="{F9D504BF-6A4A-C745-A5E8-A67F58F442C8}" name="   "/>
  </tableColumns>
  <tableStyleInfo name="TableStyleLight1" showFirstColumn="0" showLastColumn="0" showRowStripes="0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8E1CAC9-D283-1B4C-8F3C-23B68196DC61}" name="Tabella7111915283334" displayName="Tabella7111915283334" ref="Q580:T602" totalsRowShown="0">
  <autoFilter ref="Q580:T602" xr:uid="{A8E1CAC9-D283-1B4C-8F3C-23B68196DC61}"/>
  <tableColumns count="4">
    <tableColumn id="1" xr3:uid="{80707697-974D-F34E-A141-A52D4762155E}" name="TG Cantonal Taxes"/>
    <tableColumn id="2" xr3:uid="{EB1459DE-D470-024B-9143-D7BF568E8F5C}" name=" "/>
    <tableColumn id="3" xr3:uid="{0CD4C0E6-8635-2D45-AE37-41CFC543BE4E}" name="  "/>
    <tableColumn id="4" xr3:uid="{4143E6F9-6715-3E48-A67F-826358866AA6}" name="   "/>
  </tableColumns>
  <tableStyleInfo name="TableStyleLight1" showFirstColumn="0" showLastColumn="0" showRowStripes="0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D691287-71A5-9E4A-9787-86F607BB52B5}" name="Tabella71112131718212227303135" displayName="Tabella71112131718212227303135" ref="Q604:T612" totalsRowShown="0">
  <autoFilter ref="Q604:T612" xr:uid="{3D691287-71A5-9E4A-9787-86F607BB52B5}"/>
  <tableColumns count="4">
    <tableColumn id="1" xr3:uid="{92A4D83A-EA5A-EF47-8AD2-FD9002ED5993}" name="OW Cantonal Taxes"/>
    <tableColumn id="2" xr3:uid="{0F3F5531-4150-DC46-BEE5-E6887AB31AB6}" name=" "/>
    <tableColumn id="3" xr3:uid="{6B1A285B-006E-734C-B3AA-5A0FC498BC10}" name="  "/>
    <tableColumn id="4" xr3:uid="{A7B91855-1379-E14E-BD49-6D43DC85CA34}" name="   "/>
  </tableColumns>
  <tableStyleInfo name="TableStyleLight1" showFirstColumn="0" showLastColumn="0" showRowStripes="0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79CAA39-E003-E542-8990-0935A3B2D70E}" name="Tabella711192936" displayName="Tabella711192936" ref="Q614:T637" totalsRowShown="0">
  <autoFilter ref="Q614:T637" xr:uid="{A79CAA39-E003-E542-8990-0935A3B2D70E}"/>
  <tableColumns count="4">
    <tableColumn id="1" xr3:uid="{027962A6-9B9F-7B4D-B4B7-8EB0D07BB39F}" name="NE Cantonal Taxes"/>
    <tableColumn id="2" xr3:uid="{9E1930F3-86BA-CF48-8DEC-A8A365D70BA1}" name=" "/>
    <tableColumn id="3" xr3:uid="{034D0E45-841C-CD41-A75C-9EBB19E16687}" name="  "/>
    <tableColumn id="4" xr3:uid="{8FEEED6F-D550-DC4F-B8A0-7413EDF4A581}" name="   "/>
  </tableColumns>
  <tableStyleInfo name="TableStyleLight1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37B3609-E9D9-5F4A-ADFA-D70E3F738C54}" name="Tabella711121317182122273037" displayName="Tabella711121317182122273037" ref="Q639:T656" totalsRowShown="0">
  <autoFilter ref="Q639:T656" xr:uid="{937B3609-E9D9-5F4A-ADFA-D70E3F738C54}"/>
  <tableColumns count="4">
    <tableColumn id="1" xr3:uid="{69A99C5C-9011-F74E-B208-1732BA470A91}" name="VS Cantonal Taxes"/>
    <tableColumn id="2" xr3:uid="{F9E2C7D0-0D4C-2249-80EC-FDBA6A84ADC9}" name=" "/>
    <tableColumn id="3" xr3:uid="{0D52CEF2-F5FA-8E4A-A7DC-7C9EAB44C03A}" name="  "/>
    <tableColumn id="4" xr3:uid="{1353F129-B147-0E42-A811-3360C261BA81}" name="   "/>
  </tableColumns>
  <tableStyleInfo name="TableStyleLight1" showFirstColumn="0" showLastColumn="0" showRowStripes="0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0F84025-6588-ED42-9E81-43F76F09A1D4}" name="Tabella71112131718212227303744" displayName="Tabella71112131718212227303744" ref="Q659:T676" totalsRowShown="0">
  <autoFilter ref="Q659:T676" xr:uid="{20F84025-6588-ED42-9E81-43F76F09A1D4}"/>
  <tableColumns count="4">
    <tableColumn id="1" xr3:uid="{6CEB97AB-583F-8043-9524-25D0FDD4276B}" name="VS Commun Taxes"/>
    <tableColumn id="2" xr3:uid="{001C178B-50B0-F84D-AE78-7D74417F11B1}" name=" "/>
    <tableColumn id="3" xr3:uid="{D9129493-FA3A-4148-9014-BEF3B1A1499D}" name="  "/>
    <tableColumn id="4" xr3:uid="{59B2E481-A2F7-6F48-9076-85E615655FBA}" name="   "/>
  </tableColumns>
  <tableStyleInfo name="TableStyleLight1" showFirstColumn="0" showLastColumn="0" showRowStripes="0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AA00756-4A58-0148-82A0-A162D20BBD13}" name="Tabella245" displayName="Tabella245" ref="J4:S66" totalsRowCount="1" headerRowDxfId="243">
  <autoFilter ref="J4:S65" xr:uid="{06AAF406-ACD8-8640-B28A-D3C5387E0283}"/>
  <tableColumns count="10">
    <tableColumn id="1" xr3:uid="{FB945620-E679-6543-A7A2-01E4B7476D41}" name="Age" totalsRowLabel="Totale" dataDxfId="242" totalsRowDxfId="241"/>
    <tableColumn id="2" xr3:uid="{B7C1742F-6276-E74E-A81D-53703CB72ADB}" name="Salary and Pension" totalsRowFunction="sum" dataDxfId="240" totalsRowDxfId="239">
      <calculatedColumnFormula>'Income and Pension'!K21</calculatedColumnFormula>
    </tableColumn>
    <tableColumn id="3" xr3:uid="{F9EECBCD-06BB-C342-AEF5-2255A73AF6A8}" name="1° Pillar deductions" dataDxfId="238" totalsRowDxfId="237">
      <calculatedColumnFormula>SUM('Income and Pension'!$K94,'Partner Income and Pension'!L95)</calculatedColumnFormula>
    </tableColumn>
    <tableColumn id="4" xr3:uid="{68CC65AE-8D1C-9245-ACDA-3D5F43D3F6AB}" name="2° Pillar deductions" dataDxfId="236" totalsRowDxfId="235">
      <calculatedColumnFormula>SUM('Income and Pension'!$Q94,'Partner Income and Pension'!R95)</calculatedColumnFormula>
    </tableColumn>
    <tableColumn id="5" xr3:uid="{B50BE541-D2A8-644A-B7E8-64C81CE24A75}" name="3° Pillar deductions" dataDxfId="234" totalsRowDxfId="233">
      <calculatedColumnFormula>IF(SUMIF('CF Timeline'!$C$4:$BC$4,Tabella245[[#This Row],[Age]],'CF Timeline'!$C$43:$BC$43)&lt;7258, SUMIF('CF Timeline'!$C$4:$BC$4,Tabella245[[#This Row],[Age]],'CF Timeline'!$C$43:$BC$43), 7258)</calculatedColumnFormula>
    </tableColumn>
    <tableColumn id="9" xr3:uid="{6E77C8F0-0678-394F-B9F8-C48C0957AC38}" name="Taxable salary" dataDxfId="232" totalsRowDxfId="231">
      <calculatedColumnFormula>Tabella245[[#This Row],[Salary and Pension]]-Tabella245[[#This Row],[1° Pillar deductions]]-Tabella245[[#This Row],[2° Pillar deductions]]-Tabella245[[#This Row],[3° Pillar deductions]]</calculatedColumnFormula>
    </tableColumn>
    <tableColumn id="6" xr3:uid="{5A34A2DE-CC26-BC47-912B-65CF7D6FE9B5}" name="Federal taxes" dataDxfId="230" totalsRowDxfId="229">
      <calculatedColumnFormula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calculatedColumnFormula>
    </tableColumn>
    <tableColumn id="7" xr3:uid="{18A154E7-31DC-A14C-A5D5-BBBA2875AE11}" name="Cantonal taxes" dataDxfId="228" totalsRowDxfId="227">
      <calculatedColumnFormula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calculatedColumnFormula>
    </tableColumn>
    <tableColumn id="8" xr3:uid="{7689A1FD-D061-584D-B988-F7CCBABD4615}" name="Comunal taxes" dataDxfId="226" totalsRowDxfId="225">
      <calculatedColumnFormula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calculatedColumnFormula>
    </tableColumn>
    <tableColumn id="10" xr3:uid="{8DA756AF-03C5-064B-B30E-4FA243049047}" name="Total taxes" dataDxfId="224" totalsRowDxfId="223">
      <calculatedColumnFormula>Tabella245[[#This Row],[Federal taxes]]+Tabella245[[#This Row],[Cantonal taxes]]+Tabella245[[#This Row],[Comunal taxes]]</calculatedColumnFormula>
    </tableColumn>
  </tableColumns>
  <tableStyleInfo name="TableStyleLight1" showFirstColumn="0" showLastColumn="0" showRowStripes="0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2437CE3-D1AD-FE45-94F6-D29748A9555F}" name="Tabella346" displayName="Tabella346" ref="B6:E12" totalsRowShown="0">
  <autoFilter ref="B6:E12" xr:uid="{DF09DAAB-D4D0-3F44-9815-037A4F7C8429}"/>
  <tableColumns count="4">
    <tableColumn id="1" xr3:uid="{FE5D3A0C-05E4-4046-8A1A-E9B15A4AF99F}" name="General information"/>
    <tableColumn id="2" xr3:uid="{DB9D9200-5876-BA47-B447-E5F117C86677}" name=" "/>
    <tableColumn id="3" xr3:uid="{E1E66A11-5AE7-A247-8CEE-3B0A20C982DB}" name="Colonna1"/>
    <tableColumn id="4" xr3:uid="{D3ACEED2-F98E-0C40-A018-545A7E5455C4}" name="Colonna2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8CDAE66-B755-5E48-8D79-912784C70CDE}" name="Tabella747" displayName="Tabella747" ref="B13:E27" totalsRowShown="0">
  <autoFilter ref="B13:E27" xr:uid="{096A9252-7B5C-6C4D-92A3-499458B7A069}">
    <filterColumn colId="0" hiddenButton="1"/>
    <filterColumn colId="1" hiddenButton="1"/>
    <filterColumn colId="2" hiddenButton="1"/>
    <filterColumn colId="3" hiddenButton="1"/>
  </autoFilter>
  <tableColumns count="4">
    <tableColumn id="1" xr3:uid="{379C9C86-0C7B-644E-B0B4-C74D7DDA9416}" name="Federal taxes"/>
    <tableColumn id="2" xr3:uid="{3F2F5228-BF8F-854B-8F96-3B23149C53C8}" name=" "/>
    <tableColumn id="3" xr3:uid="{87004048-3494-7840-8A7E-5634166113EA}" name="  "/>
    <tableColumn id="4" xr3:uid="{AE49C184-95B2-DE4C-B59A-C17606452492}" name="   "/>
  </tableColumns>
  <tableStyleInfo name="TableStyleLight1" showFirstColumn="0" showLastColumn="0" showRowStripes="0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92E4BEA3-897A-924E-B5B6-3D103378AE92}" name="Tabella848" displayName="Tabella848" ref="B74:F2219" headerRowCount="0" totalsRowCount="1" headerRowDxfId="222" dataDxfId="220" headerRowBorderDxfId="221" tableBorderDxfId="219">
  <tableColumns count="5">
    <tableColumn id="1" xr3:uid="{DCA763DE-EC07-5547-9EF1-B7D92AAF60D4}" name="Colonna1" headerRowDxfId="218" dataDxfId="217" totalsRowDxfId="216"/>
    <tableColumn id="2" xr3:uid="{5B129F9F-5B1C-4544-B773-1298378121B0}" name="Colonna2" headerRowDxfId="215" dataDxfId="214" totalsRowDxfId="213"/>
    <tableColumn id="3" xr3:uid="{3451E306-8C76-9A41-AC08-D42A98734969}" name="Colonna3" headerRowDxfId="212" dataDxfId="211" totalsRowDxfId="210"/>
    <tableColumn id="4" xr3:uid="{2D6FD0E8-2C28-A24A-829C-1DDDCE0F383F}" name="Colonna4" headerRowDxfId="209" dataDxfId="208" totalsRowDxfId="207"/>
    <tableColumn id="5" xr3:uid="{40B994CD-E555-3444-8C7E-B21F5436DA7F}" name="Colonna5" totalsRowFunction="custom" headerRowDxfId="206" dataDxfId="205" totalsRowDxfId="204">
      <totalsRowFormula>COUNTIFS(F76:F2218, "Name not found")</totalsRowFormula>
    </tableColumn>
  </tableColumns>
  <tableStyleInfo name="TableStyleLight1" showFirstColumn="0" showLastColumn="0" showRowStripes="0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BAC59D6-960C-C140-9D86-8B7B134970A5}" name="Tabella71149" displayName="Tabella71149" ref="K80:N97" totalsRowShown="0">
  <autoFilter ref="K80:N97" xr:uid="{E742E75D-98D9-CF40-A18C-DF741AC187BC}">
    <filterColumn colId="0" hiddenButton="1"/>
    <filterColumn colId="1" hiddenButton="1"/>
    <filterColumn colId="2" hiddenButton="1"/>
    <filterColumn colId="3" hiddenButton="1"/>
  </autoFilter>
  <tableColumns count="4">
    <tableColumn id="1" xr3:uid="{291932E7-6860-C842-B072-6C106E924148}" name="Ticino Cantonal Taxes"/>
    <tableColumn id="2" xr3:uid="{10FC7D52-225B-F641-AB1F-07C09CE0ABF8}" name=" "/>
    <tableColumn id="3" xr3:uid="{6A34A88B-4582-C749-88EB-6E4CC16E68FA}" name="  "/>
    <tableColumn id="4" xr3:uid="{43A3BF1E-F3CF-D243-B306-476F607FF881}" name="   "/>
  </tableColumns>
  <tableStyleInfo name="TableStyleLight1" showFirstColumn="0" showLastColumn="0" showRowStripes="0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B73A840-5B9D-BF4F-B1D8-8B9E0DD2222C}" name="Tabella7111250" displayName="Tabella7111250" ref="K99:N116" totalsRowShown="0">
  <autoFilter ref="K99:N116" xr:uid="{9CFE4967-727D-2341-AB80-00A03A0A2942}"/>
  <tableColumns count="4">
    <tableColumn id="1" xr3:uid="{969F2510-C9A2-0B4E-B6C0-16F58C445C19}" name="Zurich Cantonal Taxes"/>
    <tableColumn id="2" xr3:uid="{13A47758-9810-4747-AFBA-2BCF36EEA2C0}" name=" "/>
    <tableColumn id="3" xr3:uid="{035ABE2C-E2A0-EA47-9667-CB3B52384531}" name="  "/>
    <tableColumn id="4" xr3:uid="{4D6CE893-716E-BC46-9784-5262287A1EF1}" name="   "/>
  </tableColumns>
  <tableStyleInfo name="TableStyleLight1" showFirstColumn="0" showLastColumn="0" showRowStripes="0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C4C35E6-F69B-7F4F-98C6-4B7D1D437DA0}" name="Tabella951" displayName="Tabella951" ref="B2230:C7994" totalsRowShown="0" headerRowDxfId="203" headerRowBorderDxfId="202" tableBorderDxfId="201">
  <autoFilter ref="B2230:C7994" xr:uid="{08F3FDD8-00E1-514D-A39F-D27D3F45394C}"/>
  <tableColumns count="2">
    <tableColumn id="1" xr3:uid="{ACDBF5C1-BA13-7742-8823-8ED2D5D29E85}" name="Ortschaftsname" dataDxfId="200"/>
    <tableColumn id="2" xr3:uid="{103F6871-49FE-7C4F-AC47-07F694FA912F}" name="PLZ" dataDxfId="199"/>
  </tableColumns>
  <tableStyleInfo name="TableStyleLight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E848472-B48C-ED48-9967-DE00849DFAFE}" name="Tabella711121352" displayName="Tabella711121352" ref="K118:N135" totalsRowShown="0">
  <autoFilter ref="K118:N135" xr:uid="{BD82065A-2DC5-0C4B-AFAF-9997CABC36C9}"/>
  <tableColumns count="4">
    <tableColumn id="1" xr3:uid="{722E73C9-7926-5B48-A688-00E9DFECAE44}" name="St. Gallen Cantonal Taxes"/>
    <tableColumn id="2" xr3:uid="{8411DE1F-01F9-DF46-899B-A5436EB4B804}" name=" "/>
    <tableColumn id="3" xr3:uid="{DF64CFF2-3B35-3049-AE6F-26EB514CCB91}" name="  "/>
    <tableColumn id="4" xr3:uid="{8989B789-A8C7-4343-AF82-B99DC75A4092}" name="   "/>
  </tableColumns>
  <tableStyleInfo name="TableStyleLight1" showFirstColumn="0" showLastColumn="0" showRowStripes="0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9898D0E2-2EBA-7248-A545-A2FE75A08487}" name="Tabella1353" displayName="Tabella1353" ref="W4:AX65" totalsRowShown="0" headerRowDxfId="198" dataDxfId="196" headerRowBorderDxfId="197" tableBorderDxfId="195">
  <autoFilter ref="W4:AX65" xr:uid="{439D1097-F293-6044-A848-5B131BB729C0}"/>
  <tableColumns count="28">
    <tableColumn id="1" xr3:uid="{57FA9641-0270-6F4A-BD6D-8F1D5DF9ACB7}" name="Taxable salary" dataDxfId="194">
      <calculatedColumnFormula>Tabella245[[#This Row],[Taxable salary]]</calculatedColumnFormula>
    </tableColumn>
    <tableColumn id="2" xr3:uid="{DAD334C0-D67C-7B48-AE21-D9DD5AA19CE8}" name="TI" dataDxfId="193">
      <calculatedColumnFormula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calculatedColumnFormula>
    </tableColumn>
    <tableColumn id="3" xr3:uid="{E884CC2B-0FD3-8442-8D9C-F954A4B5A3AB}" name="ZH" dataDxfId="192">
      <calculatedColumnFormula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calculatedColumnFormula>
    </tableColumn>
    <tableColumn id="4" xr3:uid="{F8EDE5FD-C5E9-664A-B5B3-54E7152B3B7C}" name="SG" dataDxfId="191">
      <calculatedColumnFormula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calculatedColumnFormula>
    </tableColumn>
    <tableColumn id="5" xr3:uid="{A58E98B9-66BA-0844-9393-914448B7FE35}" name="ZG" dataDxfId="190">
      <calculatedColumnFormula>IF(Tabella1353[[#This Row],[Taxable salary]]&lt;$L$140,$M$139+((Tabella1353[[#This Row],[Taxable salary]]-$L$139)/100)*$N$139, IF(Tabella1353[[#This Row],[Taxable salary]]&lt;$L$141,M140+((Tabella1353[[#This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calculatedColumnFormula>
    </tableColumn>
    <tableColumn id="6" xr3:uid="{DF2ED4EA-8403-364E-AE17-66A72BAFC361}" name="BE" dataDxfId="189">
      <calculatedColumnFormula>IF(Tabella1353[[#This Row],[Taxable salary]]&lt;$L$159,Tabella1353[[#This Row],[Taxable salary]]*M158,IF(Tabella1353[[#This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calculatedColumnFormula>
    </tableColumn>
    <tableColumn id="7" xr3:uid="{9AED0F26-E385-DC4B-98DF-364CFB8D8088}" name="SZ" dataDxfId="188">
      <calculatedColumnFormula>IF(Tabella1353[[#This Row],[Taxable salary]]&lt;$L$178,Tabella1353[[#This Row],[Taxable salary]]*M177,IF(Tabella1353[[#This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salary]]&gt;L194,Tabella1353[[#This Row],[Taxable salary]]*$M$194))))))))))))))))))</calculatedColumnFormula>
    </tableColumn>
    <tableColumn id="8" xr3:uid="{D135C6E4-2A79-5E44-9337-A00C110A0050}" name="GR" dataDxfId="187">
      <calculatedColumnFormula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calculatedColumnFormula>
    </tableColumn>
    <tableColumn id="9" xr3:uid="{F16A9042-04D4-9643-8A2E-0DD45E8F3054}" name="GE" dataDxfId="186">
      <calculatedColumnFormula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calculatedColumnFormula>
    </tableColumn>
    <tableColumn id="10" xr3:uid="{1CE95751-97F9-334D-B181-52899E288FFF}" name="AG" dataDxfId="185">
      <calculatedColumnFormula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calculatedColumnFormula>
    </tableColumn>
    <tableColumn id="11" xr3:uid="{7CC0E369-6B94-0342-B960-56C0F3C23032}" name="AI" dataDxfId="184">
      <calculatedColumnFormula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calculatedColumnFormula>
    </tableColumn>
    <tableColumn id="12" xr3:uid="{6E2F6E1F-19AB-EB47-8B54-A8F0C89D0020}" name="AR" dataDxfId="183">
      <calculatedColumnFormula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salary]]*M302))))))))))))</calculatedColumnFormula>
    </tableColumn>
    <tableColumn id="13" xr3:uid="{76E234A4-CF02-1846-BAE8-C7721FDCCA9F}" name="BL" dataDxfId="182">
      <calculatedColumnFormula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calculatedColumnFormula>
    </tableColumn>
    <tableColumn id="16" xr3:uid="{9682C748-28A7-5944-A3FD-7E5346A85E46}" name="BS" dataDxfId="181">
      <calculatedColumnFormula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calculatedColumnFormula>
    </tableColumn>
    <tableColumn id="14" xr3:uid="{32FE2E20-D00E-F040-B041-EC20C354521E}" name="FR" dataDxfId="180">
      <calculatedColumnFormula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calculatedColumnFormula>
    </tableColumn>
    <tableColumn id="15" xr3:uid="{B1A84EFA-8C35-8444-BFF8-303171A38D7B}" name="GL" dataDxfId="179">
      <calculatedColumnFormula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calculatedColumnFormula>
    </tableColumn>
    <tableColumn id="17" xr3:uid="{D6350D8A-58E4-A144-BB61-205BE8F28F13}" name="JU" dataDxfId="178">
      <calculatedColumnFormula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calculatedColumnFormula>
    </tableColumn>
    <tableColumn id="18" xr3:uid="{ABD46681-E7A8-8447-9EED-B7BCC7FEEFD3}" name="LU" dataDxfId="177">
      <calculatedColumnFormula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calculatedColumnFormula>
    </tableColumn>
    <tableColumn id="19" xr3:uid="{15E918D9-35A1-A543-9E26-3DB6CD67DE61}" name="NE" dataDxfId="176">
      <calculatedColumnFormula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calculatedColumnFormula>
    </tableColumn>
    <tableColumn id="20" xr3:uid="{B590AD56-B02F-6B47-8999-B4442BB4769B}" name="NW" dataDxfId="175">
      <calculatedColumnFormula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calculatedColumnFormula>
    </tableColumn>
    <tableColumn id="21" xr3:uid="{5CA7FFBD-A461-A845-B6D9-B3456DFB37F5}" name="OW" dataDxfId="174">
      <calculatedColumnFormula>Tabella1353[[#This Row],[Taxable salary]]*$M$501</calculatedColumnFormula>
    </tableColumn>
    <tableColumn id="22" xr3:uid="{5F9744E6-0208-7A4E-B685-FEAC3D22AE45}" name="SH" dataDxfId="173">
      <calculatedColumnFormula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calculatedColumnFormula>
    </tableColumn>
    <tableColumn id="23" xr3:uid="{445A904D-9DA8-6D4F-B992-028368A58308}" name="SO" dataDxfId="172">
      <calculatedColumnFormula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calculatedColumnFormula>
    </tableColumn>
    <tableColumn id="24" xr3:uid="{E5F5D265-491B-154E-9CD1-44F77728FFE0}" name="TG" dataDxfId="171">
      <calculatedColumnFormula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calculatedColumnFormula>
    </tableColumn>
    <tableColumn id="25" xr3:uid="{3DDFB1C3-751E-CF4B-8F18-650671C30EEB}" name="UR" dataDxfId="170">
      <calculatedColumnFormula>Tabella1353[[#This Row],[Taxable salary]]*$M$604</calculatedColumnFormula>
    </tableColumn>
    <tableColumn id="26" xr3:uid="{FD415FC4-71AB-C74E-AB11-840E0560B7FE}" name="VD" dataDxfId="169">
      <calculatedColumnFormula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calculatedColumnFormula>
    </tableColumn>
    <tableColumn id="27" xr3:uid="{2DC3BE06-E0A2-DE47-80E4-D0BC67943838}" name="VS Canton" dataDxfId="168">
      <calculatedColumnFormula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salary]]*M651)))))))))))))</calculatedColumnFormula>
    </tableColumn>
    <tableColumn id="28" xr3:uid="{4000FFF8-9CA8-E646-BAEF-C55E46977480}" name="VS commun" dataDxfId="167">
      <calculatedColumnFormula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calculatedColumnFormula>
    </tableColumn>
  </tableColumns>
  <tableStyleInfo name="TableStyleLight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17CCD51-C7FC-9247-BE14-BBEBBA46BADD}" name="Tabella7111654" displayName="Tabella7111654" ref="K137:N154" totalsRowShown="0">
  <autoFilter ref="K137:N154" xr:uid="{0779ED57-FC19-564A-ADD2-8BBCA42E1ABA}"/>
  <tableColumns count="4">
    <tableColumn id="1" xr3:uid="{56E41F49-26C7-7E40-B752-0C5E8345D961}" name="Zug Cantonal taxes"/>
    <tableColumn id="2" xr3:uid="{ECCA5B3E-4672-B148-8A60-91161852EE9D}" name=" "/>
    <tableColumn id="3" xr3:uid="{541E45EE-9DB1-E54D-958A-9BAAC6554D29}" name="  "/>
    <tableColumn id="4" xr3:uid="{945A6D44-1294-4F42-B385-697D1198C7FA}" name="   "/>
  </tableColumns>
  <tableStyleInfo name="TableStyleLight1" showFirstColumn="0" showLastColumn="0" showRowStripes="0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5514139-8ADB-174F-A01C-DC1A1A87A382}" name="Tabella71112131755" displayName="Tabella71112131755" ref="K156:N173" totalsRowShown="0">
  <autoFilter ref="K156:N173" xr:uid="{4BE0AC86-FD39-1547-AAE0-1A0A7154E5DA}"/>
  <tableColumns count="4">
    <tableColumn id="1" xr3:uid="{08E726FA-43E6-BA4B-BD9D-D0D8EBF2ACC9}" name="Bern Cantonal Taxes"/>
    <tableColumn id="2" xr3:uid="{4C956681-38A1-5E43-9049-334910E2DE86}" name=" "/>
    <tableColumn id="3" xr3:uid="{1D336B46-5A46-544B-8078-D936EF358D04}" name="  "/>
    <tableColumn id="4" xr3:uid="{AA67BCE3-F48A-3F41-8A69-1364C2FB3870}" name="   "/>
  </tableColumns>
  <tableStyleInfo name="TableStyleLight1" showFirstColumn="0" showLastColumn="0" showRowStripes="0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B661072-7EED-F84A-9046-1A9B38D3D711}" name="Tabella7111213171856" displayName="Tabella7111213171856" ref="K175:N195" totalsRowShown="0">
  <autoFilter ref="K175:N195" xr:uid="{0F1E4202-D333-FE4E-8686-0A27DCBE67CF}"/>
  <tableColumns count="4">
    <tableColumn id="1" xr3:uid="{6C34D191-18C6-D34B-9AE4-76DE293C32D5}" name="Schwiz Cantonal Taxes"/>
    <tableColumn id="2" xr3:uid="{E8C90805-1E4F-9C4A-87DF-DD736F7A613F}" name=" "/>
    <tableColumn id="3" xr3:uid="{9D0516F2-A034-3242-BF25-DFA9E5088E86}" name="  "/>
    <tableColumn id="4" xr3:uid="{B358D3EB-003B-1746-818D-5A117AFF683A}" name="   "/>
  </tableColumns>
  <tableStyleInfo name="TableStyleLight1" showFirstColumn="0" showLastColumn="0" showRowStripes="0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A24C5EA-18B2-F046-A266-F742A7F2FA73}" name="Tabella7111957" displayName="Tabella7111957" ref="K197:N219" totalsRowShown="0">
  <autoFilter ref="K197:N219" xr:uid="{F1BCCFF3-1456-2743-8253-18EC8A665FDF}"/>
  <tableColumns count="4">
    <tableColumn id="1" xr3:uid="{F3979205-1748-5747-949B-28EC629D6EBC}" name="GR Cantonal Taxes"/>
    <tableColumn id="2" xr3:uid="{678EE893-D054-E741-9390-675B8B0E11AD}" name=" "/>
    <tableColumn id="3" xr3:uid="{A1BFA3EC-CAE8-5B46-96DB-639104B14064}" name="  "/>
    <tableColumn id="4" xr3:uid="{37AAC09A-8212-B04B-8C92-F0EDBD49EDCB}" name="   "/>
  </tableColumns>
  <tableStyleInfo name="TableStyleLight1" showFirstColumn="0" showLastColumn="0" showRowStripes="0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467626DA-5AEC-BA46-95DC-D20CBC427FFA}" name="Tabella711191558" displayName="Tabella711191558" ref="K221:N243" totalsRowShown="0">
  <autoFilter ref="K221:N243" xr:uid="{5269CD72-6DCC-AA4D-BB8E-98BA21A76CBB}"/>
  <tableColumns count="4">
    <tableColumn id="1" xr3:uid="{C78B5279-A41C-C244-AD5D-0837335218C7}" name="GE Cantonal Taxes"/>
    <tableColumn id="2" xr3:uid="{D9B67A94-5BE6-CF4C-A84F-DDC28C33D3E0}" name=" "/>
    <tableColumn id="3" xr3:uid="{2314DD21-DEF8-A545-B5EA-9266351B7CFA}" name="  "/>
    <tableColumn id="4" xr3:uid="{873544F4-7F05-E648-B6BB-A45A45E599EB}" name="   "/>
  </tableColumns>
  <tableStyleInfo name="TableStyleLight1" showFirstColumn="0" showLastColumn="0" showRowStripes="0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B5A2441-0904-8948-9F71-7A3DF58EE175}" name="Tabella711121317182059" displayName="Tabella711121317182059" ref="K245:N265" totalsRowShown="0">
  <autoFilter ref="K245:N265" xr:uid="{91EDA098-03CA-354F-842C-B5D247D9A527}"/>
  <tableColumns count="4">
    <tableColumn id="1" xr3:uid="{E251F1FC-393D-E442-8F48-F8513CAAB001}" name="AG Cantonal Taxes"/>
    <tableColumn id="2" xr3:uid="{29A14DF3-C083-4F49-B8FE-D8FC8B033509}" name=" "/>
    <tableColumn id="3" xr3:uid="{D9387A6A-E9E5-D845-A088-42DC0D80B716}" name="  "/>
    <tableColumn id="4" xr3:uid="{B7AA5BD4-62C6-9E44-BA79-B559B520C5D2}" name="   "/>
  </tableColumns>
  <tableStyleInfo name="TableStyleLight1" showFirstColumn="0" showLastColumn="0" showRowStripes="0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9A2FDA2-B440-8941-BB47-68C660E22BAF}" name="Tabella711121317182160" displayName="Tabella711121317182160" ref="K267:N287" totalsRowShown="0">
  <autoFilter ref="K267:N287" xr:uid="{63E7A1C9-14E0-1D43-88F8-BCEE882FE22F}"/>
  <tableColumns count="4">
    <tableColumn id="1" xr3:uid="{F0058622-D776-C444-957C-8809177BBFD8}" name="AI Cantonal Taxes"/>
    <tableColumn id="2" xr3:uid="{29F35C88-3D03-024D-9036-419262A352FC}" name=" "/>
    <tableColumn id="3" xr3:uid="{5F6FEADB-EE8D-0B4A-A3E3-AC93BCAB6E70}" name="  "/>
    <tableColumn id="4" xr3:uid="{35083E54-D812-5B4A-8BCE-D12FD11E2E73}" name="   "/>
  </tableColumns>
  <tableStyleInfo name="TableStyleLight1" showFirstColumn="0" showLastColumn="0" showRowStripes="0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2D4D1E0-AB1B-C945-95C4-4DFAB9461B49}" name="Tabella71112131718212261" displayName="Tabella71112131718212261" ref="K289:N309" totalsRowShown="0">
  <autoFilter ref="K289:N309" xr:uid="{75B1D80F-7689-C74F-B319-533166BF9DBF}"/>
  <tableColumns count="4">
    <tableColumn id="1" xr3:uid="{9A963C54-0150-424B-9B77-75329336CFB8}" name="AR Cantonal Taxes"/>
    <tableColumn id="2" xr3:uid="{0DC26E14-1FFC-D64C-86E6-06BDA7FE565C}" name=" "/>
    <tableColumn id="3" xr3:uid="{17A13690-1CDB-194F-9880-F4072F0AFA50}" name="  "/>
    <tableColumn id="4" xr3:uid="{60AA3734-CD0D-3849-BE0D-1650DEC913E8}" name="   "/>
  </tableColumns>
  <tableStyleInfo name="TableStyleLight1" showFirstColumn="0" showLastColumn="0" showRowStripes="0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7235FAF-1E78-324E-AB12-A17FA7C2FE9A}" name="Tabella7111213171821222362" displayName="Tabella7111213171821222362" ref="K311:O331" totalsRowShown="0">
  <autoFilter ref="K311:O331" xr:uid="{0E0040B2-1A33-AD40-BB29-D7BE0BB274CB}"/>
  <tableColumns count="5">
    <tableColumn id="1" xr3:uid="{A81A8EC4-6B45-0E42-A147-7225FF66EFCB}" name="BL Cantonal Taxes"/>
    <tableColumn id="2" xr3:uid="{A2334C58-A937-D544-8D89-2065C8F10F65}" name=" "/>
    <tableColumn id="3" xr3:uid="{FB85387B-508C-0F44-ADF7-8CE14D2A15CD}" name="  "/>
    <tableColumn id="4" xr3:uid="{7DBCAB3D-2CCC-9740-8CB8-868ED02476D1}" name="   "/>
    <tableColumn id="5" xr3:uid="{DDEAE15B-EDC1-244F-A14C-A9D489639B0D}" name="Colonna1" dataDxfId="166"/>
  </tableColumns>
  <tableStyleInfo name="TableStyleLight1" showFirstColumn="0" showLastColumn="0" showRowStripes="0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C997BDE3-5C71-7445-881F-F25A830F5E4D}" name="Tabella7112463" displayName="Tabella7112463" ref="K333:N350" totalsRowShown="0">
  <autoFilter ref="K333:N350" xr:uid="{5EEFA151-F1B3-7F49-ADE4-E678F37F8361}"/>
  <tableColumns count="4">
    <tableColumn id="1" xr3:uid="{AE039981-2C5B-2747-9EBF-64B6F5C1D32B}" name="BS Cantonal Taxes"/>
    <tableColumn id="2" xr3:uid="{8D8D22A8-5ADC-3447-8233-D9D2B4B4878B}" name=" "/>
    <tableColumn id="3" xr3:uid="{92E52855-E798-9E48-AD55-515141469E97}" name="  "/>
    <tableColumn id="4" xr3:uid="{82D8708D-1E8F-664F-BAB3-70C1B621B3A8}" name="   "/>
  </tableColumns>
  <tableStyleInfo name="TableStyleLight1" showFirstColumn="0" showLastColumn="0" showRowStripes="0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904076F3-FFE3-4444-B549-2B226168A9AE}" name="Tabella7111213171821222564" displayName="Tabella7111213171821222564" ref="K352:N372" totalsRowShown="0">
  <autoFilter ref="K352:N372" xr:uid="{3F23816F-3A9C-4A4F-BCEE-98FF74CFC617}"/>
  <tableColumns count="4">
    <tableColumn id="1" xr3:uid="{C0BE4E9F-B7C3-AD4C-B923-F8CAFCE9F107}" name="FR Cantonal Taxes"/>
    <tableColumn id="2" xr3:uid="{CE98F087-BE65-294E-A826-EF0DB422AF65}" name=" "/>
    <tableColumn id="3" xr3:uid="{7475D7E4-4C18-E144-8E1D-5CCBA58FB98A}" name="  "/>
    <tableColumn id="4" xr3:uid="{EE196C7D-B10B-1D4F-BD61-532700E6FEF5}" name="   "/>
  </tableColumns>
  <tableStyleInfo name="TableStyleLight1" showFirstColumn="0" showLastColumn="0" showRowStripes="0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46B4F63-88EA-D34B-8B17-20B54B7F8EA9}" name="Tabella71119152665" displayName="Tabella71119152665" ref="K374:N396" totalsRowShown="0">
  <autoFilter ref="K374:N396" xr:uid="{E1996DCD-AB9D-7C45-92D5-25DA51E9787E}"/>
  <tableColumns count="4">
    <tableColumn id="1" xr3:uid="{0BA9C9EB-0B78-DE43-BBD0-A9A1301F085E}" name="GL Cantonal Taxes"/>
    <tableColumn id="2" xr3:uid="{3E4AED12-87E4-8041-A3E9-31F8EACECF3D}" name=" "/>
    <tableColumn id="3" xr3:uid="{99DD489E-D76B-8D41-81C0-F152526B1B69}" name="  "/>
    <tableColumn id="4" xr3:uid="{C245BC31-EE26-CF40-833A-1AB88DAFABA9}" name="   "/>
  </tableColumns>
  <tableStyleInfo name="TableStyleLight1" showFirstColumn="0" showLastColumn="0" showRowStripes="0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602533F3-607F-1F41-B7C8-7712D2AE9C6B}" name="Tabella7111213171821222766" displayName="Tabella7111213171821222766" ref="K398:N418" totalsRowShown="0">
  <autoFilter ref="K398:N418" xr:uid="{777520B0-5556-F642-B9A8-97775648CBB8}"/>
  <tableColumns count="4">
    <tableColumn id="1" xr3:uid="{B24701DF-B0D3-3C40-91F1-52C66339093F}" name="JU Cantonal Taxes"/>
    <tableColumn id="2" xr3:uid="{B87D3285-3710-F64F-910B-C3D1DB230195}" name=" "/>
    <tableColumn id="3" xr3:uid="{3CE65E8A-6D55-754B-A53F-C55A13C64C9B}" name="  "/>
    <tableColumn id="4" xr3:uid="{779820C5-6D48-1C43-9231-8B2ACC9A0191}" name="   "/>
  </tableColumns>
  <tableStyleInfo name="TableStyleLight1" showFirstColumn="0" showLastColumn="0" showRowStripes="0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ED282F4-7FB5-9243-A1A2-28408427C1AF}" name="Tabella71119152867" displayName="Tabella71119152867" ref="K420:N442" totalsRowShown="0">
  <autoFilter ref="K420:N442" xr:uid="{F599DFA7-B158-C346-9D9C-36BF11081440}"/>
  <tableColumns count="4">
    <tableColumn id="1" xr3:uid="{1C266531-59F0-DB4F-9554-476742A0F214}" name="LU Cantonal Taxes"/>
    <tableColumn id="2" xr3:uid="{F99F8590-AB51-2542-8F56-CAA03547B2BD}" name=" "/>
    <tableColumn id="3" xr3:uid="{1BAF28D3-B952-9442-9DB6-CFFF95E513DC}" name="  "/>
    <tableColumn id="4" xr3:uid="{C27D7CCF-AC7C-8F47-9FB6-AF6BA8F9109C}" name="   "/>
  </tableColumns>
  <tableStyleInfo name="TableStyleLight1" showFirstColumn="0" showLastColumn="0" showRowStripes="0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703AC29D-075A-C745-A9BA-D199472466BF}" name="Tabella711192968" displayName="Tabella711192968" ref="K444:N472" totalsRowShown="0">
  <autoFilter ref="K444:N472" xr:uid="{869C3BF8-972E-5846-A8FE-1C2636E5A688}"/>
  <tableColumns count="4">
    <tableColumn id="1" xr3:uid="{167D2071-02BF-DF47-BCE5-FBA23C54724E}" name="NE Cantonal Taxes"/>
    <tableColumn id="2" xr3:uid="{503A0096-3BF0-5D40-8129-5D981B1A6E17}" name=" "/>
    <tableColumn id="3" xr3:uid="{BA6A20AE-80AF-5D44-A835-0C03E759CC74}" name="  "/>
    <tableColumn id="4" xr3:uid="{817929F8-803B-A94E-96A8-8A6E2132D660}" name="   "/>
  </tableColumns>
  <tableStyleInfo name="TableStyleLight1" showFirstColumn="0" showLastColumn="0" showRowStripes="0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22D0176-F8A9-5145-9156-D15994E78C5F}" name="Tabella711121317182122273069" displayName="Tabella711121317182122273069" ref="K474:N497" totalsRowShown="0">
  <autoFilter ref="K474:N497" xr:uid="{99F221D9-227E-FF4A-935F-05D8840962AB}"/>
  <tableColumns count="4">
    <tableColumn id="1" xr3:uid="{A5AF9370-2CC6-9749-A135-D8DDEADA8C3E}" name="NW Cantonal Taxes"/>
    <tableColumn id="2" xr3:uid="{D813EE0F-5437-6844-A759-7164153DCDFC}" name=" "/>
    <tableColumn id="3" xr3:uid="{D9F20735-FC67-C64A-AC2D-185786E0486C}" name="  "/>
    <tableColumn id="4" xr3:uid="{E2DC016D-1E01-F841-88B4-E7992A092781}" name="   "/>
  </tableColumns>
  <tableStyleInfo name="TableStyleLight1" showFirstColumn="0" showLastColumn="0" showRowStripes="0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71940B6-656E-C240-A4F2-639896CACA2D}" name="Tabella71112131718212227303170" displayName="Tabella71112131718212227303170" ref="K499:N522" totalsRowShown="0">
  <autoFilter ref="K499:N522" xr:uid="{15F406D6-074B-5A43-8972-3CF561983638}"/>
  <tableColumns count="4">
    <tableColumn id="1" xr3:uid="{09DB297E-3B6E-A647-BEBF-3237744B5D43}" name="OW Cantonal Taxes"/>
    <tableColumn id="2" xr3:uid="{04872E43-1905-2F4E-9AAE-5D9541727AA1}" name=" "/>
    <tableColumn id="3" xr3:uid="{0EBDE7F4-ED0D-2A4A-8F3F-18B73AE5D689}" name="  "/>
    <tableColumn id="4" xr3:uid="{FC81CA45-7A61-2C4E-A056-C5E88548353E}" name="   "/>
  </tableColumns>
  <tableStyleInfo name="TableStyleLight1" showFirstColumn="0" showLastColumn="0" showRowStripes="0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4EA80008-CF3F-8140-9C7B-4C1F63623057}" name="Tabella71119293271" displayName="Tabella71119293271" ref="K524:N552" totalsRowShown="0">
  <autoFilter ref="K524:N552" xr:uid="{D904FD36-E359-154A-83B2-0A319FA7CE9A}"/>
  <tableColumns count="4">
    <tableColumn id="1" xr3:uid="{FF52EF46-D71E-B043-A739-07D7C6EF19F9}" name="SH Cantonal Taxes"/>
    <tableColumn id="2" xr3:uid="{69ECD5F2-9A30-4F46-8D22-AA1049F6F1DF}" name=" "/>
    <tableColumn id="3" xr3:uid="{877B58B1-DC4A-C04B-AF06-CA2DE1E4E034}" name="  "/>
    <tableColumn id="4" xr3:uid="{2311499A-34A8-5A4C-87F3-E90D8CB6E90D}" name="   "/>
  </tableColumns>
  <tableStyleInfo name="TableStyleLight1" showFirstColumn="0" showLastColumn="0" showRowStripes="0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9ACEE7F-B430-EB42-953B-8F2056541296}" name="Tabella7111915283372" displayName="Tabella7111915283372" ref="K554:N576" totalsRowShown="0">
  <autoFilter ref="K554:N576" xr:uid="{7CE53F4E-5BF5-334A-B4BC-97B74394EACE}"/>
  <tableColumns count="4">
    <tableColumn id="1" xr3:uid="{540AFC01-EE64-CE4E-BFE8-6CBA453B2E51}" name="SO Cantonal Taxes"/>
    <tableColumn id="2" xr3:uid="{DCFD64BE-11A8-0045-9FE3-B3E783574832}" name=" "/>
    <tableColumn id="3" xr3:uid="{EF52CA63-A7EF-8248-AE25-C1CA330C1B89}" name="  "/>
    <tableColumn id="4" xr3:uid="{61408016-5EC0-F949-A302-DFF44AE7B713}" name="   "/>
  </tableColumns>
  <tableStyleInfo name="TableStyleLight1" showFirstColumn="0" showLastColumn="0" showRowStripes="0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66A1086-896B-074E-9C91-3737B3DE05BB}" name="Tabella711191528333473" displayName="Tabella711191528333473" ref="K578:N600" totalsRowShown="0">
  <autoFilter ref="K578:N600" xr:uid="{A8E1CAC9-D283-1B4C-8F3C-23B68196DC61}"/>
  <tableColumns count="4">
    <tableColumn id="1" xr3:uid="{79C5C5A8-16CF-DC40-8D3B-46DF682B71EF}" name="TG Cantonal Taxes"/>
    <tableColumn id="2" xr3:uid="{00DF298B-E4D4-A141-93DB-1AD4075C962C}" name=" "/>
    <tableColumn id="3" xr3:uid="{A3A47055-1563-554D-8D15-99301B61EB66}" name="  "/>
    <tableColumn id="4" xr3:uid="{BFB44189-FDFA-4B44-A8EF-D9B0007767CA}" name="   "/>
  </tableColumns>
  <tableStyleInfo name="TableStyleLight1" showFirstColumn="0" showLastColumn="0" showRowStripes="0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CBB1229-33AD-7F41-BF3C-43C075586638}" name="Tabella7111213171821222730313574" displayName="Tabella7111213171821222730313574" ref="K602:N610" totalsRowShown="0">
  <autoFilter ref="K602:N610" xr:uid="{3D691287-71A5-9E4A-9787-86F607BB52B5}"/>
  <tableColumns count="4">
    <tableColumn id="1" xr3:uid="{8CED71E8-F856-1A44-913B-DB9B3A7D5F7D}" name="OW Cantonal Taxes"/>
    <tableColumn id="2" xr3:uid="{C864EE01-BE01-EB4E-B4F6-F2FA29C5685C}" name=" "/>
    <tableColumn id="3" xr3:uid="{A4C633F3-5193-6F42-BEA5-738629AE5930}" name="  "/>
    <tableColumn id="4" xr3:uid="{926B981E-BD16-034E-BCC6-3811D84A47CE}" name="   "/>
  </tableColumns>
  <tableStyleInfo name="TableStyleLight1" showFirstColumn="0" showLastColumn="0" showRowStripes="0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EAA27A56-9E4F-494C-8869-4344C84DC565}" name="Tabella71119293675" displayName="Tabella71119293675" ref="K612:N635" totalsRowShown="0">
  <autoFilter ref="K612:N635" xr:uid="{A79CAA39-E003-E542-8990-0935A3B2D70E}"/>
  <tableColumns count="4">
    <tableColumn id="1" xr3:uid="{5B862C50-F148-494D-98B2-909A206B7E93}" name="NE Cantonal Taxes"/>
    <tableColumn id="2" xr3:uid="{280764E2-532C-9241-BCB2-698238CD0A90}" name=" "/>
    <tableColumn id="3" xr3:uid="{7DAED21D-7913-4449-83EC-90A1D00662E3}" name="  "/>
    <tableColumn id="4" xr3:uid="{EF0EC409-E773-AD42-946A-0D5733DFD815}" name="   "/>
  </tableColumns>
  <tableStyleInfo name="TableStyleLight1" showFirstColumn="0" showLastColumn="0" showRowStripes="0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69DD92B4-268E-F146-9109-19DB2AB0781F}" name="Tabella71112131718212227303776" displayName="Tabella71112131718212227303776" ref="K637:N654" totalsRowShown="0">
  <autoFilter ref="K637:N654" xr:uid="{937B3609-E9D9-5F4A-ADFA-D70E3F738C54}"/>
  <tableColumns count="4">
    <tableColumn id="1" xr3:uid="{D6090446-BCEB-F140-9598-9331A2584F3F}" name="VS Cantonal Taxes"/>
    <tableColumn id="2" xr3:uid="{E579DB12-63EF-1F4D-BEEE-E78CEC80B983}" name=" "/>
    <tableColumn id="3" xr3:uid="{44E1925F-AA89-4645-A8F1-64254F152A90}" name="  "/>
    <tableColumn id="4" xr3:uid="{574ABB00-EB96-D949-B7B9-FD650098EE35}" name="   "/>
  </tableColumns>
  <tableStyleInfo name="TableStyleLight1" showFirstColumn="0" showLastColumn="0" showRowStripes="0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E6915E70-CA10-2B40-B3BC-EBB5A0FF9871}" name="Tabella7111213171821222730374477" displayName="Tabella7111213171821222730374477" ref="K657:N674" totalsRowShown="0">
  <autoFilter ref="K657:N674" xr:uid="{20F84025-6588-ED42-9E81-43F76F09A1D4}"/>
  <tableColumns count="4">
    <tableColumn id="1" xr3:uid="{59ED86EA-067B-414D-9F43-456F47E7C519}" name="VS Commun Taxes"/>
    <tableColumn id="2" xr3:uid="{378EA663-7807-5546-B75A-75527366219D}" name=" "/>
    <tableColumn id="3" xr3:uid="{20963F05-552F-0542-B5AB-669037926894}" name="  "/>
    <tableColumn id="4" xr3:uid="{82E260DA-7976-2C4D-A6CA-AB2BD8523F6D}" name="   "/>
  </tableColumns>
  <tableStyleInfo name="TableStyleLight1" showFirstColumn="0" showLastColumn="0" showRowStripes="0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2A1572B-0A95-7F49-8C3B-837C66D4BEC5}" name="Tabella37" displayName="Tabella37" ref="F17:M60" totalsRowShown="0" headerRowDxfId="165" tableBorderDxfId="164">
  <autoFilter ref="F17:M60" xr:uid="{E2A1572B-0A95-7F49-8C3B-837C66D4BEC5}"/>
  <tableColumns count="8">
    <tableColumn id="1" xr3:uid="{AB9C2E4E-2D0C-8F4E-AC05-DB8251E2959D}" name="Age">
      <calculatedColumnFormula>IFERROR(IF(F17+1&lt;=$C$21,F17+1,""),"")</calculatedColumnFormula>
    </tableColumn>
    <tableColumn id="2" xr3:uid="{70F9EEA7-8D02-6146-97C6-1335F43354C9}" name="Year">
      <calculatedColumnFormula>IFERROR(IF(F18&lt;=$C$21,G17+1,""),"")</calculatedColumnFormula>
    </tableColumn>
    <tableColumn id="3" xr3:uid="{A7C4C076-5C99-D748-A4D6-C89DAAB96201}" name="Investment years">
      <calculatedColumnFormula>IFERROR(F18-$F$18,"")</calculatedColumnFormula>
    </tableColumn>
    <tableColumn id="4" xr3:uid="{C50837F5-0DC1-D74D-B54B-EF84D3C15606}" name="Saving accoount" dataDxfId="163">
      <calculatedColumnFormula>IF(F18&lt;=$C$21,-FV(Investments!$E$5/12,'Luxus '!H18*12,'Luxus '!$C$27,0,1),"")</calculatedColumnFormula>
    </tableColumn>
    <tableColumn id="5" xr3:uid="{F3D95982-71BC-5D46-A8E6-947F153C6992}" name="Worst scenario" dataDxfId="162">
      <calculatedColumnFormula>IF(F18&lt;=$C$21,-FV($C$31/12,H18*12,$C$27,0,1),"")</calculatedColumnFormula>
    </tableColumn>
    <tableColumn id="6" xr3:uid="{EA6CC800-3145-124E-A7E5-15F789B455B9}" name="Expected capital" dataDxfId="161">
      <calculatedColumnFormula>IF(F18&lt;=$C$21,-FV($C$25/12,H18*12,$C$27,0,1),"")</calculatedColumnFormula>
    </tableColumn>
    <tableColumn id="7" xr3:uid="{D6D2477C-546E-8442-8736-7670FC89674B}" name="Better scenario" dataDxfId="160">
      <calculatedColumnFormula>IF(F18&lt;=$C$21,-FV($C$34/12,H18*12,$C$27,0,1),"")</calculatedColumnFormula>
    </tableColumn>
    <tableColumn id="8" xr3:uid="{F2E0D09C-0520-9947-94CE-BE0319948868}" name="Expected capial" dataDxfId="159">
      <calculatedColumnFormula>IF(F18&lt;=$C$21,$C$29,"")</calculatedColumnFormula>
    </tableColumn>
  </tableColumns>
  <tableStyleInfo name="TableStyleLight1" showFirstColumn="0" showLastColumn="0" showRowStripes="0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F49C2DF-17B6-8C48-BC25-1F18A408B8AF}" name="Tabella38" displayName="Tabella38" ref="R17:Y67" totalsRowShown="0" headerRowDxfId="158" tableBorderDxfId="157">
  <autoFilter ref="R17:Y67" xr:uid="{1F49C2DF-17B6-8C48-BC25-1F18A408B8A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3FC2304F-4E2A-E84E-9E1D-422CF79B60D8}" name="Age">
      <calculatedColumnFormula>IFERROR(IF(R17+1&lt;=$P$21,R17+1,""),"")</calculatedColumnFormula>
    </tableColumn>
    <tableColumn id="2" xr3:uid="{28F808E3-72DA-2A40-9967-273954A58599}" name="Year">
      <calculatedColumnFormula>IFERROR(IF(R18&lt;=$P$21,S17+1,""),"")</calculatedColumnFormula>
    </tableColumn>
    <tableColumn id="3" xr3:uid="{D98623C9-19BF-7245-AD6D-23A00DE8C5AE}" name="Investment years">
      <calculatedColumnFormula>IFERROR(R18-$R$18,"")</calculatedColumnFormula>
    </tableColumn>
    <tableColumn id="4" xr3:uid="{425119BF-BC05-BE48-A23E-8353A02D440D}" name="Saving accoount" dataDxfId="156">
      <calculatedColumnFormula>IF(R18&lt;=$P$21,-FV(Investments!$E$5/12,'Luxus '!T18*12,'Luxus '!$P$27,0,1),"")</calculatedColumnFormula>
    </tableColumn>
    <tableColumn id="5" xr3:uid="{67C7EBC6-12D3-8845-8ECD-8CB3B6CC0CAF}" name="Worst scenario" dataDxfId="155">
      <calculatedColumnFormula>IF(R18&lt;=$P$21,-FV($P$31/12,T18*12,$P$27,0,1),"")</calculatedColumnFormula>
    </tableColumn>
    <tableColumn id="6" xr3:uid="{AC6205B3-7009-734B-9B88-6BF832FF257B}" name="Expected capital" dataDxfId="154">
      <calculatedColumnFormula>IF(R18&lt;=$P$21,-FV($P$25/12,T18*12,$P$27,0,1),"")</calculatedColumnFormula>
    </tableColumn>
    <tableColumn id="7" xr3:uid="{7A8D0590-8E61-2349-BF89-57D8A67FBE4E}" name="Better scenario" dataDxfId="153">
      <calculatedColumnFormula>IF(R18&lt;=$P$21,-FV($P$34/12,T18*12,$P$27,0,1),"")</calculatedColumnFormula>
    </tableColumn>
    <tableColumn id="8" xr3:uid="{4C70FB66-05DD-4646-9548-D79063931EA4}" name="Expected capial" dataDxfId="152">
      <calculatedColumnFormula>IF(R18&lt;=$P$21,$P$29,"")</calculatedColumnFormula>
    </tableColumn>
  </tableColumns>
  <tableStyleInfo name="TableStyleLight1" showFirstColumn="0" showLastColumn="0" showRowStripes="0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B2DB296C-E962-3146-A3C3-120C42E03C5F}" name="Tabella39" displayName="Tabella39" ref="AD17:AK60" totalsRowShown="0" headerRowDxfId="151" tableBorderDxfId="150">
  <autoFilter ref="AD17:AK60" xr:uid="{B2DB296C-E962-3146-A3C3-120C42E03C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9665215E-4230-F74C-AB02-0FE000427F00}" name="Age">
      <calculatedColumnFormula>IFERROR(IF(AD17+1&lt;=$AB$21,AD17+1,""),"")</calculatedColumnFormula>
    </tableColumn>
    <tableColumn id="2" xr3:uid="{ABA5D269-00DD-C347-A439-1DEAB9C6B4C5}" name="Year">
      <calculatedColumnFormula>IFERROR(IF(AD18&lt;=$AB$21,AE17+1,""),"")</calculatedColumnFormula>
    </tableColumn>
    <tableColumn id="3" xr3:uid="{61B8AAF2-5257-F944-A05D-4F35C0F45D49}" name="Investment years">
      <calculatedColumnFormula>IFERROR(AD18-$AD$18,"")</calculatedColumnFormula>
    </tableColumn>
    <tableColumn id="4" xr3:uid="{58A43397-1138-DA49-AD54-FC86F596ED91}" name="Saving accoount" dataDxfId="149">
      <calculatedColumnFormula>IF(AD18&lt;=$AB$21,-FV(Investments!$E$5/12,'Luxus '!AF18*12,'Luxus '!$AB$27,0,1),"")</calculatedColumnFormula>
    </tableColumn>
    <tableColumn id="5" xr3:uid="{42244957-7464-374F-9464-54D3A3808608}" name="Worst scenario" dataDxfId="148">
      <calculatedColumnFormula>IF(AD18&lt;=$AB$21,-FV($AB$31/12,AF18*12,$AB$27,0,1),"")</calculatedColumnFormula>
    </tableColumn>
    <tableColumn id="6" xr3:uid="{B8B021E3-76B5-2944-B795-B049F9532418}" name="Expected capital" dataDxfId="147">
      <calculatedColumnFormula>IF(AD18&lt;=$AB$21,-FV($AB$25/12,AF18*12,$AB$27,0,1),"")</calculatedColumnFormula>
    </tableColumn>
    <tableColumn id="7" xr3:uid="{7524C63E-4E69-3745-A680-B179382C3515}" name="Better scenario" dataDxfId="146">
      <calculatedColumnFormula>IF(AD18&lt;=$AB$21,-FV($AB$34/12,AF18*12,$AB$27,0,1),"")</calculatedColumnFormula>
    </tableColumn>
    <tableColumn id="8" xr3:uid="{5159E8CC-ECAE-9641-AB1F-47D8653E3C9E}" name="Expected capial" dataDxfId="145">
      <calculatedColumnFormula>IF(AD18&lt;=$AB$21,$AB$29,"")</calculatedColumnFormula>
    </tableColumn>
  </tableColumns>
  <tableStyleInfo name="TableStyleLight1" showFirstColumn="0" showLastColumn="0" showRowStripes="0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57D4556-0424-8045-8958-9A68B74BDCAD}" name="Tabella40" displayName="Tabella40" ref="AP17:AW59" totalsRowShown="0" headerRowDxfId="144" tableBorderDxfId="143">
  <autoFilter ref="AP17:AW59" xr:uid="{C57D4556-0424-8045-8958-9A68B74BDCA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3E2649D6-E29A-584B-96DA-596BC38B1455}" name="Age">
      <calculatedColumnFormula>IFERROR(IF(AP17+1&lt;=$AN$21,AP17+1,""),"")</calculatedColumnFormula>
    </tableColumn>
    <tableColumn id="2" xr3:uid="{2FF1E2A4-D7DF-AB41-AC03-0E18C3C3B98F}" name="Year">
      <calculatedColumnFormula>IFERROR(IF(AP18&lt;=$AN$21,AQ17+1,""),"")</calculatedColumnFormula>
    </tableColumn>
    <tableColumn id="3" xr3:uid="{9E68CD0B-09F3-1E45-9B86-C7A71B27B8F7}" name="Investment years" dataDxfId="142">
      <calculatedColumnFormula>IFERROR(AP18-$AP$18,"")</calculatedColumnFormula>
    </tableColumn>
    <tableColumn id="4" xr3:uid="{DA204F21-7233-B74D-A5EF-6C6ABEA0A9D3}" name="Saving accoount" dataDxfId="141">
      <calculatedColumnFormula>IF(AP18&lt;=$AN$21,-FV(Investments!$E$5/12,'Luxus '!AR18*12,'Luxus '!$AN$27,0,1),"")</calculatedColumnFormula>
    </tableColumn>
    <tableColumn id="5" xr3:uid="{3A4A998E-A209-D040-9A0B-D6FE4C4CCCC1}" name="Worst scenario" dataDxfId="140">
      <calculatedColumnFormula>IF(AP18&lt;=$AN$21,-FV($AN$31/12,AR18*12,$AN$27,0,1),"")</calculatedColumnFormula>
    </tableColumn>
    <tableColumn id="6" xr3:uid="{DA6F4BFC-D4C5-EE4E-864E-BD56826304B3}" name="Expected capital" dataDxfId="139">
      <calculatedColumnFormula>IF(AP18&lt;=$AN$21,-FV($AN$25/12,AR18*12,$AN$27,0,1),"")</calculatedColumnFormula>
    </tableColumn>
    <tableColumn id="7" xr3:uid="{4574C99F-104F-2641-9625-4D6C06626867}" name="Better scenario" dataDxfId="138">
      <calculatedColumnFormula>IF(AP18&lt;=$AN$21,-FV($AN$34/12,AR18*12,$AN$27,0,1),"")</calculatedColumnFormula>
    </tableColumn>
    <tableColumn id="8" xr3:uid="{4A4B1E20-B53D-124B-AB9C-E6A1C012DB08}" name="Expected capial" dataDxfId="137">
      <calculatedColumnFormula>IF(AP18&lt;=$AN$21,$AN$29,"")</calculatedColumnFormula>
    </tableColumn>
  </tableColumns>
  <tableStyleInfo name="TableStyleLight1" showFirstColumn="0" showLastColumn="0" showRowStripes="0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1489863D-BF81-094A-B6B7-3BA40203FE5C}" name="Tabella428183" displayName="Tabella428183" ref="F70:M114" totalsRowCount="1" headerRowDxfId="136" dataDxfId="135" tableBorderDxfId="134">
  <autoFilter ref="F70:M113" xr:uid="{1489863D-BF81-094A-B6B7-3BA40203FE5C}"/>
  <tableColumns count="8">
    <tableColumn id="1" xr3:uid="{1EB84214-86B7-C74F-AE03-AA1542C88F22}" name="Age" totalsRowLabel="Totale" dataDxfId="133">
      <calculatedColumnFormula>IFERROR(IF(#REF!&lt;=$C$6,#REF!,""),"")</calculatedColumnFormula>
    </tableColumn>
    <tableColumn id="2" xr3:uid="{03F5CFF1-91B8-9643-B814-FE29951D28AF}" name="Year">
      <calculatedColumnFormula>IFERROR(IF(F71&lt;=$C$6,G70+1,""),"")</calculatedColumnFormula>
    </tableColumn>
    <tableColumn id="3" xr3:uid="{F7E6CC89-7365-1945-8BDD-CC9A9BEBB43C}" name="Investment years">
      <calculatedColumnFormula>IFERROR(F71-$I$4,"")</calculatedColumnFormula>
    </tableColumn>
    <tableColumn id="4" xr3:uid="{36E28255-8F48-3B41-9A36-74F5D586B397}" name="Yearly investment" dataDxfId="132" totalsRowDxfId="131">
      <calculatedColumnFormula>IF(Tabella428183[[#This Row],[Investment years]]&lt;$C$24,SUMIF('CF Timeline'!$C$5:$BC$5,Tabella428183[[#This Row],[Year]],'CF Timeline'!$C$57:$BC$57),0)</calculatedColumnFormula>
    </tableColumn>
    <tableColumn id="5" xr3:uid="{25F63CA0-FE0A-E341-A4B0-DD33BD75C55E}" name="Tot invested" dataDxfId="130" totalsRowDxfId="129">
      <calculatedColumnFormula>IF(F71&lt;=$C$6,-FV($C$18/12,H71*12,$C$14,0,1),"")</calculatedColumnFormula>
    </tableColumn>
    <tableColumn id="6" xr3:uid="{1D0FCC2F-F4E6-054F-839A-151CCFD0919A}" name="Interests" totalsRowFunction="sum" dataDxfId="128" totalsRowDxfId="127">
      <calculatedColumnFormula>Tabella428183[[#This Row],[Tot invested]]*$C$25</calculatedColumnFormula>
    </tableColumn>
    <tableColumn id="7" xr3:uid="{50E288F0-D75E-704B-B52A-3B04E72BB0FD}" name="Total" totalsRowFunction="custom" dataDxfId="126" totalsRowDxfId="125">
      <calculatedColumnFormula>Tabella428183[[#This Row],[Tot invested]]+Tabella428183[[#This Row],[Interests]]</calculatedColumnFormula>
      <totalsRowFormula>SUMIF(G70:G113,G71+C24-1,Tabella428183[[#Headers],[#Data],[Total]])</totalsRowFormula>
    </tableColumn>
    <tableColumn id="8" xr3:uid="{192B6086-F0DF-AA48-A37A-4D66A981064D}" name="Colonna5" totalsRowFunction="count" dataDxfId="124" totalsRowDxfId="123">
      <calculatedColumnFormula>IF(F71&lt;=$C$6,$C$16,"")</calculatedColumnFormula>
    </tableColumn>
  </tableColumns>
  <tableStyleInfo name="TableStyleLight1" showFirstColumn="0" showLastColumn="0" showRowStripes="0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398AE4C1-7D92-0648-859D-07CE708526A1}" name="Tabella42818384" displayName="Tabella42818384" ref="R70:Y114" totalsRowCount="1" headerRowDxfId="122" dataDxfId="121" tableBorderDxfId="120">
  <autoFilter ref="R70:Y113" xr:uid="{398AE4C1-7D92-0648-859D-07CE708526A1}"/>
  <tableColumns count="8">
    <tableColumn id="1" xr3:uid="{BAD0C780-9BC2-7F48-8B1B-46F04FA40AC9}" name="Age" totalsRowLabel="Totale" dataDxfId="119">
      <calculatedColumnFormula>IFERROR(IF(#REF!&lt;=$C$6,#REF!,""),"")</calculatedColumnFormula>
    </tableColumn>
    <tableColumn id="2" xr3:uid="{AA03CB5D-1A6E-1549-9BE7-B238E3E23D4D}" name="Year">
      <calculatedColumnFormula>IFERROR(IF(R71&lt;=$C$6,S70+1,""),"")</calculatedColumnFormula>
    </tableColumn>
    <tableColumn id="3" xr3:uid="{3DCC1CF4-8D6B-AB49-B47B-0E5DD9EB2098}" name="Investment years">
      <calculatedColumnFormula>IFERROR(R71-$I$4,"")</calculatedColumnFormula>
    </tableColumn>
    <tableColumn id="4" xr3:uid="{85EDDD0B-35A0-2A4C-9BDA-C69395D4441A}" name="Yearly investment" dataDxfId="118" totalsRowDxfId="117">
      <calculatedColumnFormula>IF(Tabella42818384[[#This Row],[Investment years]]&lt;$P$24,SUMIF('CF Timeline'!$C$5:$BC$5,Tabella42818384[[#This Row],[Year]],'CF Timeline'!$C$58:$BC$58),0)</calculatedColumnFormula>
    </tableColumn>
    <tableColumn id="5" xr3:uid="{80B5F746-E90B-B741-A3FA-832AC98BE882}" name="Tot invested" dataDxfId="116" totalsRowDxfId="115">
      <calculatedColumnFormula>IF(R71&lt;=$C$6,-FV($C$18/12,T71*12,$C$14,0,1),"")</calculatedColumnFormula>
    </tableColumn>
    <tableColumn id="6" xr3:uid="{3656699C-450F-D24D-81EE-7B8E15289C4E}" name="Interests" totalsRowFunction="sum" dataDxfId="114" totalsRowDxfId="113">
      <calculatedColumnFormula>Tabella42818384[[#This Row],[Tot invested]]*$P$25</calculatedColumnFormula>
    </tableColumn>
    <tableColumn id="7" xr3:uid="{7942C89D-0F37-314B-B4E2-C84831729A4A}" name="Total" totalsRowFunction="custom" dataDxfId="112" totalsRowDxfId="111">
      <calculatedColumnFormula>Tabella42818384[[#This Row],[Tot invested]]+Tabella42818384[[#This Row],[Interests]]</calculatedColumnFormula>
      <totalsRowFormula>SUMIF(S70:S113,S71+P24-1,Tabella42818384[[#Headers],[#Data],[Total]])</totalsRowFormula>
    </tableColumn>
    <tableColumn id="8" xr3:uid="{C4A3DED5-6817-4C4D-B4DD-3960E7FA3AA6}" name="Colonna5" totalsRowFunction="count" dataDxfId="110" totalsRowDxfId="109">
      <calculatedColumnFormula>IF(R71&lt;=$C$6,$C$16,"")</calculatedColumnFormula>
    </tableColumn>
  </tableColumns>
  <tableStyleInfo name="TableStyleLight1" showFirstColumn="0" showLastColumn="0" showRowStripes="0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2C72DFE-D4A5-8C42-9391-74656D4A3D59}" name="Tabella4281838485" displayName="Tabella4281838485" ref="AD70:AK114" totalsRowCount="1" headerRowDxfId="108" dataDxfId="107" tableBorderDxfId="106">
  <autoFilter ref="AD70:AK113" xr:uid="{02C72DFE-D4A5-8C42-9391-74656D4A3D59}"/>
  <tableColumns count="8">
    <tableColumn id="1" xr3:uid="{E6C39887-AE99-D446-9904-5ED4D4F6170A}" name="Age" totalsRowLabel="Totale" dataDxfId="105">
      <calculatedColumnFormula>IFERROR(IF(#REF!&lt;=$C$6,#REF!,""),"")</calculatedColumnFormula>
    </tableColumn>
    <tableColumn id="2" xr3:uid="{90E9A63F-1510-9A49-9514-5256E8DAB52D}" name="Year">
      <calculatedColumnFormula>IFERROR(IF(AD71&lt;=$C$6,AE70+1,""),"")</calculatedColumnFormula>
    </tableColumn>
    <tableColumn id="3" xr3:uid="{01BCBA17-E2D5-3A4C-8A0A-01DE8F2484F5}" name="Investment years">
      <calculatedColumnFormula>IFERROR(AD71-$I$4,"")</calculatedColumnFormula>
    </tableColumn>
    <tableColumn id="4" xr3:uid="{386279D7-3766-5B47-B605-40C106E2A566}" name="Yearly investment" dataDxfId="104" totalsRowDxfId="103">
      <calculatedColumnFormula>IF(Tabella4281838485[[#This Row],[Investment years]]&lt;$AB$24,SUMIF('CF Timeline'!$C$5:$BC$5,Tabella4281838485[[#This Row],[Year]],'CF Timeline'!$C$59:$BC$59),0)</calculatedColumnFormula>
    </tableColumn>
    <tableColumn id="5" xr3:uid="{B90115BC-3AC0-8C46-86DE-1B1F11CA43A8}" name="Tot invested" dataDxfId="102" totalsRowDxfId="101">
      <calculatedColumnFormula>IF(AD71&lt;=$C$6,-FV($C$18/12,AF71*12,$C$14,0,1),"")</calculatedColumnFormula>
    </tableColumn>
    <tableColumn id="6" xr3:uid="{0C06CB75-26F0-B54A-AA37-7A421E5098C1}" name="Interests" totalsRowFunction="sum" dataDxfId="100" totalsRowDxfId="99">
      <calculatedColumnFormula>Tabella4281838485[[#This Row],[Tot invested]]*$AB$25</calculatedColumnFormula>
    </tableColumn>
    <tableColumn id="7" xr3:uid="{4DFD1B73-B05A-EB47-A795-BA980779315B}" name="Total" totalsRowFunction="custom" dataDxfId="98" totalsRowDxfId="97">
      <calculatedColumnFormula>Tabella4281838485[[#This Row],[Tot invested]]+Tabella4281838485[[#This Row],[Interests]]</calculatedColumnFormula>
      <totalsRowFormula>SUMIF(AE70:AE113,AE71+AB24-1,Tabella4281838485[[#Headers],[#Data],[Total]])</totalsRowFormula>
    </tableColumn>
    <tableColumn id="8" xr3:uid="{4D3F5040-06E3-304D-9920-8DCB6789E244}" name="Colonna5" totalsRowFunction="count" dataDxfId="96" totalsRowDxfId="95">
      <calculatedColumnFormula>IF(AD71&lt;=$C$6,$C$16,"")</calculatedColumnFormula>
    </tableColumn>
  </tableColumns>
  <tableStyleInfo name="TableStyleLight1" showFirstColumn="0" showLastColumn="0" showRowStripes="0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CC74F5D-FACC-3946-B3A3-E3FF6F7501D8}" name="Tabella428183848586" displayName="Tabella428183848586" ref="AP70:AW114" totalsRowCount="1" headerRowDxfId="94" dataDxfId="93" tableBorderDxfId="92">
  <autoFilter ref="AP70:AW113" xr:uid="{8CC74F5D-FACC-3946-B3A3-E3FF6F7501D8}"/>
  <tableColumns count="8">
    <tableColumn id="1" xr3:uid="{ED434395-2414-4741-80BD-6EC47DCEE7F3}" name="Age" totalsRowLabel="Totale" dataDxfId="91">
      <calculatedColumnFormula>IFERROR(IF(#REF!&lt;=$C$6,#REF!,""),"")</calculatedColumnFormula>
    </tableColumn>
    <tableColumn id="2" xr3:uid="{F1E2B4D0-6E15-D14C-B233-300311535438}" name="Year">
      <calculatedColumnFormula>IFERROR(IF(AP71&lt;=$C$6,AQ70+1,""),"")</calculatedColumnFormula>
    </tableColumn>
    <tableColumn id="3" xr3:uid="{B9A2BBC1-633F-2F47-8510-5B51576280DF}" name="Investment years">
      <calculatedColumnFormula>IFERROR(AP71-$I$4,"")</calculatedColumnFormula>
    </tableColumn>
    <tableColumn id="4" xr3:uid="{6B7F3009-04A7-744F-BE98-73F3C2B5D7C1}" name="Yearly investment" dataDxfId="90" totalsRowDxfId="89">
      <calculatedColumnFormula>IF(Tabella428183848586[[#This Row],[Investment years]]&lt;$AN$24,SUMIF('CF Timeline'!$C$5:$BC$5,Tabella428183848586[[#This Row],[Year]],'CF Timeline'!$C$60:$BC$60),0)</calculatedColumnFormula>
    </tableColumn>
    <tableColumn id="5" xr3:uid="{01A9A027-8B81-4845-9A0B-2EA285B8EA46}" name="Tot invested" dataDxfId="88" totalsRowDxfId="87">
      <calculatedColumnFormula>IF(AP71&lt;=$C$6,-FV($C$18/12,AR71*12,$C$14,0,1),"")</calculatedColumnFormula>
    </tableColumn>
    <tableColumn id="6" xr3:uid="{765F83C4-5E98-894D-8055-D17CF852A380}" name="Interests" totalsRowFunction="sum" dataDxfId="86" totalsRowDxfId="85">
      <calculatedColumnFormula>Tabella428183848586[[#This Row],[Tot invested]]*$AN$25</calculatedColumnFormula>
    </tableColumn>
    <tableColumn id="7" xr3:uid="{AC730147-252A-764D-973B-C5A721C87A78}" name="Total" totalsRowFunction="custom" dataDxfId="84" totalsRowDxfId="83">
      <calculatedColumnFormula>Tabella428183848586[[#This Row],[Tot invested]]+Tabella428183848586[[#This Row],[Interests]]</calculatedColumnFormula>
      <totalsRowFormula>SUMIF(AQ70:AQ113,AQ71+AN24-1,Tabella428183848586[[#Headers],[#Data],[Total]])</totalsRowFormula>
    </tableColumn>
    <tableColumn id="8" xr3:uid="{ED1A7ED9-86EA-434D-9F76-975D100CDF0E}" name="Colonna5" totalsRowFunction="count" dataDxfId="82" totalsRowDxfId="81">
      <calculatedColumnFormula>IF(AP71&lt;=$C$6,$C$16,"")</calculatedColumnFormula>
    </tableColumn>
  </tableColumns>
  <tableStyleInfo name="TableStyleLight1" showFirstColumn="0" showLastColumn="0" showRowStripes="0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922117-5FA5-874A-B7D2-8145198201D1}" name="Tabella5" displayName="Tabella5" ref="I6:P59" headerRowCount="0" totalsRowShown="0" headerRowDxfId="80" tableBorderDxfId="79">
  <tableColumns count="8">
    <tableColumn id="1" xr3:uid="{78BD38BF-D03A-364C-9B10-4FEFD27EBD54}" name="Colonna1" headerRowDxfId="78">
      <calculatedColumnFormula>I5+1</calculatedColumnFormula>
    </tableColumn>
    <tableColumn id="2" xr3:uid="{CFD00793-C644-7B42-8C67-64474FF51288}" name="Colonna2" headerRowDxfId="77">
      <calculatedColumnFormula>IFERROR(IF(I6&lt;=$C$21,J5+1,""),"")</calculatedColumnFormula>
    </tableColumn>
    <tableColumn id="3" xr3:uid="{41224EC0-3BB4-4643-8419-4EB7CD305326}" name="Colonna3" headerRowDxfId="76" dataDxfId="75">
      <calculatedColumnFormula>K5*(1+SUMIF($B$12:$B$37,$C$9,$E$12:$E$37))</calculatedColumnFormula>
    </tableColumn>
    <tableColumn id="4" xr3:uid="{2EBEA6BC-7C0F-A543-8F2D-BFAD57B4786F}" name="Colonna4" headerRowDxfId="74" dataDxfId="73"/>
    <tableColumn id="5" xr3:uid="{726C46FA-C0D6-9146-853C-DCC4E7334004}" name="Colonna5" headerRowDxfId="72" dataDxfId="71"/>
    <tableColumn id="6" xr3:uid="{9AF3B4A0-59A5-224D-A048-D4E179B65405}" name="Colonna6" headerRowDxfId="70" dataDxfId="69"/>
    <tableColumn id="7" xr3:uid="{2A7C07FD-117B-6149-88EB-A5493CDB66E8}" name="Colonna7" headerRowDxfId="68" dataDxfId="67"/>
    <tableColumn id="8" xr3:uid="{D395D097-485A-1C47-A37C-F69CCE3B1D50}" name="Colonna8" headerRowDxfId="66" dataDxfId="65"/>
  </tableColumns>
  <tableStyleInfo name="TableStyleLight1" showFirstColumn="0" showLastColumn="0" showRowStripes="0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FF8FB375-4BA1-7642-B21B-299B2465C8C6}" name="Tabella580" displayName="Tabella580" ref="I6:P59" headerRowCount="0" totalsRowShown="0" headerRowDxfId="64" tableBorderDxfId="63">
  <tableColumns count="8">
    <tableColumn id="1" xr3:uid="{31D7F184-2BCB-5942-AD8E-957E5B2FFD48}" name="Colonna1" headerRowDxfId="62">
      <calculatedColumnFormula>I5+1</calculatedColumnFormula>
    </tableColumn>
    <tableColumn id="2" xr3:uid="{6385052C-AD0E-B74D-BCB2-F63753A764DD}" name="Colonna2" headerRowDxfId="61">
      <calculatedColumnFormula>IFERROR(IF(I6&lt;=$C$21,J5+1,""),"")</calculatedColumnFormula>
    </tableColumn>
    <tableColumn id="3" xr3:uid="{A75D5ECF-8665-6D49-9E87-345ED30C75FF}" name="Colonna3" headerRowDxfId="60" dataDxfId="59">
      <calculatedColumnFormula>K5*(1+SUMIF($B$12:$B$37,$C$9,$E$12:$E$37))</calculatedColumnFormula>
    </tableColumn>
    <tableColumn id="4" xr3:uid="{C580EE67-3D96-6245-90CB-E900CD8B22F7}" name="Colonna4" headerRowDxfId="58" dataDxfId="57"/>
    <tableColumn id="5" xr3:uid="{CAB6F70A-4813-8241-BC29-700E227069F4}" name="Colonna5" headerRowDxfId="56" dataDxfId="55"/>
    <tableColumn id="6" xr3:uid="{CAAD59DC-7D88-F24F-BB90-75579162357F}" name="Colonna6" headerRowDxfId="54" dataDxfId="53"/>
    <tableColumn id="7" xr3:uid="{B2AF98C2-5771-F442-A7C7-BD5B4F723253}" name="Colonna7" headerRowDxfId="52" dataDxfId="51"/>
    <tableColumn id="8" xr3:uid="{AE06C0D2-C985-CA44-9EEC-7018B34DB604}" name="Colonna8" headerRowDxfId="50" dataDxfId="49"/>
  </tableColumns>
  <tableStyleInfo name="TableStyleLight1" showFirstColumn="0" showLastColumn="0" showRowStripes="0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5D17703-0A75-A549-A55A-3BD15504BD6A}" name="Tabella41" displayName="Tabella41" ref="I3:Q56" totalsRowShown="0" headerRowDxfId="48" tableBorderDxfId="47">
  <autoFilter ref="I3:Q56" xr:uid="{05D17703-0A75-A549-A55A-3BD15504BD6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DFF1754A-2561-EB4E-B7E7-8C1885D12A7C}" name="Age">
      <calculatedColumnFormula>IFERROR(IF(I3+1&lt;=$C$5,I3+1,""),"")</calculatedColumnFormula>
    </tableColumn>
    <tableColumn id="2" xr3:uid="{1BA3E143-ADC5-A74C-BB89-66EB9E772801}" name="Year">
      <calculatedColumnFormula>IFERROR(IF(I4&lt;=$C$5,J3+1,""),"")</calculatedColumnFormula>
    </tableColumn>
    <tableColumn id="3" xr3:uid="{EC0C06AA-F84A-2747-9ABF-BB4458F06293}" name="Investment years">
      <calculatedColumnFormula>IFERROR(I4-$I$4,"")</calculatedColumnFormula>
    </tableColumn>
    <tableColumn id="4" xr3:uid="{3E2A8B99-B391-0A46-A101-B20BEBEA28A0}" name="Saving accoount" dataDxfId="46">
      <calculatedColumnFormula>IF(I4&lt;=$C$5,-FV(Investments!$E$5/12,'Pension calculator 3a'!K4*12,$C$13,0,1),"")</calculatedColumnFormula>
    </tableColumn>
    <tableColumn id="5" xr3:uid="{D4322E8E-E422-8F4B-B058-8E8761E4456A}" name="Worst scenario" dataDxfId="45">
      <calculatedColumnFormula>IF(I4&lt;=$C$5,-FV($C$17/12,K4*12,$C$13,0,1),"")</calculatedColumnFormula>
    </tableColumn>
    <tableColumn id="6" xr3:uid="{0B0260F3-02FF-FC46-A6C8-D7C2791F4BB4}" name="Expected capital" dataDxfId="44">
      <calculatedColumnFormula>IF(I4&lt;=$C$5,-FV($C$11/12,K4*12,$C$13,0,1),"")</calculatedColumnFormula>
    </tableColumn>
    <tableColumn id="7" xr3:uid="{909DFB34-2FDC-6F4D-BF45-47FD5682C538}" name="Better scenario" dataDxfId="43">
      <calculatedColumnFormula>IF(I4&lt;=$C$5,-FV($C$20/12,K4*12,$C$13,0,1),"")</calculatedColumnFormula>
    </tableColumn>
    <tableColumn id="8" xr3:uid="{E0984669-0272-2944-A11C-D419527CAA5D}" name="Expected capital2" dataDxfId="42">
      <calculatedColumnFormula>IF(I4&lt;=$C$5,$C$15,"")</calculatedColumnFormula>
    </tableColumn>
    <tableColumn id="9" xr3:uid="{88007A32-E8CF-C040-9923-AE078A8FB0AC}" name="Worst + Interval" dataDxfId="41">
      <calculatedColumnFormula>IFERROR(M4+(O4-M4),"")</calculatedColumnFormula>
    </tableColumn>
  </tableColumns>
  <tableStyleInfo name="TableStyleLight1" showFirstColumn="0" showLastColumn="0" showRowStripes="0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D9173A5-F5AB-844D-8424-2AD34458FF02}" name="Tabella428187" displayName="Tabella428187" ref="I62:P106" totalsRowCount="1" headerRowDxfId="40" dataDxfId="39" tableBorderDxfId="38">
  <autoFilter ref="I62:P105" xr:uid="{9D9173A5-F5AB-844D-8424-2AD34458FF02}"/>
  <tableColumns count="8">
    <tableColumn id="1" xr3:uid="{AD56D567-B6A8-B34B-81FF-30F6E815724C}" name="Age" totalsRowLabel="Totale" dataDxfId="37">
      <calculatedColumnFormula>IFERROR(IF(C15&lt;=$C$6,C15,""),"")</calculatedColumnFormula>
    </tableColumn>
    <tableColumn id="2" xr3:uid="{48C6C697-076E-E84B-871E-19429CAB2373}" name="Year">
      <calculatedColumnFormula>IFERROR(IF(I63&lt;=$C$6,J62+1,""),"")</calculatedColumnFormula>
    </tableColumn>
    <tableColumn id="3" xr3:uid="{F4622D3B-007F-6746-B4E2-A58800B7D5EA}" name="Investment years">
      <calculatedColumnFormula>IFERROR(I63-$I$4,"")</calculatedColumnFormula>
    </tableColumn>
    <tableColumn id="4" xr3:uid="{42673504-C4E3-CC47-BA50-971E57B39A59}" name="Yearly investment" dataDxfId="36" totalsRowDxfId="35">
      <calculatedColumnFormula>IF(Tabella428187[[#This Row],[Investment years]]&lt;$C$10,SUMIF('CF Timeline'!$C$5:$BC$5,Tabella428187[[#This Row],[Year]],'CF Timeline'!$C$61:$BC$61),0)</calculatedColumnFormula>
    </tableColumn>
    <tableColumn id="5" xr3:uid="{B5F6B4DB-D85B-C944-8E4C-80ACBFD70754}" name="Tot invested" dataDxfId="34" totalsRowDxfId="33">
      <calculatedColumnFormula>IF(I63&lt;=$C$6,-FV($C$18/12,K63*12,$C$14,0,1),"")</calculatedColumnFormula>
    </tableColumn>
    <tableColumn id="6" xr3:uid="{423CBD12-7459-444B-91F2-587D6D7E9757}" name="Interests" totalsRowFunction="sum" dataDxfId="32" totalsRowDxfId="31">
      <calculatedColumnFormula>Tabella428187[[#This Row],[Tot invested]]*$C$11</calculatedColumnFormula>
    </tableColumn>
    <tableColumn id="7" xr3:uid="{977E573C-2911-EF41-9252-61C0F97E6CCF}" name="Total" totalsRowFunction="custom" dataDxfId="30" totalsRowDxfId="29">
      <calculatedColumnFormula>Tabella428187[[#This Row],[Tot invested]]+Tabella428187[[#This Row],[Interests]]</calculatedColumnFormula>
      <totalsRowFormula>SUMIF(J62:J105,J63+C10-1,Tabella428187[[#Headers],[#Data],[Total]])</totalsRowFormula>
    </tableColumn>
    <tableColumn id="8" xr3:uid="{04EB659B-2A9D-344F-8DF5-330EDED8BE70}" name="Colonna5" totalsRowFunction="count" dataDxfId="28" totalsRowDxfId="27">
      <calculatedColumnFormula>IF(I63&lt;=$C$6,$C$16,"")</calculatedColumnFormula>
    </tableColumn>
  </tableColumns>
  <tableStyleInfo name="TableStyleLight1" showFirstColumn="0" showLastColumn="0" showRowStripes="0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81BCB5A6-15C2-844A-A25F-DA67C28F4988}" name="Tabella42" displayName="Tabella42" ref="I3:P46" totalsRowShown="0" headerRowDxfId="26" dataDxfId="25" tableBorderDxfId="24">
  <autoFilter ref="I3:P46" xr:uid="{81BCB5A6-15C2-844A-A25F-DA67C28F49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9778BDB9-8B76-844A-B720-1FB3B8898498}" name="Age">
      <calculatedColumnFormula>IFERROR(IF(I3+1&lt;=$C$6,I3+1,""),"")</calculatedColumnFormula>
    </tableColumn>
    <tableColumn id="2" xr3:uid="{94664038-B894-BB40-9607-8C48FE006E54}" name="Year">
      <calculatedColumnFormula>IFERROR(IF(I4&lt;=$C$6,J3+1,""),"")</calculatedColumnFormula>
    </tableColumn>
    <tableColumn id="3" xr3:uid="{7405A481-DAC9-3341-B5D3-706C36CE8CE8}" name="Investment years">
      <calculatedColumnFormula>IFERROR(I4-$I$4,"")</calculatedColumnFormula>
    </tableColumn>
    <tableColumn id="4" xr3:uid="{305F62FE-0C24-504B-BCE1-CD98C3B04B82}" name="Saving accoount" dataDxfId="23">
      <calculatedColumnFormula>IF(I4&lt;=$C$6,-FV(Investments!$E$5/12,'House calculator '!K4*12,'House calculator '!$C$14,0,1),"")</calculatedColumnFormula>
    </tableColumn>
    <tableColumn id="5" xr3:uid="{81491EBE-8D88-384B-AFB6-4374E6403C80}" name="Worst scenario" dataDxfId="22">
      <calculatedColumnFormula>IF(I4&lt;=$C$6,-FV($C$18/12,K4*12,$C$14,0,1),"")</calculatedColumnFormula>
    </tableColumn>
    <tableColumn id="6" xr3:uid="{F93492CE-7996-144F-A8B0-00150722CC4D}" name="Expected capital" dataDxfId="21">
      <calculatedColumnFormula>IF(I4&lt;=$C$6,-FV($C$12/12,K4*12,$C$14,0,1),"")</calculatedColumnFormula>
    </tableColumn>
    <tableColumn id="7" xr3:uid="{7988285E-E303-894D-9695-90E3D8C9DE5B}" name="Better scenario" dataDxfId="20">
      <calculatedColumnFormula>IF(I4&lt;=$C$6,-FV($C$21/12,K4*12,$C$14,0,1),"")</calculatedColumnFormula>
    </tableColumn>
    <tableColumn id="8" xr3:uid="{CDEA81FD-E514-B445-93E7-22142A7D077B}" name="Expected capital2" dataDxfId="19">
      <calculatedColumnFormula>IF(I4&lt;=$C$6,$C$16,"")</calculatedColumnFormula>
    </tableColumn>
  </tableColumns>
  <tableStyleInfo name="TableStyleLight1" showFirstColumn="0" showLastColumn="0" showRowStripes="0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19A3919A-2077-2B4E-8BEF-E8CF99EBFD96}" name="Tabella4281" displayName="Tabella4281" ref="I52:P96" totalsRowCount="1" headerRowDxfId="18" dataDxfId="17" tableBorderDxfId="16">
  <autoFilter ref="I52:P95" xr:uid="{19A3919A-2077-2B4E-8BEF-E8CF99EBFD96}"/>
  <tableColumns count="8">
    <tableColumn id="1" xr3:uid="{340F76F3-F6E9-084D-A2FD-5BE2D0C9E456}" name="Age" totalsRowLabel="Totale" dataDxfId="15">
      <calculatedColumnFormula>IFERROR(IF(C5&lt;=$C$6,C5,""),"")</calculatedColumnFormula>
    </tableColumn>
    <tableColumn id="2" xr3:uid="{66C9BACF-B3C5-4D4E-AC9F-F50FA8394D86}" name="Year">
      <calculatedColumnFormula>IFERROR(IF(I53&lt;=$C$6,J52+1,""),"")</calculatedColumnFormula>
    </tableColumn>
    <tableColumn id="3" xr3:uid="{AE3D7098-352A-C64A-B35D-E4773740B596}" name="Investment years">
      <calculatedColumnFormula>IFERROR(I53-$I$4,"")</calculatedColumnFormula>
    </tableColumn>
    <tableColumn id="4" xr3:uid="{26FCCDA8-86D9-174E-A734-87A49267DE11}" name="Yearly investment" dataDxfId="14" totalsRowDxfId="13">
      <calculatedColumnFormula>IF(Tabella4281[[#This Row],[Investment years]]&lt;$C$11,SUMIF('CF Timeline'!$C$5:$BC$5,Tabella4281[[#This Row],[Year]],'CF Timeline'!$C$56:$BC$56),0)</calculatedColumnFormula>
    </tableColumn>
    <tableColumn id="5" xr3:uid="{71A1A0D0-F21B-B44C-BAEE-8C1657908BF7}" name="Tot invested" dataDxfId="12" totalsRowDxfId="11">
      <calculatedColumnFormula>IF(I53&lt;=$C$6,-FV($C$18/12,K53*12,$C$14,0,1),"")</calculatedColumnFormula>
    </tableColumn>
    <tableColumn id="6" xr3:uid="{1FC0D15D-3F40-B448-A2A5-DCABC7F607D2}" name="Interests" totalsRowFunction="sum" dataDxfId="10" totalsRowDxfId="9">
      <calculatedColumnFormula>IF(I53&lt;=$C$6,-FV($C$12/12,K53*12,$C$14,0,1),"")</calculatedColumnFormula>
    </tableColumn>
    <tableColumn id="7" xr3:uid="{265E59F2-779E-7047-9FE3-F6835A73902B}" name="Total" totalsRowFunction="custom" dataDxfId="8" totalsRowDxfId="7">
      <calculatedColumnFormula>Tabella4281[[#This Row],[Tot invested]]+Tabella4281[[#This Row],[Interests]]</calculatedColumnFormula>
      <totalsRowFormula>SUMIF(J52:J95,J53+C11-1,Tabella4281[[#Headers],[#Data],[Total]])</totalsRowFormula>
    </tableColumn>
    <tableColumn id="8" xr3:uid="{05EB5E44-80B2-AC48-A898-542F74DB1FB0}" name="Colonna5" totalsRowFunction="count" dataDxfId="6" totalsRowDxfId="5">
      <calculatedColumnFormula>IF(I53&lt;=$C$6,$C$16,"")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8" dT="2024-11-28T16:35:30.46" personId="{E22E699E-8CF2-2041-96C7-0FD6EFF92826}" id="{9C13D07B-513F-264A-BC91-00CC63D4946F}">
    <text xml:space="preserve">based on your location and your income class
</text>
  </threadedComment>
  <threadedComment ref="H28" dT="2024-11-28T16:35:53.85" personId="{E22E699E-8CF2-2041-96C7-0FD6EFF92826}" id="{4841C609-96CC-824A-BCB2-AAB8084CC3D7}" parentId="{9C13D07B-513F-264A-BC91-00CC63D4946F}">
    <text xml:space="preserve">with a inflation of 0.7%
</text>
  </threadedComment>
  <threadedComment ref="H30" dT="2024-11-28T16:37:14.28" personId="{E22E699E-8CF2-2041-96C7-0FD6EFF92826}" id="{C7CC5125-537F-3C4F-99E8-AD905A474C68}">
    <text>default: 80% LTV and 1% interest rate</text>
  </threadedComment>
  <threadedComment ref="H32" dT="2024-11-28T16:37:49.73" personId="{E22E699E-8CF2-2041-96C7-0FD6EFF92826}" id="{C2255E44-0DDD-D241-ACA0-742C999F7C39}">
    <text>based on the age, the number of children, your income and where you life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FB1E2A0-DE84-AC48-89DA-61FBF7103BCD}">
  <we:reference id="wa200006524" version="1.0.9.0" store="de-DE" storeType="OMEX"/>
  <we:alternateReferences>
    <we:reference id="WA200006524" version="1.0.9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_xldudf_SSAI</we:customFunctionIds>
        <we:customFunctionIds>_xldudf_SSAI_LIST</we:customFunctionIds>
        <we:customFunctionIds>_xldudf_SSAI_FORMAT</we:customFunctionIds>
        <we:customFunctionIds>_xldudf_SSAI_TAG</we:customFunctionIds>
        <we:customFunctionIds>_xldudf_SSAI_CLASSIFY</we:customFunctionIds>
        <we:customFunctionIds>_xldudf_SSAI_EXTRACT</we:customFunctionIds>
        <we:customFunctionIds>_xldudf_SSAI_SUMMARIZE</we:customFunctionIds>
        <we:customFunctionIds>_xldudf_SSAI_TRANSLATE</we:customFunctionIds>
        <we:customFunctionIds>_xldudf_SSAI_CONVERT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7" Type="http://schemas.microsoft.com/office/2017/10/relationships/threadedComment" Target="../threadedComments/threadedComment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21.xml"/><Relationship Id="rId18" Type="http://schemas.openxmlformats.org/officeDocument/2006/relationships/table" Target="../tables/table26.xml"/><Relationship Id="rId26" Type="http://schemas.openxmlformats.org/officeDocument/2006/relationships/table" Target="../tables/table34.xml"/><Relationship Id="rId3" Type="http://schemas.openxmlformats.org/officeDocument/2006/relationships/table" Target="../tables/table11.xml"/><Relationship Id="rId21" Type="http://schemas.openxmlformats.org/officeDocument/2006/relationships/table" Target="../tables/table29.xml"/><Relationship Id="rId7" Type="http://schemas.openxmlformats.org/officeDocument/2006/relationships/table" Target="../tables/table15.xml"/><Relationship Id="rId12" Type="http://schemas.openxmlformats.org/officeDocument/2006/relationships/table" Target="../tables/table20.xml"/><Relationship Id="rId17" Type="http://schemas.openxmlformats.org/officeDocument/2006/relationships/table" Target="../tables/table25.xml"/><Relationship Id="rId25" Type="http://schemas.openxmlformats.org/officeDocument/2006/relationships/table" Target="../tables/table33.xml"/><Relationship Id="rId33" Type="http://schemas.openxmlformats.org/officeDocument/2006/relationships/table" Target="../tables/table41.xml"/><Relationship Id="rId2" Type="http://schemas.openxmlformats.org/officeDocument/2006/relationships/table" Target="../tables/table10.xml"/><Relationship Id="rId16" Type="http://schemas.openxmlformats.org/officeDocument/2006/relationships/table" Target="../tables/table24.xml"/><Relationship Id="rId20" Type="http://schemas.openxmlformats.org/officeDocument/2006/relationships/table" Target="../tables/table28.xml"/><Relationship Id="rId29" Type="http://schemas.openxmlformats.org/officeDocument/2006/relationships/table" Target="../tables/table37.xml"/><Relationship Id="rId1" Type="http://schemas.openxmlformats.org/officeDocument/2006/relationships/table" Target="../tables/table9.xml"/><Relationship Id="rId6" Type="http://schemas.openxmlformats.org/officeDocument/2006/relationships/table" Target="../tables/table14.xml"/><Relationship Id="rId11" Type="http://schemas.openxmlformats.org/officeDocument/2006/relationships/table" Target="../tables/table19.xml"/><Relationship Id="rId24" Type="http://schemas.openxmlformats.org/officeDocument/2006/relationships/table" Target="../tables/table32.xml"/><Relationship Id="rId32" Type="http://schemas.openxmlformats.org/officeDocument/2006/relationships/table" Target="../tables/table40.xml"/><Relationship Id="rId5" Type="http://schemas.openxmlformats.org/officeDocument/2006/relationships/table" Target="../tables/table13.xml"/><Relationship Id="rId15" Type="http://schemas.openxmlformats.org/officeDocument/2006/relationships/table" Target="../tables/table23.xml"/><Relationship Id="rId23" Type="http://schemas.openxmlformats.org/officeDocument/2006/relationships/table" Target="../tables/table31.xml"/><Relationship Id="rId28" Type="http://schemas.openxmlformats.org/officeDocument/2006/relationships/table" Target="../tables/table36.xml"/><Relationship Id="rId10" Type="http://schemas.openxmlformats.org/officeDocument/2006/relationships/table" Target="../tables/table18.xml"/><Relationship Id="rId19" Type="http://schemas.openxmlformats.org/officeDocument/2006/relationships/table" Target="../tables/table27.xml"/><Relationship Id="rId31" Type="http://schemas.openxmlformats.org/officeDocument/2006/relationships/table" Target="../tables/table39.xml"/><Relationship Id="rId4" Type="http://schemas.openxmlformats.org/officeDocument/2006/relationships/table" Target="../tables/table12.xml"/><Relationship Id="rId9" Type="http://schemas.openxmlformats.org/officeDocument/2006/relationships/table" Target="../tables/table17.xml"/><Relationship Id="rId14" Type="http://schemas.openxmlformats.org/officeDocument/2006/relationships/table" Target="../tables/table22.xml"/><Relationship Id="rId22" Type="http://schemas.openxmlformats.org/officeDocument/2006/relationships/table" Target="../tables/table30.xml"/><Relationship Id="rId27" Type="http://schemas.openxmlformats.org/officeDocument/2006/relationships/table" Target="../tables/table35.xml"/><Relationship Id="rId30" Type="http://schemas.openxmlformats.org/officeDocument/2006/relationships/table" Target="../tables/table38.xml"/><Relationship Id="rId8" Type="http://schemas.openxmlformats.org/officeDocument/2006/relationships/table" Target="../tables/table16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54.xml"/><Relationship Id="rId18" Type="http://schemas.openxmlformats.org/officeDocument/2006/relationships/table" Target="../tables/table59.xml"/><Relationship Id="rId26" Type="http://schemas.openxmlformats.org/officeDocument/2006/relationships/table" Target="../tables/table67.xml"/><Relationship Id="rId3" Type="http://schemas.openxmlformats.org/officeDocument/2006/relationships/table" Target="../tables/table44.xml"/><Relationship Id="rId21" Type="http://schemas.openxmlformats.org/officeDocument/2006/relationships/table" Target="../tables/table62.xml"/><Relationship Id="rId7" Type="http://schemas.openxmlformats.org/officeDocument/2006/relationships/table" Target="../tables/table48.xml"/><Relationship Id="rId12" Type="http://schemas.openxmlformats.org/officeDocument/2006/relationships/table" Target="../tables/table53.xml"/><Relationship Id="rId17" Type="http://schemas.openxmlformats.org/officeDocument/2006/relationships/table" Target="../tables/table58.xml"/><Relationship Id="rId25" Type="http://schemas.openxmlformats.org/officeDocument/2006/relationships/table" Target="../tables/table66.xml"/><Relationship Id="rId33" Type="http://schemas.openxmlformats.org/officeDocument/2006/relationships/table" Target="../tables/table74.xml"/><Relationship Id="rId2" Type="http://schemas.openxmlformats.org/officeDocument/2006/relationships/table" Target="../tables/table43.xml"/><Relationship Id="rId16" Type="http://schemas.openxmlformats.org/officeDocument/2006/relationships/table" Target="../tables/table57.xml"/><Relationship Id="rId20" Type="http://schemas.openxmlformats.org/officeDocument/2006/relationships/table" Target="../tables/table61.xml"/><Relationship Id="rId29" Type="http://schemas.openxmlformats.org/officeDocument/2006/relationships/table" Target="../tables/table70.xml"/><Relationship Id="rId1" Type="http://schemas.openxmlformats.org/officeDocument/2006/relationships/table" Target="../tables/table42.xml"/><Relationship Id="rId6" Type="http://schemas.openxmlformats.org/officeDocument/2006/relationships/table" Target="../tables/table47.xml"/><Relationship Id="rId11" Type="http://schemas.openxmlformats.org/officeDocument/2006/relationships/table" Target="../tables/table52.xml"/><Relationship Id="rId24" Type="http://schemas.openxmlformats.org/officeDocument/2006/relationships/table" Target="../tables/table65.xml"/><Relationship Id="rId32" Type="http://schemas.openxmlformats.org/officeDocument/2006/relationships/table" Target="../tables/table73.xml"/><Relationship Id="rId5" Type="http://schemas.openxmlformats.org/officeDocument/2006/relationships/table" Target="../tables/table46.xml"/><Relationship Id="rId15" Type="http://schemas.openxmlformats.org/officeDocument/2006/relationships/table" Target="../tables/table56.xml"/><Relationship Id="rId23" Type="http://schemas.openxmlformats.org/officeDocument/2006/relationships/table" Target="../tables/table64.xml"/><Relationship Id="rId28" Type="http://schemas.openxmlformats.org/officeDocument/2006/relationships/table" Target="../tables/table69.xml"/><Relationship Id="rId10" Type="http://schemas.openxmlformats.org/officeDocument/2006/relationships/table" Target="../tables/table51.xml"/><Relationship Id="rId19" Type="http://schemas.openxmlformats.org/officeDocument/2006/relationships/table" Target="../tables/table60.xml"/><Relationship Id="rId31" Type="http://schemas.openxmlformats.org/officeDocument/2006/relationships/table" Target="../tables/table72.xml"/><Relationship Id="rId4" Type="http://schemas.openxmlformats.org/officeDocument/2006/relationships/table" Target="../tables/table45.xml"/><Relationship Id="rId9" Type="http://schemas.openxmlformats.org/officeDocument/2006/relationships/table" Target="../tables/table50.xml"/><Relationship Id="rId14" Type="http://schemas.openxmlformats.org/officeDocument/2006/relationships/table" Target="../tables/table55.xml"/><Relationship Id="rId22" Type="http://schemas.openxmlformats.org/officeDocument/2006/relationships/table" Target="../tables/table63.xml"/><Relationship Id="rId27" Type="http://schemas.openxmlformats.org/officeDocument/2006/relationships/table" Target="../tables/table68.xml"/><Relationship Id="rId30" Type="http://schemas.openxmlformats.org/officeDocument/2006/relationships/table" Target="../tables/table71.xml"/><Relationship Id="rId8" Type="http://schemas.openxmlformats.org/officeDocument/2006/relationships/table" Target="../tables/table4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1.xml"/><Relationship Id="rId3" Type="http://schemas.openxmlformats.org/officeDocument/2006/relationships/table" Target="../tables/table76.xml"/><Relationship Id="rId7" Type="http://schemas.openxmlformats.org/officeDocument/2006/relationships/table" Target="../tables/table80.xml"/><Relationship Id="rId2" Type="http://schemas.openxmlformats.org/officeDocument/2006/relationships/table" Target="../tables/table75.xml"/><Relationship Id="rId1" Type="http://schemas.openxmlformats.org/officeDocument/2006/relationships/drawing" Target="../drawings/drawing5.xml"/><Relationship Id="rId6" Type="http://schemas.openxmlformats.org/officeDocument/2006/relationships/table" Target="../tables/table79.xml"/><Relationship Id="rId5" Type="http://schemas.openxmlformats.org/officeDocument/2006/relationships/table" Target="../tables/table78.xml"/><Relationship Id="rId4" Type="http://schemas.openxmlformats.org/officeDocument/2006/relationships/table" Target="../tables/table77.xml"/><Relationship Id="rId9" Type="http://schemas.openxmlformats.org/officeDocument/2006/relationships/table" Target="../tables/table8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aiffeisen.ch/rch/it/clientela-privata/investire/fondi-d-investimento.html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6.xml"/><Relationship Id="rId2" Type="http://schemas.openxmlformats.org/officeDocument/2006/relationships/table" Target="../tables/table85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8.xml"/><Relationship Id="rId2" Type="http://schemas.openxmlformats.org/officeDocument/2006/relationships/table" Target="../tables/table87.x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realadvisor.ch/de/immobilienpreise-pro-m2/kanton-waad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954CF-E5F8-0F42-8BA6-87BC20CFC622}">
  <sheetPr>
    <tabColor rgb="FFFF0000"/>
  </sheetPr>
  <dimension ref="A1:BN441"/>
  <sheetViews>
    <sheetView tabSelected="1" zoomScale="25" zoomScaleNormal="25" workbookViewId="0">
      <selection activeCell="B107" sqref="B107"/>
    </sheetView>
  </sheetViews>
  <sheetFormatPr baseColWidth="10" defaultColWidth="11" defaultRowHeight="16" outlineLevelRow="1"/>
  <cols>
    <col min="1" max="1" width="11" style="96"/>
    <col min="2" max="2" width="55.83203125" customWidth="1"/>
    <col min="3" max="3" width="23" customWidth="1"/>
    <col min="4" max="4" width="17.6640625" style="359" customWidth="1"/>
    <col min="5" max="5" width="17.6640625" style="96" customWidth="1"/>
    <col min="6" max="6" width="15.6640625" style="96" bestFit="1" customWidth="1"/>
    <col min="7" max="7" width="41" customWidth="1"/>
    <col min="8" max="8" width="20.6640625" customWidth="1"/>
    <col min="9" max="9" width="4.33203125" customWidth="1"/>
    <col min="10" max="10" width="20.6640625" customWidth="1"/>
    <col min="11" max="11" width="4.33203125" customWidth="1"/>
    <col min="12" max="12" width="20.6640625" customWidth="1"/>
    <col min="13" max="13" width="4.33203125" customWidth="1"/>
    <col min="14" max="14" width="20.6640625" customWidth="1"/>
    <col min="15" max="15" width="4.33203125" customWidth="1"/>
    <col min="16" max="16" width="20.6640625" customWidth="1"/>
    <col min="17" max="17" width="4.33203125" customWidth="1"/>
    <col min="18" max="18" width="20.6640625" customWidth="1"/>
    <col min="19" max="19" width="4.33203125" customWidth="1"/>
    <col min="20" max="20" width="20.6640625" customWidth="1"/>
    <col min="21" max="21" width="4.1640625" customWidth="1"/>
    <col min="22" max="22" width="20.6640625" customWidth="1"/>
    <col min="23" max="23" width="4.1640625" customWidth="1"/>
    <col min="24" max="24" width="20.6640625" customWidth="1"/>
    <col min="25" max="25" width="4.1640625" customWidth="1"/>
    <col min="26" max="26" width="17.33203125" customWidth="1"/>
    <col min="27" max="27" width="4.1640625" customWidth="1"/>
    <col min="28" max="29" width="17.33203125" customWidth="1"/>
    <col min="30" max="30" width="4.1640625" style="96" customWidth="1"/>
    <col min="31" max="31" width="43.1640625" bestFit="1" customWidth="1"/>
    <col min="35" max="35" width="32" customWidth="1"/>
    <col min="36" max="36" width="16.6640625" customWidth="1"/>
    <col min="37" max="37" width="15.83203125" customWidth="1"/>
    <col min="38" max="38" width="16.1640625" customWidth="1"/>
    <col min="40" max="40" width="5.1640625" customWidth="1"/>
    <col min="41" max="41" width="17.1640625" customWidth="1"/>
    <col min="42" max="45" width="14.1640625" bestFit="1" customWidth="1"/>
    <col min="46" max="47" width="13.1640625" style="96" bestFit="1" customWidth="1"/>
    <col min="48" max="50" width="11" style="96"/>
    <col min="51" max="51" width="14.1640625" style="96" customWidth="1"/>
    <col min="52" max="52" width="14" style="96" bestFit="1" customWidth="1"/>
  </cols>
  <sheetData>
    <row r="1" spans="2:52" s="96" customFormat="1" ht="23" customHeight="1"/>
    <row r="2" spans="2:52" ht="134" customHeight="1" thickBot="1">
      <c r="B2" s="544" t="s">
        <v>4956</v>
      </c>
      <c r="C2" s="544"/>
      <c r="D2" s="544"/>
      <c r="E2" s="544"/>
      <c r="F2" s="544"/>
      <c r="G2" s="544"/>
      <c r="H2" s="544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  <c r="Z2" s="544"/>
      <c r="AA2" s="544"/>
      <c r="AB2" s="544"/>
      <c r="AC2" s="353"/>
      <c r="AE2" s="545" t="s">
        <v>4977</v>
      </c>
      <c r="AF2" s="545"/>
      <c r="AG2" s="545"/>
      <c r="AH2" s="545"/>
      <c r="AI2" s="545"/>
      <c r="AJ2" s="545"/>
      <c r="AK2" s="545"/>
      <c r="AL2" s="545"/>
      <c r="AM2" s="545"/>
      <c r="AN2" s="545"/>
      <c r="AO2" s="545"/>
      <c r="AP2" s="545"/>
      <c r="AQ2" s="545"/>
      <c r="AR2" s="545"/>
      <c r="AS2" s="545"/>
      <c r="AT2" s="425"/>
    </row>
    <row r="3" spans="2:52" ht="17" thickBot="1">
      <c r="B3" s="344" t="s">
        <v>0</v>
      </c>
      <c r="C3" s="332"/>
      <c r="D3" s="96"/>
      <c r="F3" s="368"/>
      <c r="G3" s="369" t="s">
        <v>1</v>
      </c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371"/>
      <c r="S3" s="371"/>
      <c r="T3" s="371"/>
      <c r="U3" s="371"/>
      <c r="V3" s="371"/>
      <c r="W3" s="371"/>
      <c r="X3" s="371"/>
      <c r="Y3" s="371"/>
      <c r="Z3" s="371"/>
      <c r="AA3" s="371"/>
      <c r="AB3" s="372"/>
      <c r="AC3" s="511"/>
      <c r="AE3" s="369" t="s">
        <v>4893</v>
      </c>
      <c r="AF3" s="394"/>
      <c r="AG3" s="420"/>
      <c r="AH3" s="96"/>
      <c r="AI3" s="369" t="s">
        <v>4890</v>
      </c>
      <c r="AJ3" s="399" t="s">
        <v>4898</v>
      </c>
      <c r="AK3" s="399">
        <f>AF5</f>
        <v>8418</v>
      </c>
      <c r="AL3" s="400">
        <f>AF8</f>
        <v>6596</v>
      </c>
      <c r="AM3" s="96"/>
      <c r="AN3" s="369" t="s">
        <v>4938</v>
      </c>
      <c r="AO3" s="370"/>
      <c r="AP3" s="370"/>
      <c r="AQ3" s="370"/>
      <c r="AR3" s="370"/>
      <c r="AS3" s="370"/>
      <c r="AT3" s="418"/>
    </row>
    <row r="4" spans="2:52">
      <c r="B4" s="345" t="s">
        <v>4942</v>
      </c>
      <c r="C4" s="333"/>
      <c r="D4" s="96"/>
      <c r="G4" s="373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374"/>
      <c r="AC4" s="96"/>
      <c r="AE4" s="395" t="s">
        <v>4894</v>
      </c>
      <c r="AF4" s="335" t="s">
        <v>20</v>
      </c>
      <c r="AG4" s="5"/>
      <c r="AH4" s="96"/>
      <c r="AI4" s="401"/>
      <c r="AJ4" s="402" t="str">
        <f>C71</f>
        <v>AG</v>
      </c>
      <c r="AK4" s="403" t="str">
        <f>INDEX(Taxes!$B$78:$B$2220,MATCH($AK$3,Taxes!$F$78:$F$2220,0))</f>
        <v>ZH</v>
      </c>
      <c r="AL4" s="404" t="str">
        <f>INDEX(Taxes!$B$78:$B$2220,MATCH($AL$3,Taxes!$F$78:$F$2220,0))</f>
        <v>TI</v>
      </c>
      <c r="AM4" s="96"/>
      <c r="AN4" s="373"/>
      <c r="AO4" s="96"/>
      <c r="AP4" s="96"/>
      <c r="AQ4" s="96"/>
      <c r="AR4" s="96"/>
      <c r="AS4" s="96"/>
      <c r="AT4" s="374"/>
    </row>
    <row r="5" spans="2:52">
      <c r="B5" s="346" t="s">
        <v>10</v>
      </c>
      <c r="C5" s="338">
        <v>28</v>
      </c>
      <c r="D5" s="96"/>
      <c r="G5" s="373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374"/>
      <c r="AC5" s="96"/>
      <c r="AE5" s="395" t="s">
        <v>4895</v>
      </c>
      <c r="AF5" s="335">
        <v>8418</v>
      </c>
      <c r="AG5" s="5"/>
      <c r="AH5" s="96"/>
      <c r="AI5" s="401"/>
      <c r="AJ5" s="402" t="str">
        <f>IF(ISTEXT($C$7),
    $C$7,
    INDEX(Taxes!$C$78:$C$2220, MATCH('General overview'!$C$7, Taxes!$F$78:$F$2220, 0))
)</f>
        <v>Stäfa</v>
      </c>
      <c r="AK5" s="403" t="str">
        <f>INDEX(Taxes!$C$78:$C$2220,MATCH($AK$3,Taxes!$F$78:$F$2220,0))</f>
        <v>Schlatt (ZH)</v>
      </c>
      <c r="AL5" s="404" t="str">
        <f>INDEX(Taxes!$C$78:$C$2220,MATCH($AL$3,Taxes!$F$78:$F$2220,0))</f>
        <v>Gordola</v>
      </c>
      <c r="AM5" s="96"/>
      <c r="AN5" s="373"/>
      <c r="AO5" s="423">
        <f>AP5-0.005</f>
        <v>4.0000000000000008E-2</v>
      </c>
      <c r="AP5" s="423">
        <f>AQ5-0.005</f>
        <v>4.5000000000000005E-2</v>
      </c>
      <c r="AQ5" s="423">
        <f>AF10</f>
        <v>0.05</v>
      </c>
      <c r="AR5" s="423">
        <f>AQ5+0.005</f>
        <v>5.5E-2</v>
      </c>
      <c r="AS5" s="423">
        <f>AR5+0.005</f>
        <v>0.06</v>
      </c>
      <c r="AT5" s="426">
        <f>AS5+0.005</f>
        <v>6.5000000000000002E-2</v>
      </c>
      <c r="AV5" s="364"/>
      <c r="AZ5" s="364"/>
    </row>
    <row r="6" spans="2:52">
      <c r="B6" s="346" t="s">
        <v>4</v>
      </c>
      <c r="C6" s="337">
        <v>100000</v>
      </c>
      <c r="D6" s="96"/>
      <c r="G6" s="373"/>
      <c r="H6" s="506" t="str">
        <f>B94</f>
        <v>Now</v>
      </c>
      <c r="I6" s="96"/>
      <c r="J6" s="506" t="str">
        <f>B95</f>
        <v>Wedding</v>
      </c>
      <c r="K6" s="96"/>
      <c r="L6" s="506" t="str">
        <f>B96</f>
        <v xml:space="preserve">Watch </v>
      </c>
      <c r="M6" s="96"/>
      <c r="N6" s="506" t="str">
        <f>B97</f>
        <v>Children</v>
      </c>
      <c r="O6" s="96"/>
      <c r="P6" s="506" t="str">
        <f>B98</f>
        <v>House</v>
      </c>
      <c r="Q6" s="96"/>
      <c r="R6" s="506" t="str">
        <f>B99</f>
        <v xml:space="preserve">Special travel </v>
      </c>
      <c r="S6" s="96"/>
      <c r="T6" s="506" t="str">
        <f>B100</f>
        <v>Car</v>
      </c>
      <c r="U6" s="96"/>
      <c r="V6" s="506" t="str">
        <f>B102</f>
        <v>Pension</v>
      </c>
      <c r="W6" s="96"/>
      <c r="X6" s="507" t="s">
        <v>4980</v>
      </c>
      <c r="Y6" s="96"/>
      <c r="Z6" s="96"/>
      <c r="AA6" s="96"/>
      <c r="AB6" s="374"/>
      <c r="AC6" s="96"/>
      <c r="AE6" s="395" t="s">
        <v>4897</v>
      </c>
      <c r="AF6" s="335">
        <v>40</v>
      </c>
      <c r="AG6" s="5" t="str">
        <f>"minimum"&amp;C5</f>
        <v>minimum28</v>
      </c>
      <c r="AH6" s="96"/>
      <c r="AI6" s="373" t="s">
        <v>51</v>
      </c>
      <c r="AJ6" s="96"/>
      <c r="AK6" s="96"/>
      <c r="AL6" s="374"/>
      <c r="AM6" s="96"/>
      <c r="AN6" s="419">
        <f>AN7-0.05</f>
        <v>0.44999999999999996</v>
      </c>
      <c r="AO6" s="422">
        <f t="shared" ref="AO6:AO12" si="0">PMT($AO$5,$D$196,-$D$194*AN6,$D$194*IF(AN6&gt;0.67,0.67,AN6))</f>
        <v>41635.748325134235</v>
      </c>
      <c r="AP6" s="422">
        <f t="shared" ref="AP6:AP12" si="1">PMT($AP$5,$D$196,-$D$194*AN6,$D$194*IF(AN6&gt;0.67,0.67,AN6))</f>
        <v>46840.216865776012</v>
      </c>
      <c r="AQ6" s="422">
        <f t="shared" ref="AQ6:AQ12" si="2">PMT($AQ$5,$D$196,-$D$194*AN6,$D$194*IF(AN6&gt;0.67,0.67,AN6))</f>
        <v>52044.68540641779</v>
      </c>
      <c r="AR6" s="422">
        <f t="shared" ref="AR6:AR12" si="3">PMT($AR$5,$D$196,-$D$194*AN6,$D$194*IF(AN6&gt;0.67,0.67,AN6))</f>
        <v>57249.15394705956</v>
      </c>
      <c r="AS6" s="422">
        <f t="shared" ref="AS6:AS12" si="4">PMT($AS$5,$D$196,-$D$194*AN6,$D$194*IF(AN6&gt;0.67,0.67,AN6))</f>
        <v>62453.622487701337</v>
      </c>
      <c r="AT6" s="427">
        <f t="shared" ref="AT6:AT12" si="5">PMT($AT$5,$D$196,-$D$194*AN6,$D$194*IF(AN6&gt;0.67,0.67,AN6))</f>
        <v>67658.091028343115</v>
      </c>
    </row>
    <row r="7" spans="2:52">
      <c r="B7" s="346" t="s">
        <v>15</v>
      </c>
      <c r="C7" s="430">
        <v>8712</v>
      </c>
      <c r="D7" s="96"/>
      <c r="G7" s="373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374"/>
      <c r="AC7" s="96"/>
      <c r="AE7" s="395" t="s">
        <v>4896</v>
      </c>
      <c r="AF7" s="335" t="s">
        <v>20</v>
      </c>
      <c r="AG7" s="5"/>
      <c r="AH7" s="96"/>
      <c r="AI7" s="405" t="s">
        <v>4899</v>
      </c>
      <c r="AJ7" s="365">
        <f ca="1">INDEX(Taxes!$H$78:$H$2220,MATCH('General overview'!$C$72,Taxes!$F$78:$F$2220,0))</f>
        <v>6804.3246087429152</v>
      </c>
      <c r="AK7" s="365">
        <f ca="1">INDEX(Taxes!$H$78:$H$2220,MATCH($AK$3,Taxes!$F$78:$F$2220,0))</f>
        <v>6804.3246087429152</v>
      </c>
      <c r="AL7" s="406">
        <f ca="1">INDEX(Taxes!$H$78:$H$2220,MATCH($AL$3,Taxes!$F$78:$F$2220,0))</f>
        <v>6804.3246087429152</v>
      </c>
      <c r="AM7" s="96"/>
      <c r="AN7" s="419">
        <f>AN8-0.05</f>
        <v>0.49999999999999994</v>
      </c>
      <c r="AO7" s="422">
        <f t="shared" si="0"/>
        <v>46261.94258348248</v>
      </c>
      <c r="AP7" s="422">
        <f t="shared" si="1"/>
        <v>52044.685406417782</v>
      </c>
      <c r="AQ7" s="422">
        <f t="shared" si="2"/>
        <v>57827.428229353092</v>
      </c>
      <c r="AR7" s="422">
        <f t="shared" si="3"/>
        <v>63610.171052288395</v>
      </c>
      <c r="AS7" s="422">
        <f t="shared" si="4"/>
        <v>69392.913875223705</v>
      </c>
      <c r="AT7" s="427">
        <f t="shared" si="5"/>
        <v>75175.656698159015</v>
      </c>
    </row>
    <row r="8" spans="2:52">
      <c r="B8" s="346" t="s">
        <v>4944</v>
      </c>
      <c r="C8" s="335" t="s">
        <v>20</v>
      </c>
      <c r="D8" s="96"/>
      <c r="G8" s="373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374"/>
      <c r="AC8" s="96"/>
      <c r="AE8" s="395" t="s">
        <v>4895</v>
      </c>
      <c r="AF8" s="335">
        <v>6596</v>
      </c>
      <c r="AG8" s="5"/>
      <c r="AH8" s="96"/>
      <c r="AI8" s="405" t="s">
        <v>4900</v>
      </c>
      <c r="AJ8" s="365">
        <f ca="1">INDEX(Taxes!$I$78:$I$2220,MATCH('General overview'!$C$72,Taxes!$F$78:$F$2220,0))</f>
        <v>16394.585056174608</v>
      </c>
      <c r="AK8" s="365">
        <f ca="1">INDEX(Taxes!$I$78:$I$2220,MATCH($AK$3,Taxes!$F$78:$F$2220,0))</f>
        <v>10580.888116568058</v>
      </c>
      <c r="AL8" s="406">
        <f ca="1">INDEX(Taxes!$I$78:$I$2220,MATCH($AL$3,Taxes!$F$78:$F$2220,0))</f>
        <v>14856.933262032484</v>
      </c>
      <c r="AM8" s="96"/>
      <c r="AN8" s="419">
        <f>AN9-0.05</f>
        <v>0.54999999999999993</v>
      </c>
      <c r="AO8" s="422">
        <f t="shared" si="0"/>
        <v>50888.136841830732</v>
      </c>
      <c r="AP8" s="422">
        <f t="shared" si="1"/>
        <v>57249.153947059567</v>
      </c>
      <c r="AQ8" s="422">
        <f t="shared" si="2"/>
        <v>63610.17105228841</v>
      </c>
      <c r="AR8" s="422">
        <f t="shared" si="3"/>
        <v>69971.188157517245</v>
      </c>
      <c r="AS8" s="422">
        <f t="shared" si="4"/>
        <v>76332.20526274608</v>
      </c>
      <c r="AT8" s="427">
        <f t="shared" si="5"/>
        <v>82693.22236797493</v>
      </c>
      <c r="AU8" s="364"/>
      <c r="AW8" s="356"/>
      <c r="AZ8" s="357"/>
    </row>
    <row r="9" spans="2:52">
      <c r="B9" s="345" t="s">
        <v>4943</v>
      </c>
      <c r="C9" s="333"/>
      <c r="D9" s="96"/>
      <c r="G9" s="518" t="s">
        <v>13</v>
      </c>
      <c r="H9" s="355">
        <f>A93</f>
        <v>28</v>
      </c>
      <c r="I9" s="355"/>
      <c r="J9" s="508">
        <f>A94</f>
        <v>30</v>
      </c>
      <c r="K9" s="355"/>
      <c r="L9" s="508">
        <f>A95</f>
        <v>31</v>
      </c>
      <c r="M9" s="355"/>
      <c r="N9" s="508">
        <f>A96</f>
        <v>32</v>
      </c>
      <c r="O9" s="355"/>
      <c r="P9" s="508">
        <f>A97</f>
        <v>38</v>
      </c>
      <c r="Q9" s="96"/>
      <c r="R9" s="508">
        <f>A98</f>
        <v>40</v>
      </c>
      <c r="S9" s="96"/>
      <c r="T9" s="508">
        <f>A99</f>
        <v>50</v>
      </c>
      <c r="U9" s="96"/>
      <c r="V9" s="508">
        <f>A101</f>
        <v>65</v>
      </c>
      <c r="W9" s="96"/>
      <c r="X9" s="508">
        <f>V9+10</f>
        <v>75</v>
      </c>
      <c r="Y9" s="96"/>
      <c r="Z9" s="96"/>
      <c r="AA9" s="96"/>
      <c r="AB9" s="374"/>
      <c r="AC9" s="96"/>
      <c r="AE9" s="395" t="s">
        <v>4897</v>
      </c>
      <c r="AF9" s="335">
        <v>28</v>
      </c>
      <c r="AG9" s="5"/>
      <c r="AH9" s="96"/>
      <c r="AI9" s="405" t="s">
        <v>4901</v>
      </c>
      <c r="AJ9" s="365">
        <f ca="1">INDEX(Taxes!$J$78:$J$2220,MATCH('General overview'!$C$72,Taxes!$F$78:$F$2220,0))</f>
        <v>14755.126550557148</v>
      </c>
      <c r="AK9" s="365">
        <f ca="1">INDEX(Taxes!$J$78:$J$2220,MATCH($AK$3,Taxes!$F$78:$F$2220,0))</f>
        <v>13226.11014571007</v>
      </c>
      <c r="AL9" s="406">
        <f ca="1">INDEX(Taxes!$J$78:$J$2220,MATCH($AL$3,Taxes!$F$78:$F$2220,0))</f>
        <v>12776.962605347937</v>
      </c>
      <c r="AM9" s="96"/>
      <c r="AN9" s="419">
        <f>AF11</f>
        <v>0.6</v>
      </c>
      <c r="AO9" s="422">
        <f t="shared" si="0"/>
        <v>55514.331100178984</v>
      </c>
      <c r="AP9" s="422">
        <f t="shared" si="1"/>
        <v>62453.622487701352</v>
      </c>
      <c r="AQ9" s="422">
        <f t="shared" si="2"/>
        <v>69392.91387522372</v>
      </c>
      <c r="AR9" s="422">
        <f t="shared" si="3"/>
        <v>76332.205262746094</v>
      </c>
      <c r="AS9" s="422">
        <f t="shared" si="4"/>
        <v>83271.496650268455</v>
      </c>
      <c r="AT9" s="427">
        <f t="shared" si="5"/>
        <v>90210.788037790844</v>
      </c>
      <c r="AU9" s="364"/>
      <c r="AW9" s="356"/>
      <c r="AZ9" s="365"/>
    </row>
    <row r="10" spans="2:52">
      <c r="B10" s="346" t="s">
        <v>4859</v>
      </c>
      <c r="C10" s="341">
        <v>70000</v>
      </c>
      <c r="D10" s="96"/>
      <c r="G10" s="518" t="s">
        <v>16</v>
      </c>
      <c r="H10" s="355">
        <f ca="1">YEAR(TODAY())</f>
        <v>2024</v>
      </c>
      <c r="I10" s="96"/>
      <c r="J10" s="355">
        <f ca="1">$H$10+(J9-$H$9)</f>
        <v>2026</v>
      </c>
      <c r="K10" s="96"/>
      <c r="L10" s="355">
        <f ca="1">$H$10+(L9-$H$9)</f>
        <v>2027</v>
      </c>
      <c r="M10" s="96"/>
      <c r="N10" s="355">
        <f ca="1">$H$10+(N9-$H$9)</f>
        <v>2028</v>
      </c>
      <c r="O10" s="96"/>
      <c r="P10" s="355">
        <f ca="1">$H$10+(P9-$H$9)</f>
        <v>2034</v>
      </c>
      <c r="Q10" s="96"/>
      <c r="R10" s="355">
        <f ca="1">$H$10+(R9-$H$9)</f>
        <v>2036</v>
      </c>
      <c r="S10" s="96"/>
      <c r="T10" s="355">
        <f ca="1">$H$10+(T9-$H$9)</f>
        <v>2046</v>
      </c>
      <c r="U10" s="96"/>
      <c r="V10" s="355">
        <f ca="1">$H$10+(V9-$H$9)</f>
        <v>2061</v>
      </c>
      <c r="W10" s="96"/>
      <c r="X10" s="508">
        <f ca="1">V10+10</f>
        <v>2071</v>
      </c>
      <c r="Y10" s="96"/>
      <c r="Z10" s="96"/>
      <c r="AA10" s="96"/>
      <c r="AB10" s="374"/>
      <c r="AC10" s="96"/>
      <c r="AE10" s="395" t="s">
        <v>4935</v>
      </c>
      <c r="AF10" s="396">
        <v>0.05</v>
      </c>
      <c r="AG10" s="421"/>
      <c r="AH10" s="96"/>
      <c r="AI10" s="405" t="s">
        <v>2501</v>
      </c>
      <c r="AJ10" s="407">
        <f ca="1">SUM(AJ7:AJ9)</f>
        <v>37954.036215474669</v>
      </c>
      <c r="AK10" s="407">
        <f t="shared" ref="AK10:AL10" ca="1" si="6">SUM(AK7:AK9)</f>
        <v>30611.322871021042</v>
      </c>
      <c r="AL10" s="408">
        <f t="shared" ca="1" si="6"/>
        <v>34438.220476123337</v>
      </c>
      <c r="AM10" s="96"/>
      <c r="AN10" s="419">
        <f t="shared" ref="AN10:AN12" si="7">AN9+0.05</f>
        <v>0.65</v>
      </c>
      <c r="AO10" s="422">
        <f t="shared" si="0"/>
        <v>60140.525358527237</v>
      </c>
      <c r="AP10" s="422">
        <f t="shared" si="1"/>
        <v>67658.091028343144</v>
      </c>
      <c r="AQ10" s="422">
        <f t="shared" si="2"/>
        <v>75175.656698159044</v>
      </c>
      <c r="AR10" s="422">
        <f t="shared" si="3"/>
        <v>82693.222367974944</v>
      </c>
      <c r="AS10" s="422">
        <f t="shared" si="4"/>
        <v>90210.788037790844</v>
      </c>
      <c r="AT10" s="427">
        <f t="shared" si="5"/>
        <v>97728.353707606744</v>
      </c>
    </row>
    <row r="11" spans="2:52" ht="17" thickBot="1">
      <c r="B11" s="346" t="s">
        <v>4860</v>
      </c>
      <c r="C11" s="342">
        <v>22</v>
      </c>
      <c r="D11" s="96"/>
      <c r="G11" s="373"/>
      <c r="H11" s="355"/>
      <c r="I11" s="96"/>
      <c r="J11" s="355"/>
      <c r="K11" s="96"/>
      <c r="L11" s="355"/>
      <c r="M11" s="96"/>
      <c r="N11" s="355"/>
      <c r="O11" s="96"/>
      <c r="P11" s="355"/>
      <c r="Q11" s="96"/>
      <c r="R11" s="355"/>
      <c r="S11" s="96"/>
      <c r="T11" s="355"/>
      <c r="U11" s="96"/>
      <c r="V11" s="355"/>
      <c r="W11" s="96"/>
      <c r="X11" s="96"/>
      <c r="Y11" s="96"/>
      <c r="Z11" s="96"/>
      <c r="AA11" s="96"/>
      <c r="AB11" s="374"/>
      <c r="AC11" s="96"/>
      <c r="AE11" s="397" t="s">
        <v>4936</v>
      </c>
      <c r="AF11" s="398">
        <v>0.6</v>
      </c>
      <c r="AG11" s="421"/>
      <c r="AH11" s="96"/>
      <c r="AI11" s="373" t="s">
        <v>55</v>
      </c>
      <c r="AJ11" s="357">
        <f ca="1">INDEX('CF Timeline'!C18:BC18,MATCH(AF6,'CF Timeline'!C4:BC4,0))</f>
        <v>56296.468438560994</v>
      </c>
      <c r="AK11" s="357">
        <f ca="1">VLOOKUP(AK4,'RC'!$A$3:$F$28,IF((INDEX('CF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</f>
        <v>56296.468438560994</v>
      </c>
      <c r="AL11" s="409">
        <f ca="1">VLOOKUP(AL4,'RC'!$A$3:$F$28,IF((INDEX('CF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</f>
        <v>41665.615174338105</v>
      </c>
      <c r="AM11" s="96"/>
      <c r="AN11" s="419">
        <f t="shared" si="7"/>
        <v>0.70000000000000007</v>
      </c>
      <c r="AO11" s="422">
        <f t="shared" si="0"/>
        <v>66240.52383670726</v>
      </c>
      <c r="AP11" s="422">
        <f t="shared" si="1"/>
        <v>74230.950471388089</v>
      </c>
      <c r="AQ11" s="422">
        <f t="shared" si="2"/>
        <v>82227.724977441496</v>
      </c>
      <c r="AR11" s="422">
        <f t="shared" si="3"/>
        <v>90230.607696796855</v>
      </c>
      <c r="AS11" s="422">
        <f t="shared" si="4"/>
        <v>98239.351536499176</v>
      </c>
      <c r="AT11" s="427">
        <f t="shared" si="5"/>
        <v>106253.70417179121</v>
      </c>
    </row>
    <row r="12" spans="2:52">
      <c r="B12" s="346" t="s">
        <v>4861</v>
      </c>
      <c r="C12" s="342">
        <v>60</v>
      </c>
      <c r="D12" s="96"/>
      <c r="G12" s="373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374"/>
      <c r="AC12" s="96"/>
      <c r="AE12" s="96"/>
      <c r="AF12" s="96"/>
      <c r="AG12" s="96"/>
      <c r="AH12" s="96"/>
      <c r="AI12" s="373" t="s">
        <v>54</v>
      </c>
      <c r="AJ12" s="365">
        <f>IF('General overview'!$C$8="Yes",
SUMIF('Health insurance'!$B$12:$B$37,AJ4,'Health insurance'!$F$12:$F$37)*2,
SUMIF('Health insurance'!$B$12:$B$37,AJ4,'Health insurance'!$F$12:$F$37)
)</f>
        <v>7480.2070045398177</v>
      </c>
      <c r="AK12" s="365">
        <f>IF('General overview'!$C$8="Yes",
SUMIF('Health insurance'!$B$12:$B$37,AK4,'Health insurance'!$F$12:$F$37)*2,
SUMIF('Health insurance'!$B$12:$B$37,AK4,'Health insurance'!$F$12:$F$37)
)</f>
        <v>7909.1422627686034</v>
      </c>
      <c r="AL12" s="406">
        <f>IF('General overview'!$C$8="Yes",
SUMIF('Health insurance'!$B$12:$B$37,AL4,'Health insurance'!$F$12:$F$37)*2,
SUMIF('Health insurance'!$B$12:$B$37,AL4,'Health insurance'!$F$12:$F$37)
)</f>
        <v>9656.9264982691329</v>
      </c>
      <c r="AM12" s="96"/>
      <c r="AN12" s="419">
        <f t="shared" si="7"/>
        <v>0.75000000000000011</v>
      </c>
      <c r="AO12" s="422">
        <f t="shared" si="0"/>
        <v>73323.058461441789</v>
      </c>
      <c r="AP12" s="422">
        <f t="shared" si="1"/>
        <v>81716.070516035135</v>
      </c>
      <c r="AQ12" s="422">
        <f t="shared" si="2"/>
        <v>90126.010227622057</v>
      </c>
      <c r="AR12" s="422">
        <f t="shared" si="3"/>
        <v>98552.238508014154</v>
      </c>
      <c r="AS12" s="422">
        <f t="shared" si="4"/>
        <v>106994.09644266478</v>
      </c>
      <c r="AT12" s="427">
        <f t="shared" si="5"/>
        <v>115450.9111655547</v>
      </c>
      <c r="AW12" s="356"/>
      <c r="AZ12" s="363"/>
    </row>
    <row r="13" spans="2:52">
      <c r="B13" s="346" t="s">
        <v>4951</v>
      </c>
      <c r="C13" s="341">
        <v>180000</v>
      </c>
      <c r="D13" s="96"/>
      <c r="G13" s="373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374"/>
      <c r="AC13" s="96"/>
      <c r="AE13" s="96"/>
      <c r="AF13" s="96"/>
      <c r="AG13" s="96"/>
      <c r="AH13" s="96"/>
      <c r="AI13" s="373" t="s">
        <v>56</v>
      </c>
      <c r="AJ13" s="357">
        <f ca="1">VLOOKUP(AJ4,RE!$A$3:$F$28,IF((INDEX('CF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</f>
        <v>12553.612938717928</v>
      </c>
      <c r="AK13" s="357">
        <f ca="1">VLOOKUP(AK4,RE!$A$3:$F$28,IF((INDEX('CF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</f>
        <v>19189.1832320834</v>
      </c>
      <c r="AL13" s="409">
        <f ca="1">VLOOKUP(AL4,RE!$A$3:$F$28,IF((INDEX('CF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</f>
        <v>10572.372187759629</v>
      </c>
      <c r="AM13" s="96"/>
      <c r="AN13" s="373"/>
      <c r="AO13" s="96"/>
      <c r="AP13" s="96"/>
      <c r="AQ13" s="96"/>
      <c r="AR13" s="96"/>
      <c r="AS13" s="96"/>
      <c r="AT13" s="374"/>
      <c r="AW13" s="356"/>
    </row>
    <row r="14" spans="2:52">
      <c r="B14" s="345" t="s">
        <v>4945</v>
      </c>
      <c r="C14" s="333"/>
      <c r="D14" s="96"/>
      <c r="G14" s="375" t="s">
        <v>4867</v>
      </c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96"/>
      <c r="Z14" s="96" t="s">
        <v>4988</v>
      </c>
      <c r="AA14" s="96"/>
      <c r="AB14" s="374"/>
      <c r="AC14" s="96"/>
      <c r="AE14" s="96"/>
      <c r="AF14" s="96"/>
      <c r="AG14" s="96"/>
      <c r="AH14" s="96"/>
      <c r="AI14" s="373" t="s">
        <v>5</v>
      </c>
      <c r="AJ14" s="365">
        <f ca="1">INDEX('CF Timeline'!$C$24:$BC$24, MATCH('General overview'!$AF$6,'CF Timeline'!C4:BC4))</f>
        <v>52060.620160735605</v>
      </c>
      <c r="AK14" s="357">
        <f ca="1">VLOOKUP(AK4,Children!$G$5:$L$30,IF((INDEX('CF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Timeline'!$C$4:$BC$4)))*VLOOKUP('General overview'!$AF$6,Children!$A$4:$E$86,5,FALSE)</f>
        <v>52060.620160735598</v>
      </c>
      <c r="AL14" s="409">
        <f ca="1">VLOOKUP(AL4,Children!$G$5:$L$30,IF((INDEX('CF Timeline'!$C$15:$BC$15,MATCH($AF$6,'CF Timeline'!$C$4:$BC$4)))&lt;56028,2,IF((INDEX('CF Timeline'!$C$15:$BC$15,MATCH($AF$6,'CF Timeline'!$C$4:$BC$4)))&lt;84048,3,IF((INDEX('CF Timeline'!$C$15:$BC$15,MATCH($AF$6,'CF Timeline'!$C$4:$BC$4)))&lt;116796,4,IF((INDEX('CF Timeline'!$C$15:$BC$15,MATCH($AF$6,'CF Timeline'!$C$4:$BC$4)))&lt;164592,5,6)))),FALSE)*(INDEX('CF Timeline'!$C$15:$BC$15,MATCH($AF$6,'CF Timeline'!$C$4:$BC$4)))*VLOOKUP('General overview'!$AF$6,Children!$A$4:$E$86,5,FALSE)</f>
        <v>48462.610104970474</v>
      </c>
      <c r="AM14" s="96"/>
      <c r="AN14" s="428" t="s">
        <v>4937</v>
      </c>
      <c r="AO14" s="424"/>
      <c r="AP14" s="424"/>
      <c r="AQ14" s="424"/>
      <c r="AR14" s="424"/>
      <c r="AS14" s="424"/>
      <c r="AT14" s="376"/>
    </row>
    <row r="15" spans="2:52" ht="17" thickBot="1">
      <c r="B15" s="346" t="s">
        <v>6</v>
      </c>
      <c r="C15" s="337">
        <v>50000</v>
      </c>
      <c r="D15" s="96"/>
      <c r="G15" s="377" t="s">
        <v>13</v>
      </c>
      <c r="H15" s="135">
        <f>H9</f>
        <v>28</v>
      </c>
      <c r="I15" s="135"/>
      <c r="J15" s="135">
        <f>J9</f>
        <v>30</v>
      </c>
      <c r="K15" s="135"/>
      <c r="L15" s="135">
        <f>L9</f>
        <v>31</v>
      </c>
      <c r="M15" s="135"/>
      <c r="N15" s="135">
        <f>N9</f>
        <v>32</v>
      </c>
      <c r="O15" s="135"/>
      <c r="P15" s="135">
        <f>P9</f>
        <v>38</v>
      </c>
      <c r="Q15" s="135"/>
      <c r="R15" s="135">
        <f>R9</f>
        <v>40</v>
      </c>
      <c r="S15" s="135"/>
      <c r="T15" s="135">
        <f>T9</f>
        <v>50</v>
      </c>
      <c r="U15" s="135"/>
      <c r="V15" s="135">
        <f>V9</f>
        <v>65</v>
      </c>
      <c r="W15" s="135"/>
      <c r="X15" s="135">
        <f>X9</f>
        <v>75</v>
      </c>
      <c r="Y15" s="96"/>
      <c r="Z15" s="96"/>
      <c r="AA15" s="96"/>
      <c r="AB15" s="374"/>
      <c r="AC15" s="96"/>
      <c r="AE15" s="96"/>
      <c r="AF15" s="96"/>
      <c r="AG15" s="96"/>
      <c r="AH15" s="96"/>
      <c r="AI15" s="373" t="s">
        <v>4939</v>
      </c>
      <c r="AJ15" s="357">
        <f ca="1">SUM(AJ11:AJ14)</f>
        <v>128390.90854255435</v>
      </c>
      <c r="AK15" s="357">
        <f t="shared" ref="AK15:AL15" ca="1" si="8">SUM(AK11:AK14)</f>
        <v>135455.41409414858</v>
      </c>
      <c r="AL15" s="409">
        <f t="shared" ca="1" si="8"/>
        <v>110357.52396533734</v>
      </c>
      <c r="AM15" s="96"/>
      <c r="AN15" s="373"/>
      <c r="AO15" s="96"/>
      <c r="AP15" s="96"/>
      <c r="AQ15" s="96"/>
      <c r="AR15" s="96"/>
      <c r="AS15" s="96"/>
      <c r="AT15" s="374"/>
    </row>
    <row r="16" spans="2:52" ht="17" thickBot="1">
      <c r="B16" s="346" t="s">
        <v>8</v>
      </c>
      <c r="C16" s="337"/>
      <c r="D16" s="96"/>
      <c r="G16" s="377" t="s">
        <v>16</v>
      </c>
      <c r="H16" s="135">
        <f>'CF Timeline'!C5</f>
        <v>2024</v>
      </c>
      <c r="I16" s="135"/>
      <c r="J16" s="135">
        <f>H16+(J15-H15)</f>
        <v>2026</v>
      </c>
      <c r="K16" s="135"/>
      <c r="L16" s="135">
        <f>J16+(L15-J15)</f>
        <v>2027</v>
      </c>
      <c r="M16" s="135"/>
      <c r="N16" s="135">
        <f>L16+(N15-L15)</f>
        <v>2028</v>
      </c>
      <c r="O16" s="135"/>
      <c r="P16" s="135">
        <f>N16+(P15-N15)</f>
        <v>2034</v>
      </c>
      <c r="Q16" s="135"/>
      <c r="R16" s="135">
        <f>P16+(R15-P15)</f>
        <v>2036</v>
      </c>
      <c r="S16" s="135"/>
      <c r="T16" s="135">
        <f>R16+(T15-R15)</f>
        <v>2046</v>
      </c>
      <c r="U16" s="135"/>
      <c r="V16" s="135">
        <f>T16+(V15-T15)</f>
        <v>2061</v>
      </c>
      <c r="W16" s="135"/>
      <c r="X16" s="135">
        <f>V16+(X15-V15)</f>
        <v>2071</v>
      </c>
      <c r="Y16" s="96"/>
      <c r="Z16" s="96"/>
      <c r="AA16" s="96"/>
      <c r="AB16" s="374"/>
      <c r="AC16" s="96"/>
      <c r="AE16" s="96"/>
      <c r="AF16" s="96"/>
      <c r="AG16" s="96"/>
      <c r="AH16" s="96"/>
      <c r="AI16" s="373"/>
      <c r="AJ16" s="96"/>
      <c r="AK16" s="96"/>
      <c r="AL16" s="374"/>
      <c r="AM16" s="96"/>
      <c r="AN16" s="373" t="str">
        <f>AJ5 &amp; $C$30&amp;" Prices"</f>
        <v>StäfaHouse Prices</v>
      </c>
      <c r="AO16" s="96"/>
      <c r="AP16" s="362">
        <f>VLOOKUP(AJ5,Realestate!$B$2:$G$2407,IF($C$30="Flat",4,IF($C$30="House",5,0)),FALSE)</f>
        <v>12457</v>
      </c>
      <c r="AQ16" s="96"/>
      <c r="AR16" s="96"/>
      <c r="AS16" s="96"/>
      <c r="AT16" s="374"/>
      <c r="AV16" s="366"/>
    </row>
    <row r="17" spans="2:48" ht="17" thickBot="1">
      <c r="B17" s="346" t="s">
        <v>4868</v>
      </c>
      <c r="C17" s="337"/>
      <c r="D17" s="96"/>
      <c r="G17" s="378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374"/>
      <c r="AC17" s="96"/>
      <c r="AE17" s="96"/>
      <c r="AF17" s="96"/>
      <c r="AG17" s="96"/>
      <c r="AH17" s="96"/>
      <c r="AI17" s="373"/>
      <c r="AJ17" s="96"/>
      <c r="AK17" s="96"/>
      <c r="AL17" s="374"/>
      <c r="AM17" s="96"/>
      <c r="AN17" s="373" t="str">
        <f>AK5 &amp; $C$30&amp;" Prices"</f>
        <v>Schlatt (ZH)House Prices</v>
      </c>
      <c r="AO17" s="96"/>
      <c r="AP17" s="362">
        <f>VLOOKUP(AK5,Realestate!$B$2:$G$2407,IF($C$30="Flat",4,IF($C$30="House",5,0)),FALSE)</f>
        <v>8529</v>
      </c>
      <c r="AQ17" s="96"/>
      <c r="AR17" s="96"/>
      <c r="AS17" s="96"/>
      <c r="AT17" s="374"/>
      <c r="AV17" s="366"/>
    </row>
    <row r="18" spans="2:48" ht="17" thickBot="1">
      <c r="B18" s="346" t="s">
        <v>4916</v>
      </c>
      <c r="C18" s="341"/>
      <c r="D18" s="96"/>
      <c r="G18" s="524" t="s">
        <v>39</v>
      </c>
      <c r="H18" s="525"/>
      <c r="I18" s="525"/>
      <c r="J18" s="525"/>
      <c r="K18" s="525"/>
      <c r="L18" s="525"/>
      <c r="M18" s="525"/>
      <c r="N18" s="525"/>
      <c r="O18" s="525"/>
      <c r="P18" s="525"/>
      <c r="Q18" s="525"/>
      <c r="R18" s="525"/>
      <c r="S18" s="525"/>
      <c r="T18" s="525"/>
      <c r="U18" s="525"/>
      <c r="V18" s="525"/>
      <c r="W18" s="525"/>
      <c r="X18" s="525"/>
      <c r="Y18" s="96"/>
      <c r="Z18" s="96"/>
      <c r="AA18" s="96"/>
      <c r="AB18" s="374"/>
      <c r="AC18" s="96"/>
      <c r="AE18" s="96"/>
      <c r="AF18" s="96"/>
      <c r="AG18" s="96"/>
      <c r="AH18" s="96"/>
      <c r="AI18" s="410" t="s">
        <v>4891</v>
      </c>
      <c r="AJ18" s="82" t="s">
        <v>4906</v>
      </c>
      <c r="AK18" s="82" t="s">
        <v>4905</v>
      </c>
      <c r="AL18" s="411" t="s">
        <v>4907</v>
      </c>
      <c r="AM18" s="96"/>
      <c r="AN18" s="373" t="str">
        <f>AL5 &amp; $C$30&amp;" Prices"</f>
        <v>GordolaHouse Prices</v>
      </c>
      <c r="AO18" s="96"/>
      <c r="AP18" s="362">
        <f>VLOOKUP(AL5,Realestate!$B$2:$G$2407,IF($C$30="Flat",4,IF($C$30="House",5,0)),FALSE)</f>
        <v>7688</v>
      </c>
      <c r="AQ18" s="96"/>
      <c r="AR18" s="96"/>
      <c r="AS18" s="96"/>
      <c r="AT18" s="374"/>
    </row>
    <row r="19" spans="2:48" outlineLevel="1">
      <c r="B19" s="346" t="s">
        <v>4915</v>
      </c>
      <c r="C19" s="341"/>
      <c r="D19" s="96"/>
      <c r="G19" s="526" t="s">
        <v>48</v>
      </c>
      <c r="H19" s="527">
        <f>INDEX('CF Timeline'!$C9:$BC9,MATCH('General overview'!H$15,'CF Timeline'!$C$4:$BC$4))</f>
        <v>100000</v>
      </c>
      <c r="I19" s="527"/>
      <c r="J19" s="527">
        <f>INDEX('CF Timeline'!$C9:$BC9,MATCH('General overview'!J$15,'CF Timeline'!$C$4:$BC$4))</f>
        <v>107523.2132099712</v>
      </c>
      <c r="K19" s="527"/>
      <c r="L19" s="527">
        <f>INDEX('CF Timeline'!$C9:$BC9,MATCH('General overview'!L$15,'CF Timeline'!$C$4:$BC$4))</f>
        <v>111431.18112786009</v>
      </c>
      <c r="M19" s="527"/>
      <c r="N19" s="527">
        <f>INDEX('CF Timeline'!$C9:$BC9,MATCH('General overview'!N$15,'CF Timeline'!$C$4:$BC$4))</f>
        <v>115440.50142539543</v>
      </c>
      <c r="O19" s="527"/>
      <c r="P19" s="527">
        <f>INDEX('CF Timeline'!$C9:$BC9,MATCH('General overview'!P$15,'CF Timeline'!$C$4:$BC$4))</f>
        <v>141795.73216322847</v>
      </c>
      <c r="Q19" s="527"/>
      <c r="R19" s="527">
        <f>INDEX('CF Timeline'!$C9:$BC9,MATCH('General overview'!R$15,'CF Timeline'!$C$4:$BC$4))</f>
        <v>151535.61077380291</v>
      </c>
      <c r="S19" s="527"/>
      <c r="T19" s="527">
        <f>INDEX('CF Timeline'!$C9:$BC9,MATCH('General overview'!T$15,'CF Timeline'!$C$4:$BC$4))</f>
        <v>208760.12044740084</v>
      </c>
      <c r="U19" s="527"/>
      <c r="V19" s="527">
        <f>INDEX('CF Timeline'!$C9:$BC9,MATCH('General overview'!V$15,'CF Timeline'!$C$4:$BC$4))</f>
        <v>329446.52923808293</v>
      </c>
      <c r="W19" s="527"/>
      <c r="X19" s="527">
        <f>INDEX('CF Timeline'!$C9:$BC9,MATCH('General overview'!X$15,'CF Timeline'!$C$4:$BC$4))</f>
        <v>107583.77781328086</v>
      </c>
      <c r="Y19" s="365"/>
      <c r="Z19" s="365"/>
      <c r="AA19" s="365"/>
      <c r="AB19" s="406"/>
      <c r="AC19" s="365"/>
      <c r="AE19" s="96"/>
      <c r="AF19" s="96"/>
      <c r="AG19" s="96"/>
      <c r="AH19" s="96"/>
      <c r="AI19" s="401"/>
      <c r="AJ19" s="402"/>
      <c r="AK19" s="402" t="str">
        <f>$C$71</f>
        <v>AG</v>
      </c>
      <c r="AL19" s="404"/>
      <c r="AM19" s="96"/>
      <c r="AN19" s="373"/>
      <c r="AO19" s="96"/>
      <c r="AP19" s="96"/>
      <c r="AQ19" s="96"/>
      <c r="AR19" s="96"/>
      <c r="AS19" s="96"/>
      <c r="AT19" s="374"/>
    </row>
    <row r="20" spans="2:48" ht="17" outlineLevel="1" thickBot="1">
      <c r="B20" s="346" t="s">
        <v>4951</v>
      </c>
      <c r="C20" s="341">
        <v>300000</v>
      </c>
      <c r="D20" s="96"/>
      <c r="G20" s="528" t="s">
        <v>49</v>
      </c>
      <c r="H20" s="527">
        <f>INDEX('CF Timeline'!$C10:$BC10,MATCH('General overview'!H$15,'CF Timeline'!$C$4:$BC$4))</f>
        <v>10473.9</v>
      </c>
      <c r="I20" s="527"/>
      <c r="J20" s="527">
        <f>INDEX('CF Timeline'!$C10:$BC10,MATCH('General overview'!J$15,'CF Timeline'!$C$4:$BC$4))</f>
        <v>11331.546305936718</v>
      </c>
      <c r="K20" s="527"/>
      <c r="L20" s="527">
        <f>INDEX('CF Timeline'!$C10:$BC10,MATCH('General overview'!L$15,'CF Timeline'!$C$4:$BC$4))</f>
        <v>11777.054648576051</v>
      </c>
      <c r="M20" s="527"/>
      <c r="N20" s="527">
        <f>INDEX('CF Timeline'!$C10:$BC10,MATCH('General overview'!N$15,'CF Timeline'!$C$4:$BC$4))</f>
        <v>12234.11716249508</v>
      </c>
      <c r="O20" s="527"/>
      <c r="P20" s="527">
        <f>INDEX('CF Timeline'!$C10:$BC10,MATCH('General overview'!P$15,'CF Timeline'!$C$4:$BC$4))</f>
        <v>16968.649449056473</v>
      </c>
      <c r="Q20" s="527"/>
      <c r="R20" s="527">
        <f>INDEX('CF Timeline'!$C10:$BC10,MATCH('General overview'!R$15,'CF Timeline'!$C$4:$BC$4))</f>
        <v>18225.093789820574</v>
      </c>
      <c r="S20" s="527"/>
      <c r="T20" s="527">
        <f>INDEX('CF Timeline'!$C10:$BC10,MATCH('General overview'!T$15,'CF Timeline'!$C$4:$BC$4))</f>
        <v>30164.558548899728</v>
      </c>
      <c r="U20" s="527"/>
      <c r="V20" s="527">
        <f>INDEX('CF Timeline'!$C10:$BC10,MATCH('General overview'!V$15,'CF Timeline'!$C$4:$BC$4))</f>
        <v>53295.063441236009</v>
      </c>
      <c r="W20" s="527"/>
      <c r="X20" s="527">
        <f>INDEX('CF Timeline'!$C10:$BC10,MATCH('General overview'!X$15,'CF Timeline'!$C$4:$BC$4))</f>
        <v>0</v>
      </c>
      <c r="Y20" s="365"/>
      <c r="Z20" s="365"/>
      <c r="AA20" s="365"/>
      <c r="AB20" s="406"/>
      <c r="AC20" s="365"/>
      <c r="AE20" s="96"/>
      <c r="AF20" s="96"/>
      <c r="AG20" s="96"/>
      <c r="AH20" s="96"/>
      <c r="AI20" s="401"/>
      <c r="AJ20" s="402" t="str">
        <f ca="1">INDEX(Taxes!$C$78:$C$2220,MATCH($AJ$24,Taxes!$J$78:$J$2220,0))</f>
        <v>Oberwil-Lieli</v>
      </c>
      <c r="AK20" s="403" t="str">
        <f>INDEX(Taxes!$C$78:$C$2220,MATCH('General overview'!$C$72,Taxes!$F$78:$F$2220,0))</f>
        <v>Rheinfelden</v>
      </c>
      <c r="AL20" s="412" t="str">
        <f ca="1">INDEX(Taxes!$C$78:$C$2220,MATCH($AL$24,Taxes!$J$78:$J$2220,0))</f>
        <v>Hallwil</v>
      </c>
      <c r="AM20" s="96"/>
      <c r="AN20" s="391"/>
      <c r="AO20" s="392"/>
      <c r="AP20" s="392"/>
      <c r="AQ20" s="392"/>
      <c r="AR20" s="392"/>
      <c r="AS20" s="392"/>
      <c r="AT20" s="393"/>
    </row>
    <row r="21" spans="2:48" outlineLevel="1">
      <c r="B21" s="345" t="s">
        <v>5</v>
      </c>
      <c r="C21" s="334"/>
      <c r="D21" s="96"/>
      <c r="G21" s="526" t="s">
        <v>4864</v>
      </c>
      <c r="H21" s="527">
        <f ca="1">INDEX('CF Timeline'!$C11:$BC11,MATCH('General overview'!H$15,'CF Timeline'!$C$4:$BC$4))</f>
        <v>70000</v>
      </c>
      <c r="I21" s="527"/>
      <c r="J21" s="527">
        <f ca="1">INDEX('CF Timeline'!$C11:$BC11,MATCH('General overview'!J$15,'CF Timeline'!$C$4:$BC$4))</f>
        <v>74269.279107235896</v>
      </c>
      <c r="K21" s="527"/>
      <c r="L21" s="527">
        <f ca="1">INDEX('CF Timeline'!$C11:$BC11,MATCH('General overview'!L$15,'CF Timeline'!$C$4:$BC$4))</f>
        <v>76474.165832508297</v>
      </c>
      <c r="M21" s="527"/>
      <c r="N21" s="527">
        <f ca="1">INDEX('CF Timeline'!$C11:$BC11,MATCH('General overview'!N$15,'CF Timeline'!$C$4:$BC$4))</f>
        <v>78727.411314378551</v>
      </c>
      <c r="O21" s="527"/>
      <c r="P21" s="527">
        <f ca="1">INDEX('CF Timeline'!$C11:$BC11,MATCH('General overview'!P$15,'CF Timeline'!$C$4:$BC$4))</f>
        <v>93330.683710381563</v>
      </c>
      <c r="Q21" s="527"/>
      <c r="R21" s="527">
        <f ca="1">INDEX('CF Timeline'!$C11:$BC11,MATCH('General overview'!R$15,'CF Timeline'!$C$4:$BC$4))</f>
        <v>98642.447827509372</v>
      </c>
      <c r="S21" s="527"/>
      <c r="T21" s="527">
        <f ca="1">INDEX('CF Timeline'!$C11:$BC11,MATCH('General overview'!T$15,'CF Timeline'!$C$4:$BC$4))</f>
        <v>129057.35549765534</v>
      </c>
      <c r="U21" s="527"/>
      <c r="V21" s="527">
        <f ca="1">INDEX('CF Timeline'!$C11:$BC11,MATCH('General overview'!V$15,'CF Timeline'!$C$4:$BC$4))</f>
        <v>189767.84770382522</v>
      </c>
      <c r="W21" s="527"/>
      <c r="X21" s="527">
        <f ca="1">INDEX('CF Timeline'!$C11:$BC11,MATCH('General overview'!X$15,'CF Timeline'!$C$4:$BC$4))</f>
        <v>73212.866902780079</v>
      </c>
      <c r="Y21" s="365"/>
      <c r="Z21" s="365"/>
      <c r="AA21" s="365"/>
      <c r="AB21" s="406"/>
      <c r="AC21" s="365"/>
      <c r="AE21" s="96"/>
      <c r="AF21" s="96"/>
      <c r="AG21" s="96"/>
      <c r="AH21" s="96"/>
      <c r="AI21" s="373" t="s">
        <v>51</v>
      </c>
      <c r="AJ21" s="96"/>
      <c r="AK21" s="96"/>
      <c r="AL21" s="374"/>
      <c r="AM21" s="96"/>
      <c r="AN21" s="96"/>
      <c r="AO21" s="96"/>
      <c r="AP21" s="96"/>
      <c r="AQ21" s="96"/>
      <c r="AR21" s="96"/>
      <c r="AS21" s="96"/>
    </row>
    <row r="22" spans="2:48" outlineLevel="1">
      <c r="B22" s="347" t="s">
        <v>22</v>
      </c>
      <c r="C22" s="335" t="s">
        <v>20</v>
      </c>
      <c r="D22" s="96"/>
      <c r="G22" s="528" t="s">
        <v>4865</v>
      </c>
      <c r="H22" s="527">
        <f ca="1">INDEX('CF Timeline'!$C12:$BC12,MATCH('General overview'!H$15,'CF Timeline'!$C$4:$BC$4))</f>
        <v>5530</v>
      </c>
      <c r="I22" s="527"/>
      <c r="J22" s="527">
        <f ca="1">INDEX('CF Timeline'!$C12:$BC12,MATCH('General overview'!J$15,'CF Timeline'!$C$4:$BC$4))</f>
        <v>5867.2730494716352</v>
      </c>
      <c r="K22" s="527"/>
      <c r="L22" s="527">
        <f ca="1">INDEX('CF Timeline'!$C12:$BC12,MATCH('General overview'!L$15,'CF Timeline'!$C$4:$BC$4))</f>
        <v>7791.954904905946</v>
      </c>
      <c r="M22" s="527"/>
      <c r="N22" s="527">
        <f ca="1">INDEX('CF Timeline'!$C12:$BC12,MATCH('General overview'!N$15,'CF Timeline'!$C$4:$BC$4))</f>
        <v>8048.8248898391548</v>
      </c>
      <c r="O22" s="527"/>
      <c r="P22" s="527">
        <f ca="1">INDEX('CF Timeline'!$C12:$BC12,MATCH('General overview'!P$15,'CF Timeline'!$C$4:$BC$4))</f>
        <v>9713.5979429834988</v>
      </c>
      <c r="Q22" s="527"/>
      <c r="R22" s="527">
        <f ca="1">INDEX('CF Timeline'!$C12:$BC12,MATCH('General overview'!R$15,'CF Timeline'!$C$4:$BC$4))</f>
        <v>10319.139052336068</v>
      </c>
      <c r="S22" s="527"/>
      <c r="T22" s="527">
        <f ca="1">INDEX('CF Timeline'!$C12:$BC12,MATCH('General overview'!T$15,'CF Timeline'!$C$4:$BC$4))</f>
        <v>15325.398859197539</v>
      </c>
      <c r="U22" s="527"/>
      <c r="V22" s="527">
        <f ca="1">INDEX('CF Timeline'!$C12:$BC12,MATCH('General overview'!V$15,'CF Timeline'!$C$4:$BC$4))</f>
        <v>29689.366261946459</v>
      </c>
      <c r="W22" s="527"/>
      <c r="X22" s="527">
        <f ca="1">INDEX('CF Timeline'!$C12:$BC12,MATCH('General overview'!X$15,'CF Timeline'!$C$4:$BC$4))</f>
        <v>0</v>
      </c>
      <c r="Y22" s="365"/>
      <c r="Z22" s="365"/>
      <c r="AA22" s="365"/>
      <c r="AB22" s="406"/>
      <c r="AC22" s="365"/>
      <c r="AE22" s="96"/>
      <c r="AF22" s="96"/>
      <c r="AG22" s="96"/>
      <c r="AH22" s="96"/>
      <c r="AI22" s="405" t="s">
        <v>4899</v>
      </c>
      <c r="AJ22" s="365">
        <f ca="1">INDEX(Taxes!$H$78:$H$2220,MATCH('General overview'!$C$72,Taxes!$F$78:$F$2220,0))</f>
        <v>6804.3246087429152</v>
      </c>
      <c r="AK22" s="365">
        <f ca="1">INDEX(Taxes!$H$78:$H$2220,MATCH('General overview'!$C$72,Taxes!$F$78:$F$2220,0))</f>
        <v>6804.3246087429152</v>
      </c>
      <c r="AL22" s="406">
        <f ca="1">INDEX(Taxes!$H$78:$H$2220,MATCH('General overview'!$C$72,Taxes!$F$78:$F$2220,0))</f>
        <v>6804.3246087429152</v>
      </c>
      <c r="AM22" s="96"/>
      <c r="AN22" s="364"/>
      <c r="AO22" s="96"/>
      <c r="AP22" s="96"/>
      <c r="AQ22" s="96"/>
      <c r="AR22" s="96"/>
      <c r="AS22" s="96"/>
    </row>
    <row r="23" spans="2:48">
      <c r="B23" s="347" t="s">
        <v>23</v>
      </c>
      <c r="C23" s="335">
        <v>3</v>
      </c>
      <c r="D23" s="96"/>
      <c r="G23" s="529" t="s">
        <v>50</v>
      </c>
      <c r="H23" s="530">
        <f ca="1">INDEX('CF Timeline'!$C13:$BC13,MATCH('General overview'!H$15,'CF Timeline'!$C$4:$BC$4))</f>
        <v>153996.1</v>
      </c>
      <c r="I23" s="530"/>
      <c r="J23" s="530">
        <f ca="1">INDEX('CF Timeline'!$C13:$BC13,MATCH('General overview'!J$15,'CF Timeline'!$C$4:$BC$4))</f>
        <v>164593.67296179873</v>
      </c>
      <c r="K23" s="530"/>
      <c r="L23" s="530">
        <f ca="1">INDEX('CF Timeline'!$C13:$BC13,MATCH('General overview'!L$15,'CF Timeline'!$C$4:$BC$4))</f>
        <v>168336.33740688639</v>
      </c>
      <c r="M23" s="530"/>
      <c r="N23" s="530">
        <f ca="1">INDEX('CF Timeline'!$C13:$BC13,MATCH('General overview'!N$15,'CF Timeline'!$C$4:$BC$4))</f>
        <v>173884.97068743972</v>
      </c>
      <c r="O23" s="530"/>
      <c r="P23" s="530">
        <f ca="1">INDEX('CF Timeline'!$C13:$BC13,MATCH('General overview'!P$15,'CF Timeline'!$C$4:$BC$4))</f>
        <v>208444.16848157006</v>
      </c>
      <c r="Q23" s="530"/>
      <c r="R23" s="530">
        <f ca="1">INDEX('CF Timeline'!$C13:$BC13,MATCH('General overview'!R$15,'CF Timeline'!$C$4:$BC$4))</f>
        <v>221633.82575915565</v>
      </c>
      <c r="S23" s="530"/>
      <c r="T23" s="530">
        <f ca="1">INDEX('CF Timeline'!$C13:$BC13,MATCH('General overview'!T$15,'CF Timeline'!$C$4:$BC$4))</f>
        <v>292327.51853695896</v>
      </c>
      <c r="U23" s="530"/>
      <c r="V23" s="530">
        <f ca="1">INDEX('CF Timeline'!$C13:$BC13,MATCH('General overview'!V$15,'CF Timeline'!$C$4:$BC$4))</f>
        <v>436229.94723872567</v>
      </c>
      <c r="W23" s="530"/>
      <c r="X23" s="530">
        <f ca="1">INDEX('CF Timeline'!$C13:$BC13,MATCH('General overview'!X$15,'CF Timeline'!$C$4:$BC$4))</f>
        <v>180796.64471606095</v>
      </c>
      <c r="Y23" s="500"/>
      <c r="Z23" s="500"/>
      <c r="AA23" s="500"/>
      <c r="AB23" s="501"/>
      <c r="AC23" s="500"/>
      <c r="AE23" s="96"/>
      <c r="AF23" s="96"/>
      <c r="AG23" s="96"/>
      <c r="AH23" s="96"/>
      <c r="AI23" s="405" t="s">
        <v>4900</v>
      </c>
      <c r="AJ23" s="365">
        <f ca="1">INDEX(Taxes!$I$78:$I$2220,MATCH('General overview'!$C$72,Taxes!$F$78:$F$2220,0))</f>
        <v>16394.585056174608</v>
      </c>
      <c r="AK23" s="365">
        <f ca="1">INDEX(Taxes!$I$78:$I$2220,MATCH('General overview'!$C$72,Taxes!$F$78:$F$2220,0))</f>
        <v>16394.585056174608</v>
      </c>
      <c r="AL23" s="406">
        <f ca="1">INDEX(Taxes!$I$78:$I$2220,MATCH('General overview'!$C$72,Taxes!$F$78:$F$2220,0))</f>
        <v>16394.585056174608</v>
      </c>
      <c r="AM23" s="96"/>
      <c r="AN23" s="364"/>
      <c r="AO23" s="96"/>
      <c r="AP23" s="96"/>
      <c r="AQ23" s="96"/>
      <c r="AR23" s="96"/>
      <c r="AS23" s="96"/>
    </row>
    <row r="24" spans="2:48" outlineLevel="1">
      <c r="B24" s="347" t="s">
        <v>24</v>
      </c>
      <c r="C24" s="335">
        <v>32</v>
      </c>
      <c r="D24" s="96"/>
      <c r="G24" s="531" t="s">
        <v>51</v>
      </c>
      <c r="H24" s="527">
        <f ca="1">INDEX('CF Timeline'!$C14:$BC14,MATCH('General overview'!H$15,'CF Timeline'!$C$4:$BC$4))</f>
        <v>25638.305456234055</v>
      </c>
      <c r="I24" s="527"/>
      <c r="J24" s="527">
        <f ca="1">INDEX('CF Timeline'!$C14:$BC14,MATCH('General overview'!J$15,'CF Timeline'!$C$4:$BC$4))</f>
        <v>28641.070010171046</v>
      </c>
      <c r="K24" s="527"/>
      <c r="L24" s="527">
        <f ca="1">INDEX('CF Timeline'!$C14:$BC14,MATCH('General overview'!L$15,'CF Timeline'!$C$4:$BC$4))</f>
        <v>30197.607021524378</v>
      </c>
      <c r="M24" s="527"/>
      <c r="N24" s="527">
        <f ca="1">INDEX('CF Timeline'!$C14:$BC14,MATCH('General overview'!N$15,'CF Timeline'!$C$4:$BC$4))</f>
        <v>31995.67730851932</v>
      </c>
      <c r="O24" s="527"/>
      <c r="P24" s="527">
        <f ca="1">INDEX('CF Timeline'!$C14:$BC14,MATCH('General overview'!P$15,'CF Timeline'!$C$4:$BC$4))</f>
        <v>40961.375880925603</v>
      </c>
      <c r="Q24" s="527"/>
      <c r="R24" s="527">
        <f ca="1">INDEX('CF Timeline'!$C14:$BC14,MATCH('General overview'!R$15,'CF Timeline'!$C$4:$BC$4))</f>
        <v>45155.868271503612</v>
      </c>
      <c r="S24" s="527"/>
      <c r="T24" s="527">
        <f ca="1">INDEX('CF Timeline'!$C14:$BC14,MATCH('General overview'!T$15,'CF Timeline'!$C$4:$BC$4))</f>
        <v>62558.163983507344</v>
      </c>
      <c r="U24" s="527"/>
      <c r="V24" s="527">
        <f ca="1">INDEX('CF Timeline'!$C14:$BC14,MATCH('General overview'!V$15,'CF Timeline'!$C$4:$BC$4))</f>
        <v>125789.28973362347</v>
      </c>
      <c r="W24" s="527"/>
      <c r="X24" s="527">
        <f ca="1">INDEX('CF Timeline'!$C14:$BC14,MATCH('General overview'!X$15,'CF Timeline'!$C$4:$BC$4))</f>
        <v>36255.561335796105</v>
      </c>
      <c r="Y24" s="365"/>
      <c r="Z24" s="365"/>
      <c r="AA24" s="365"/>
      <c r="AB24" s="406"/>
      <c r="AC24" s="365"/>
      <c r="AE24" s="96"/>
      <c r="AF24" s="96"/>
      <c r="AG24" s="96"/>
      <c r="AH24" s="96"/>
      <c r="AI24" s="405" t="s">
        <v>4901</v>
      </c>
      <c r="AJ24" s="365" cm="1">
        <f t="array" aca="1" ref="AJ24" ca="1">MIN(IF(Taxes!$B$78:$B$2220='General overview'!$AK$19,Taxes!$J$78:$J$2220))</f>
        <v>7869.4008269638125</v>
      </c>
      <c r="AK24" s="365">
        <f ca="1">INDEX(Taxes!$J$78:$J$2220,MATCH($C$72,Taxes!$F$78:$F$2220,0))</f>
        <v>14755.126550557148</v>
      </c>
      <c r="AL24" s="406" cm="1">
        <f t="array" aca="1" ref="AL24" ca="1">MAX(IF(Taxes!$B$78:$B$2220='General overview'!$AK$19,Taxes!$J$78:$J$2220))</f>
        <v>20821.123021341755</v>
      </c>
      <c r="AM24" s="96"/>
      <c r="AN24" s="367"/>
      <c r="AO24" s="96"/>
      <c r="AP24" s="96"/>
      <c r="AQ24" s="96"/>
      <c r="AR24" s="96"/>
      <c r="AS24" s="96"/>
    </row>
    <row r="25" spans="2:48">
      <c r="B25" s="347" t="s">
        <v>21</v>
      </c>
      <c r="C25" s="338"/>
      <c r="D25" s="96"/>
      <c r="G25" s="532" t="s">
        <v>52</v>
      </c>
      <c r="H25" s="533">
        <f ca="1">INDEX('CF Timeline'!$C15:$BC15,MATCH('General overview'!H$15,'CF Timeline'!$C$4:$BC$4))</f>
        <v>128357.79454376595</v>
      </c>
      <c r="I25" s="533"/>
      <c r="J25" s="533">
        <f ca="1">INDEX('CF Timeline'!$C15:$BC15,MATCH('General overview'!J$15,'CF Timeline'!$C$4:$BC$4))</f>
        <v>135952.60295162769</v>
      </c>
      <c r="K25" s="533"/>
      <c r="L25" s="533">
        <f ca="1">INDEX('CF Timeline'!$C15:$BC15,MATCH('General overview'!L$15,'CF Timeline'!$C$4:$BC$4))</f>
        <v>138138.73038536203</v>
      </c>
      <c r="M25" s="533"/>
      <c r="N25" s="533">
        <f ca="1">INDEX('CF Timeline'!$C15:$BC15,MATCH('General overview'!N$15,'CF Timeline'!$C$4:$BC$4))</f>
        <v>141889.29337892041</v>
      </c>
      <c r="O25" s="533"/>
      <c r="P25" s="533">
        <f ca="1">INDEX('CF Timeline'!$C15:$BC15,MATCH('General overview'!P$15,'CF Timeline'!$C$4:$BC$4))</f>
        <v>167482.79260064446</v>
      </c>
      <c r="Q25" s="533"/>
      <c r="R25" s="533">
        <f ca="1">INDEX('CF Timeline'!$C15:$BC15,MATCH('General overview'!R$15,'CF Timeline'!$C$4:$BC$4))</f>
        <v>176477.95748765202</v>
      </c>
      <c r="S25" s="533"/>
      <c r="T25" s="533">
        <f ca="1">INDEX('CF Timeline'!$C15:$BC15,MATCH('General overview'!T$15,'CF Timeline'!$C$4:$BC$4))</f>
        <v>229769.35455345162</v>
      </c>
      <c r="U25" s="533"/>
      <c r="V25" s="533">
        <f ca="1">INDEX('CF Timeline'!$C15:$BC15,MATCH('General overview'!V$15,'CF Timeline'!$C$4:$BC$4))</f>
        <v>310440.65750510222</v>
      </c>
      <c r="W25" s="533"/>
      <c r="X25" s="533">
        <f ca="1">INDEX('CF Timeline'!$C15:$BC15,MATCH('General overview'!X$15,'CF Timeline'!$C$4:$BC$4))</f>
        <v>144541.08338026484</v>
      </c>
      <c r="Y25" s="502"/>
      <c r="Z25" s="502"/>
      <c r="AA25" s="502"/>
      <c r="AB25" s="503"/>
      <c r="AC25" s="502"/>
      <c r="AE25" s="96"/>
      <c r="AF25" s="96"/>
      <c r="AG25" s="96"/>
      <c r="AH25" s="96"/>
      <c r="AI25" s="413" t="s">
        <v>2501</v>
      </c>
      <c r="AJ25" s="363">
        <f ca="1">SUM(AJ22:AJ24)</f>
        <v>31068.310491881333</v>
      </c>
      <c r="AK25" s="363">
        <f t="shared" ref="AK25:AL25" ca="1" si="9">SUM(AK22:AK24)</f>
        <v>37954.036215474669</v>
      </c>
      <c r="AL25" s="414">
        <f t="shared" ca="1" si="9"/>
        <v>44020.032686259277</v>
      </c>
      <c r="AM25" s="96"/>
      <c r="AN25" s="96"/>
      <c r="AO25" s="96"/>
      <c r="AP25" s="96"/>
      <c r="AQ25" s="96"/>
      <c r="AR25" s="96"/>
      <c r="AS25" s="96"/>
    </row>
    <row r="26" spans="2:48">
      <c r="B26" s="345" t="s">
        <v>7</v>
      </c>
      <c r="C26" s="334"/>
      <c r="D26" s="356"/>
      <c r="E26" s="356"/>
      <c r="G26" s="379" t="s">
        <v>53</v>
      </c>
      <c r="H26" s="18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365"/>
      <c r="Z26" s="365"/>
      <c r="AA26" s="365"/>
      <c r="AB26" s="406"/>
      <c r="AC26" s="365"/>
      <c r="AE26" s="96"/>
      <c r="AF26" s="96"/>
      <c r="AG26" s="96"/>
      <c r="AH26" s="96"/>
      <c r="AI26" s="373"/>
      <c r="AJ26" s="96"/>
      <c r="AK26" s="96"/>
      <c r="AL26" s="374"/>
      <c r="AM26" s="96"/>
      <c r="AN26" s="96"/>
      <c r="AO26" s="96"/>
      <c r="AP26" s="96"/>
      <c r="AQ26" s="96"/>
      <c r="AR26" s="96"/>
      <c r="AS26" s="96"/>
    </row>
    <row r="27" spans="2:48" outlineLevel="1">
      <c r="B27" s="347" t="s">
        <v>25</v>
      </c>
      <c r="C27" s="335" t="s">
        <v>4968</v>
      </c>
      <c r="D27" s="96"/>
      <c r="G27" s="380" t="s">
        <v>54</v>
      </c>
      <c r="H27" s="381">
        <f>INDEX('CF Timeline'!$C17:$BC17,MATCH('General overview'!H$15,'CF Timeline'!$C$4:$BC$4))</f>
        <v>7480.2070045398177</v>
      </c>
      <c r="I27" s="381"/>
      <c r="J27" s="381">
        <f>INDEX('CF Timeline'!$C17:$BC17,MATCH('General overview'!J$15,'CF Timeline'!$C$4:$BC$4))</f>
        <v>7788.0123294487103</v>
      </c>
      <c r="K27" s="381"/>
      <c r="L27" s="381">
        <f>INDEX('CF Timeline'!$C17:$BC17,MATCH('General overview'!L$15,'CF Timeline'!$C$4:$BC$4))</f>
        <v>7946.6326504895578</v>
      </c>
      <c r="M27" s="381"/>
      <c r="N27" s="381">
        <f>INDEX('CF Timeline'!$C17:$BC17,MATCH('General overview'!N$15,'CF Timeline'!$C$4:$BC$4))</f>
        <v>8108.4836297757656</v>
      </c>
      <c r="O27" s="381"/>
      <c r="P27" s="381">
        <f>INDEX('CF Timeline'!$C17:$BC17,MATCH('General overview'!P$15,'CF Timeline'!$C$4:$BC$4))</f>
        <v>9148.8101617368247</v>
      </c>
      <c r="Q27" s="381"/>
      <c r="R27" s="381">
        <f>INDEX('CF Timeline'!$C17:$BC17,MATCH('General overview'!R$15,'CF Timeline'!$C$4:$BC$4))</f>
        <v>9520.2749325361001</v>
      </c>
      <c r="S27" s="381"/>
      <c r="T27" s="381">
        <f>INDEX('CF Timeline'!$C17:$BC17,MATCH('General overview'!T$15,'CF Timeline'!$C$4:$BC$4))</f>
        <v>11616.461625846574</v>
      </c>
      <c r="U27" s="381"/>
      <c r="V27" s="381">
        <f>INDEX('CF Timeline'!$C17:$BC17,MATCH('General overview'!V$15,'CF Timeline'!$C$4:$BC$4))</f>
        <v>15657.067347381433</v>
      </c>
      <c r="W27" s="381"/>
      <c r="X27" s="381">
        <f>INDEX('CF Timeline'!$C17:$BC17,MATCH('General overview'!X$15,'CF Timeline'!$C$4:$BC$4))</f>
        <v>19104.461089938395</v>
      </c>
      <c r="Y27" s="365"/>
      <c r="Z27" s="365"/>
      <c r="AA27" s="365"/>
      <c r="AB27" s="406"/>
      <c r="AC27" s="365"/>
      <c r="AE27" s="96"/>
      <c r="AF27" s="96"/>
      <c r="AG27" s="96"/>
      <c r="AH27" s="96"/>
      <c r="AI27" s="373"/>
      <c r="AJ27" s="96"/>
      <c r="AK27" s="96"/>
      <c r="AL27" s="374"/>
      <c r="AM27" s="96"/>
      <c r="AN27" s="96"/>
      <c r="AO27" s="96"/>
      <c r="AP27" s="96"/>
      <c r="AQ27" s="96"/>
      <c r="AR27" s="96"/>
      <c r="AS27" s="96"/>
    </row>
    <row r="28" spans="2:48" outlineLevel="1">
      <c r="B28" s="347" t="s">
        <v>26</v>
      </c>
      <c r="C28" s="337"/>
      <c r="D28" s="96"/>
      <c r="G28" s="380" t="s">
        <v>55</v>
      </c>
      <c r="H28" s="381">
        <f ca="1">INDEX('CF Timeline'!$C18:$BC18,MATCH('General overview'!H$15,'CF Timeline'!$C$4:$BC$4))</f>
        <v>42691.052878773888</v>
      </c>
      <c r="I28" s="381"/>
      <c r="J28" s="381">
        <f ca="1">INDEX('CF Timeline'!$C18:$BC18,MATCH('General overview'!J$15,'CF Timeline'!$C$4:$BC$4))</f>
        <v>45217.041802910702</v>
      </c>
      <c r="K28" s="381"/>
      <c r="L28" s="381">
        <f ca="1">INDEX('CF Timeline'!$C18:$BC18,MATCH('General overview'!L$15,'CF Timeline'!$C$4:$BC$4))</f>
        <v>45944.135020778893</v>
      </c>
      <c r="M28" s="381"/>
      <c r="N28" s="381">
        <f ca="1">INDEX('CF Timeline'!$C18:$BC18,MATCH('General overview'!N$15,'CF Timeline'!$C$4:$BC$4))</f>
        <v>47191.550369821678</v>
      </c>
      <c r="O28" s="381"/>
      <c r="P28" s="381">
        <f ca="1">INDEX('CF Timeline'!$C18:$BC18,MATCH('General overview'!P$15,'CF Timeline'!$C$4:$BC$4))</f>
        <v>53427.010839605588</v>
      </c>
      <c r="Q28" s="381"/>
      <c r="R28" s="381">
        <f ca="1">INDEX('CF Timeline'!$C18:$BC18,MATCH('General overview'!R$15,'CF Timeline'!$C$4:$BC$4))</f>
        <v>56296.468438560994</v>
      </c>
      <c r="S28" s="381"/>
      <c r="T28" s="381">
        <f ca="1">INDEX('CF Timeline'!$C18:$BC18,MATCH('General overview'!T$15,'CF Timeline'!$C$4:$BC$4))</f>
        <v>73296.424102551071</v>
      </c>
      <c r="U28" s="381"/>
      <c r="V28" s="381">
        <f ca="1">INDEX('CF Timeline'!$C18:$BC18,MATCH('General overview'!V$15,'CF Timeline'!$C$4:$BC$4))</f>
        <v>99030.569744127613</v>
      </c>
      <c r="W28" s="381"/>
      <c r="X28" s="381">
        <f ca="1">INDEX('CF Timeline'!$C18:$BC18,MATCH('General overview'!X$15,'CF Timeline'!$C$4:$BC$4))</f>
        <v>50444.838099712426</v>
      </c>
      <c r="Y28" s="365"/>
      <c r="Z28" s="365"/>
      <c r="AA28" s="365"/>
      <c r="AB28" s="406"/>
      <c r="AC28" s="365"/>
      <c r="AE28" s="96"/>
      <c r="AF28" s="96"/>
      <c r="AG28" s="96"/>
      <c r="AH28" s="96"/>
      <c r="AI28" s="410" t="s">
        <v>4892</v>
      </c>
      <c r="AJ28" s="82" t="s">
        <v>4906</v>
      </c>
      <c r="AK28" s="82" t="s">
        <v>4908</v>
      </c>
      <c r="AL28" s="411" t="s">
        <v>4907</v>
      </c>
      <c r="AM28" s="96"/>
      <c r="AN28" s="96"/>
      <c r="AO28" s="96"/>
      <c r="AP28" s="96"/>
      <c r="AQ28" s="96"/>
      <c r="AR28" s="96"/>
      <c r="AS28" s="96"/>
    </row>
    <row r="29" spans="2:48" outlineLevel="1">
      <c r="B29" s="347" t="s">
        <v>27</v>
      </c>
      <c r="C29" s="335">
        <v>38</v>
      </c>
      <c r="D29" s="96"/>
      <c r="G29" s="380" t="s">
        <v>56</v>
      </c>
      <c r="H29" s="381">
        <f ca="1">INDEX('CF Timeline'!$C19:$BC19,MATCH('General overview'!H$15,'CF Timeline'!$C$4:$BC$4))</f>
        <v>12981.358948418905</v>
      </c>
      <c r="I29" s="381"/>
      <c r="J29" s="381">
        <f ca="1">INDEX('CF Timeline'!$C19:$BC19,MATCH('General overview'!J$15,'CF Timeline'!$C$4:$BC$4))</f>
        <v>13749.453589163973</v>
      </c>
      <c r="K29" s="381"/>
      <c r="L29" s="381">
        <f ca="1">INDEX('CF Timeline'!$C19:$BC19,MATCH('General overview'!L$15,'CF Timeline'!$C$4:$BC$4))</f>
        <v>13970.54577156833</v>
      </c>
      <c r="M29" s="381"/>
      <c r="N29" s="381">
        <f ca="1">INDEX('CF Timeline'!$C19:$BC19,MATCH('General overview'!N$15,'CF Timeline'!$C$4:$BC$4))</f>
        <v>14349.855845032058</v>
      </c>
      <c r="O29" s="381"/>
      <c r="P29" s="381">
        <f>INDEX('CF Timeline'!$C19:$BC19,MATCH('General overview'!P$15,'CF Timeline'!$C$4:$BC$4))</f>
        <v>0</v>
      </c>
      <c r="Q29" s="381"/>
      <c r="R29" s="381">
        <f>INDEX('CF Timeline'!$C19:$BC19,MATCH('General overview'!R$15,'CF Timeline'!$C$4:$BC$4))</f>
        <v>0</v>
      </c>
      <c r="S29" s="381"/>
      <c r="T29" s="381">
        <f>INDEX('CF Timeline'!$C19:$BC19,MATCH('General overview'!T$15,'CF Timeline'!$C$4:$BC$4))</f>
        <v>0</v>
      </c>
      <c r="U29" s="381"/>
      <c r="V29" s="381">
        <f>INDEX('CF Timeline'!$C19:$BC19,MATCH('General overview'!V$15,'CF Timeline'!$C$4:$BC$4))</f>
        <v>0</v>
      </c>
      <c r="W29" s="381"/>
      <c r="X29" s="381">
        <f>INDEX('CF Timeline'!$C19:$BC19,MATCH('General overview'!X$15,'CF Timeline'!$C$4:$BC$4))</f>
        <v>0</v>
      </c>
      <c r="Y29" s="365"/>
      <c r="Z29" s="365"/>
      <c r="AA29" s="365"/>
      <c r="AB29" s="406"/>
      <c r="AC29" s="365"/>
      <c r="AE29" s="96"/>
      <c r="AF29" s="96"/>
      <c r="AG29" s="96"/>
      <c r="AH29" s="96"/>
      <c r="AI29" s="401"/>
      <c r="AJ29" s="402"/>
      <c r="AK29" s="402" t="str">
        <f>INDEX(Taxes!$B$78:$B$2220,MATCH($AL$3,Taxes!$F$78:$F$2220,0))</f>
        <v>TI</v>
      </c>
      <c r="AL29" s="404"/>
      <c r="AM29" s="96"/>
      <c r="AN29" s="96"/>
      <c r="AO29" s="96"/>
      <c r="AP29" s="96"/>
      <c r="AQ29" s="96"/>
      <c r="AR29" s="96"/>
      <c r="AS29" s="96"/>
    </row>
    <row r="30" spans="2:48" outlineLevel="1">
      <c r="B30" s="347" t="s">
        <v>4849</v>
      </c>
      <c r="C30" s="335" t="s">
        <v>7</v>
      </c>
      <c r="D30" s="96"/>
      <c r="G30" s="380" t="s">
        <v>4850</v>
      </c>
      <c r="H30" s="381">
        <f>INDEX('CF Timeline'!$C22:$BC22,MATCH('General overview'!H$15,'CF Timeline'!$C$4:$BC$4))</f>
        <v>0</v>
      </c>
      <c r="I30" s="381"/>
      <c r="J30" s="381">
        <f>INDEX('CF Timeline'!$C22:$BC22,MATCH('General overview'!J$15,'CF Timeline'!$C$4:$BC$4))</f>
        <v>0</v>
      </c>
      <c r="K30" s="381"/>
      <c r="L30" s="381">
        <f>INDEX('CF Timeline'!$C22:$BC22,MATCH('General overview'!L$15,'CF Timeline'!$C$4:$BC$4))</f>
        <v>0</v>
      </c>
      <c r="M30" s="381"/>
      <c r="N30" s="381">
        <f>INDEX('CF Timeline'!$C22:$BC22,MATCH('General overview'!N$15,'CF Timeline'!$C$4:$BC$4))</f>
        <v>0</v>
      </c>
      <c r="O30" s="381"/>
      <c r="P30" s="381">
        <f>INDEX('CF Timeline'!$C22:$BC22,MATCH('General overview'!P$15,'CF Timeline'!$C$4:$BC$4))</f>
        <v>24677.659161340976</v>
      </c>
      <c r="Q30" s="381"/>
      <c r="R30" s="381">
        <f>INDEX('CF Timeline'!$C22:$BC22,MATCH('General overview'!R$15,'CF Timeline'!$C$4:$BC$4))</f>
        <v>24677.659161340976</v>
      </c>
      <c r="S30" s="381"/>
      <c r="T30" s="381">
        <f>INDEX('CF Timeline'!$C22:$BC22,MATCH('General overview'!T$15,'CF Timeline'!$C$4:$BC$4))</f>
        <v>24677.659161340976</v>
      </c>
      <c r="U30" s="381"/>
      <c r="V30" s="381">
        <f>INDEX('CF Timeline'!$C22:$BC22,MATCH('General overview'!V$15,'CF Timeline'!$C$4:$BC$4))</f>
        <v>24677.659161340976</v>
      </c>
      <c r="W30" s="381"/>
      <c r="X30" s="381">
        <f>INDEX('CF Timeline'!$C22:$BC22,MATCH('General overview'!X$15,'CF Timeline'!$C$4:$BC$4))</f>
        <v>10408.937081283559</v>
      </c>
      <c r="Y30" s="96"/>
      <c r="Z30" s="96"/>
      <c r="AA30" s="96"/>
      <c r="AB30" s="374"/>
      <c r="AC30" s="96"/>
      <c r="AE30" s="96"/>
      <c r="AF30" s="96"/>
      <c r="AG30" s="96"/>
      <c r="AH30" s="96"/>
      <c r="AI30" s="401"/>
      <c r="AJ30" s="402" t="str">
        <f ca="1">INDEX(Taxes!$C$78:$C$2220,MATCH($AJ$34,Taxes!$J$78:$J$2220,0))</f>
        <v>Castel San Pietro</v>
      </c>
      <c r="AK30" s="403" t="str">
        <f>INDEX(Taxes!$C$78:$C$2220,MATCH($AL$3,Taxes!$F$78:$F$2220,0))</f>
        <v>Gordola</v>
      </c>
      <c r="AL30" s="412" t="str">
        <f ca="1">INDEX(Taxes!$C$78:$C$2220,MATCH($AL$34,Taxes!$J$78:$J$2220,0))</f>
        <v>Astano</v>
      </c>
      <c r="AM30" s="96"/>
      <c r="AN30" s="96"/>
      <c r="AO30" s="96"/>
      <c r="AP30" s="96"/>
      <c r="AQ30" s="96"/>
      <c r="AR30" s="96"/>
      <c r="AS30" s="96"/>
    </row>
    <row r="31" spans="2:48" outlineLevel="1">
      <c r="B31" s="347" t="s">
        <v>28</v>
      </c>
      <c r="C31" s="335">
        <v>8712</v>
      </c>
      <c r="D31" s="96"/>
      <c r="G31" s="380" t="s">
        <v>4851</v>
      </c>
      <c r="H31" s="381">
        <f>INDEX('CF Timeline'!$C23:$BC23,MATCH('General overview'!H$15,'CF Timeline'!$C$4:$BC$4))</f>
        <v>0</v>
      </c>
      <c r="I31" s="381"/>
      <c r="J31" s="381">
        <f>INDEX('CF Timeline'!$C23:$BC23,MATCH('General overview'!J$15,'CF Timeline'!$C$4:$BC$4))</f>
        <v>0</v>
      </c>
      <c r="K31" s="381"/>
      <c r="L31" s="381">
        <f>INDEX('CF Timeline'!$C23:$BC23,MATCH('General overview'!L$15,'CF Timeline'!$C$4:$BC$4))</f>
        <v>0</v>
      </c>
      <c r="M31" s="381"/>
      <c r="N31" s="381">
        <f>INDEX('CF Timeline'!$C23:$BC23,MATCH('General overview'!N$15,'CF Timeline'!$C$4:$BC$4))</f>
        <v>0</v>
      </c>
      <c r="O31" s="381"/>
      <c r="P31" s="381">
        <f>INDEX('CF Timeline'!$C23:$BC23,MATCH('General overview'!P$15,'CF Timeline'!$C$4:$BC$4))</f>
        <v>23130.97129174124</v>
      </c>
      <c r="Q31" s="381"/>
      <c r="R31" s="381">
        <f>INDEX('CF Timeline'!$C23:$BC23,MATCH('General overview'!R$15,'CF Timeline'!$C$4:$BC$4))</f>
        <v>23130.97129174124</v>
      </c>
      <c r="S31" s="381"/>
      <c r="T31" s="381">
        <f>INDEX('CF Timeline'!$C23:$BC23,MATCH('General overview'!T$15,'CF Timeline'!$C$4:$BC$4))</f>
        <v>23130.97129174124</v>
      </c>
      <c r="U31" s="381"/>
      <c r="V31" s="381">
        <f>INDEX('CF Timeline'!$C23:$BC23,MATCH('General overview'!V$15,'CF Timeline'!$C$4:$BC$4))</f>
        <v>23130.97129174124</v>
      </c>
      <c r="W31" s="381"/>
      <c r="X31" s="381">
        <f>INDEX('CF Timeline'!$C23:$BC23,MATCH('General overview'!X$15,'CF Timeline'!$C$4:$BC$4))</f>
        <v>23130.97129174124</v>
      </c>
      <c r="Y31" s="365"/>
      <c r="Z31" s="365"/>
      <c r="AA31" s="365"/>
      <c r="AB31" s="406"/>
      <c r="AC31" s="365"/>
      <c r="AE31" s="96"/>
      <c r="AF31" s="96"/>
      <c r="AG31" s="96"/>
      <c r="AH31" s="96"/>
      <c r="AI31" s="373" t="s">
        <v>51</v>
      </c>
      <c r="AJ31" s="96"/>
      <c r="AK31" s="96"/>
      <c r="AL31" s="374"/>
      <c r="AM31" s="96"/>
      <c r="AN31" s="96"/>
      <c r="AO31" s="96"/>
      <c r="AP31" s="96"/>
      <c r="AQ31" s="96"/>
      <c r="AR31" s="96"/>
      <c r="AS31" s="96"/>
    </row>
    <row r="32" spans="2:48" outlineLevel="1">
      <c r="B32" s="347" t="s">
        <v>29</v>
      </c>
      <c r="C32" s="335">
        <v>160</v>
      </c>
      <c r="D32" s="96"/>
      <c r="G32" s="380" t="s">
        <v>5</v>
      </c>
      <c r="H32" s="381">
        <f>INDEX('CF Timeline'!$C24:$BC24,MATCH('General overview'!H$15,'CF Timeline'!$C$4:$BC$4))</f>
        <v>0</v>
      </c>
      <c r="I32" s="381"/>
      <c r="J32" s="381">
        <f>INDEX('CF Timeline'!$C24:$BC24,MATCH('General overview'!J$15,'CF Timeline'!$C$4:$BC$4))</f>
        <v>0</v>
      </c>
      <c r="K32" s="381"/>
      <c r="L32" s="381">
        <f>INDEX('CF Timeline'!$C24:$BC24,MATCH('General overview'!L$15,'CF Timeline'!$C$4:$BC$4))</f>
        <v>0</v>
      </c>
      <c r="M32" s="381"/>
      <c r="N32" s="381">
        <f ca="1">INDEX('CF Timeline'!$C24:$BC24,MATCH('General overview'!N$15,'CF Timeline'!$C$4:$BC$4))</f>
        <v>14516.807639381326</v>
      </c>
      <c r="O32" s="381"/>
      <c r="P32" s="381">
        <f ca="1">INDEX('CF Timeline'!$C24:$BC24,MATCH('General overview'!P$15,'CF Timeline'!$C$4:$BC$4))</f>
        <v>45003.392491109611</v>
      </c>
      <c r="Q32" s="381"/>
      <c r="R32" s="381">
        <f ca="1">INDEX('CF Timeline'!$C24:$BC24,MATCH('General overview'!R$15,'CF Timeline'!$C$4:$BC$4))</f>
        <v>52060.620160735605</v>
      </c>
      <c r="S32" s="381"/>
      <c r="T32" s="381">
        <f ca="1">INDEX('CF Timeline'!$C24:$BC24,MATCH('General overview'!T$15,'CF Timeline'!$C$4:$BC$4))</f>
        <v>106240.0842554589</v>
      </c>
      <c r="U32" s="381"/>
      <c r="V32" s="381">
        <f ca="1">INDEX('CF Timeline'!$C24:$BC24,MATCH('General overview'!V$15,'CF Timeline'!$C$4:$BC$4))</f>
        <v>0</v>
      </c>
      <c r="W32" s="381"/>
      <c r="X32" s="381">
        <f ca="1">INDEX('CF Timeline'!$C24:$BC24,MATCH('General overview'!X$15,'CF Timeline'!$C$4:$BC$4))</f>
        <v>0</v>
      </c>
      <c r="Y32" s="365"/>
      <c r="Z32" s="365"/>
      <c r="AA32" s="365"/>
      <c r="AB32" s="406"/>
      <c r="AC32" s="365"/>
      <c r="AE32" s="96"/>
      <c r="AF32" s="96"/>
      <c r="AG32" s="96"/>
      <c r="AH32" s="96"/>
      <c r="AI32" s="405" t="s">
        <v>4899</v>
      </c>
      <c r="AJ32" s="365">
        <f ca="1">INDEX(Taxes!$H$78:$H$2220,MATCH($AL$3,Taxes!$F$78:$F$2220,0))</f>
        <v>6804.3246087429152</v>
      </c>
      <c r="AK32" s="365">
        <f ca="1">INDEX(Taxes!$H$78:$H$2220,MATCH($AL$3,Taxes!$F$78:$F$2220,0))</f>
        <v>6804.3246087429152</v>
      </c>
      <c r="AL32" s="406">
        <f ca="1">INDEX(Taxes!$H$78:$H$2220,MATCH($AL$3,Taxes!$F$78:$F$2220,0))</f>
        <v>6804.3246087429152</v>
      </c>
      <c r="AM32" s="96"/>
      <c r="AN32" s="96"/>
      <c r="AO32" s="96"/>
      <c r="AP32" s="96"/>
      <c r="AQ32" s="96"/>
      <c r="AR32" s="96"/>
      <c r="AS32" s="96"/>
    </row>
    <row r="33" spans="2:45">
      <c r="B33" s="347" t="s">
        <v>30</v>
      </c>
      <c r="C33" s="335" t="s">
        <v>4997</v>
      </c>
      <c r="D33" s="96"/>
      <c r="G33" s="383" t="s">
        <v>57</v>
      </c>
      <c r="H33" s="509">
        <f ca="1">INDEX('CF Timeline'!$C25:$BC25,MATCH('General overview'!H$15,'CF Timeline'!$C$4:$BC$4))</f>
        <v>63152.618831732609</v>
      </c>
      <c r="I33" s="509"/>
      <c r="J33" s="509">
        <f ca="1">INDEX('CF Timeline'!$C25:$BC25,MATCH('General overview'!J$15,'CF Timeline'!$C$4:$BC$4))</f>
        <v>66754.507721523391</v>
      </c>
      <c r="K33" s="509"/>
      <c r="L33" s="509">
        <f ca="1">INDEX('CF Timeline'!$C25:$BC25,MATCH('General overview'!L$15,'CF Timeline'!$C$4:$BC$4))</f>
        <v>67861.313442836778</v>
      </c>
      <c r="M33" s="509"/>
      <c r="N33" s="509">
        <f ca="1">INDEX('CF Timeline'!$C25:$BC25,MATCH('General overview'!N$15,'CF Timeline'!$C$4:$BC$4))</f>
        <v>84166.697484010831</v>
      </c>
      <c r="O33" s="509"/>
      <c r="P33" s="509">
        <f ca="1">INDEX('CF Timeline'!$C25:$BC25,MATCH('General overview'!P$15,'CF Timeline'!$C$4:$BC$4))</f>
        <v>155387.84394553423</v>
      </c>
      <c r="Q33" s="509"/>
      <c r="R33" s="509">
        <f ca="1">INDEX('CF Timeline'!$C25:$BC25,MATCH('General overview'!R$15,'CF Timeline'!$C$4:$BC$4))</f>
        <v>165685.99398491491</v>
      </c>
      <c r="S33" s="509"/>
      <c r="T33" s="509">
        <f ca="1">INDEX('CF Timeline'!$C25:$BC25,MATCH('General overview'!T$15,'CF Timeline'!$C$4:$BC$4))</f>
        <v>238961.60043693875</v>
      </c>
      <c r="U33" s="509"/>
      <c r="V33" s="509">
        <f ca="1">INDEX('CF Timeline'!$C25:$BC25,MATCH('General overview'!V$15,'CF Timeline'!$C$4:$BC$4))</f>
        <v>162496.26754459128</v>
      </c>
      <c r="W33" s="509"/>
      <c r="X33" s="509">
        <f ca="1">INDEX('CF Timeline'!$C25:$BC25,MATCH('General overview'!X$15,'CF Timeline'!$C$4:$BC$4))</f>
        <v>103089.20756267561</v>
      </c>
      <c r="Y33" s="365"/>
      <c r="Z33" s="365"/>
      <c r="AA33" s="365"/>
      <c r="AB33" s="406"/>
      <c r="AC33" s="365"/>
      <c r="AE33" s="96"/>
      <c r="AF33" s="96"/>
      <c r="AG33" s="96"/>
      <c r="AH33" s="96"/>
      <c r="AI33" s="405" t="s">
        <v>4900</v>
      </c>
      <c r="AJ33" s="365">
        <f ca="1">INDEX(Taxes!$I$78:$I$2220,MATCH($AL$3,Taxes!$F$78:$F$2220,0))</f>
        <v>14856.933262032484</v>
      </c>
      <c r="AK33" s="365">
        <f ca="1">INDEX(Taxes!$I$78:$I$2220,MATCH($AL$3,Taxes!$F$78:$F$2220,0))</f>
        <v>14856.933262032484</v>
      </c>
      <c r="AL33" s="406">
        <f ca="1">INDEX(Taxes!$I$78:$I$2220,MATCH(AL3,Taxes!$F$78:$F$2220,0))</f>
        <v>14856.933262032484</v>
      </c>
      <c r="AM33" s="96"/>
      <c r="AN33" s="96"/>
      <c r="AO33" s="96"/>
      <c r="AP33" s="96"/>
      <c r="AQ33" s="96"/>
      <c r="AR33" s="96"/>
      <c r="AS33" s="96"/>
    </row>
    <row r="34" spans="2:45">
      <c r="B34" s="347" t="s">
        <v>4869</v>
      </c>
      <c r="C34" s="343">
        <v>0.6</v>
      </c>
      <c r="D34" s="96"/>
      <c r="G34" s="542" t="s">
        <v>58</v>
      </c>
      <c r="H34" s="491">
        <f ca="1">INDEX('CF Timeline'!$C26:$BC26,MATCH('General overview'!H$15,'CF Timeline'!$C$4:$BC$4))</f>
        <v>65205.175712033342</v>
      </c>
      <c r="I34" s="493"/>
      <c r="J34" s="491">
        <f ca="1">INDEX('CF Timeline'!$C26:$BC26,MATCH('General overview'!J$15,'CF Timeline'!$C$4:$BC$4))</f>
        <v>69198.0952301043</v>
      </c>
      <c r="K34" s="493"/>
      <c r="L34" s="491">
        <f ca="1">INDEX('CF Timeline'!$C26:$BC26,MATCH('General overview'!L$15,'CF Timeline'!$C$4:$BC$4))</f>
        <v>70277.416942525248</v>
      </c>
      <c r="M34" s="493"/>
      <c r="N34" s="491">
        <f ca="1">INDEX('CF Timeline'!$C26:$BC26,MATCH('General overview'!N$15,'CF Timeline'!$C$4:$BC$4))</f>
        <v>57722.59589490958</v>
      </c>
      <c r="O34" s="493"/>
      <c r="P34" s="491">
        <f ca="1">INDEX('CF Timeline'!$C26:$BC26,MATCH('General overview'!P$15,'CF Timeline'!$C$4:$BC$4))</f>
        <v>12094.948655110231</v>
      </c>
      <c r="Q34" s="493"/>
      <c r="R34" s="491">
        <f ca="1">INDEX('CF Timeline'!$C26:$BC26,MATCH('General overview'!R$15,'CF Timeline'!$C$4:$BC$4))</f>
        <v>10791.963502737111</v>
      </c>
      <c r="S34" s="493"/>
      <c r="T34" s="491">
        <f ca="1">INDEX('CF Timeline'!$C26:$BC26,MATCH('General overview'!T$15,'CF Timeline'!$C$4:$BC$4))</f>
        <v>-9192.2458834871359</v>
      </c>
      <c r="U34" s="493"/>
      <c r="V34" s="491">
        <f ca="1">INDEX('CF Timeline'!$C26:$BC26,MATCH('General overview'!V$15,'CF Timeline'!$C$4:$BC$4))</f>
        <v>147944.38996051095</v>
      </c>
      <c r="W34" s="493"/>
      <c r="X34" s="491">
        <f ca="1">INDEX('CF Timeline'!$C26:$BC26,MATCH('General overview'!X$15,'CF Timeline'!$C$4:$BC$4))</f>
        <v>41451.875817589229</v>
      </c>
      <c r="Y34" s="365"/>
      <c r="Z34" s="365"/>
      <c r="AA34" s="365"/>
      <c r="AB34" s="406"/>
      <c r="AC34" s="365"/>
      <c r="AE34" s="96"/>
      <c r="AF34" s="96"/>
      <c r="AG34" s="96"/>
      <c r="AH34" s="96"/>
      <c r="AI34" s="405" t="s">
        <v>4901</v>
      </c>
      <c r="AJ34" s="365" cm="1">
        <f t="array" aca="1" ref="AJ34" ca="1">MIN(IF(Taxes!$B$78:$B$2220='General overview'!AK29,Taxes!$J$78:$J$2220))</f>
        <v>8171.3132941178665</v>
      </c>
      <c r="AK34" s="365">
        <f ca="1">INDEX(Taxes!$J$78:$J$2220,MATCH($AL$3,Taxes!$F$78:$F$2220,0))</f>
        <v>12776.962605347937</v>
      </c>
      <c r="AL34" s="406" cm="1">
        <f t="array" aca="1" ref="AL34" ca="1">MAX(IF(Taxes!$B$78:$B$2220='General overview'!AK29,Taxes!$J$78:$J$2220))</f>
        <v>14856.933262032484</v>
      </c>
      <c r="AM34" s="96"/>
      <c r="AN34" s="96"/>
      <c r="AO34" s="96"/>
      <c r="AP34" s="96"/>
      <c r="AQ34" s="96"/>
      <c r="AR34" s="96"/>
      <c r="AS34" s="96"/>
    </row>
    <row r="35" spans="2:45" ht="17" thickBot="1">
      <c r="B35" s="347" t="s">
        <v>4969</v>
      </c>
      <c r="C35" s="343">
        <v>0.45</v>
      </c>
      <c r="D35" s="96"/>
      <c r="G35" s="384" t="s">
        <v>4934</v>
      </c>
      <c r="H35" s="200">
        <f ca="1">INDEX('CF Timeline'!$C27:$BC27,MATCH('General overview'!H$15,'CF Timeline'!$C$4:$BC$4))</f>
        <v>115205.17571203335</v>
      </c>
      <c r="I35" s="200"/>
      <c r="J35" s="200">
        <f ca="1">INDEX('CF Timeline'!$C27:$BC27,MATCH('General overview'!J$15,'CF Timeline'!$C$4:$BC$4))</f>
        <v>251580.65088821313</v>
      </c>
      <c r="K35" s="200"/>
      <c r="L35" s="200">
        <f ca="1">INDEX('CF Timeline'!$C27:$BC27,MATCH('General overview'!L$15,'CF Timeline'!$C$4:$BC$4))</f>
        <v>311858.06783073838</v>
      </c>
      <c r="M35" s="200"/>
      <c r="N35" s="200">
        <f ca="1">INDEX('CF Timeline'!$C27:$BC27,MATCH('General overview'!N$15,'CF Timeline'!$C$4:$BC$4))</f>
        <v>354580.66372564796</v>
      </c>
      <c r="O35" s="200"/>
      <c r="P35" s="200">
        <f ca="1">INDEX('CF Timeline'!$C27:$BC27,MATCH('General overview'!P$15,'CF Timeline'!$C$4:$BC$4))</f>
        <v>607067.11688952672</v>
      </c>
      <c r="Q35" s="200"/>
      <c r="R35" s="200">
        <f ca="1">INDEX('CF Timeline'!$C27:$BC27,MATCH('General overview'!R$15,'CF Timeline'!$C$4:$BC$4))</f>
        <v>-760777.17920608202</v>
      </c>
      <c r="S35" s="200"/>
      <c r="T35" s="200">
        <f ca="1">INDEX('CF Timeline'!$C27:$BC27,MATCH('General overview'!T$15,'CF Timeline'!$C$4:$BC$4))</f>
        <v>-768619.32968857372</v>
      </c>
      <c r="U35" s="200"/>
      <c r="V35" s="200">
        <f ca="1">INDEX('CF Timeline'!$C27:$BC27,MATCH('General overview'!V$15,'CF Timeline'!$C$4:$BC$4))</f>
        <v>783032.96973689669</v>
      </c>
      <c r="W35" s="200"/>
      <c r="X35" s="200">
        <f ca="1">INDEX('CF Timeline'!$C27:$BC27,MATCH('General overview'!X$15,'CF Timeline'!$C$4:$BC$4))</f>
        <v>1252417.3191853904</v>
      </c>
      <c r="Y35" s="363"/>
      <c r="Z35" s="363"/>
      <c r="AA35" s="363"/>
      <c r="AB35" s="414"/>
      <c r="AC35" s="363"/>
      <c r="AE35" s="96"/>
      <c r="AF35" s="96"/>
      <c r="AG35" s="96"/>
      <c r="AH35" s="96"/>
      <c r="AI35" s="415" t="s">
        <v>2501</v>
      </c>
      <c r="AJ35" s="416">
        <f ca="1">SUM(AJ32:AJ34)</f>
        <v>29832.571164893267</v>
      </c>
      <c r="AK35" s="416">
        <f t="shared" ref="AK35" ca="1" si="10">SUM(AK32:AK34)</f>
        <v>34438.220476123337</v>
      </c>
      <c r="AL35" s="417">
        <f t="shared" ref="AL35" ca="1" si="11">SUM(AL32:AL34)</f>
        <v>36518.191132807886</v>
      </c>
      <c r="AM35" s="96"/>
      <c r="AN35" s="96"/>
      <c r="AO35" s="96"/>
      <c r="AP35" s="96"/>
      <c r="AQ35" s="96"/>
      <c r="AR35" s="96"/>
      <c r="AS35" s="96"/>
    </row>
    <row r="36" spans="2:45">
      <c r="B36" s="347" t="s">
        <v>4870</v>
      </c>
      <c r="C36" s="352"/>
      <c r="D36" s="96"/>
      <c r="G36" s="385" t="s">
        <v>4932</v>
      </c>
      <c r="H36" s="492">
        <f>INDEX('CF Timeline'!$C28:$BC28,MATCH('General overview'!H$15,'CF Timeline'!$C$4:$BC$4))</f>
        <v>0</v>
      </c>
      <c r="I36" s="492"/>
      <c r="J36" s="492">
        <f>INDEX('CF Timeline'!$C28:$BC28,MATCH('General overview'!J$15,'CF Timeline'!$C$4:$BC$4))</f>
        <v>10000</v>
      </c>
      <c r="K36" s="492"/>
      <c r="L36" s="492">
        <f>INDEX('CF Timeline'!$C28:$BC28,MATCH('General overview'!L$15,'CF Timeline'!$C$4:$BC$4))</f>
        <v>15000</v>
      </c>
      <c r="M36" s="492"/>
      <c r="N36" s="492">
        <f>INDEX('CF Timeline'!$C28:$BC28,MATCH('General overview'!N$15,'CF Timeline'!$C$4:$BC$4))</f>
        <v>0</v>
      </c>
      <c r="O36" s="492"/>
      <c r="P36" s="492">
        <f>INDEX('CF Timeline'!$C28:$BC28,MATCH('General overview'!P$15,'CF Timeline'!$C$4:$BC$4))</f>
        <v>1387858.2775044744</v>
      </c>
      <c r="Q36" s="492"/>
      <c r="R36" s="492">
        <f>INDEX('CF Timeline'!$C28:$BC28,MATCH('General overview'!R$15,'CF Timeline'!$C$4:$BC$4))</f>
        <v>30000</v>
      </c>
      <c r="S36" s="492"/>
      <c r="T36" s="492">
        <f>INDEX('CF Timeline'!$C28:$BC28,MATCH('General overview'!T$15,'CF Timeline'!$C$4:$BC$4))</f>
        <v>100000</v>
      </c>
      <c r="U36" s="492"/>
      <c r="V36" s="492">
        <f>INDEX('CF Timeline'!$C28:$BC28,MATCH('General overview'!V$15,'CF Timeline'!$C$4:$BC$4))</f>
        <v>0</v>
      </c>
      <c r="W36" s="492"/>
      <c r="X36" s="492">
        <f>INDEX('CF Timeline'!$C28:$BC28,MATCH('General overview'!X$15,'CF Timeline'!$C$4:$BC$4))</f>
        <v>0</v>
      </c>
      <c r="Y36" s="357"/>
      <c r="Z36" s="357"/>
      <c r="AA36" s="357"/>
      <c r="AB36" s="409"/>
      <c r="AC36" s="357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</row>
    <row r="37" spans="2:45">
      <c r="B37" s="347" t="s">
        <v>4948</v>
      </c>
      <c r="C37" s="341"/>
      <c r="D37" s="96"/>
      <c r="G37" s="540" t="s">
        <v>4933</v>
      </c>
      <c r="H37" s="541">
        <f ca="1">INDEX('CF Timeline'!$C29:$BC29,MATCH('General overview'!H$15,'CF Timeline'!$C$4:$BC$4))</f>
        <v>115205.17571203335</v>
      </c>
      <c r="I37" s="541"/>
      <c r="J37" s="541">
        <f ca="1">INDEX('CF Timeline'!$C29:$BC29,MATCH('General overview'!J$15,'CF Timeline'!$C$4:$BC$4))</f>
        <v>241580.65088821313</v>
      </c>
      <c r="K37" s="541"/>
      <c r="L37" s="541">
        <f ca="1">INDEX('CF Timeline'!$C29:$BC29,MATCH('General overview'!L$15,'CF Timeline'!$C$4:$BC$4))</f>
        <v>296858.06783073838</v>
      </c>
      <c r="M37" s="541"/>
      <c r="N37" s="541">
        <f ca="1">INDEX('CF Timeline'!$C29:$BC29,MATCH('General overview'!N$15,'CF Timeline'!$C$4:$BC$4))</f>
        <v>354580.66372564796</v>
      </c>
      <c r="O37" s="541"/>
      <c r="P37" s="541">
        <f ca="1">INDEX('CF Timeline'!$C29:$BC29,MATCH('General overview'!P$15,'CF Timeline'!$C$4:$BC$4))</f>
        <v>-780791.16061494767</v>
      </c>
      <c r="Q37" s="541"/>
      <c r="R37" s="541">
        <f ca="1">INDEX('CF Timeline'!$C29:$BC29,MATCH('General overview'!R$15,'CF Timeline'!$C$4:$BC$4))</f>
        <v>-790777.17920608202</v>
      </c>
      <c r="S37" s="541"/>
      <c r="T37" s="541">
        <f ca="1">INDEX('CF Timeline'!$C29:$BC29,MATCH('General overview'!T$15,'CF Timeline'!$C$4:$BC$4))</f>
        <v>-868619.32968857372</v>
      </c>
      <c r="U37" s="541"/>
      <c r="V37" s="541">
        <f ca="1">INDEX('CF Timeline'!$C29:$BC29,MATCH('General overview'!V$15,'CF Timeline'!$C$4:$BC$4))</f>
        <v>783032.96973689669</v>
      </c>
      <c r="W37" s="541"/>
      <c r="X37" s="541">
        <f ca="1">INDEX('CF Timeline'!$C29:$BC29,MATCH('General overview'!X$15,'CF Timeline'!$C$4:$BC$4))</f>
        <v>1252417.3191853904</v>
      </c>
      <c r="Y37" s="96"/>
      <c r="Z37" s="96"/>
      <c r="AA37" s="96"/>
      <c r="AB37" s="374"/>
      <c r="AC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</row>
    <row r="38" spans="2:45">
      <c r="B38" s="345" t="s">
        <v>31</v>
      </c>
      <c r="C38" s="334"/>
      <c r="D38" s="96"/>
      <c r="G38" s="385" t="s">
        <v>59</v>
      </c>
      <c r="H38" s="492"/>
      <c r="I38" s="492"/>
      <c r="J38" s="492"/>
      <c r="K38" s="492"/>
      <c r="L38" s="492"/>
      <c r="M38" s="492"/>
      <c r="N38" s="492"/>
      <c r="O38" s="492"/>
      <c r="P38" s="492"/>
      <c r="Q38" s="492"/>
      <c r="R38" s="492"/>
      <c r="S38" s="492"/>
      <c r="T38" s="492"/>
      <c r="U38" s="492"/>
      <c r="V38" s="492"/>
      <c r="W38" s="492"/>
      <c r="X38" s="492"/>
      <c r="Y38" s="365"/>
      <c r="Z38" s="365"/>
      <c r="AA38" s="365"/>
      <c r="AB38" s="406"/>
      <c r="AC38" s="365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</row>
    <row r="39" spans="2:45" outlineLevel="1">
      <c r="B39" s="347" t="s">
        <v>9</v>
      </c>
      <c r="C39" s="335" t="s">
        <v>20</v>
      </c>
      <c r="D39" s="96"/>
      <c r="G39" s="534" t="s">
        <v>7</v>
      </c>
      <c r="H39" s="535">
        <f>INDEX('CF Timeline'!$C31:$BC31,MATCH('General overview'!H$15,'CF Timeline'!$C$4:$BC$4))</f>
        <v>61799.421345002222</v>
      </c>
      <c r="I39" s="536"/>
      <c r="J39" s="535">
        <f>INDEX('CF Timeline'!$C31:$BC31,MATCH('General overview'!J$15,'CF Timeline'!$C$4:$BC$4))</f>
        <v>61799.421345002222</v>
      </c>
      <c r="K39" s="535"/>
      <c r="L39" s="535">
        <f>INDEX('CF Timeline'!$C31:$BC31,MATCH('General overview'!L$15,'CF Timeline'!$C$4:$BC$4))</f>
        <v>61799.421345002222</v>
      </c>
      <c r="M39" s="535"/>
      <c r="N39" s="535">
        <f>INDEX('CF Timeline'!$C31:$BC31,MATCH('General overview'!N$15,'CF Timeline'!$C$4:$BC$4))</f>
        <v>61799.421345002222</v>
      </c>
      <c r="O39" s="535"/>
      <c r="P39" s="535">
        <f>INDEX('CF Timeline'!$C31:$BC31,MATCH('General overview'!P$15,'CF Timeline'!$C$4:$BC$4))</f>
        <v>61799.421345002222</v>
      </c>
      <c r="Q39" s="535"/>
      <c r="R39" s="535">
        <f>INDEX('CF Timeline'!$C31:$BC31,MATCH('General overview'!R$15,'CF Timeline'!$C$4:$BC$4))</f>
        <v>0</v>
      </c>
      <c r="S39" s="535"/>
      <c r="T39" s="535">
        <f>INDEX('CF Timeline'!$C31:$BC31,MATCH('General overview'!T$15,'CF Timeline'!$C$4:$BC$4))</f>
        <v>0</v>
      </c>
      <c r="U39" s="535"/>
      <c r="V39" s="535">
        <f>INDEX('CF Timeline'!$C31:$BC31,MATCH('General overview'!V$15,'CF Timeline'!$C$4:$BC$4))</f>
        <v>0</v>
      </c>
      <c r="W39" s="536"/>
      <c r="X39" s="535">
        <f>INDEX('CF Timeline'!$C31:$BC31,MATCH('General overview'!X$15,'CF Timeline'!$C$4:$BC$4))</f>
        <v>0</v>
      </c>
      <c r="Y39" s="365"/>
      <c r="Z39" s="365"/>
      <c r="AA39" s="365"/>
      <c r="AB39" s="406"/>
      <c r="AC39" s="365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</row>
    <row r="40" spans="2:45" outlineLevel="1">
      <c r="B40" s="347" t="s">
        <v>11</v>
      </c>
      <c r="C40" s="335" t="s">
        <v>20</v>
      </c>
      <c r="D40" s="96"/>
      <c r="G40" s="534" t="s">
        <v>9</v>
      </c>
      <c r="H40" s="535">
        <f>INDEX('CF Timeline'!$C32:$BC32,MATCH('General overview'!H$15,'CF Timeline'!$C$4:$BC$4))</f>
        <v>2007.4042159234834</v>
      </c>
      <c r="I40" s="536"/>
      <c r="J40" s="535">
        <f>INDEX('CF Timeline'!$C32:$BC32,MATCH('General overview'!J$15,'CF Timeline'!$C$4:$BC$4))</f>
        <v>2007.4042159234834</v>
      </c>
      <c r="K40" s="535"/>
      <c r="L40" s="535">
        <f>INDEX('CF Timeline'!$C32:$BC32,MATCH('General overview'!L$15,'CF Timeline'!$C$4:$BC$4))</f>
        <v>2007.4042159234834</v>
      </c>
      <c r="M40" s="535"/>
      <c r="N40" s="535">
        <f>INDEX('CF Timeline'!$C32:$BC32,MATCH('General overview'!N$15,'CF Timeline'!$C$4:$BC$4))</f>
        <v>2007.4042159234834</v>
      </c>
      <c r="O40" s="535"/>
      <c r="P40" s="535">
        <f>INDEX('CF Timeline'!$C32:$BC32,MATCH('General overview'!P$15,'CF Timeline'!$C$4:$BC$4))</f>
        <v>2007.4042159234834</v>
      </c>
      <c r="Q40" s="535"/>
      <c r="R40" s="535">
        <f>INDEX('CF Timeline'!$C32:$BC32,MATCH('General overview'!R$15,'CF Timeline'!$C$4:$BC$4))</f>
        <v>2007.4042159234834</v>
      </c>
      <c r="S40" s="535"/>
      <c r="T40" s="535">
        <f>INDEX('CF Timeline'!$C32:$BC32,MATCH('General overview'!T$15,'CF Timeline'!$C$4:$BC$4))</f>
        <v>2007.4042159234834</v>
      </c>
      <c r="U40" s="535"/>
      <c r="V40" s="535">
        <f>INDEX('CF Timeline'!$C32:$BC32,MATCH('General overview'!V$15,'CF Timeline'!$C$4:$BC$4))</f>
        <v>0</v>
      </c>
      <c r="W40" s="536"/>
      <c r="X40" s="535">
        <f>INDEX('CF Timeline'!$C32:$BC32,MATCH('General overview'!X$15,'CF Timeline'!$C$4:$BC$4))</f>
        <v>0</v>
      </c>
      <c r="Y40" s="365"/>
      <c r="Z40" s="365"/>
      <c r="AA40" s="365"/>
      <c r="AB40" s="406"/>
      <c r="AC40" s="365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</row>
    <row r="41" spans="2:45" outlineLevel="1">
      <c r="B41" s="347" t="s">
        <v>32</v>
      </c>
      <c r="C41" s="335" t="s">
        <v>20</v>
      </c>
      <c r="D41" s="96"/>
      <c r="G41" s="534" t="s">
        <v>35</v>
      </c>
      <c r="H41" s="535">
        <f>INDEX('CF Timeline'!$C33:$BC33,MATCH('General overview'!H$15,'CF Timeline'!$C$4:$BC$4))</f>
        <v>1498.8709058495983</v>
      </c>
      <c r="I41" s="536"/>
      <c r="J41" s="535">
        <f>INDEX('CF Timeline'!$C33:$BC33,MATCH('General overview'!J$15,'CF Timeline'!$C$4:$BC$4))</f>
        <v>1498.8709058495983</v>
      </c>
      <c r="K41" s="535"/>
      <c r="L41" s="535">
        <f>INDEX('CF Timeline'!$C33:$BC33,MATCH('General overview'!L$15,'CF Timeline'!$C$4:$BC$4))</f>
        <v>1498.8709058495983</v>
      </c>
      <c r="M41" s="535"/>
      <c r="N41" s="535">
        <f>INDEX('CF Timeline'!$C33:$BC33,MATCH('General overview'!N$15,'CF Timeline'!$C$4:$BC$4))</f>
        <v>1498.8709058495983</v>
      </c>
      <c r="O41" s="535"/>
      <c r="P41" s="535">
        <f>INDEX('CF Timeline'!$C33:$BC33,MATCH('General overview'!P$15,'CF Timeline'!$C$4:$BC$4))</f>
        <v>1498.8709058495983</v>
      </c>
      <c r="Q41" s="535"/>
      <c r="R41" s="535">
        <f>INDEX('CF Timeline'!$C33:$BC33,MATCH('General overview'!R$15,'CF Timeline'!$C$4:$BC$4))</f>
        <v>1498.8709058495983</v>
      </c>
      <c r="S41" s="535"/>
      <c r="T41" s="535">
        <f>INDEX('CF Timeline'!$C33:$BC33,MATCH('General overview'!T$15,'CF Timeline'!$C$4:$BC$4))</f>
        <v>0</v>
      </c>
      <c r="U41" s="535"/>
      <c r="V41" s="535">
        <f>INDEX('CF Timeline'!$C33:$BC33,MATCH('General overview'!V$15,'CF Timeline'!$C$4:$BC$4))</f>
        <v>0</v>
      </c>
      <c r="W41" s="536"/>
      <c r="X41" s="535">
        <f>INDEX('CF Timeline'!$C33:$BC33,MATCH('General overview'!X$15,'CF Timeline'!$C$4:$BC$4))</f>
        <v>0</v>
      </c>
      <c r="Y41" s="365"/>
      <c r="Z41" s="365"/>
      <c r="AA41" s="365"/>
      <c r="AB41" s="406"/>
      <c r="AC41" s="365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</row>
    <row r="42" spans="2:45" outlineLevel="1">
      <c r="B42" s="347" t="s">
        <v>17</v>
      </c>
      <c r="C42" s="335" t="s">
        <v>20</v>
      </c>
      <c r="D42" s="96"/>
      <c r="G42" s="534" t="s">
        <v>32</v>
      </c>
      <c r="H42" s="535">
        <f>INDEX('CF Timeline'!$C34:$BC34,MATCH('General overview'!H$15,'CF Timeline'!$C$4:$BC$4))</f>
        <v>3567.9963628130517</v>
      </c>
      <c r="I42" s="536"/>
      <c r="J42" s="535">
        <f>INDEX('CF Timeline'!$C34:$BC34,MATCH('General overview'!J$15,'CF Timeline'!$C$4:$BC$4))</f>
        <v>3567.9963628130517</v>
      </c>
      <c r="K42" s="535"/>
      <c r="L42" s="535">
        <f>INDEX('CF Timeline'!$C34:$BC34,MATCH('General overview'!L$15,'CF Timeline'!$C$4:$BC$4))</f>
        <v>3567.9963628130517</v>
      </c>
      <c r="M42" s="535"/>
      <c r="N42" s="535">
        <f>INDEX('CF Timeline'!$C34:$BC34,MATCH('General overview'!N$15,'CF Timeline'!$C$4:$BC$4))</f>
        <v>0</v>
      </c>
      <c r="O42" s="535"/>
      <c r="P42" s="535">
        <f>INDEX('CF Timeline'!$C34:$BC34,MATCH('General overview'!P$15,'CF Timeline'!$C$4:$BC$4))</f>
        <v>0</v>
      </c>
      <c r="Q42" s="535"/>
      <c r="R42" s="535">
        <f>INDEX('CF Timeline'!$C34:$BC34,MATCH('General overview'!R$15,'CF Timeline'!$C$4:$BC$4))</f>
        <v>0</v>
      </c>
      <c r="S42" s="535"/>
      <c r="T42" s="535">
        <f>INDEX('CF Timeline'!$C34:$BC34,MATCH('General overview'!T$15,'CF Timeline'!$C$4:$BC$4))</f>
        <v>0</v>
      </c>
      <c r="U42" s="535"/>
      <c r="V42" s="535">
        <f>INDEX('CF Timeline'!$C34:$BC34,MATCH('General overview'!V$15,'CF Timeline'!$C$4:$BC$4))</f>
        <v>0</v>
      </c>
      <c r="W42" s="536"/>
      <c r="X42" s="535">
        <f>INDEX('CF Timeline'!$C34:$BC34,MATCH('General overview'!X$15,'CF Timeline'!$C$4:$BC$4))</f>
        <v>0</v>
      </c>
      <c r="Y42" s="365"/>
      <c r="Z42" s="365"/>
      <c r="AA42" s="365"/>
      <c r="AB42" s="406"/>
      <c r="AC42" s="365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</row>
    <row r="43" spans="2:45" outlineLevel="1">
      <c r="B43" s="348" t="s">
        <v>9</v>
      </c>
      <c r="C43" s="336"/>
      <c r="D43" s="96"/>
      <c r="G43" s="534" t="s">
        <v>60</v>
      </c>
      <c r="H43" s="535">
        <f>INDEX('CF Timeline'!$C35:$BC35,MATCH('General overview'!H$15,'CF Timeline'!$C$4:$BC$4))</f>
        <v>3203.4771822727257</v>
      </c>
      <c r="I43" s="536"/>
      <c r="J43" s="535">
        <f>INDEX('CF Timeline'!$C35:$BC35,MATCH('General overview'!J$15,'CF Timeline'!$C$4:$BC$4))</f>
        <v>3203.4771822727257</v>
      </c>
      <c r="K43" s="535"/>
      <c r="L43" s="535">
        <f>INDEX('CF Timeline'!$C35:$BC35,MATCH('General overview'!L$15,'CF Timeline'!$C$4:$BC$4))</f>
        <v>0</v>
      </c>
      <c r="M43" s="535"/>
      <c r="N43" s="535">
        <f>INDEX('CF Timeline'!$C35:$BC35,MATCH('General overview'!N$15,'CF Timeline'!$C$4:$BC$4))</f>
        <v>0</v>
      </c>
      <c r="O43" s="535"/>
      <c r="P43" s="535">
        <f>INDEX('CF Timeline'!$C35:$BC35,MATCH('General overview'!P$15,'CF Timeline'!$C$4:$BC$4))</f>
        <v>0</v>
      </c>
      <c r="Q43" s="535"/>
      <c r="R43" s="535">
        <f>INDEX('CF Timeline'!$C35:$BC35,MATCH('General overview'!R$15,'CF Timeline'!$C$4:$BC$4))</f>
        <v>0</v>
      </c>
      <c r="S43" s="535"/>
      <c r="T43" s="535">
        <f>INDEX('CF Timeline'!$C35:$BC35,MATCH('General overview'!T$15,'CF Timeline'!$C$4:$BC$4))</f>
        <v>0</v>
      </c>
      <c r="U43" s="535"/>
      <c r="V43" s="535">
        <f>INDEX('CF Timeline'!$C35:$BC35,MATCH('General overview'!V$15,'CF Timeline'!$C$4:$BC$4))</f>
        <v>0</v>
      </c>
      <c r="W43" s="536"/>
      <c r="X43" s="535">
        <f>INDEX('CF Timeline'!$C35:$BC35,MATCH('General overview'!X$15,'CF Timeline'!$C$4:$BC$4))</f>
        <v>0</v>
      </c>
      <c r="Y43" s="365"/>
      <c r="Z43" s="365"/>
      <c r="AA43" s="365"/>
      <c r="AB43" s="406"/>
      <c r="AC43" s="365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</row>
    <row r="44" spans="2:45" outlineLevel="1">
      <c r="B44" s="346" t="s">
        <v>33</v>
      </c>
      <c r="C44" s="337">
        <v>100000</v>
      </c>
      <c r="D44" s="96"/>
      <c r="G44" s="534" t="s">
        <v>19</v>
      </c>
      <c r="H44" s="535">
        <f>INDEX('CF Timeline'!$C36:$BC36,MATCH('General overview'!H$15,'CF Timeline'!$C$4:$BC$4))</f>
        <v>0</v>
      </c>
      <c r="I44" s="536"/>
      <c r="J44" s="535">
        <f>INDEX('CF Timeline'!$C36:$BC36,MATCH('General overview'!J$15,'CF Timeline'!$C$4:$BC$4))</f>
        <v>0</v>
      </c>
      <c r="K44" s="535"/>
      <c r="L44" s="535">
        <f>INDEX('CF Timeline'!$C36:$BC36,MATCH('General overview'!L$15,'CF Timeline'!$C$4:$BC$4))</f>
        <v>0</v>
      </c>
      <c r="M44" s="535"/>
      <c r="N44" s="535">
        <f>INDEX('CF Timeline'!$C36:$BC36,MATCH('General overview'!N$15,'CF Timeline'!$C$4:$BC$4))</f>
        <v>0</v>
      </c>
      <c r="O44" s="535"/>
      <c r="P44" s="535">
        <f>INDEX('CF Timeline'!$C36:$BC36,MATCH('General overview'!P$15,'CF Timeline'!$C$4:$BC$4))</f>
        <v>0</v>
      </c>
      <c r="Q44" s="535"/>
      <c r="R44" s="535">
        <f>INDEX('CF Timeline'!$C36:$BC36,MATCH('General overview'!R$15,'CF Timeline'!$C$4:$BC$4))</f>
        <v>0</v>
      </c>
      <c r="S44" s="535"/>
      <c r="T44" s="535">
        <f>INDEX('CF Timeline'!$C36:$BC36,MATCH('General overview'!T$15,'CF Timeline'!$C$4:$BC$4))</f>
        <v>0</v>
      </c>
      <c r="U44" s="535"/>
      <c r="V44" s="535">
        <f>INDEX('CF Timeline'!$C36:$BC36,MATCH('General overview'!V$15,'CF Timeline'!$C$4:$BC$4))</f>
        <v>0</v>
      </c>
      <c r="W44" s="536"/>
      <c r="X44" s="535">
        <f>INDEX('CF Timeline'!$C36:$BC36,MATCH('General overview'!X$15,'CF Timeline'!$C$4:$BC$4))</f>
        <v>0</v>
      </c>
      <c r="Y44" s="407"/>
      <c r="Z44" s="407"/>
      <c r="AA44" s="407"/>
      <c r="AB44" s="408"/>
      <c r="AC44" s="407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</row>
    <row r="45" spans="2:45">
      <c r="B45" s="349" t="s">
        <v>34</v>
      </c>
      <c r="C45" s="337"/>
      <c r="D45" s="96"/>
      <c r="G45" s="537" t="s">
        <v>61</v>
      </c>
      <c r="H45" s="538">
        <f>INDEX('CF Timeline'!$C37:$BC37,MATCH('General overview'!H$15,'CF Timeline'!$C$4:$BC$4))</f>
        <v>72077.170011861075</v>
      </c>
      <c r="I45" s="539"/>
      <c r="J45" s="538">
        <f>INDEX('CF Timeline'!$C37:$BC37,MATCH('General overview'!J$15,'CF Timeline'!$C$4:$BC$4))</f>
        <v>72077.170011861075</v>
      </c>
      <c r="K45" s="538"/>
      <c r="L45" s="538">
        <f>INDEX('CF Timeline'!$C37:$BC37,MATCH('General overview'!L$15,'CF Timeline'!$C$4:$BC$4))</f>
        <v>68873.692829588355</v>
      </c>
      <c r="M45" s="538"/>
      <c r="N45" s="538">
        <f>INDEX('CF Timeline'!$C37:$BC37,MATCH('General overview'!N$15,'CF Timeline'!$C$4:$BC$4))</f>
        <v>65305.696466775298</v>
      </c>
      <c r="O45" s="538"/>
      <c r="P45" s="538">
        <f>INDEX('CF Timeline'!$C37:$BC37,MATCH('General overview'!P$15,'CF Timeline'!$C$4:$BC$4))</f>
        <v>65305.696466775298</v>
      </c>
      <c r="Q45" s="538"/>
      <c r="R45" s="538">
        <f>INDEX('CF Timeline'!$C37:$BC37,MATCH('General overview'!R$15,'CF Timeline'!$C$4:$BC$4))</f>
        <v>3506.275121773082</v>
      </c>
      <c r="S45" s="538"/>
      <c r="T45" s="538">
        <f>INDEX('CF Timeline'!$C37:$BC37,MATCH('General overview'!T$15,'CF Timeline'!$C$4:$BC$4))</f>
        <v>2007.4042159234834</v>
      </c>
      <c r="U45" s="538"/>
      <c r="V45" s="538">
        <f>INDEX('CF Timeline'!$C37:$BC37,MATCH('General overview'!V$15,'CF Timeline'!$C$4:$BC$4))</f>
        <v>0</v>
      </c>
      <c r="W45" s="539"/>
      <c r="X45" s="538">
        <f>INDEX('CF Timeline'!$C37:$BC37,MATCH('General overview'!X$15,'CF Timeline'!$C$4:$BC$4))</f>
        <v>0</v>
      </c>
      <c r="Y45" s="96"/>
      <c r="Z45" s="96"/>
      <c r="AA45" s="96"/>
      <c r="AB45" s="374"/>
      <c r="AC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</row>
    <row r="46" spans="2:45" ht="17" outlineLevel="1" thickBot="1">
      <c r="B46" s="346" t="s">
        <v>13</v>
      </c>
      <c r="C46" s="338">
        <v>50</v>
      </c>
      <c r="D46" s="96"/>
      <c r="G46" s="515" t="s">
        <v>63</v>
      </c>
      <c r="H46" s="516">
        <f ca="1">INDEX('CF Timeline'!$C38:$BC38,MATCH('General overview'!H$15,'CF Timeline'!$C$4:$BC$4))</f>
        <v>135229.78884359368</v>
      </c>
      <c r="I46" s="517"/>
      <c r="J46" s="517">
        <f ca="1">INDEX('CF Timeline'!$C38:$BC38,MATCH('General overview'!J$15,'CF Timeline'!$C$4:$BC$4))</f>
        <v>138831.67773338448</v>
      </c>
      <c r="K46" s="517"/>
      <c r="L46" s="517">
        <f ca="1">INDEX('CF Timeline'!$C38:$BC38,MATCH('General overview'!L$15,'CF Timeline'!$C$4:$BC$4))</f>
        <v>136735.00627242512</v>
      </c>
      <c r="M46" s="517"/>
      <c r="N46" s="517">
        <f ca="1">INDEX('CF Timeline'!$C38:$BC38,MATCH('General overview'!N$15,'CF Timeline'!$C$4:$BC$4))</f>
        <v>149472.39395078612</v>
      </c>
      <c r="O46" s="517"/>
      <c r="P46" s="517">
        <f ca="1">INDEX('CF Timeline'!$C38:$BC38,MATCH('General overview'!P$15,'CF Timeline'!$C$4:$BC$4))</f>
        <v>220693.54041230952</v>
      </c>
      <c r="Q46" s="517"/>
      <c r="R46" s="517">
        <f ca="1">INDEX('CF Timeline'!$C38:$BC38,MATCH('General overview'!R$15,'CF Timeline'!$C$4:$BC$4))</f>
        <v>169192.26910668798</v>
      </c>
      <c r="S46" s="517"/>
      <c r="T46" s="517">
        <f ca="1">INDEX('CF Timeline'!$C38:$BC38,MATCH('General overview'!T$15,'CF Timeline'!$C$4:$BC$4))</f>
        <v>240969.00465286223</v>
      </c>
      <c r="U46" s="517"/>
      <c r="V46" s="517">
        <f ca="1">INDEX('CF Timeline'!$C38:$BC38,MATCH('General overview'!V$15,'CF Timeline'!$C$4:$BC$4))</f>
        <v>162496.26754459128</v>
      </c>
      <c r="W46" s="517"/>
      <c r="X46" s="517">
        <f ca="1">INDEX('CF Timeline'!$C38:$BC38,MATCH('General overview'!X$15,'CF Timeline'!$C$4:$BC$4))</f>
        <v>103089.20756267561</v>
      </c>
      <c r="Y46" s="407"/>
      <c r="Z46" s="407"/>
      <c r="AA46" s="407"/>
      <c r="AB46" s="408"/>
      <c r="AC46" s="407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</row>
    <row r="47" spans="2:45">
      <c r="B47" s="348" t="s">
        <v>35</v>
      </c>
      <c r="C47" s="336"/>
      <c r="D47" s="96"/>
      <c r="G47" s="542" t="s">
        <v>64</v>
      </c>
      <c r="H47" s="493">
        <f ca="1">INDEX('CF Timeline'!$C39:$BC39,MATCH('General overview'!H$15,'CF Timeline'!$C$4:$BC$4))</f>
        <v>-6871.9942998277329</v>
      </c>
      <c r="I47" s="493"/>
      <c r="J47" s="493">
        <f ca="1">INDEX('CF Timeline'!$C39:$BC39,MATCH('General overview'!J$15,'CF Timeline'!$C$4:$BC$4))</f>
        <v>-2879.0747817567753</v>
      </c>
      <c r="K47" s="493"/>
      <c r="L47" s="493">
        <f ca="1">INDEX('CF Timeline'!$C39:$BC39,MATCH('General overview'!L$15,'CF Timeline'!$C$4:$BC$4))</f>
        <v>1403.7241129368922</v>
      </c>
      <c r="M47" s="493"/>
      <c r="N47" s="493">
        <f ca="1">INDEX('CF Timeline'!$C39:$BC39,MATCH('General overview'!N$15,'CF Timeline'!$C$4:$BC$4))</f>
        <v>-7583.1005718657179</v>
      </c>
      <c r="O47" s="493"/>
      <c r="P47" s="493">
        <f ca="1">INDEX('CF Timeline'!$C39:$BC39,MATCH('General overview'!P$15,'CF Timeline'!$C$4:$BC$4))</f>
        <v>-53210.747811665067</v>
      </c>
      <c r="Q47" s="493"/>
      <c r="R47" s="493">
        <f ca="1">INDEX('CF Timeline'!$C39:$BC39,MATCH('General overview'!R$15,'CF Timeline'!$C$4:$BC$4))</f>
        <v>7285.6883809640294</v>
      </c>
      <c r="S47" s="493"/>
      <c r="T47" s="493">
        <f ca="1">INDEX('CF Timeline'!$C39:$BC39,MATCH('General overview'!T$15,'CF Timeline'!$C$4:$BC$4))</f>
        <v>-11199.650099410619</v>
      </c>
      <c r="U47" s="493"/>
      <c r="V47" s="493">
        <f ca="1">INDEX('CF Timeline'!$C39:$BC39,MATCH('General overview'!V$15,'CF Timeline'!$C$4:$BC$4))</f>
        <v>147944.38996051095</v>
      </c>
      <c r="W47" s="493"/>
      <c r="X47" s="493">
        <f ca="1">INDEX('CF Timeline'!$C39:$BC39,MATCH('General overview'!X$15,'CF Timeline'!$C$4:$BC$4))</f>
        <v>41451.875817589229</v>
      </c>
      <c r="Y47" s="363"/>
      <c r="Z47" s="363"/>
      <c r="AA47" s="363"/>
      <c r="AB47" s="414"/>
      <c r="AC47" s="363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</row>
    <row r="48" spans="2:45">
      <c r="B48" s="346" t="s">
        <v>33</v>
      </c>
      <c r="C48" s="337">
        <v>30000</v>
      </c>
      <c r="D48" s="96"/>
      <c r="G48" s="469" t="s">
        <v>4983</v>
      </c>
      <c r="H48" s="514" t="str">
        <f ca="1">IF(H47&gt;0,"Works","Adjust Goals")</f>
        <v>Adjust Goals</v>
      </c>
      <c r="I48" s="514"/>
      <c r="J48" s="514" t="str">
        <f ca="1">IF(J47&gt;0,"Works","Adjust Goals")</f>
        <v>Adjust Goals</v>
      </c>
      <c r="K48" s="514"/>
      <c r="L48" s="514" t="str">
        <f ca="1">IF(L47&gt;0,"Works","Adjust Goals")</f>
        <v>Works</v>
      </c>
      <c r="M48" s="514"/>
      <c r="N48" s="514" t="str">
        <f ca="1">IF(N47&gt;0,"Works","Adjust Goals")</f>
        <v>Adjust Goals</v>
      </c>
      <c r="O48" s="514"/>
      <c r="P48" s="514" t="str">
        <f ca="1">IF(P47&gt;0,"Works","Adjust Goals")</f>
        <v>Adjust Goals</v>
      </c>
      <c r="Q48" s="514"/>
      <c r="R48" s="514" t="str">
        <f ca="1">IF(R47&gt;0,"Works","Adjust Goals")</f>
        <v>Works</v>
      </c>
      <c r="S48" s="514"/>
      <c r="T48" s="514" t="str">
        <f ca="1">IF(T47&gt;0,"Works","Adjust Goals")</f>
        <v>Adjust Goals</v>
      </c>
      <c r="U48" s="514"/>
      <c r="V48" s="514" t="str">
        <f ca="1">IF(V47&gt;0,"Works","Adjust Goals")</f>
        <v>Works</v>
      </c>
      <c r="W48" s="514"/>
      <c r="X48" s="514" t="str">
        <f ca="1">IF(X47&gt;0,"Works","Adjust Goals")</f>
        <v>Works</v>
      </c>
      <c r="Y48" s="96"/>
      <c r="Z48" s="96"/>
      <c r="AA48" s="96"/>
      <c r="AB48" s="374"/>
      <c r="AC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</row>
    <row r="49" spans="2:45">
      <c r="B49" s="349" t="s">
        <v>34</v>
      </c>
      <c r="C49" s="337">
        <v>0</v>
      </c>
      <c r="D49" s="96"/>
      <c r="G49" s="434"/>
      <c r="Y49" s="96"/>
      <c r="Z49" s="96"/>
      <c r="AA49" s="96"/>
      <c r="AB49" s="374"/>
      <c r="AC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</row>
    <row r="50" spans="2:45">
      <c r="B50" s="346" t="s">
        <v>13</v>
      </c>
      <c r="C50" s="338">
        <v>40</v>
      </c>
      <c r="D50" s="96"/>
      <c r="G50" s="386" t="s">
        <v>4852</v>
      </c>
      <c r="H50" s="494"/>
      <c r="I50" s="494"/>
      <c r="J50" s="494"/>
      <c r="K50" s="494"/>
      <c r="L50" s="494"/>
      <c r="M50" s="494"/>
      <c r="N50" s="494"/>
      <c r="O50" s="494"/>
      <c r="P50" s="494"/>
      <c r="Q50" s="494"/>
      <c r="R50" s="494"/>
      <c r="S50" s="494"/>
      <c r="T50" s="494"/>
      <c r="U50" s="494"/>
      <c r="V50" s="494"/>
      <c r="W50" s="494"/>
      <c r="X50" s="494"/>
      <c r="Y50" s="357"/>
      <c r="Z50" s="357"/>
      <c r="AA50" s="357"/>
      <c r="AB50" s="409"/>
      <c r="AC50" s="357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</row>
    <row r="51" spans="2:45">
      <c r="B51" s="348" t="s">
        <v>32</v>
      </c>
      <c r="C51" s="336"/>
      <c r="D51" s="96"/>
      <c r="G51" s="382" t="s">
        <v>4855</v>
      </c>
      <c r="H51" s="495">
        <f>INDEX('CF Timeline'!$C43:$BC43,MATCH('General overview'!H$15,'CF Timeline'!$C$4:$BC$4))</f>
        <v>0</v>
      </c>
      <c r="I51" s="495"/>
      <c r="J51" s="495">
        <f>INDEX('CF Timeline'!$C43:$BC43,MATCH('General overview'!J$15,'CF Timeline'!$C$4:$BC$4))</f>
        <v>0</v>
      </c>
      <c r="K51" s="495"/>
      <c r="L51" s="495">
        <f>INDEX('CF Timeline'!$C43:$BC43,MATCH('General overview'!L$15,'CF Timeline'!$C$4:$BC$4))</f>
        <v>0</v>
      </c>
      <c r="M51" s="495"/>
      <c r="N51" s="495">
        <f>INDEX('CF Timeline'!$C43:$BC43,MATCH('General overview'!N$15,'CF Timeline'!$C$4:$BC$4))</f>
        <v>0</v>
      </c>
      <c r="O51" s="495"/>
      <c r="P51" s="495">
        <f>INDEX('CF Timeline'!$C43:$BC43,MATCH('General overview'!P$15,'CF Timeline'!$C$4:$BC$4))</f>
        <v>0</v>
      </c>
      <c r="Q51" s="495"/>
      <c r="R51" s="495">
        <f>INDEX('CF Timeline'!$C43:$BC43,MATCH('General overview'!R$15,'CF Timeline'!$C$4:$BC$4))</f>
        <v>0</v>
      </c>
      <c r="S51" s="495"/>
      <c r="T51" s="495">
        <f>INDEX('CF Timeline'!$C43:$BC43,MATCH('General overview'!T$15,'CF Timeline'!$C$4:$BC$4))</f>
        <v>0</v>
      </c>
      <c r="U51" s="495"/>
      <c r="V51" s="495">
        <f>INDEX('CF Timeline'!$C43:$BC43,MATCH('General overview'!V$15,'CF Timeline'!$C$4:$BC$4))</f>
        <v>0</v>
      </c>
      <c r="W51" s="495"/>
      <c r="X51" s="495">
        <f>INDEX('CF Timeline'!$C43:$BC43,MATCH('General overview'!X$15,'CF Timeline'!$C$4:$BC$4))</f>
        <v>0</v>
      </c>
      <c r="Y51" s="357"/>
      <c r="Z51" s="357"/>
      <c r="AA51" s="357"/>
      <c r="AB51" s="409"/>
      <c r="AC51" s="357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</row>
    <row r="52" spans="2:45">
      <c r="B52" s="346" t="s">
        <v>33</v>
      </c>
      <c r="C52" s="337">
        <v>15000</v>
      </c>
      <c r="D52" s="96"/>
      <c r="G52" s="504" t="s">
        <v>4856</v>
      </c>
      <c r="H52" s="499">
        <f>INDEX('CF Timeline'!$C44:$BC44,MATCH('General overview'!H$15,'CF Timeline'!$C$4:$BC$4))</f>
        <v>72077.170011861075</v>
      </c>
      <c r="I52" s="496"/>
      <c r="J52" s="496">
        <f>INDEX('CF Timeline'!$C44:$BC44,MATCH('General overview'!J$15,'CF Timeline'!$C$4:$BC$4))</f>
        <v>72077.170011861075</v>
      </c>
      <c r="K52" s="496"/>
      <c r="L52" s="496">
        <f>INDEX('CF Timeline'!$C44:$BC44,MATCH('General overview'!L$15,'CF Timeline'!$C$4:$BC$4))</f>
        <v>68873.692829588355</v>
      </c>
      <c r="M52" s="496"/>
      <c r="N52" s="496">
        <f>INDEX('CF Timeline'!$C44:$BC44,MATCH('General overview'!N$15,'CF Timeline'!$C$4:$BC$4))</f>
        <v>65305.696466775298</v>
      </c>
      <c r="O52" s="496"/>
      <c r="P52" s="496">
        <f>INDEX('CF Timeline'!$C44:$BC44,MATCH('General overview'!P$15,'CF Timeline'!$C$4:$BC$4))</f>
        <v>65305.696466775298</v>
      </c>
      <c r="Q52" s="496"/>
      <c r="R52" s="496">
        <f>INDEX('CF Timeline'!$C44:$BC44,MATCH('General overview'!R$15,'CF Timeline'!$C$4:$BC$4))</f>
        <v>3506.275121773082</v>
      </c>
      <c r="S52" s="496"/>
      <c r="T52" s="496">
        <f>INDEX('CF Timeline'!$C44:$BC44,MATCH('General overview'!T$15,'CF Timeline'!$C$4:$BC$4))</f>
        <v>2007.4042159234834</v>
      </c>
      <c r="U52" s="496"/>
      <c r="V52" s="496">
        <f>INDEX('CF Timeline'!$C44:$BC44,MATCH('General overview'!V$15,'CF Timeline'!$C$4:$BC$4))</f>
        <v>0</v>
      </c>
      <c r="W52" s="496"/>
      <c r="X52" s="496">
        <f>INDEX('CF Timeline'!$C44:$BC44,MATCH('General overview'!X$15,'CF Timeline'!$C$4:$BC$4))</f>
        <v>0</v>
      </c>
      <c r="Y52" s="357"/>
      <c r="Z52" s="357"/>
      <c r="AA52" s="357"/>
      <c r="AB52" s="409"/>
      <c r="AC52" s="357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</row>
    <row r="53" spans="2:45">
      <c r="B53" s="349" t="s">
        <v>34</v>
      </c>
      <c r="C53" s="337">
        <v>0</v>
      </c>
      <c r="D53" s="96"/>
      <c r="G53" s="380" t="s">
        <v>4854</v>
      </c>
      <c r="H53" s="381">
        <f>INDEX('CF Timeline'!$C45:$BC45,MATCH('General overview'!H$15,'CF Timeline'!$C$4:$BC$4))</f>
        <v>0</v>
      </c>
      <c r="I53" s="381"/>
      <c r="J53" s="381">
        <f>INDEX('CF Timeline'!$C45:$BC45,MATCH('General overview'!J$15,'CF Timeline'!$C$4:$BC$4))</f>
        <v>0</v>
      </c>
      <c r="K53" s="381"/>
      <c r="L53" s="381">
        <f>INDEX('CF Timeline'!$C45:$BC45,MATCH('General overview'!L$15,'CF Timeline'!$C$4:$BC$4))</f>
        <v>0</v>
      </c>
      <c r="M53" s="381"/>
      <c r="N53" s="381">
        <f>INDEX('CF Timeline'!$C45:$BC45,MATCH('General overview'!N$15,'CF Timeline'!$C$4:$BC$4))</f>
        <v>0</v>
      </c>
      <c r="O53" s="381"/>
      <c r="P53" s="381">
        <f>INDEX('CF Timeline'!$C45:$BC45,MATCH('General overview'!P$15,'CF Timeline'!$C$4:$BC$4))</f>
        <v>0</v>
      </c>
      <c r="Q53" s="381"/>
      <c r="R53" s="381">
        <f>INDEX('CF Timeline'!$C45:$BC45,MATCH('General overview'!R$15,'CF Timeline'!$C$4:$BC$4))</f>
        <v>0</v>
      </c>
      <c r="S53" s="381"/>
      <c r="T53" s="381">
        <f>INDEX('CF Timeline'!$C45:$BC45,MATCH('General overview'!T$15,'CF Timeline'!$C$4:$BC$4))</f>
        <v>0</v>
      </c>
      <c r="U53" s="381"/>
      <c r="V53" s="381">
        <f>INDEX('CF Timeline'!$C45:$BC45,MATCH('General overview'!V$15,'CF Timeline'!$C$4:$BC$4))</f>
        <v>0</v>
      </c>
      <c r="W53" s="381"/>
      <c r="X53" s="381">
        <f>INDEX('CF Timeline'!$C45:$BC45,MATCH('General overview'!X$15,'CF Timeline'!$C$4:$BC$4))</f>
        <v>0</v>
      </c>
      <c r="Y53" s="357"/>
      <c r="Z53" s="357"/>
      <c r="AA53" s="357"/>
      <c r="AB53" s="409"/>
      <c r="AC53" s="357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</row>
    <row r="54" spans="2:45">
      <c r="B54" s="346" t="s">
        <v>13</v>
      </c>
      <c r="C54" s="338">
        <v>31</v>
      </c>
      <c r="D54" s="96"/>
      <c r="G54" s="380" t="s">
        <v>4858</v>
      </c>
      <c r="H54" s="381">
        <f>INDEX('CF Timeline'!$C46:$BC46,MATCH('General overview'!H$15,'CF Timeline'!$C$4:$BC$4))</f>
        <v>72077.170011861075</v>
      </c>
      <c r="I54" s="381"/>
      <c r="J54" s="381">
        <f>INDEX('CF Timeline'!$C46:$BC46,MATCH('General overview'!J$15,'CF Timeline'!$C$4:$BC$4))</f>
        <v>216231.51003558323</v>
      </c>
      <c r="K54" s="381"/>
      <c r="L54" s="381">
        <f>INDEX('CF Timeline'!$C46:$BC46,MATCH('General overview'!L$15,'CF Timeline'!$C$4:$BC$4))</f>
        <v>285105.2028651716</v>
      </c>
      <c r="M54" s="381"/>
      <c r="N54" s="381">
        <f>INDEX('CF Timeline'!$C46:$BC46,MATCH('General overview'!N$15,'CF Timeline'!$C$4:$BC$4))</f>
        <v>350410.89933194692</v>
      </c>
      <c r="O54" s="381"/>
      <c r="P54" s="381">
        <f>INDEX('CF Timeline'!$C46:$BC46,MATCH('General overview'!P$15,'CF Timeline'!$C$4:$BC$4))</f>
        <v>742245.07813259866</v>
      </c>
      <c r="Q54" s="381"/>
      <c r="R54" s="381">
        <f>INDEX('CF Timeline'!$C46:$BC46,MATCH('General overview'!R$15,'CF Timeline'!$C$4:$BC$4))</f>
        <v>749257.62837614492</v>
      </c>
      <c r="S54" s="381"/>
      <c r="T54" s="381">
        <f>INDEX('CF Timeline'!$C46:$BC46,MATCH('General overview'!T$15,'CF Timeline'!$C$4:$BC$4))</f>
        <v>769331.67053538002</v>
      </c>
      <c r="U54" s="381"/>
      <c r="V54" s="381">
        <f>INDEX('CF Timeline'!$C46:$BC46,MATCH('General overview'!V$15,'CF Timeline'!$C$4:$BC$4))</f>
        <v>769331.67053538002</v>
      </c>
      <c r="W54" s="381"/>
      <c r="X54" s="381">
        <f>INDEX('CF Timeline'!$C46:$BC46,MATCH('General overview'!X$15,'CF Timeline'!$C$4:$BC$4))</f>
        <v>769331.67053538002</v>
      </c>
      <c r="Y54" s="357"/>
      <c r="Z54" s="357"/>
      <c r="AA54" s="357"/>
      <c r="AB54" s="409"/>
      <c r="AC54" s="357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</row>
    <row r="55" spans="2:45">
      <c r="B55" s="348" t="s">
        <v>17</v>
      </c>
      <c r="C55" s="336"/>
      <c r="D55" s="96"/>
      <c r="G55" s="380" t="s">
        <v>4853</v>
      </c>
      <c r="H55" s="381">
        <f ca="1">INDEX('CF Timeline'!$C47:$BC47,MATCH('General overview'!H$15,'CF Timeline'!$C$4:$BC$4))</f>
        <v>93128.005700172274</v>
      </c>
      <c r="I55" s="381"/>
      <c r="J55" s="381">
        <f ca="1">INDEX('CF Timeline'!$C47:$BC47,MATCH('General overview'!J$15,'CF Timeline'!$C$4:$BC$4))</f>
        <v>219503.48087635206</v>
      </c>
      <c r="K55" s="381"/>
      <c r="L55" s="381">
        <f ca="1">INDEX('CF Timeline'!$C47:$BC47,MATCH('General overview'!L$15,'CF Timeline'!$C$4:$BC$4))</f>
        <v>277984.37500115001</v>
      </c>
      <c r="M55" s="381"/>
      <c r="N55" s="381">
        <f ca="1">INDEX('CF Timeline'!$C47:$BC47,MATCH('General overview'!N$15,'CF Timeline'!$C$4:$BC$4))</f>
        <v>339274.96725887264</v>
      </c>
      <c r="O55" s="381"/>
      <c r="P55" s="381">
        <f ca="1">INDEX('CF Timeline'!$C47:$BC47,MATCH('General overview'!P$15,'CF Timeline'!$C$4:$BC$4))</f>
        <v>-796096.85708172293</v>
      </c>
      <c r="Q55" s="381"/>
      <c r="R55" s="381">
        <f ca="1">INDEX('CF Timeline'!$C47:$BC47,MATCH('General overview'!R$15,'CF Timeline'!$C$4:$BC$4))</f>
        <v>-744283.45432785514</v>
      </c>
      <c r="S55" s="381"/>
      <c r="T55" s="381">
        <f ca="1">INDEX('CF Timeline'!$C47:$BC47,MATCH('General overview'!T$15,'CF Timeline'!$C$4:$BC$4))</f>
        <v>-820626.73390449723</v>
      </c>
      <c r="U55" s="381"/>
      <c r="V55" s="381">
        <f ca="1">INDEX('CF Timeline'!$C47:$BC47,MATCH('General overview'!V$15,'CF Timeline'!$C$4:$BC$4))</f>
        <v>833032.96973689669</v>
      </c>
      <c r="W55" s="381"/>
      <c r="X55" s="381">
        <f ca="1">INDEX('CF Timeline'!$C47:$BC47,MATCH('General overview'!X$15,'CF Timeline'!$C$4:$BC$4))</f>
        <v>1302417.3191853904</v>
      </c>
      <c r="Y55" s="502"/>
      <c r="Z55" s="502"/>
      <c r="AA55" s="502"/>
      <c r="AB55" s="503"/>
      <c r="AC55" s="502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</row>
    <row r="56" spans="2:45">
      <c r="B56" s="346" t="s">
        <v>33</v>
      </c>
      <c r="C56" s="337">
        <v>10000</v>
      </c>
      <c r="D56" s="96"/>
      <c r="G56" s="384" t="s">
        <v>4957</v>
      </c>
      <c r="H56" s="497">
        <f ca="1">INDEX('CF Timeline'!$C48:$BC48,MATCH('General overview'!H$15,'CF Timeline'!$C$4:$BC$4))</f>
        <v>165205.17571203335</v>
      </c>
      <c r="I56" s="200"/>
      <c r="J56" s="200">
        <f ca="1">INDEX('CF Timeline'!$C48:$BC48,MATCH('General overview'!J$15,'CF Timeline'!$C$4:$BC$4))</f>
        <v>291580.65088821313</v>
      </c>
      <c r="K56" s="200"/>
      <c r="L56" s="200">
        <f ca="1">INDEX('CF Timeline'!$C48:$BC48,MATCH('General overview'!L$15,'CF Timeline'!$C$4:$BC$4))</f>
        <v>346858.06783073838</v>
      </c>
      <c r="M56" s="200"/>
      <c r="N56" s="200">
        <f ca="1">INDEX('CF Timeline'!$C48:$BC48,MATCH('General overview'!N$15,'CF Timeline'!$C$4:$BC$4))</f>
        <v>404580.66372564796</v>
      </c>
      <c r="O56" s="200"/>
      <c r="P56" s="200">
        <f ca="1">INDEX('CF Timeline'!$C48:$BC48,MATCH('General overview'!P$15,'CF Timeline'!$C$4:$BC$4))</f>
        <v>-730791.16061494767</v>
      </c>
      <c r="Q56" s="200"/>
      <c r="R56" s="200">
        <f ca="1">INDEX('CF Timeline'!$C48:$BC48,MATCH('General overview'!R$15,'CF Timeline'!$C$4:$BC$4))</f>
        <v>-740777.17920608202</v>
      </c>
      <c r="S56" s="200"/>
      <c r="T56" s="200">
        <f ca="1">INDEX('CF Timeline'!$C48:$BC48,MATCH('General overview'!T$15,'CF Timeline'!$C$4:$BC$4))</f>
        <v>-818619.32968857372</v>
      </c>
      <c r="U56" s="200"/>
      <c r="V56" s="200">
        <f ca="1">INDEX('CF Timeline'!$C48:$BC48,MATCH('General overview'!V$15,'CF Timeline'!$C$4:$BC$4))</f>
        <v>833032.96973689669</v>
      </c>
      <c r="W56" s="200"/>
      <c r="X56" s="200">
        <f ca="1">INDEX('CF Timeline'!$C48:$BC48,MATCH('General overview'!X$15,'CF Timeline'!$C$4:$BC$4))</f>
        <v>1302417.3191853904</v>
      </c>
      <c r="Y56" s="96"/>
      <c r="Z56" s="96"/>
      <c r="AA56" s="96"/>
      <c r="AB56" s="374"/>
      <c r="AC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</row>
    <row r="57" spans="2:45" outlineLevel="1">
      <c r="B57" s="349" t="s">
        <v>34</v>
      </c>
      <c r="C57" s="337">
        <v>0</v>
      </c>
      <c r="D57" s="96"/>
      <c r="G57" s="380" t="s">
        <v>4966</v>
      </c>
      <c r="H57" s="381">
        <f>INDEX('CF Timeline'!$C49:$BC49,MATCH('General overview'!H$15,'CF Timeline'!$C$4:$BC$4))</f>
        <v>0</v>
      </c>
      <c r="I57" s="381"/>
      <c r="J57" s="381">
        <f>INDEX('CF Timeline'!$C49:$BC49,MATCH('General overview'!J$15,'CF Timeline'!$C$4:$BC$4))</f>
        <v>0</v>
      </c>
      <c r="K57" s="381"/>
      <c r="L57" s="381">
        <f>INDEX('CF Timeline'!$C49:$BC49,MATCH('General overview'!L$15,'CF Timeline'!$C$4:$BC$4))</f>
        <v>0</v>
      </c>
      <c r="M57" s="381"/>
      <c r="N57" s="381">
        <f>INDEX('CF Timeline'!$C49:$BC49,MATCH('General overview'!N$15,'CF Timeline'!$C$4:$BC$4))</f>
        <v>0</v>
      </c>
      <c r="O57" s="381"/>
      <c r="P57" s="381">
        <f>INDEX('CF Timeline'!$C49:$BC49,MATCH('General overview'!P$15,'CF Timeline'!$C$4:$BC$4))</f>
        <v>925238.85166964959</v>
      </c>
      <c r="Q57" s="381"/>
      <c r="R57" s="381">
        <f>INDEX('CF Timeline'!$C49:$BC49,MATCH('General overview'!R$15,'CF Timeline'!$C$4:$BC$4))</f>
        <v>953204.19596136454</v>
      </c>
      <c r="S57" s="381"/>
      <c r="T57" s="381">
        <f>INDEX('CF Timeline'!$C49:$BC49,MATCH('General overview'!T$15,'CF Timeline'!$C$4:$BC$4))</f>
        <v>1106232.3839984352</v>
      </c>
      <c r="U57" s="381"/>
      <c r="V57" s="381">
        <f>INDEX('CF Timeline'!$C49:$BC49,MATCH('General overview'!V$15,'CF Timeline'!$C$4:$BC$4))</f>
        <v>1383047.1996463512</v>
      </c>
      <c r="W57" s="381"/>
      <c r="X57" s="381">
        <f>INDEX('CF Timeline'!$C49:$BC49,MATCH('General overview'!X$15,'CF Timeline'!$C$4:$BC$4))</f>
        <v>1605082.7381262975</v>
      </c>
      <c r="Y57" s="96"/>
      <c r="Z57" s="96"/>
      <c r="AA57" s="96"/>
      <c r="AB57" s="374"/>
      <c r="AC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</row>
    <row r="58" spans="2:45" outlineLevel="1">
      <c r="B58" s="346" t="s">
        <v>13</v>
      </c>
      <c r="C58" s="338">
        <v>30</v>
      </c>
      <c r="D58" s="96"/>
      <c r="G58" s="380" t="s">
        <v>4967</v>
      </c>
      <c r="H58" s="381">
        <f>INDEX('CF Timeline'!$C50:$BC50,MATCH('General overview'!H$15,'CF Timeline'!$C$4:$BC$4))</f>
        <v>0</v>
      </c>
      <c r="I58" s="381"/>
      <c r="J58" s="381">
        <f>INDEX('CF Timeline'!$C50:$BC50,MATCH('General overview'!J$15,'CF Timeline'!$C$4:$BC$4))</f>
        <v>0</v>
      </c>
      <c r="K58" s="381"/>
      <c r="L58" s="381">
        <f>INDEX('CF Timeline'!$C50:$BC50,MATCH('General overview'!L$15,'CF Timeline'!$C$4:$BC$4))</f>
        <v>0</v>
      </c>
      <c r="M58" s="381"/>
      <c r="N58" s="381">
        <f>INDEX('CF Timeline'!$C50:$BC50,MATCH('General overview'!N$15,'CF Timeline'!$C$4:$BC$4))</f>
        <v>0</v>
      </c>
      <c r="O58" s="381"/>
      <c r="P58" s="381">
        <f>INDEX('CF Timeline'!$C50:$BC50,MATCH('General overview'!P$15,'CF Timeline'!$C$4:$BC$4))</f>
        <v>10799.076386296232</v>
      </c>
      <c r="Q58" s="381"/>
      <c r="R58" s="381">
        <f>INDEX('CF Timeline'!$C50:$BC50,MATCH('General overview'!R$15,'CF Timeline'!$C$4:$BC$4))</f>
        <v>11016.137821660786</v>
      </c>
      <c r="S58" s="381"/>
      <c r="T58" s="381">
        <f>INDEX('CF Timeline'!$C50:$BC50,MATCH('General overview'!T$15,'CF Timeline'!$C$4:$BC$4))</f>
        <v>12168.669574385694</v>
      </c>
      <c r="U58" s="381"/>
      <c r="V58" s="381">
        <f>INDEX('CF Timeline'!$C50:$BC50,MATCH('General overview'!V$15,'CF Timeline'!$C$4:$BC$4))</f>
        <v>14127.447604017247</v>
      </c>
      <c r="W58" s="381"/>
      <c r="X58" s="381">
        <f>INDEX('CF Timeline'!$C50:$BC50,MATCH('General overview'!X$15,'CF Timeline'!$C$4:$BC$4))</f>
        <v>0</v>
      </c>
      <c r="Y58" s="96"/>
      <c r="Z58" s="96"/>
      <c r="AA58" s="96"/>
      <c r="AB58" s="374"/>
      <c r="AC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</row>
    <row r="59" spans="2:45" ht="17" thickBot="1">
      <c r="B59" s="345" t="s">
        <v>19</v>
      </c>
      <c r="C59" s="339"/>
      <c r="D59" s="96"/>
      <c r="G59" s="387" t="s">
        <v>62</v>
      </c>
      <c r="H59" s="498">
        <f ca="1">INDEX('CF Timeline'!$C51:$BC51,MATCH('General overview'!H$15,'CF Timeline'!$C$4:$BC$4))</f>
        <v>165205.17571203335</v>
      </c>
      <c r="I59" s="388"/>
      <c r="J59" s="388">
        <f ca="1">INDEX('CF Timeline'!$C51:$BC51,MATCH('General overview'!J$15,'CF Timeline'!$C$4:$BC$4))</f>
        <v>291580.65088821313</v>
      </c>
      <c r="K59" s="388"/>
      <c r="L59" s="388">
        <f ca="1">INDEX('CF Timeline'!$C51:$BC51,MATCH('General overview'!L$15,'CF Timeline'!$C$4:$BC$4))</f>
        <v>346858.06783073838</v>
      </c>
      <c r="M59" s="388"/>
      <c r="N59" s="388">
        <f ca="1">INDEX('CF Timeline'!$C51:$BC51,MATCH('General overview'!N$15,'CF Timeline'!$C$4:$BC$4))</f>
        <v>404580.66372564796</v>
      </c>
      <c r="O59" s="388"/>
      <c r="P59" s="388">
        <f ca="1">INDEX('CF Timeline'!$C51:$BC51,MATCH('General overview'!P$15,'CF Timeline'!$C$4:$BC$4))</f>
        <v>205246.76744099814</v>
      </c>
      <c r="Q59" s="388"/>
      <c r="R59" s="388">
        <f ca="1">INDEX('CF Timeline'!$C51:$BC51,MATCH('General overview'!R$15,'CF Timeline'!$C$4:$BC$4))</f>
        <v>223443.15457694331</v>
      </c>
      <c r="S59" s="388"/>
      <c r="T59" s="388">
        <f ca="1">INDEX('CF Timeline'!$C51:$BC51,MATCH('General overview'!T$15,'CF Timeline'!$C$4:$BC$4))</f>
        <v>299781.72388424719</v>
      </c>
      <c r="U59" s="388"/>
      <c r="V59" s="388">
        <f ca="1">INDEX('CF Timeline'!$C51:$BC51,MATCH('General overview'!V$15,'CF Timeline'!$C$4:$BC$4))</f>
        <v>2230207.6169872652</v>
      </c>
      <c r="W59" s="388"/>
      <c r="X59" s="388">
        <f ca="1">INDEX('CF Timeline'!$C51:$BC51,MATCH('General overview'!X$15,'CF Timeline'!$C$4:$BC$4))</f>
        <v>2907500.0573116876</v>
      </c>
      <c r="Y59" s="392"/>
      <c r="Z59" s="392"/>
      <c r="AA59" s="392"/>
      <c r="AB59" s="393"/>
      <c r="AC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</row>
    <row r="60" spans="2:45">
      <c r="B60" s="347" t="s">
        <v>36</v>
      </c>
      <c r="C60" s="335">
        <v>65</v>
      </c>
      <c r="D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</row>
    <row r="61" spans="2:45">
      <c r="B61" s="347" t="s">
        <v>37</v>
      </c>
      <c r="C61" s="335" t="s">
        <v>4985</v>
      </c>
      <c r="D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</row>
    <row r="62" spans="2:45" ht="17" thickBot="1">
      <c r="B62" s="350" t="s">
        <v>38</v>
      </c>
      <c r="C62" s="340"/>
      <c r="D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</row>
    <row r="63" spans="2:45">
      <c r="B63" s="96"/>
      <c r="C63" s="96"/>
      <c r="D63" s="96"/>
      <c r="F63" s="249"/>
      <c r="G63" s="389"/>
      <c r="H63" s="389"/>
      <c r="I63" s="389"/>
      <c r="J63" s="389"/>
      <c r="K63" s="389"/>
      <c r="L63" s="389"/>
      <c r="M63" s="389"/>
      <c r="N63" s="389"/>
      <c r="O63" s="389"/>
      <c r="P63" s="389"/>
      <c r="Q63" s="389"/>
      <c r="R63" s="389"/>
      <c r="S63" s="389"/>
      <c r="T63" s="389"/>
      <c r="U63" s="389"/>
      <c r="V63" s="389"/>
      <c r="W63" s="389"/>
      <c r="X63" s="389"/>
      <c r="Y63" s="389"/>
      <c r="Z63" s="389"/>
      <c r="AA63" s="389"/>
      <c r="AB63" s="389"/>
      <c r="AC63" s="389"/>
      <c r="AD63" s="389"/>
      <c r="AE63" s="390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</row>
    <row r="64" spans="2:45">
      <c r="B64" s="15" t="s">
        <v>19</v>
      </c>
      <c r="C64" s="17"/>
      <c r="D64" s="96"/>
      <c r="F64" s="373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E64" s="374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</row>
    <row r="65" spans="2:45">
      <c r="B65" s="2" t="s">
        <v>40</v>
      </c>
      <c r="C65" s="81">
        <v>0</v>
      </c>
      <c r="D65" s="96"/>
      <c r="F65" s="373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E65" s="374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</row>
    <row r="66" spans="2:45">
      <c r="B66" s="96"/>
      <c r="C66" s="96"/>
      <c r="D66" s="96"/>
      <c r="F66" s="373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E66" s="374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</row>
    <row r="67" spans="2:45">
      <c r="B67" s="96"/>
      <c r="C67" s="96"/>
      <c r="D67" s="96"/>
      <c r="F67" s="373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E67" s="374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</row>
    <row r="68" spans="2:45">
      <c r="B68" s="96"/>
      <c r="C68" s="96"/>
      <c r="D68" s="96"/>
      <c r="F68" s="373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E68" s="374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</row>
    <row r="69" spans="2:45">
      <c r="B69" s="96" t="s">
        <v>4793</v>
      </c>
      <c r="C69" s="96"/>
      <c r="D69" s="96"/>
      <c r="F69" s="373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E69" s="374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</row>
    <row r="70" spans="2:45">
      <c r="B70" s="8" t="s">
        <v>18</v>
      </c>
      <c r="C70" s="328"/>
      <c r="D70" s="96"/>
      <c r="F70" s="373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E70" s="374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</row>
    <row r="71" spans="2:45">
      <c r="B71" s="2" t="s">
        <v>4949</v>
      </c>
      <c r="C71" s="327" t="s">
        <v>143</v>
      </c>
      <c r="D71" s="96"/>
      <c r="F71" s="373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E71" s="374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</row>
    <row r="72" spans="2:45">
      <c r="B72" s="2" t="s">
        <v>4981</v>
      </c>
      <c r="C72" s="505">
        <v>4310</v>
      </c>
      <c r="D72" s="96"/>
      <c r="F72" s="373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E72" s="374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</row>
    <row r="73" spans="2:45">
      <c r="B73" s="2" t="s">
        <v>4950</v>
      </c>
      <c r="C73" s="326" t="str">
        <f>IFERROR(INDEX(Taxes!$B$78:$B$2220, MATCH(C31,Taxes!$F$78:$F$2221, 0)), INDEX(Taxes!$B$78:$B$2220, MATCH(C31, Taxes!$F$78:$F$2221,-1)))</f>
        <v>ZH</v>
      </c>
      <c r="D73" s="96"/>
      <c r="F73" s="373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E73" s="374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</row>
    <row r="74" spans="2:45">
      <c r="B74" s="11" t="s">
        <v>19</v>
      </c>
      <c r="C74" s="217"/>
      <c r="D74" s="96"/>
      <c r="F74" s="373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E74" s="374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</row>
    <row r="75" spans="2:45">
      <c r="B75" s="2" t="s">
        <v>4873</v>
      </c>
      <c r="C75" s="106">
        <f ca="1">'Pension calculator 3a'!F11</f>
        <v>5534701.6911997935</v>
      </c>
      <c r="D75" s="96"/>
      <c r="F75" s="373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E75" s="374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</row>
    <row r="76" spans="2:45">
      <c r="B76" s="110" t="s">
        <v>41</v>
      </c>
      <c r="C76" s="110"/>
      <c r="D76" s="96"/>
      <c r="F76" s="373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E76" s="374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</row>
    <row r="77" spans="2:45">
      <c r="B77" s="13" t="str">
        <f>IF(C27="Buy","Needed Capital for housing","Increase in running Cost by desired Rent")</f>
        <v>Needed Capital for housing</v>
      </c>
      <c r="C77" s="13"/>
      <c r="D77" s="96"/>
      <c r="F77" s="373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E77" s="374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</row>
    <row r="78" spans="2:45">
      <c r="B78" s="2" t="s">
        <v>42</v>
      </c>
      <c r="C78" s="10" t="str">
        <f>IF(ISTEXT(C31),C31,VLOOKUP(C31,Realestate!A2:B2407,2,FALSE))</f>
        <v>Stäfa</v>
      </c>
      <c r="D78" s="96"/>
      <c r="F78" s="373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E78" s="374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</row>
    <row r="79" spans="2:45">
      <c r="B79" s="14" t="s">
        <v>43</v>
      </c>
      <c r="C79" s="10" t="str">
        <f>IF(ISTEXT(C31),C31,VLOOKUP(C31,Realestate!A2:B2407,2,FALSE))</f>
        <v>Stäfa</v>
      </c>
      <c r="D79" s="96"/>
      <c r="F79" s="373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E79" s="374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</row>
    <row r="80" spans="2:45">
      <c r="B80" s="2" t="str">
        <f>IF(C27="Buy","Price today","Rent today")</f>
        <v>Price today</v>
      </c>
      <c r="C80" s="4">
        <f>VLOOKUP(C78,IF(C30="Flat",Realestate!B2:G2407,IF(C30="House",Realestate!B2:G2407,IF(C30="Rent",Realestate!B2:G2407,0))),IF(C30="Flat",4,IF(C30="House",5,IF(C30="Rent",6,0))),FALSE)*IF(C33="Cheap",0.8,IF(C33="Normal",1,IF(C33="Expensive",1.2,0)))*C32</f>
        <v>1993120</v>
      </c>
      <c r="D80" s="96"/>
      <c r="F80" s="373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E80" s="374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</row>
    <row r="81" spans="1:45">
      <c r="B81" s="14" t="str">
        <f>(C29-C5) &amp;IF(C27="Buy"," -Years in the Future Price","  Years in the Future rent")</f>
        <v>10 -Years in the Future Price</v>
      </c>
      <c r="C81" s="4">
        <f>IF(C28&gt;0,C28,IF($C$30="Flat",VLOOKUP($C$31,IF(ISTEXT($C$31),Realestate!$B$2:$G$2407,Realestate!$D$2:$G$2407),IF(ISTEXT($C$31),4,2),FALSE),IF($C$30="House",VLOOKUP($C$31,IF(ISTEXT($C$31),Realestate!$B$2:$G$2407,Realestate!$D$2:$G$2407),IF(ISTEXT($C$31),5,3),FALSE),IF($C$30="Rent",VLOOKUP($C$31,IF(ISTEXT($C$31),Realestate!$B$2:$G$2407,Realestate!$D$2:$G$2407),IF(ISTEXT($C$31),6,4),FALSE),"Error")))*IF($C$33="Expensive",1.2,IF($C$33="Normal",1,IF($C$33="Cheap",0.8,"Error")))*$C$32*1.015^(C29-C5))</f>
        <v>2313097.129174124</v>
      </c>
      <c r="D81" s="96"/>
      <c r="F81" s="373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E81" s="374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</row>
    <row r="82" spans="1:45">
      <c r="B82" s="95" t="s">
        <v>44</v>
      </c>
      <c r="C82" s="95"/>
      <c r="D82" s="96"/>
      <c r="F82" s="373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E82" s="374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</row>
    <row r="83" spans="1:45">
      <c r="B83" s="2" t="s">
        <v>45</v>
      </c>
      <c r="C83" s="115">
        <f>IF(C25="",Children!BA93,C25)</f>
        <v>0</v>
      </c>
      <c r="D83" s="96"/>
      <c r="F83" s="373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E83" s="374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</row>
    <row r="84" spans="1:45">
      <c r="B84" s="14" t="s">
        <v>46</v>
      </c>
      <c r="C84" s="115">
        <f>Children!BA95</f>
        <v>0</v>
      </c>
      <c r="D84" s="96"/>
      <c r="F84" s="373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E84" s="374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</row>
    <row r="85" spans="1:45">
      <c r="B85" s="96"/>
      <c r="C85" s="96"/>
      <c r="D85" s="96"/>
      <c r="F85" s="373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E85" s="374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</row>
    <row r="86" spans="1:45">
      <c r="B86" s="96"/>
      <c r="C86" s="96"/>
      <c r="D86" s="96"/>
      <c r="F86" s="373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E86" s="374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</row>
    <row r="87" spans="1:45">
      <c r="B87" s="96"/>
      <c r="C87" s="96"/>
      <c r="D87" s="96"/>
      <c r="F87" s="373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E87" s="374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</row>
    <row r="88" spans="1:45">
      <c r="B88" s="96"/>
      <c r="C88" s="96"/>
      <c r="D88" s="96"/>
      <c r="F88" s="373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E88" s="374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</row>
    <row r="89" spans="1:45">
      <c r="B89" s="96"/>
      <c r="C89" s="96"/>
      <c r="D89" s="96"/>
      <c r="F89" s="373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E89" s="374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</row>
    <row r="90" spans="1:45">
      <c r="B90" s="96"/>
      <c r="C90" s="96"/>
      <c r="D90" s="96"/>
      <c r="F90" s="373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E90" s="374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</row>
    <row r="91" spans="1:45">
      <c r="B91" s="96"/>
      <c r="C91" s="96"/>
      <c r="D91" s="96"/>
      <c r="F91" s="373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E91" s="374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</row>
    <row r="92" spans="1:45">
      <c r="A92" s="354" t="s">
        <v>1</v>
      </c>
      <c r="B92" s="96"/>
      <c r="C92" s="96"/>
      <c r="D92" s="96"/>
      <c r="F92" s="373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E92" s="374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</row>
    <row r="93" spans="1:45">
      <c r="A93" s="355">
        <f>C5</f>
        <v>28</v>
      </c>
      <c r="B93" s="183"/>
      <c r="C93" s="21"/>
      <c r="D93" s="96" t="s">
        <v>3</v>
      </c>
      <c r="F93" s="373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E93" s="374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</row>
    <row r="94" spans="1:45">
      <c r="A94" s="355">
        <f>SMALL(($C$24,$C$29,$C$46,$C$50,$C$54,$C$58, $C$60), 1)</f>
        <v>30</v>
      </c>
      <c r="B94" s="184" t="str" cm="1">
        <f t="array" ref="B94">INDEX($D$93:$D$101, _xlfn.AGGREGATE(15, 6, ROW($C$94:$C$102)-ROW($C$94)+1 / ($C$94:$C$102=A93), COUNTIF($A$93:A93, A93)))</f>
        <v>Now</v>
      </c>
      <c r="C94">
        <f>C5</f>
        <v>28</v>
      </c>
      <c r="D94" s="96" t="s">
        <v>5</v>
      </c>
      <c r="F94" s="373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E94" s="374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</row>
    <row r="95" spans="1:45">
      <c r="A95" s="355">
        <f>SMALL(($C$24,$C$29,$C$46,$C$50,$C$54,$C$58, $C$60), 2)</f>
        <v>31</v>
      </c>
      <c r="B95" s="184" t="str" cm="1">
        <f t="array" ref="B95">INDEX($D$93:$D$101, _xlfn.AGGREGATE(15, 6, ROW($C$94:$C$102)-ROW($C$94)+1 / ($C$94:$C$102=A94), COUNTIF($A$93:A94, A94)))</f>
        <v>Wedding</v>
      </c>
      <c r="C95">
        <f>C24</f>
        <v>32</v>
      </c>
      <c r="D95" s="96" t="s">
        <v>7</v>
      </c>
      <c r="E95" s="357">
        <f>D195</f>
        <v>1387858.2775044744</v>
      </c>
      <c r="F95" s="373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E95" s="374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</row>
    <row r="96" spans="1:45">
      <c r="A96" s="355">
        <f>SMALL(($C$24,$C$29,$C$46,$C$50,$C$54,$C$58, $C$60), 3)</f>
        <v>32</v>
      </c>
      <c r="B96" s="184" t="str" cm="1">
        <f t="array" ref="B96">INDEX($D$93:$D$101, _xlfn.AGGREGATE(15, 6, ROW($C$94:$C$102)-ROW($C$94)+1 / ($C$94:$C$102=A95), COUNTIF($A$93:A95, A95)))</f>
        <v xml:space="preserve">Watch </v>
      </c>
      <c r="C96">
        <f>C29</f>
        <v>38</v>
      </c>
      <c r="D96" s="96" t="s">
        <v>9</v>
      </c>
      <c r="E96" s="358">
        <f>IF(C39="No",0,IF(_xlfn.NUMBERVALUE($C$45),$C$45,$C$44))</f>
        <v>100000</v>
      </c>
      <c r="F96" s="373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E96" s="374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</row>
    <row r="97" spans="1:45">
      <c r="A97" s="355">
        <f>SMALL(($C$24,$C$29,$C$46,$C$50,$C$54,$C$58, $C$60), 4)</f>
        <v>38</v>
      </c>
      <c r="B97" s="184" t="str" cm="1">
        <f t="array" ref="B97">INDEX($D$93:$D$101, _xlfn.AGGREGATE(15, 6, ROW($C$94:$C$102)-ROW($C$94)+1 / ($C$94:$C$102=A96), COUNTIF($A$93:A96, A96)))</f>
        <v>Children</v>
      </c>
      <c r="C97">
        <f>C46</f>
        <v>50</v>
      </c>
      <c r="D97" s="96" t="s">
        <v>11</v>
      </c>
      <c r="E97" s="358">
        <f>IF(C40="No",0,IF(_xlfn.NUMBERVALUE($C$49),$C$49,$C$48))</f>
        <v>30000</v>
      </c>
      <c r="F97" s="373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E97" s="374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</row>
    <row r="98" spans="1:45">
      <c r="A98" s="355">
        <f>SMALL(($C$24,$C$29,$C$46,$C$50,$C$54,$C$58, $C$60), 5)</f>
        <v>40</v>
      </c>
      <c r="B98" s="184" t="str" cm="1">
        <f t="array" ref="B98">INDEX($D$93:$D$101, _xlfn.AGGREGATE(15, 6, ROW($C$94:$C$102)-ROW($C$94)+1 / ($C$94:$C$102=A97), COUNTIF($A$93:A97, A97)))</f>
        <v>House</v>
      </c>
      <c r="C98">
        <f>C50</f>
        <v>40</v>
      </c>
      <c r="D98" s="96" t="s">
        <v>14</v>
      </c>
      <c r="E98" s="358">
        <f>IF(C41="No",0,IF(_xlfn.NUMBERVALUE($C$53),$C$53,$C$52))</f>
        <v>15000</v>
      </c>
      <c r="F98" s="373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E98" s="374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</row>
    <row r="99" spans="1:45">
      <c r="A99" s="355">
        <f>SMALL(($C$24,$C$29,$C$46,$C$50,$C$54,$C$58, $C$60), 6)</f>
        <v>50</v>
      </c>
      <c r="B99" s="184" t="str" cm="1">
        <f t="array" ref="B99">INDEX($D$93:$D$101, _xlfn.AGGREGATE(15, 6, ROW($C$94:$C$102)-ROW($C$94)+1 / ($C$94:$C$102=A98), COUNTIF($A$93:A98, A98)))</f>
        <v xml:space="preserve">Special travel </v>
      </c>
      <c r="C99">
        <f>C54</f>
        <v>31</v>
      </c>
      <c r="D99" s="96" t="s">
        <v>17</v>
      </c>
      <c r="E99" s="358">
        <f>IF(C42="No",0,IF(_xlfn.NUMBERVALUE($C$57),$C$57,$C$56))</f>
        <v>10000</v>
      </c>
      <c r="F99" s="373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E99" s="374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</row>
    <row r="100" spans="1:45">
      <c r="A100" s="355"/>
      <c r="B100" s="184" t="str" cm="1">
        <f t="array" ref="B100">INDEX($D$93:$D$101, _xlfn.AGGREGATE(15, 6, ROW($C$94:$C$102)-ROW($C$94)+1 / ($C$94:$C$102=A99), COUNTIF($A$93:A99, A99)))</f>
        <v>Car</v>
      </c>
      <c r="C100">
        <f>C58</f>
        <v>30</v>
      </c>
      <c r="D100" s="96"/>
      <c r="E100" s="358"/>
      <c r="F100" s="373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E100" s="374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</row>
    <row r="101" spans="1:45">
      <c r="A101" s="355">
        <f>SMALL(($C$24,$C$29,$C$46,$C$50,$C$54,$C$58, $C$60), 7)</f>
        <v>65</v>
      </c>
      <c r="B101" s="184"/>
      <c r="D101" s="96" t="s">
        <v>19</v>
      </c>
      <c r="E101" s="358">
        <f>IF($C$61="Yes",$C$75,$C$62)</f>
        <v>0</v>
      </c>
      <c r="F101" s="373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E101" s="374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</row>
    <row r="102" spans="1:45">
      <c r="B102" s="184" t="str" cm="1">
        <f t="array" ref="B102">INDEX($D$93:$D$101, _xlfn.AGGREGATE(15, 6, ROW($C$94:$C$102)-ROW($C$94)+1 / ($C$94:$C$102=A101), COUNTIF($A$93:A101, A101)))</f>
        <v>Pension</v>
      </c>
      <c r="C102">
        <f>C60</f>
        <v>65</v>
      </c>
      <c r="D102" s="96"/>
      <c r="F102" s="373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E102" s="374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</row>
    <row r="103" spans="1:45">
      <c r="B103" s="96"/>
      <c r="C103" s="96"/>
      <c r="D103" s="96"/>
      <c r="F103" s="373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E103" s="374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</row>
    <row r="104" spans="1:45">
      <c r="B104" s="96"/>
      <c r="C104" s="96"/>
      <c r="D104" s="96"/>
      <c r="F104" s="373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E104" s="374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</row>
    <row r="105" spans="1:45">
      <c r="B105" s="331" t="s">
        <v>4946</v>
      </c>
      <c r="C105" s="331"/>
      <c r="D105" s="96" t="s">
        <v>4990</v>
      </c>
      <c r="F105" s="373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E105" s="374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</row>
    <row r="106" spans="1:45">
      <c r="F106" s="373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E106" s="374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</row>
    <row r="107" spans="1:45">
      <c r="B107" s="519" t="s">
        <v>4984</v>
      </c>
      <c r="C107" s="96" t="s">
        <v>4992</v>
      </c>
      <c r="D107" s="96" t="s">
        <v>4993</v>
      </c>
      <c r="E107" s="357"/>
      <c r="F107" s="373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E107" s="374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</row>
    <row r="108" spans="1:45">
      <c r="B108" t="s">
        <v>4979</v>
      </c>
      <c r="F108" s="373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E108" s="374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</row>
    <row r="109" spans="1:45">
      <c r="C109" s="96"/>
      <c r="D109" s="96"/>
      <c r="F109" s="373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E109" s="374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</row>
    <row r="110" spans="1:45">
      <c r="B110" s="96"/>
      <c r="C110" s="96"/>
      <c r="D110" s="96"/>
      <c r="F110" s="373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E110" s="374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</row>
    <row r="111" spans="1:45">
      <c r="B111" s="96"/>
      <c r="C111" s="361"/>
      <c r="D111" s="96"/>
      <c r="F111" s="373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E111" s="374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</row>
    <row r="112" spans="1:45">
      <c r="B112" s="96"/>
      <c r="C112" s="361"/>
      <c r="D112" s="96"/>
      <c r="F112" s="373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E112" s="374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</row>
    <row r="113" spans="2:45">
      <c r="B113" s="96" t="s">
        <v>4989</v>
      </c>
      <c r="C113" s="96"/>
      <c r="D113" s="96" t="s">
        <v>4991</v>
      </c>
      <c r="F113" s="373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E113" s="374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</row>
    <row r="114" spans="2:45">
      <c r="B114" s="96" t="s">
        <v>4978</v>
      </c>
      <c r="C114" s="96"/>
      <c r="D114" s="96" t="s">
        <v>4991</v>
      </c>
      <c r="F114" s="373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E114" s="374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</row>
    <row r="115" spans="2:45">
      <c r="F115" s="373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E115" s="374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</row>
    <row r="116" spans="2:45">
      <c r="B116" s="521" t="s">
        <v>4994</v>
      </c>
      <c r="F116" s="373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E116" s="374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</row>
    <row r="117" spans="2:45">
      <c r="B117" s="96" t="s">
        <v>4995</v>
      </c>
      <c r="F117" s="373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E117" s="374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</row>
    <row r="118" spans="2:45">
      <c r="B118" s="96" t="s">
        <v>4996</v>
      </c>
      <c r="F118" s="373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E118" s="374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</row>
    <row r="119" spans="2:45">
      <c r="F119" s="373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E119" s="374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</row>
    <row r="120" spans="2:45">
      <c r="F120" s="373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E120" s="374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</row>
    <row r="121" spans="2:45">
      <c r="F121" s="373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E121" s="374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</row>
    <row r="122" spans="2:45">
      <c r="F122" s="373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E122" s="374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</row>
    <row r="123" spans="2:45">
      <c r="F123" s="373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E123" s="374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</row>
    <row r="124" spans="2:45">
      <c r="F124" s="373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E124" s="374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</row>
    <row r="125" spans="2:45">
      <c r="F125" s="373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E125" s="374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</row>
    <row r="126" spans="2:45">
      <c r="F126" s="373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E126" s="374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</row>
    <row r="127" spans="2:45">
      <c r="F127" s="373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E127" s="374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</row>
    <row r="128" spans="2:45">
      <c r="D128" s="96"/>
      <c r="F128" s="373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E128" s="374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</row>
    <row r="129" spans="2:45">
      <c r="D129" s="96"/>
      <c r="F129" s="373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E129" s="374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</row>
    <row r="130" spans="2:45">
      <c r="D130" s="96"/>
      <c r="F130" s="373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E130" s="374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</row>
    <row r="131" spans="2:45">
      <c r="D131" s="96"/>
      <c r="F131" s="373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E131" s="374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</row>
    <row r="132" spans="2:45">
      <c r="B132" s="96"/>
      <c r="C132" s="96"/>
      <c r="D132" s="96"/>
      <c r="F132" s="373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E132" s="374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</row>
    <row r="133" spans="2:45">
      <c r="B133" s="96"/>
      <c r="C133" s="361"/>
      <c r="D133" s="96"/>
      <c r="F133" s="373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E133" s="374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</row>
    <row r="134" spans="2:45">
      <c r="B134" s="96"/>
      <c r="C134" s="361"/>
      <c r="D134" s="96"/>
      <c r="F134" s="373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E134" s="374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</row>
    <row r="135" spans="2:45">
      <c r="B135" s="96"/>
      <c r="C135" s="361"/>
      <c r="D135" s="96"/>
      <c r="F135" s="373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E135" s="374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</row>
    <row r="136" spans="2:45">
      <c r="B136" s="96"/>
      <c r="C136" s="96"/>
      <c r="D136" s="96"/>
      <c r="F136" s="373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E136" s="374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</row>
    <row r="137" spans="2:45">
      <c r="B137" s="96"/>
      <c r="C137" s="96"/>
      <c r="D137" s="96"/>
      <c r="F137" s="373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E137" s="374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</row>
    <row r="138" spans="2:45">
      <c r="B138" s="96"/>
      <c r="C138" s="96"/>
      <c r="D138" s="96"/>
      <c r="F138" s="373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E138" s="374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</row>
    <row r="139" spans="2:45">
      <c r="B139" s="96"/>
      <c r="C139" s="96"/>
      <c r="D139" s="96"/>
      <c r="F139" s="373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E139" s="374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</row>
    <row r="140" spans="2:45">
      <c r="B140" s="96"/>
      <c r="C140" s="96"/>
      <c r="D140" s="96"/>
      <c r="F140" s="373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E140" s="374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</row>
    <row r="141" spans="2:45">
      <c r="B141" s="96"/>
      <c r="C141" s="96"/>
      <c r="D141" s="96"/>
      <c r="F141" s="373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E141" s="374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</row>
    <row r="142" spans="2:45">
      <c r="B142" s="96"/>
      <c r="C142" s="96"/>
      <c r="D142" s="96"/>
      <c r="F142" s="373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E142" s="374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</row>
    <row r="143" spans="2:45">
      <c r="B143" s="96"/>
      <c r="C143" s="96"/>
      <c r="D143" s="96"/>
      <c r="F143" s="373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E143" s="374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</row>
    <row r="144" spans="2:45">
      <c r="B144" s="96"/>
      <c r="C144" s="96"/>
      <c r="D144" s="96"/>
      <c r="F144" s="373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E144" s="374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</row>
    <row r="145" spans="2:45">
      <c r="B145" s="96"/>
      <c r="C145" s="96"/>
      <c r="D145" s="96"/>
      <c r="F145" s="373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E145" s="374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</row>
    <row r="146" spans="2:45">
      <c r="B146" s="96"/>
      <c r="C146" s="96"/>
      <c r="D146" s="96"/>
      <c r="F146" s="373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E146" s="374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</row>
    <row r="147" spans="2:45">
      <c r="B147" s="96"/>
      <c r="C147" s="358"/>
      <c r="D147" s="96"/>
      <c r="F147" s="373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E147" s="374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</row>
    <row r="148" spans="2:45">
      <c r="B148" s="96"/>
      <c r="C148" s="96"/>
      <c r="D148" s="96"/>
      <c r="F148" s="373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E148" s="374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</row>
    <row r="149" spans="2:45">
      <c r="B149" s="96"/>
      <c r="C149" s="96"/>
      <c r="D149" s="96"/>
      <c r="F149" s="373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E149" s="374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</row>
    <row r="150" spans="2:45">
      <c r="B150" s="96"/>
      <c r="C150" s="96"/>
      <c r="D150" s="96"/>
      <c r="F150" s="373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E150" s="374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</row>
    <row r="151" spans="2:45">
      <c r="B151" s="96"/>
      <c r="C151" s="96"/>
      <c r="D151" s="96"/>
      <c r="F151" s="373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E151" s="374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</row>
    <row r="152" spans="2:45">
      <c r="B152" s="96"/>
      <c r="C152" s="96"/>
      <c r="D152" s="96"/>
      <c r="F152" s="373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E152" s="374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</row>
    <row r="153" spans="2:45">
      <c r="B153" s="96"/>
      <c r="C153" s="96"/>
      <c r="D153" s="96"/>
      <c r="F153" s="373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E153" s="374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</row>
    <row r="154" spans="2:45">
      <c r="B154" s="96"/>
      <c r="C154" s="96"/>
      <c r="D154" s="96"/>
      <c r="F154" s="373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E154" s="374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</row>
    <row r="155" spans="2:45">
      <c r="B155" s="96"/>
      <c r="C155" s="96"/>
      <c r="D155" s="96"/>
      <c r="F155" s="373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E155" s="374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</row>
    <row r="156" spans="2:45">
      <c r="B156" s="96"/>
      <c r="C156" s="96"/>
      <c r="D156" s="96"/>
      <c r="F156" s="373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E156" s="374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</row>
    <row r="157" spans="2:45">
      <c r="B157" s="96"/>
      <c r="C157" s="96"/>
      <c r="D157" s="96"/>
      <c r="F157" s="373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E157" s="374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</row>
    <row r="158" spans="2:45">
      <c r="B158" s="96"/>
      <c r="C158" s="96"/>
      <c r="D158" s="96"/>
      <c r="F158" s="373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E158" s="374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</row>
    <row r="159" spans="2:45">
      <c r="B159" s="96"/>
      <c r="C159" s="96"/>
      <c r="D159" s="96"/>
      <c r="F159" s="373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E159" s="374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</row>
    <row r="160" spans="2:45">
      <c r="B160" s="96"/>
      <c r="C160" s="96"/>
      <c r="D160" s="96"/>
      <c r="F160" s="373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E160" s="374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</row>
    <row r="161" spans="2:45">
      <c r="B161" s="96"/>
      <c r="C161" s="96"/>
      <c r="D161" s="96"/>
      <c r="F161" s="373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E161" s="374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</row>
    <row r="162" spans="2:45">
      <c r="B162" s="96"/>
      <c r="C162" s="96"/>
      <c r="D162" s="96"/>
      <c r="F162" s="373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E162" s="374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</row>
    <row r="163" spans="2:45">
      <c r="B163" s="96"/>
      <c r="C163" s="96"/>
      <c r="D163" s="96"/>
      <c r="F163" s="373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E163" s="374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</row>
    <row r="164" spans="2:45">
      <c r="B164" s="96"/>
      <c r="C164" s="96"/>
      <c r="D164" s="96"/>
      <c r="F164" s="373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E164" s="374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</row>
    <row r="165" spans="2:45">
      <c r="B165" s="96"/>
      <c r="C165" s="96"/>
      <c r="D165" s="96"/>
      <c r="F165" s="373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E165" s="374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</row>
    <row r="166" spans="2:45">
      <c r="B166" s="96"/>
      <c r="C166" s="96"/>
      <c r="D166" s="96"/>
      <c r="F166" s="373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E166" s="374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</row>
    <row r="167" spans="2:45">
      <c r="B167" s="96"/>
      <c r="C167" s="96"/>
      <c r="D167" s="96"/>
      <c r="F167" s="373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E167" s="374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</row>
    <row r="168" spans="2:45">
      <c r="B168" s="96"/>
      <c r="C168" s="96"/>
      <c r="D168" s="96"/>
      <c r="F168" s="373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E168" s="374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</row>
    <row r="169" spans="2:45">
      <c r="B169" s="96"/>
      <c r="C169" s="96"/>
      <c r="D169" s="96"/>
      <c r="F169" s="373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E169" s="374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</row>
    <row r="170" spans="2:45">
      <c r="B170" s="96"/>
      <c r="C170" s="96"/>
      <c r="D170" s="96"/>
      <c r="F170" s="373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E170" s="374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</row>
    <row r="171" spans="2:45">
      <c r="B171" s="96"/>
      <c r="C171" s="96"/>
      <c r="D171" s="96"/>
      <c r="F171" s="373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E171" s="374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</row>
    <row r="172" spans="2:45">
      <c r="B172" s="96"/>
      <c r="C172" s="96"/>
      <c r="D172" s="96"/>
      <c r="F172" s="373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E172" s="374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</row>
    <row r="173" spans="2:45">
      <c r="B173" s="96"/>
      <c r="C173" s="96"/>
      <c r="D173" s="96"/>
      <c r="F173" s="373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E173" s="374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</row>
    <row r="174" spans="2:45">
      <c r="B174" s="96"/>
      <c r="C174" s="96"/>
      <c r="D174" s="96"/>
      <c r="F174" s="373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E174" s="374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</row>
    <row r="175" spans="2:45">
      <c r="B175" s="96"/>
      <c r="C175" s="96"/>
      <c r="D175" s="96"/>
      <c r="F175" s="373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E175" s="374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</row>
    <row r="176" spans="2:45">
      <c r="B176" s="96"/>
      <c r="C176" s="96"/>
      <c r="D176" s="96"/>
      <c r="F176" s="373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E176" s="374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</row>
    <row r="177" spans="2:66">
      <c r="B177" s="96"/>
      <c r="C177" s="96"/>
      <c r="D177" s="96"/>
      <c r="F177" s="373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E177" s="374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</row>
    <row r="178" spans="2:66">
      <c r="B178" s="96"/>
      <c r="C178" s="96"/>
      <c r="D178" s="96"/>
      <c r="F178" s="373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E178" s="374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</row>
    <row r="179" spans="2:66" ht="17" thickBot="1">
      <c r="B179" s="96"/>
      <c r="C179" s="96"/>
      <c r="D179" s="96"/>
      <c r="F179" s="391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  <c r="Q179" s="392"/>
      <c r="R179" s="392"/>
      <c r="S179" s="392"/>
      <c r="T179" s="392"/>
      <c r="U179" s="392"/>
      <c r="V179" s="392"/>
      <c r="W179" s="392"/>
      <c r="X179" s="392"/>
      <c r="Y179" s="392"/>
      <c r="Z179" s="392"/>
      <c r="AA179" s="392"/>
      <c r="AB179" s="392"/>
      <c r="AC179" s="392"/>
      <c r="AD179" s="392"/>
      <c r="AE179" s="393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</row>
    <row r="180" spans="2:66">
      <c r="B180" s="96"/>
      <c r="C180" s="96"/>
      <c r="D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</row>
    <row r="181" spans="2:66">
      <c r="B181" s="96"/>
      <c r="C181" s="96"/>
      <c r="D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</row>
    <row r="182" spans="2:66">
      <c r="B182" s="96"/>
      <c r="C182" s="96"/>
      <c r="D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</row>
    <row r="183" spans="2:66">
      <c r="B183" s="96"/>
      <c r="C183" s="96"/>
      <c r="D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</row>
    <row r="184" spans="2:66">
      <c r="B184" s="96"/>
      <c r="C184" s="96"/>
      <c r="D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</row>
    <row r="185" spans="2:66">
      <c r="B185" s="96"/>
      <c r="C185" s="96"/>
      <c r="D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</row>
    <row r="186" spans="2:66">
      <c r="B186" s="96"/>
      <c r="C186" s="96"/>
      <c r="D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</row>
    <row r="187" spans="2:66">
      <c r="B187" s="96"/>
      <c r="C187" s="96"/>
      <c r="D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</row>
    <row r="188" spans="2:66">
      <c r="B188" s="96"/>
      <c r="C188" s="96"/>
      <c r="D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</row>
    <row r="189" spans="2:66">
      <c r="B189" s="96"/>
      <c r="C189" s="96"/>
      <c r="D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</row>
    <row r="190" spans="2:66">
      <c r="B190" s="96"/>
      <c r="C190" s="96"/>
      <c r="D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</row>
    <row r="191" spans="2:66">
      <c r="B191" s="96"/>
      <c r="C191" s="96"/>
      <c r="D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</row>
    <row r="192" spans="2:66">
      <c r="B192" s="96"/>
      <c r="C192" s="96"/>
      <c r="D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</row>
    <row r="193" spans="2:66">
      <c r="B193" s="96"/>
      <c r="C193" s="96" t="s">
        <v>4998</v>
      </c>
      <c r="D193" s="543">
        <v>86</v>
      </c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</row>
    <row r="194" spans="2:66">
      <c r="B194" s="96"/>
      <c r="C194" s="96" t="s">
        <v>4975</v>
      </c>
      <c r="D194" s="357">
        <f>IF(C30="Rent",0,C81)</f>
        <v>2313097.129174124</v>
      </c>
      <c r="E194" s="96" t="s">
        <v>4973</v>
      </c>
      <c r="F194" s="356">
        <f>IF(C34&gt;0,C34,0.8)</f>
        <v>0.6</v>
      </c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</row>
    <row r="195" spans="2:66">
      <c r="B195" s="96"/>
      <c r="C195" s="96" t="s">
        <v>4970</v>
      </c>
      <c r="D195" s="358">
        <f>IF(C27="Rent",0,IF(C34&gt;0,C34*C81,0.8*C81))</f>
        <v>1387858.2775044744</v>
      </c>
      <c r="E195" s="96" t="s">
        <v>4974</v>
      </c>
      <c r="F195" s="356">
        <f>IF(C35&gt;0,C35,0.67)</f>
        <v>0.45</v>
      </c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</row>
    <row r="196" spans="2:66">
      <c r="B196" s="96"/>
      <c r="C196" s="96" t="s">
        <v>4971</v>
      </c>
      <c r="D196" s="96">
        <f>C60-D199</f>
        <v>27</v>
      </c>
      <c r="E196" s="96" t="s">
        <v>4947</v>
      </c>
      <c r="F196" s="96">
        <f>C60</f>
        <v>65</v>
      </c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</row>
    <row r="197" spans="2:66">
      <c r="B197" s="96"/>
      <c r="C197" s="96" t="s">
        <v>4972</v>
      </c>
      <c r="D197" s="96">
        <f>D193-C60</f>
        <v>21</v>
      </c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</row>
    <row r="198" spans="2:66">
      <c r="B198" s="96"/>
      <c r="C198" s="96" t="s">
        <v>4795</v>
      </c>
      <c r="D198" s="520">
        <f>IF(C36&gt;0,C36,0.01)</f>
        <v>0.01</v>
      </c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</row>
    <row r="199" spans="2:66">
      <c r="B199" s="96"/>
      <c r="C199" s="96" t="s">
        <v>4976</v>
      </c>
      <c r="D199" s="96">
        <f>C29</f>
        <v>38</v>
      </c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</row>
    <row r="200" spans="2:66">
      <c r="B200" s="96" t="s">
        <v>4958</v>
      </c>
      <c r="C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</row>
    <row r="201" spans="2:66">
      <c r="B201" s="147" t="s">
        <v>4959</v>
      </c>
      <c r="C201" s="147" t="s">
        <v>4960</v>
      </c>
      <c r="D201" s="147" t="s">
        <v>4965</v>
      </c>
      <c r="E201" s="147" t="s">
        <v>4961</v>
      </c>
      <c r="F201" s="147" t="s">
        <v>4962</v>
      </c>
      <c r="G201" s="147" t="s">
        <v>4963</v>
      </c>
      <c r="H201" s="147" t="s">
        <v>4964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</row>
    <row r="202" spans="2:66">
      <c r="B202" s="96">
        <f>C5</f>
        <v>28</v>
      </c>
      <c r="C202" s="358">
        <f t="shared" ref="C202:C233" si="12">IF($C$30="Rent",0,IF(B202=$D$199,$D$195,IF(B202&gt;$D$199,H201,0)))</f>
        <v>0</v>
      </c>
      <c r="D202" s="359">
        <f t="shared" ref="D202:D233" si="13">IF(B202&gt;$F$196,PMT($D$198,$D$197,-$D$194*$F$195,$D$194*$F$195),IF(B202&gt;=$D$199,PMT($D$198,$D$196+1,-$D$194*$F$194,$D$194*$F$195),0))</f>
        <v>0</v>
      </c>
      <c r="E202" s="360">
        <f>D198</f>
        <v>0.01</v>
      </c>
      <c r="F202" s="358">
        <f t="shared" ref="F202:F233" si="14">E202*C202</f>
        <v>0</v>
      </c>
      <c r="G202" s="359">
        <f t="shared" ref="G202:G233" si="15">D202-F202</f>
        <v>0</v>
      </c>
      <c r="H202" s="358">
        <f t="shared" ref="H202:H233" si="16">C202-G202</f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</row>
    <row r="203" spans="2:66">
      <c r="B203" s="96">
        <f>B202+1</f>
        <v>29</v>
      </c>
      <c r="C203" s="358">
        <f t="shared" si="12"/>
        <v>0</v>
      </c>
      <c r="D203" s="359">
        <f t="shared" si="13"/>
        <v>0</v>
      </c>
      <c r="E203" s="360">
        <f>E202</f>
        <v>0.01</v>
      </c>
      <c r="F203" s="358">
        <f t="shared" si="14"/>
        <v>0</v>
      </c>
      <c r="G203" s="359">
        <f t="shared" si="15"/>
        <v>0</v>
      </c>
      <c r="H203" s="358">
        <f t="shared" si="16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</row>
    <row r="204" spans="2:66">
      <c r="B204" s="96">
        <f t="shared" ref="B204:B267" si="17">B203+1</f>
        <v>30</v>
      </c>
      <c r="C204" s="358">
        <f t="shared" si="12"/>
        <v>0</v>
      </c>
      <c r="D204" s="359">
        <f t="shared" si="13"/>
        <v>0</v>
      </c>
      <c r="E204" s="360">
        <f t="shared" ref="E204:E267" si="18">E203</f>
        <v>0.01</v>
      </c>
      <c r="F204" s="358">
        <f t="shared" si="14"/>
        <v>0</v>
      </c>
      <c r="G204" s="359">
        <f t="shared" si="15"/>
        <v>0</v>
      </c>
      <c r="H204" s="358">
        <f t="shared" si="16"/>
        <v>0</v>
      </c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</row>
    <row r="205" spans="2:66">
      <c r="B205" s="96">
        <f t="shared" si="17"/>
        <v>31</v>
      </c>
      <c r="C205" s="358">
        <f t="shared" si="12"/>
        <v>0</v>
      </c>
      <c r="D205" s="359">
        <f t="shared" si="13"/>
        <v>0</v>
      </c>
      <c r="E205" s="360">
        <f t="shared" si="18"/>
        <v>0.01</v>
      </c>
      <c r="F205" s="358">
        <f t="shared" si="14"/>
        <v>0</v>
      </c>
      <c r="G205" s="359">
        <f t="shared" si="15"/>
        <v>0</v>
      </c>
      <c r="H205" s="358">
        <f t="shared" si="16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</row>
    <row r="206" spans="2:66">
      <c r="B206" s="96">
        <f t="shared" si="17"/>
        <v>32</v>
      </c>
      <c r="C206" s="358">
        <f t="shared" si="12"/>
        <v>0</v>
      </c>
      <c r="D206" s="359">
        <f t="shared" si="13"/>
        <v>0</v>
      </c>
      <c r="E206" s="360">
        <f t="shared" si="18"/>
        <v>0.01</v>
      </c>
      <c r="F206" s="358">
        <f t="shared" si="14"/>
        <v>0</v>
      </c>
      <c r="G206" s="359">
        <f t="shared" si="15"/>
        <v>0</v>
      </c>
      <c r="H206" s="358">
        <f t="shared" si="16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</row>
    <row r="207" spans="2:66">
      <c r="B207" s="96">
        <f t="shared" si="17"/>
        <v>33</v>
      </c>
      <c r="C207" s="358">
        <f t="shared" si="12"/>
        <v>0</v>
      </c>
      <c r="D207" s="359">
        <f t="shared" si="13"/>
        <v>0</v>
      </c>
      <c r="E207" s="360">
        <f t="shared" si="18"/>
        <v>0.01</v>
      </c>
      <c r="F207" s="358">
        <f t="shared" si="14"/>
        <v>0</v>
      </c>
      <c r="G207" s="359">
        <f t="shared" si="15"/>
        <v>0</v>
      </c>
      <c r="H207" s="358">
        <f t="shared" si="16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</row>
    <row r="208" spans="2:66">
      <c r="B208" s="96">
        <f t="shared" si="17"/>
        <v>34</v>
      </c>
      <c r="C208" s="358">
        <f t="shared" si="12"/>
        <v>0</v>
      </c>
      <c r="D208" s="359">
        <f t="shared" si="13"/>
        <v>0</v>
      </c>
      <c r="E208" s="360">
        <f t="shared" si="18"/>
        <v>0.01</v>
      </c>
      <c r="F208" s="358">
        <f t="shared" si="14"/>
        <v>0</v>
      </c>
      <c r="G208" s="359">
        <f t="shared" si="15"/>
        <v>0</v>
      </c>
      <c r="H208" s="358">
        <f t="shared" si="16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</row>
    <row r="209" spans="2:66">
      <c r="B209" s="96">
        <f t="shared" si="17"/>
        <v>35</v>
      </c>
      <c r="C209" s="358">
        <f t="shared" si="12"/>
        <v>0</v>
      </c>
      <c r="D209" s="359">
        <f t="shared" si="13"/>
        <v>0</v>
      </c>
      <c r="E209" s="360">
        <f t="shared" si="18"/>
        <v>0.01</v>
      </c>
      <c r="F209" s="358">
        <f t="shared" si="14"/>
        <v>0</v>
      </c>
      <c r="G209" s="359">
        <f t="shared" si="15"/>
        <v>0</v>
      </c>
      <c r="H209" s="358">
        <f t="shared" si="16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</row>
    <row r="210" spans="2:66">
      <c r="B210" s="96">
        <f t="shared" si="17"/>
        <v>36</v>
      </c>
      <c r="C210" s="358">
        <f t="shared" si="12"/>
        <v>0</v>
      </c>
      <c r="D210" s="359">
        <f t="shared" si="13"/>
        <v>0</v>
      </c>
      <c r="E210" s="360">
        <f t="shared" si="18"/>
        <v>0.01</v>
      </c>
      <c r="F210" s="358">
        <f t="shared" si="14"/>
        <v>0</v>
      </c>
      <c r="G210" s="359">
        <f t="shared" si="15"/>
        <v>0</v>
      </c>
      <c r="H210" s="358">
        <f t="shared" si="16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</row>
    <row r="211" spans="2:66">
      <c r="B211" s="96">
        <f t="shared" si="17"/>
        <v>37</v>
      </c>
      <c r="C211" s="358">
        <f t="shared" si="12"/>
        <v>0</v>
      </c>
      <c r="D211" s="359">
        <f t="shared" si="13"/>
        <v>0</v>
      </c>
      <c r="E211" s="360">
        <f t="shared" si="18"/>
        <v>0.01</v>
      </c>
      <c r="F211" s="358">
        <f t="shared" si="14"/>
        <v>0</v>
      </c>
      <c r="G211" s="359">
        <f t="shared" si="15"/>
        <v>0</v>
      </c>
      <c r="H211" s="358">
        <f t="shared" si="16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</row>
    <row r="212" spans="2:66">
      <c r="B212" s="96">
        <f t="shared" si="17"/>
        <v>38</v>
      </c>
      <c r="C212" s="358">
        <f t="shared" si="12"/>
        <v>1387858.2775044744</v>
      </c>
      <c r="D212" s="359">
        <f t="shared" si="13"/>
        <v>24677.659161340976</v>
      </c>
      <c r="E212" s="360">
        <f t="shared" si="18"/>
        <v>0.01</v>
      </c>
      <c r="F212" s="358">
        <f t="shared" si="14"/>
        <v>13878.582775044744</v>
      </c>
      <c r="G212" s="359">
        <f t="shared" si="15"/>
        <v>10799.076386296232</v>
      </c>
      <c r="H212" s="358">
        <f t="shared" si="16"/>
        <v>1377059.2011181782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  <c r="BN212" s="96"/>
    </row>
    <row r="213" spans="2:66">
      <c r="B213" s="96">
        <f t="shared" si="17"/>
        <v>39</v>
      </c>
      <c r="C213" s="358">
        <f t="shared" si="12"/>
        <v>1377059.2011181782</v>
      </c>
      <c r="D213" s="359">
        <f t="shared" si="13"/>
        <v>24677.659161340976</v>
      </c>
      <c r="E213" s="360">
        <f t="shared" si="18"/>
        <v>0.01</v>
      </c>
      <c r="F213" s="358">
        <f t="shared" si="14"/>
        <v>13770.592011181783</v>
      </c>
      <c r="G213" s="359">
        <f t="shared" si="15"/>
        <v>10907.067150159193</v>
      </c>
      <c r="H213" s="358">
        <f t="shared" si="16"/>
        <v>1366152.1339680189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</row>
    <row r="214" spans="2:66">
      <c r="B214" s="96">
        <f t="shared" si="17"/>
        <v>40</v>
      </c>
      <c r="C214" s="358">
        <f t="shared" si="12"/>
        <v>1366152.1339680189</v>
      </c>
      <c r="D214" s="359">
        <f t="shared" si="13"/>
        <v>24677.659161340976</v>
      </c>
      <c r="E214" s="360">
        <f t="shared" si="18"/>
        <v>0.01</v>
      </c>
      <c r="F214" s="358">
        <f t="shared" si="14"/>
        <v>13661.52133968019</v>
      </c>
      <c r="G214" s="359">
        <f t="shared" si="15"/>
        <v>11016.137821660786</v>
      </c>
      <c r="H214" s="358">
        <f t="shared" si="16"/>
        <v>1355135.9961463581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</row>
    <row r="215" spans="2:66">
      <c r="B215" s="96">
        <f t="shared" si="17"/>
        <v>41</v>
      </c>
      <c r="C215" s="358">
        <f t="shared" si="12"/>
        <v>1355135.9961463581</v>
      </c>
      <c r="D215" s="359">
        <f t="shared" si="13"/>
        <v>24677.659161340976</v>
      </c>
      <c r="E215" s="360">
        <f t="shared" si="18"/>
        <v>0.01</v>
      </c>
      <c r="F215" s="358">
        <f t="shared" si="14"/>
        <v>13551.35996146358</v>
      </c>
      <c r="G215" s="359">
        <f t="shared" si="15"/>
        <v>11126.299199877396</v>
      </c>
      <c r="H215" s="358">
        <f t="shared" si="16"/>
        <v>1344009.6969464808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</row>
    <row r="216" spans="2:66">
      <c r="B216" s="96">
        <f t="shared" si="17"/>
        <v>42</v>
      </c>
      <c r="C216" s="358">
        <f t="shared" si="12"/>
        <v>1344009.6969464808</v>
      </c>
      <c r="D216" s="359">
        <f t="shared" si="13"/>
        <v>24677.659161340976</v>
      </c>
      <c r="E216" s="360">
        <f t="shared" si="18"/>
        <v>0.01</v>
      </c>
      <c r="F216" s="358">
        <f t="shared" si="14"/>
        <v>13440.096969464808</v>
      </c>
      <c r="G216" s="359">
        <f t="shared" si="15"/>
        <v>11237.562191876168</v>
      </c>
      <c r="H216" s="358">
        <f t="shared" si="16"/>
        <v>1332772.1347546047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</row>
    <row r="217" spans="2:66">
      <c r="B217" s="96">
        <f t="shared" si="17"/>
        <v>43</v>
      </c>
      <c r="C217" s="358">
        <f t="shared" si="12"/>
        <v>1332772.1347546047</v>
      </c>
      <c r="D217" s="359">
        <f t="shared" si="13"/>
        <v>24677.659161340976</v>
      </c>
      <c r="E217" s="360">
        <f t="shared" si="18"/>
        <v>0.01</v>
      </c>
      <c r="F217" s="358">
        <f t="shared" si="14"/>
        <v>13327.721347546047</v>
      </c>
      <c r="G217" s="359">
        <f t="shared" si="15"/>
        <v>11349.93781379493</v>
      </c>
      <c r="H217" s="358">
        <f t="shared" si="16"/>
        <v>1321422.1969408097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</row>
    <row r="218" spans="2:66">
      <c r="B218" s="96">
        <f t="shared" si="17"/>
        <v>44</v>
      </c>
      <c r="C218" s="358">
        <f t="shared" si="12"/>
        <v>1321422.1969408097</v>
      </c>
      <c r="D218" s="359">
        <f t="shared" si="13"/>
        <v>24677.659161340976</v>
      </c>
      <c r="E218" s="360">
        <f t="shared" si="18"/>
        <v>0.01</v>
      </c>
      <c r="F218" s="358">
        <f t="shared" si="14"/>
        <v>13214.221969408098</v>
      </c>
      <c r="G218" s="359">
        <f t="shared" si="15"/>
        <v>11463.437191932879</v>
      </c>
      <c r="H218" s="358">
        <f t="shared" si="16"/>
        <v>1309958.7597488768</v>
      </c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</row>
    <row r="219" spans="2:66">
      <c r="B219" s="96">
        <f t="shared" si="17"/>
        <v>45</v>
      </c>
      <c r="C219" s="358">
        <f t="shared" si="12"/>
        <v>1309958.7597488768</v>
      </c>
      <c r="D219" s="359">
        <f t="shared" si="13"/>
        <v>24677.659161340976</v>
      </c>
      <c r="E219" s="360">
        <f t="shared" si="18"/>
        <v>0.01</v>
      </c>
      <c r="F219" s="358">
        <f t="shared" si="14"/>
        <v>13099.587597488768</v>
      </c>
      <c r="G219" s="359">
        <f t="shared" si="15"/>
        <v>11578.071563852209</v>
      </c>
      <c r="H219" s="358">
        <f t="shared" si="16"/>
        <v>1298380.6881850245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</row>
    <row r="220" spans="2:66">
      <c r="B220" s="96">
        <f t="shared" si="17"/>
        <v>46</v>
      </c>
      <c r="C220" s="358">
        <f t="shared" si="12"/>
        <v>1298380.6881850245</v>
      </c>
      <c r="D220" s="359">
        <f t="shared" si="13"/>
        <v>24677.659161340976</v>
      </c>
      <c r="E220" s="360">
        <f t="shared" si="18"/>
        <v>0.01</v>
      </c>
      <c r="F220" s="358">
        <f t="shared" si="14"/>
        <v>12983.806881850245</v>
      </c>
      <c r="G220" s="359">
        <f t="shared" si="15"/>
        <v>11693.852279490731</v>
      </c>
      <c r="H220" s="358">
        <f t="shared" si="16"/>
        <v>1286686.8359055337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</row>
    <row r="221" spans="2:66">
      <c r="B221" s="96">
        <f t="shared" si="17"/>
        <v>47</v>
      </c>
      <c r="C221" s="358">
        <f t="shared" si="12"/>
        <v>1286686.8359055337</v>
      </c>
      <c r="D221" s="359">
        <f t="shared" si="13"/>
        <v>24677.659161340976</v>
      </c>
      <c r="E221" s="360">
        <f t="shared" si="18"/>
        <v>0.01</v>
      </c>
      <c r="F221" s="358">
        <f t="shared" si="14"/>
        <v>12866.868359055337</v>
      </c>
      <c r="G221" s="359">
        <f t="shared" si="15"/>
        <v>11810.790802285639</v>
      </c>
      <c r="H221" s="358">
        <f t="shared" si="16"/>
        <v>1274876.0451032482</v>
      </c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</row>
    <row r="222" spans="2:66">
      <c r="B222" s="96">
        <f t="shared" si="17"/>
        <v>48</v>
      </c>
      <c r="C222" s="358">
        <f t="shared" si="12"/>
        <v>1274876.0451032482</v>
      </c>
      <c r="D222" s="359">
        <f t="shared" si="13"/>
        <v>24677.659161340976</v>
      </c>
      <c r="E222" s="360">
        <f t="shared" si="18"/>
        <v>0.01</v>
      </c>
      <c r="F222" s="358">
        <f t="shared" si="14"/>
        <v>12748.760451032482</v>
      </c>
      <c r="G222" s="359">
        <f t="shared" si="15"/>
        <v>11928.898710308495</v>
      </c>
      <c r="H222" s="358">
        <f t="shared" si="16"/>
        <v>1262947.1463929396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</row>
    <row r="223" spans="2:66">
      <c r="B223" s="96">
        <f t="shared" si="17"/>
        <v>49</v>
      </c>
      <c r="C223" s="358">
        <f t="shared" si="12"/>
        <v>1262947.1463929396</v>
      </c>
      <c r="D223" s="359">
        <f t="shared" si="13"/>
        <v>24677.659161340976</v>
      </c>
      <c r="E223" s="360">
        <f t="shared" si="18"/>
        <v>0.01</v>
      </c>
      <c r="F223" s="358">
        <f t="shared" si="14"/>
        <v>12629.471463929396</v>
      </c>
      <c r="G223" s="359">
        <f t="shared" si="15"/>
        <v>12048.18769741158</v>
      </c>
      <c r="H223" s="358">
        <f t="shared" si="16"/>
        <v>1250898.9586955281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</row>
    <row r="224" spans="2:66">
      <c r="B224" s="96">
        <f t="shared" si="17"/>
        <v>50</v>
      </c>
      <c r="C224" s="358">
        <f t="shared" si="12"/>
        <v>1250898.9586955281</v>
      </c>
      <c r="D224" s="359">
        <f t="shared" si="13"/>
        <v>24677.659161340976</v>
      </c>
      <c r="E224" s="360">
        <f t="shared" si="18"/>
        <v>0.01</v>
      </c>
      <c r="F224" s="358">
        <f t="shared" si="14"/>
        <v>12508.989586955282</v>
      </c>
      <c r="G224" s="359">
        <f t="shared" si="15"/>
        <v>12168.669574385694</v>
      </c>
      <c r="H224" s="358">
        <f t="shared" si="16"/>
        <v>1238730.2891211424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</row>
    <row r="225" spans="2:66">
      <c r="B225" s="96">
        <f t="shared" si="17"/>
        <v>51</v>
      </c>
      <c r="C225" s="358">
        <f t="shared" si="12"/>
        <v>1238730.2891211424</v>
      </c>
      <c r="D225" s="359">
        <f t="shared" si="13"/>
        <v>24677.659161340976</v>
      </c>
      <c r="E225" s="360">
        <f t="shared" si="18"/>
        <v>0.01</v>
      </c>
      <c r="F225" s="358">
        <f t="shared" si="14"/>
        <v>12387.302891211424</v>
      </c>
      <c r="G225" s="359">
        <f t="shared" si="15"/>
        <v>12290.356270129552</v>
      </c>
      <c r="H225" s="358">
        <f t="shared" si="16"/>
        <v>1226439.9328510128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</row>
    <row r="226" spans="2:66">
      <c r="B226" s="96">
        <f t="shared" si="17"/>
        <v>52</v>
      </c>
      <c r="C226" s="358">
        <f t="shared" si="12"/>
        <v>1226439.9328510128</v>
      </c>
      <c r="D226" s="359">
        <f t="shared" si="13"/>
        <v>24677.659161340976</v>
      </c>
      <c r="E226" s="360">
        <f t="shared" si="18"/>
        <v>0.01</v>
      </c>
      <c r="F226" s="358">
        <f t="shared" si="14"/>
        <v>12264.399328510128</v>
      </c>
      <c r="G226" s="359">
        <f t="shared" si="15"/>
        <v>12413.259832830849</v>
      </c>
      <c r="H226" s="358">
        <f t="shared" si="16"/>
        <v>1214026.6730181819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</row>
    <row r="227" spans="2:66">
      <c r="B227" s="96">
        <f t="shared" si="17"/>
        <v>53</v>
      </c>
      <c r="C227" s="358">
        <f t="shared" si="12"/>
        <v>1214026.6730181819</v>
      </c>
      <c r="D227" s="359">
        <f t="shared" si="13"/>
        <v>24677.659161340976</v>
      </c>
      <c r="E227" s="360">
        <f t="shared" si="18"/>
        <v>0.01</v>
      </c>
      <c r="F227" s="358">
        <f t="shared" si="14"/>
        <v>12140.26673018182</v>
      </c>
      <c r="G227" s="359">
        <f t="shared" si="15"/>
        <v>12537.392431159156</v>
      </c>
      <c r="H227" s="358">
        <f t="shared" si="16"/>
        <v>1201489.2805870227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</row>
    <row r="228" spans="2:66">
      <c r="B228" s="96">
        <f t="shared" si="17"/>
        <v>54</v>
      </c>
      <c r="C228" s="358">
        <f t="shared" si="12"/>
        <v>1201489.2805870227</v>
      </c>
      <c r="D228" s="359">
        <f t="shared" si="13"/>
        <v>24677.659161340976</v>
      </c>
      <c r="E228" s="360">
        <f t="shared" si="18"/>
        <v>0.01</v>
      </c>
      <c r="F228" s="358">
        <f t="shared" si="14"/>
        <v>12014.892805870228</v>
      </c>
      <c r="G228" s="359">
        <f t="shared" si="15"/>
        <v>12662.766355470749</v>
      </c>
      <c r="H228" s="358">
        <f t="shared" si="16"/>
        <v>1188826.5142315519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</row>
    <row r="229" spans="2:66">
      <c r="B229" s="96">
        <f t="shared" si="17"/>
        <v>55</v>
      </c>
      <c r="C229" s="358">
        <f t="shared" si="12"/>
        <v>1188826.5142315519</v>
      </c>
      <c r="D229" s="359">
        <f t="shared" si="13"/>
        <v>24677.659161340976</v>
      </c>
      <c r="E229" s="360">
        <f t="shared" si="18"/>
        <v>0.01</v>
      </c>
      <c r="F229" s="358">
        <f t="shared" si="14"/>
        <v>11888.265142315518</v>
      </c>
      <c r="G229" s="359">
        <f t="shared" si="15"/>
        <v>12789.394019025458</v>
      </c>
      <c r="H229" s="358">
        <f t="shared" si="16"/>
        <v>1176037.1202125265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</row>
    <row r="230" spans="2:66">
      <c r="B230" s="96">
        <f t="shared" si="17"/>
        <v>56</v>
      </c>
      <c r="C230" s="358">
        <f t="shared" si="12"/>
        <v>1176037.1202125265</v>
      </c>
      <c r="D230" s="359">
        <f t="shared" si="13"/>
        <v>24677.659161340976</v>
      </c>
      <c r="E230" s="360">
        <f t="shared" si="18"/>
        <v>0.01</v>
      </c>
      <c r="F230" s="358">
        <f t="shared" si="14"/>
        <v>11760.371202125265</v>
      </c>
      <c r="G230" s="359">
        <f t="shared" si="15"/>
        <v>12917.287959215711</v>
      </c>
      <c r="H230" s="358">
        <f t="shared" si="16"/>
        <v>1163119.8322533108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</row>
    <row r="231" spans="2:66">
      <c r="B231" s="96">
        <f t="shared" si="17"/>
        <v>57</v>
      </c>
      <c r="C231" s="358">
        <f t="shared" si="12"/>
        <v>1163119.8322533108</v>
      </c>
      <c r="D231" s="359">
        <f t="shared" si="13"/>
        <v>24677.659161340976</v>
      </c>
      <c r="E231" s="360">
        <f t="shared" si="18"/>
        <v>0.01</v>
      </c>
      <c r="F231" s="358">
        <f t="shared" si="14"/>
        <v>11631.198322533108</v>
      </c>
      <c r="G231" s="359">
        <f t="shared" si="15"/>
        <v>13046.460838807869</v>
      </c>
      <c r="H231" s="358">
        <f t="shared" si="16"/>
        <v>1150073.3714145028</v>
      </c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</row>
    <row r="232" spans="2:66">
      <c r="B232" s="96">
        <f t="shared" si="17"/>
        <v>58</v>
      </c>
      <c r="C232" s="358">
        <f t="shared" si="12"/>
        <v>1150073.3714145028</v>
      </c>
      <c r="D232" s="359">
        <f t="shared" si="13"/>
        <v>24677.659161340976</v>
      </c>
      <c r="E232" s="360">
        <f t="shared" si="18"/>
        <v>0.01</v>
      </c>
      <c r="F232" s="358">
        <f t="shared" si="14"/>
        <v>11500.733714145028</v>
      </c>
      <c r="G232" s="359">
        <f t="shared" si="15"/>
        <v>13176.925447195948</v>
      </c>
      <c r="H232" s="358">
        <f t="shared" si="16"/>
        <v>1136896.4459673068</v>
      </c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</row>
    <row r="233" spans="2:66">
      <c r="B233" s="96">
        <f t="shared" si="17"/>
        <v>59</v>
      </c>
      <c r="C233" s="358">
        <f t="shared" si="12"/>
        <v>1136896.4459673068</v>
      </c>
      <c r="D233" s="359">
        <f t="shared" si="13"/>
        <v>24677.659161340976</v>
      </c>
      <c r="E233" s="360">
        <f t="shared" si="18"/>
        <v>0.01</v>
      </c>
      <c r="F233" s="358">
        <f t="shared" si="14"/>
        <v>11368.964459673069</v>
      </c>
      <c r="G233" s="359">
        <f t="shared" si="15"/>
        <v>13308.694701667908</v>
      </c>
      <c r="H233" s="358">
        <f t="shared" si="16"/>
        <v>1123587.751265639</v>
      </c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</row>
    <row r="234" spans="2:66">
      <c r="B234" s="96">
        <f t="shared" si="17"/>
        <v>60</v>
      </c>
      <c r="C234" s="358">
        <f t="shared" ref="C234:C265" si="19">IF($C$30="Rent",0,IF(B234=$D$199,$D$195,IF(B234&gt;$D$199,H233,0)))</f>
        <v>1123587.751265639</v>
      </c>
      <c r="D234" s="359">
        <f t="shared" ref="D234:D265" si="20">IF(B234&gt;$F$196,PMT($D$198,$D$197,-$D$194*$F$195,$D$194*$F$195),IF(B234&gt;=$D$199,PMT($D$198,$D$196+1,-$D$194*$F$194,$D$194*$F$195),0))</f>
        <v>24677.659161340976</v>
      </c>
      <c r="E234" s="360">
        <f t="shared" si="18"/>
        <v>0.01</v>
      </c>
      <c r="F234" s="358">
        <f t="shared" ref="F234:F265" si="21">E234*C234</f>
        <v>11235.877512656391</v>
      </c>
      <c r="G234" s="359">
        <f t="shared" ref="G234:G265" si="22">D234-F234</f>
        <v>13441.781648684586</v>
      </c>
      <c r="H234" s="358">
        <f t="shared" ref="H234:H265" si="23">C234-G234</f>
        <v>1110145.9696169544</v>
      </c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</row>
    <row r="235" spans="2:66">
      <c r="B235" s="96">
        <f t="shared" si="17"/>
        <v>61</v>
      </c>
      <c r="C235" s="358">
        <f t="shared" si="19"/>
        <v>1110145.9696169544</v>
      </c>
      <c r="D235" s="359">
        <f t="shared" si="20"/>
        <v>24677.659161340976</v>
      </c>
      <c r="E235" s="360">
        <f t="shared" si="18"/>
        <v>0.01</v>
      </c>
      <c r="F235" s="358">
        <f t="shared" si="21"/>
        <v>11101.459696169544</v>
      </c>
      <c r="G235" s="359">
        <f t="shared" si="22"/>
        <v>13576.199465171432</v>
      </c>
      <c r="H235" s="358">
        <f t="shared" si="23"/>
        <v>1096569.770151783</v>
      </c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</row>
    <row r="236" spans="2:66">
      <c r="B236" s="96">
        <f t="shared" si="17"/>
        <v>62</v>
      </c>
      <c r="C236" s="358">
        <f t="shared" si="19"/>
        <v>1096569.770151783</v>
      </c>
      <c r="D236" s="359">
        <f t="shared" si="20"/>
        <v>24677.659161340976</v>
      </c>
      <c r="E236" s="360">
        <f t="shared" si="18"/>
        <v>0.01</v>
      </c>
      <c r="F236" s="358">
        <f t="shared" si="21"/>
        <v>10965.697701517831</v>
      </c>
      <c r="G236" s="359">
        <f t="shared" si="22"/>
        <v>13711.961459823146</v>
      </c>
      <c r="H236" s="358">
        <f t="shared" si="23"/>
        <v>1082857.8086919598</v>
      </c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  <c r="BN236" s="96"/>
    </row>
    <row r="237" spans="2:66">
      <c r="B237" s="96">
        <f t="shared" si="17"/>
        <v>63</v>
      </c>
      <c r="C237" s="358">
        <f t="shared" si="19"/>
        <v>1082857.8086919598</v>
      </c>
      <c r="D237" s="359">
        <f t="shared" si="20"/>
        <v>24677.659161340976</v>
      </c>
      <c r="E237" s="360">
        <f t="shared" si="18"/>
        <v>0.01</v>
      </c>
      <c r="F237" s="358">
        <f t="shared" si="21"/>
        <v>10828.578086919599</v>
      </c>
      <c r="G237" s="359">
        <f t="shared" si="22"/>
        <v>13849.081074421378</v>
      </c>
      <c r="H237" s="358">
        <f t="shared" si="23"/>
        <v>1069008.7276175385</v>
      </c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</row>
    <row r="238" spans="2:66">
      <c r="B238" s="96">
        <f t="shared" si="17"/>
        <v>64</v>
      </c>
      <c r="C238" s="358">
        <f t="shared" si="19"/>
        <v>1069008.7276175385</v>
      </c>
      <c r="D238" s="359">
        <f t="shared" si="20"/>
        <v>24677.659161340976</v>
      </c>
      <c r="E238" s="360">
        <f t="shared" si="18"/>
        <v>0.01</v>
      </c>
      <c r="F238" s="358">
        <f t="shared" si="21"/>
        <v>10690.087276175385</v>
      </c>
      <c r="G238" s="359">
        <f t="shared" si="22"/>
        <v>13987.571885165591</v>
      </c>
      <c r="H238" s="358">
        <f t="shared" si="23"/>
        <v>1055021.155732373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</row>
    <row r="239" spans="2:66">
      <c r="B239" s="96">
        <f t="shared" si="17"/>
        <v>65</v>
      </c>
      <c r="C239" s="358">
        <f t="shared" si="19"/>
        <v>1055021.155732373</v>
      </c>
      <c r="D239" s="359">
        <f t="shared" si="20"/>
        <v>24677.659161340976</v>
      </c>
      <c r="E239" s="360">
        <f t="shared" si="18"/>
        <v>0.01</v>
      </c>
      <c r="F239" s="358">
        <f t="shared" si="21"/>
        <v>10550.21155732373</v>
      </c>
      <c r="G239" s="359">
        <f t="shared" si="22"/>
        <v>14127.447604017247</v>
      </c>
      <c r="H239" s="358">
        <f t="shared" si="23"/>
        <v>1040893.7081283558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</row>
    <row r="240" spans="2:66">
      <c r="B240" s="96">
        <f t="shared" si="17"/>
        <v>66</v>
      </c>
      <c r="C240" s="358">
        <f t="shared" si="19"/>
        <v>1040893.7081283558</v>
      </c>
      <c r="D240" s="359">
        <f t="shared" si="20"/>
        <v>10408.937081283559</v>
      </c>
      <c r="E240" s="360">
        <f t="shared" si="18"/>
        <v>0.01</v>
      </c>
      <c r="F240" s="358">
        <f t="shared" si="21"/>
        <v>10408.937081283559</v>
      </c>
      <c r="G240" s="359">
        <f t="shared" si="22"/>
        <v>0</v>
      </c>
      <c r="H240" s="358">
        <f t="shared" si="23"/>
        <v>1040893.7081283558</v>
      </c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</row>
    <row r="241" spans="2:66">
      <c r="B241" s="96">
        <f t="shared" si="17"/>
        <v>67</v>
      </c>
      <c r="C241" s="358">
        <f t="shared" si="19"/>
        <v>1040893.7081283558</v>
      </c>
      <c r="D241" s="359">
        <f t="shared" si="20"/>
        <v>10408.937081283559</v>
      </c>
      <c r="E241" s="360">
        <f t="shared" si="18"/>
        <v>0.01</v>
      </c>
      <c r="F241" s="358">
        <f t="shared" si="21"/>
        <v>10408.937081283559</v>
      </c>
      <c r="G241" s="359">
        <f t="shared" si="22"/>
        <v>0</v>
      </c>
      <c r="H241" s="358">
        <f t="shared" si="23"/>
        <v>1040893.7081283558</v>
      </c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  <c r="BN241" s="96"/>
    </row>
    <row r="242" spans="2:66">
      <c r="B242" s="96">
        <f t="shared" si="17"/>
        <v>68</v>
      </c>
      <c r="C242" s="358">
        <f t="shared" si="19"/>
        <v>1040893.7081283558</v>
      </c>
      <c r="D242" s="359">
        <f t="shared" si="20"/>
        <v>10408.937081283559</v>
      </c>
      <c r="E242" s="360">
        <f t="shared" si="18"/>
        <v>0.01</v>
      </c>
      <c r="F242" s="358">
        <f t="shared" si="21"/>
        <v>10408.937081283559</v>
      </c>
      <c r="G242" s="359">
        <f t="shared" si="22"/>
        <v>0</v>
      </c>
      <c r="H242" s="358">
        <f t="shared" si="23"/>
        <v>1040893.7081283558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  <c r="BN242" s="96"/>
    </row>
    <row r="243" spans="2:66">
      <c r="B243" s="96">
        <f t="shared" si="17"/>
        <v>69</v>
      </c>
      <c r="C243" s="358">
        <f t="shared" si="19"/>
        <v>1040893.7081283558</v>
      </c>
      <c r="D243" s="359">
        <f t="shared" si="20"/>
        <v>10408.937081283559</v>
      </c>
      <c r="E243" s="360">
        <f t="shared" si="18"/>
        <v>0.01</v>
      </c>
      <c r="F243" s="358">
        <f t="shared" si="21"/>
        <v>10408.937081283559</v>
      </c>
      <c r="G243" s="359">
        <f t="shared" si="22"/>
        <v>0</v>
      </c>
      <c r="H243" s="358">
        <f t="shared" si="23"/>
        <v>1040893.7081283558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</row>
    <row r="244" spans="2:66">
      <c r="B244" s="96">
        <f t="shared" si="17"/>
        <v>70</v>
      </c>
      <c r="C244" s="358">
        <f t="shared" si="19"/>
        <v>1040893.7081283558</v>
      </c>
      <c r="D244" s="359">
        <f t="shared" si="20"/>
        <v>10408.937081283559</v>
      </c>
      <c r="E244" s="360">
        <f t="shared" si="18"/>
        <v>0.01</v>
      </c>
      <c r="F244" s="358">
        <f t="shared" si="21"/>
        <v>10408.937081283559</v>
      </c>
      <c r="G244" s="359">
        <f t="shared" si="22"/>
        <v>0</v>
      </c>
      <c r="H244" s="358">
        <f t="shared" si="23"/>
        <v>1040893.7081283558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</row>
    <row r="245" spans="2:66">
      <c r="B245" s="96">
        <f t="shared" si="17"/>
        <v>71</v>
      </c>
      <c r="C245" s="358">
        <f t="shared" si="19"/>
        <v>1040893.7081283558</v>
      </c>
      <c r="D245" s="359">
        <f t="shared" si="20"/>
        <v>10408.937081283559</v>
      </c>
      <c r="E245" s="360">
        <f t="shared" si="18"/>
        <v>0.01</v>
      </c>
      <c r="F245" s="358">
        <f t="shared" si="21"/>
        <v>10408.937081283559</v>
      </c>
      <c r="G245" s="359">
        <f t="shared" si="22"/>
        <v>0</v>
      </c>
      <c r="H245" s="358">
        <f t="shared" si="23"/>
        <v>1040893.7081283558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</row>
    <row r="246" spans="2:66">
      <c r="B246" s="96">
        <f t="shared" si="17"/>
        <v>72</v>
      </c>
      <c r="C246" s="358">
        <f t="shared" si="19"/>
        <v>1040893.7081283558</v>
      </c>
      <c r="D246" s="359">
        <f t="shared" si="20"/>
        <v>10408.937081283559</v>
      </c>
      <c r="E246" s="360">
        <f t="shared" si="18"/>
        <v>0.01</v>
      </c>
      <c r="F246" s="358">
        <f t="shared" si="21"/>
        <v>10408.937081283559</v>
      </c>
      <c r="G246" s="359">
        <f t="shared" si="22"/>
        <v>0</v>
      </c>
      <c r="H246" s="358">
        <f t="shared" si="23"/>
        <v>1040893.7081283558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</row>
    <row r="247" spans="2:66">
      <c r="B247" s="96">
        <f t="shared" si="17"/>
        <v>73</v>
      </c>
      <c r="C247" s="358">
        <f t="shared" si="19"/>
        <v>1040893.7081283558</v>
      </c>
      <c r="D247" s="359">
        <f t="shared" si="20"/>
        <v>10408.937081283559</v>
      </c>
      <c r="E247" s="360">
        <f t="shared" si="18"/>
        <v>0.01</v>
      </c>
      <c r="F247" s="358">
        <f t="shared" si="21"/>
        <v>10408.937081283559</v>
      </c>
      <c r="G247" s="359">
        <f t="shared" si="22"/>
        <v>0</v>
      </c>
      <c r="H247" s="358">
        <f t="shared" si="23"/>
        <v>1040893.7081283558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</row>
    <row r="248" spans="2:66">
      <c r="B248" s="96">
        <f t="shared" si="17"/>
        <v>74</v>
      </c>
      <c r="C248" s="358">
        <f t="shared" si="19"/>
        <v>1040893.7081283558</v>
      </c>
      <c r="D248" s="359">
        <f t="shared" si="20"/>
        <v>10408.937081283559</v>
      </c>
      <c r="E248" s="360">
        <f t="shared" si="18"/>
        <v>0.01</v>
      </c>
      <c r="F248" s="358">
        <f t="shared" si="21"/>
        <v>10408.937081283559</v>
      </c>
      <c r="G248" s="359">
        <f t="shared" si="22"/>
        <v>0</v>
      </c>
      <c r="H248" s="358">
        <f t="shared" si="23"/>
        <v>1040893.7081283558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</row>
    <row r="249" spans="2:66">
      <c r="B249" s="96">
        <f t="shared" si="17"/>
        <v>75</v>
      </c>
      <c r="C249" s="358">
        <f t="shared" si="19"/>
        <v>1040893.7081283558</v>
      </c>
      <c r="D249" s="359">
        <f t="shared" si="20"/>
        <v>10408.937081283559</v>
      </c>
      <c r="E249" s="360">
        <f t="shared" si="18"/>
        <v>0.01</v>
      </c>
      <c r="F249" s="358">
        <f t="shared" si="21"/>
        <v>10408.937081283559</v>
      </c>
      <c r="G249" s="359">
        <f t="shared" si="22"/>
        <v>0</v>
      </c>
      <c r="H249" s="358">
        <f t="shared" si="23"/>
        <v>1040893.7081283558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</row>
    <row r="250" spans="2:66">
      <c r="B250" s="96">
        <f t="shared" si="17"/>
        <v>76</v>
      </c>
      <c r="C250" s="358">
        <f t="shared" si="19"/>
        <v>1040893.7081283558</v>
      </c>
      <c r="D250" s="359">
        <f t="shared" si="20"/>
        <v>10408.937081283559</v>
      </c>
      <c r="E250" s="360">
        <f t="shared" si="18"/>
        <v>0.01</v>
      </c>
      <c r="F250" s="358">
        <f t="shared" si="21"/>
        <v>10408.937081283559</v>
      </c>
      <c r="G250" s="359">
        <f t="shared" si="22"/>
        <v>0</v>
      </c>
      <c r="H250" s="358">
        <f t="shared" si="23"/>
        <v>1040893.7081283558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</row>
    <row r="251" spans="2:66">
      <c r="B251" s="96">
        <f t="shared" si="17"/>
        <v>77</v>
      </c>
      <c r="C251" s="358">
        <f t="shared" si="19"/>
        <v>1040893.7081283558</v>
      </c>
      <c r="D251" s="359">
        <f t="shared" si="20"/>
        <v>10408.937081283559</v>
      </c>
      <c r="E251" s="360">
        <f t="shared" si="18"/>
        <v>0.01</v>
      </c>
      <c r="F251" s="358">
        <f t="shared" si="21"/>
        <v>10408.937081283559</v>
      </c>
      <c r="G251" s="359">
        <f t="shared" si="22"/>
        <v>0</v>
      </c>
      <c r="H251" s="358">
        <f t="shared" si="23"/>
        <v>1040893.7081283558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</row>
    <row r="252" spans="2:66">
      <c r="B252" s="96">
        <f t="shared" si="17"/>
        <v>78</v>
      </c>
      <c r="C252" s="358">
        <f t="shared" si="19"/>
        <v>1040893.7081283558</v>
      </c>
      <c r="D252" s="359">
        <f t="shared" si="20"/>
        <v>10408.937081283559</v>
      </c>
      <c r="E252" s="360">
        <f t="shared" si="18"/>
        <v>0.01</v>
      </c>
      <c r="F252" s="358">
        <f t="shared" si="21"/>
        <v>10408.937081283559</v>
      </c>
      <c r="G252" s="359">
        <f t="shared" si="22"/>
        <v>0</v>
      </c>
      <c r="H252" s="358">
        <f t="shared" si="23"/>
        <v>1040893.7081283558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</row>
    <row r="253" spans="2:66">
      <c r="B253" s="96">
        <f t="shared" si="17"/>
        <v>79</v>
      </c>
      <c r="C253" s="358">
        <f t="shared" si="19"/>
        <v>1040893.7081283558</v>
      </c>
      <c r="D253" s="359">
        <f t="shared" si="20"/>
        <v>10408.937081283559</v>
      </c>
      <c r="E253" s="360">
        <f t="shared" si="18"/>
        <v>0.01</v>
      </c>
      <c r="F253" s="358">
        <f t="shared" si="21"/>
        <v>10408.937081283559</v>
      </c>
      <c r="G253" s="359">
        <f t="shared" si="22"/>
        <v>0</v>
      </c>
      <c r="H253" s="358">
        <f t="shared" si="23"/>
        <v>1040893.7081283558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</row>
    <row r="254" spans="2:66">
      <c r="B254" s="96">
        <f t="shared" si="17"/>
        <v>80</v>
      </c>
      <c r="C254" s="358">
        <f t="shared" si="19"/>
        <v>1040893.7081283558</v>
      </c>
      <c r="D254" s="359">
        <f t="shared" si="20"/>
        <v>10408.937081283559</v>
      </c>
      <c r="E254" s="360">
        <f t="shared" si="18"/>
        <v>0.01</v>
      </c>
      <c r="F254" s="358">
        <f t="shared" si="21"/>
        <v>10408.937081283559</v>
      </c>
      <c r="G254" s="359">
        <f t="shared" si="22"/>
        <v>0</v>
      </c>
      <c r="H254" s="358">
        <f t="shared" si="23"/>
        <v>1040893.7081283558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</row>
    <row r="255" spans="2:66">
      <c r="B255" s="96">
        <f t="shared" si="17"/>
        <v>81</v>
      </c>
      <c r="C255" s="358">
        <f t="shared" si="19"/>
        <v>1040893.7081283558</v>
      </c>
      <c r="D255" s="359">
        <f t="shared" si="20"/>
        <v>10408.937081283559</v>
      </c>
      <c r="E255" s="360">
        <f t="shared" si="18"/>
        <v>0.01</v>
      </c>
      <c r="F255" s="358">
        <f t="shared" si="21"/>
        <v>10408.937081283559</v>
      </c>
      <c r="G255" s="359">
        <f t="shared" si="22"/>
        <v>0</v>
      </c>
      <c r="H255" s="358">
        <f t="shared" si="23"/>
        <v>1040893.7081283558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</row>
    <row r="256" spans="2:66">
      <c r="B256" s="96">
        <f t="shared" si="17"/>
        <v>82</v>
      </c>
      <c r="C256" s="358">
        <f t="shared" si="19"/>
        <v>1040893.7081283558</v>
      </c>
      <c r="D256" s="359">
        <f t="shared" si="20"/>
        <v>10408.937081283559</v>
      </c>
      <c r="E256" s="360">
        <f t="shared" si="18"/>
        <v>0.01</v>
      </c>
      <c r="F256" s="358">
        <f t="shared" si="21"/>
        <v>10408.937081283559</v>
      </c>
      <c r="G256" s="359">
        <f t="shared" si="22"/>
        <v>0</v>
      </c>
      <c r="H256" s="358">
        <f t="shared" si="23"/>
        <v>1040893.7081283558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</row>
    <row r="257" spans="2:66">
      <c r="B257" s="96">
        <f t="shared" si="17"/>
        <v>83</v>
      </c>
      <c r="C257" s="358">
        <f t="shared" si="19"/>
        <v>1040893.7081283558</v>
      </c>
      <c r="D257" s="359">
        <f t="shared" si="20"/>
        <v>10408.937081283559</v>
      </c>
      <c r="E257" s="360">
        <f t="shared" si="18"/>
        <v>0.01</v>
      </c>
      <c r="F257" s="358">
        <f t="shared" si="21"/>
        <v>10408.937081283559</v>
      </c>
      <c r="G257" s="359">
        <f t="shared" si="22"/>
        <v>0</v>
      </c>
      <c r="H257" s="358">
        <f t="shared" si="23"/>
        <v>1040893.7081283558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</row>
    <row r="258" spans="2:66">
      <c r="B258" s="96">
        <f t="shared" si="17"/>
        <v>84</v>
      </c>
      <c r="C258" s="358">
        <f t="shared" si="19"/>
        <v>1040893.7081283558</v>
      </c>
      <c r="D258" s="359">
        <f t="shared" si="20"/>
        <v>10408.937081283559</v>
      </c>
      <c r="E258" s="360">
        <f t="shared" si="18"/>
        <v>0.01</v>
      </c>
      <c r="F258" s="358">
        <f t="shared" si="21"/>
        <v>10408.937081283559</v>
      </c>
      <c r="G258" s="359">
        <f t="shared" si="22"/>
        <v>0</v>
      </c>
      <c r="H258" s="358">
        <f t="shared" si="23"/>
        <v>1040893.7081283558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</row>
    <row r="259" spans="2:66">
      <c r="B259" s="96">
        <f t="shared" si="17"/>
        <v>85</v>
      </c>
      <c r="C259" s="358">
        <f t="shared" si="19"/>
        <v>1040893.7081283558</v>
      </c>
      <c r="D259" s="359">
        <f t="shared" si="20"/>
        <v>10408.937081283559</v>
      </c>
      <c r="E259" s="360">
        <f t="shared" si="18"/>
        <v>0.01</v>
      </c>
      <c r="F259" s="358">
        <f t="shared" si="21"/>
        <v>10408.937081283559</v>
      </c>
      <c r="G259" s="359">
        <f t="shared" si="22"/>
        <v>0</v>
      </c>
      <c r="H259" s="358">
        <f t="shared" si="23"/>
        <v>1040893.7081283558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</row>
    <row r="260" spans="2:66">
      <c r="B260" s="96">
        <f t="shared" si="17"/>
        <v>86</v>
      </c>
      <c r="C260" s="358">
        <f t="shared" si="19"/>
        <v>1040893.7081283558</v>
      </c>
      <c r="D260" s="359">
        <f t="shared" si="20"/>
        <v>10408.937081283559</v>
      </c>
      <c r="E260" s="360">
        <f t="shared" si="18"/>
        <v>0.01</v>
      </c>
      <c r="F260" s="358">
        <f t="shared" si="21"/>
        <v>10408.937081283559</v>
      </c>
      <c r="G260" s="359">
        <f t="shared" si="22"/>
        <v>0</v>
      </c>
      <c r="H260" s="358">
        <f t="shared" si="23"/>
        <v>1040893.7081283558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</row>
    <row r="261" spans="2:66">
      <c r="B261" s="96">
        <f t="shared" si="17"/>
        <v>87</v>
      </c>
      <c r="C261" s="358">
        <f t="shared" si="19"/>
        <v>1040893.7081283558</v>
      </c>
      <c r="D261" s="359">
        <f t="shared" si="20"/>
        <v>10408.937081283559</v>
      </c>
      <c r="E261" s="360">
        <f t="shared" si="18"/>
        <v>0.01</v>
      </c>
      <c r="F261" s="358">
        <f t="shared" si="21"/>
        <v>10408.937081283559</v>
      </c>
      <c r="G261" s="359">
        <f t="shared" si="22"/>
        <v>0</v>
      </c>
      <c r="H261" s="358">
        <f t="shared" si="23"/>
        <v>1040893.7081283558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</row>
    <row r="262" spans="2:66">
      <c r="B262" s="96">
        <f t="shared" si="17"/>
        <v>88</v>
      </c>
      <c r="C262" s="358">
        <f t="shared" si="19"/>
        <v>1040893.7081283558</v>
      </c>
      <c r="D262" s="359">
        <f t="shared" si="20"/>
        <v>10408.937081283559</v>
      </c>
      <c r="E262" s="360">
        <f t="shared" si="18"/>
        <v>0.01</v>
      </c>
      <c r="F262" s="358">
        <f t="shared" si="21"/>
        <v>10408.937081283559</v>
      </c>
      <c r="G262" s="359">
        <f t="shared" si="22"/>
        <v>0</v>
      </c>
      <c r="H262" s="358">
        <f t="shared" si="23"/>
        <v>1040893.7081283558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</row>
    <row r="263" spans="2:66">
      <c r="B263" s="96">
        <f t="shared" si="17"/>
        <v>89</v>
      </c>
      <c r="C263" s="358">
        <f t="shared" si="19"/>
        <v>1040893.7081283558</v>
      </c>
      <c r="D263" s="359">
        <f t="shared" si="20"/>
        <v>10408.937081283559</v>
      </c>
      <c r="E263" s="360">
        <f t="shared" si="18"/>
        <v>0.01</v>
      </c>
      <c r="F263" s="358">
        <f t="shared" si="21"/>
        <v>10408.937081283559</v>
      </c>
      <c r="G263" s="359">
        <f t="shared" si="22"/>
        <v>0</v>
      </c>
      <c r="H263" s="358">
        <f t="shared" si="23"/>
        <v>1040893.7081283558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</row>
    <row r="264" spans="2:66">
      <c r="B264" s="96">
        <f t="shared" si="17"/>
        <v>90</v>
      </c>
      <c r="C264" s="358">
        <f t="shared" si="19"/>
        <v>1040893.7081283558</v>
      </c>
      <c r="D264" s="359">
        <f t="shared" si="20"/>
        <v>10408.937081283559</v>
      </c>
      <c r="E264" s="360">
        <f t="shared" si="18"/>
        <v>0.01</v>
      </c>
      <c r="F264" s="358">
        <f t="shared" si="21"/>
        <v>10408.937081283559</v>
      </c>
      <c r="G264" s="359">
        <f t="shared" si="22"/>
        <v>0</v>
      </c>
      <c r="H264" s="358">
        <f t="shared" si="23"/>
        <v>1040893.7081283558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</row>
    <row r="265" spans="2:66">
      <c r="B265" s="96">
        <f t="shared" si="17"/>
        <v>91</v>
      </c>
      <c r="C265" s="358">
        <f t="shared" si="19"/>
        <v>1040893.7081283558</v>
      </c>
      <c r="D265" s="359">
        <f t="shared" si="20"/>
        <v>10408.937081283559</v>
      </c>
      <c r="E265" s="360">
        <f t="shared" si="18"/>
        <v>0.01</v>
      </c>
      <c r="F265" s="358">
        <f t="shared" si="21"/>
        <v>10408.937081283559</v>
      </c>
      <c r="G265" s="359">
        <f t="shared" si="22"/>
        <v>0</v>
      </c>
      <c r="H265" s="358">
        <f t="shared" si="23"/>
        <v>1040893.7081283558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</row>
    <row r="266" spans="2:66">
      <c r="B266" s="96">
        <f t="shared" si="17"/>
        <v>92</v>
      </c>
      <c r="C266" s="358">
        <f t="shared" ref="C266:C297" si="24">IF($C$30="Rent",0,IF(B266=$D$199,$D$195,IF(B266&gt;$D$199,H265,0)))</f>
        <v>1040893.7081283558</v>
      </c>
      <c r="D266" s="359">
        <f t="shared" ref="D266:D301" si="25">IF(B266&gt;$F$196,PMT($D$198,$D$197,-$D$194*$F$195,$D$194*$F$195),IF(B266&gt;=$D$199,PMT($D$198,$D$196+1,-$D$194*$F$194,$D$194*$F$195),0))</f>
        <v>10408.937081283559</v>
      </c>
      <c r="E266" s="360">
        <f t="shared" si="18"/>
        <v>0.01</v>
      </c>
      <c r="F266" s="358">
        <f t="shared" ref="F266:F297" si="26">E266*C266</f>
        <v>10408.937081283559</v>
      </c>
      <c r="G266" s="359">
        <f t="shared" ref="G266:G297" si="27">D266-F266</f>
        <v>0</v>
      </c>
      <c r="H266" s="358">
        <f t="shared" ref="H266:H297" si="28">C266-G266</f>
        <v>1040893.7081283558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</row>
    <row r="267" spans="2:66">
      <c r="B267" s="96">
        <f t="shared" si="17"/>
        <v>93</v>
      </c>
      <c r="C267" s="358">
        <f t="shared" si="24"/>
        <v>1040893.7081283558</v>
      </c>
      <c r="D267" s="359">
        <f t="shared" si="25"/>
        <v>10408.937081283559</v>
      </c>
      <c r="E267" s="360">
        <f t="shared" si="18"/>
        <v>0.01</v>
      </c>
      <c r="F267" s="358">
        <f t="shared" si="26"/>
        <v>10408.937081283559</v>
      </c>
      <c r="G267" s="359">
        <f t="shared" si="27"/>
        <v>0</v>
      </c>
      <c r="H267" s="358">
        <f t="shared" si="28"/>
        <v>1040893.7081283558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</row>
    <row r="268" spans="2:66">
      <c r="B268" s="96">
        <f t="shared" ref="B268:B301" si="29">B267+1</f>
        <v>94</v>
      </c>
      <c r="C268" s="358">
        <f t="shared" si="24"/>
        <v>1040893.7081283558</v>
      </c>
      <c r="D268" s="359">
        <f t="shared" si="25"/>
        <v>10408.937081283559</v>
      </c>
      <c r="E268" s="360">
        <f t="shared" ref="E268:E301" si="30">E267</f>
        <v>0.01</v>
      </c>
      <c r="F268" s="358">
        <f t="shared" si="26"/>
        <v>10408.937081283559</v>
      </c>
      <c r="G268" s="359">
        <f t="shared" si="27"/>
        <v>0</v>
      </c>
      <c r="H268" s="358">
        <f t="shared" si="28"/>
        <v>1040893.7081283558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</row>
    <row r="269" spans="2:66">
      <c r="B269" s="96">
        <f t="shared" si="29"/>
        <v>95</v>
      </c>
      <c r="C269" s="358">
        <f t="shared" si="24"/>
        <v>1040893.7081283558</v>
      </c>
      <c r="D269" s="359">
        <f t="shared" si="25"/>
        <v>10408.937081283559</v>
      </c>
      <c r="E269" s="360">
        <f t="shared" si="30"/>
        <v>0.01</v>
      </c>
      <c r="F269" s="358">
        <f t="shared" si="26"/>
        <v>10408.937081283559</v>
      </c>
      <c r="G269" s="359">
        <f t="shared" si="27"/>
        <v>0</v>
      </c>
      <c r="H269" s="358">
        <f t="shared" si="28"/>
        <v>1040893.7081283558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</row>
    <row r="270" spans="2:66">
      <c r="B270" s="96">
        <f t="shared" si="29"/>
        <v>96</v>
      </c>
      <c r="C270" s="358">
        <f t="shared" si="24"/>
        <v>1040893.7081283558</v>
      </c>
      <c r="D270" s="359">
        <f t="shared" si="25"/>
        <v>10408.937081283559</v>
      </c>
      <c r="E270" s="360">
        <f t="shared" si="30"/>
        <v>0.01</v>
      </c>
      <c r="F270" s="358">
        <f t="shared" si="26"/>
        <v>10408.937081283559</v>
      </c>
      <c r="G270" s="359">
        <f t="shared" si="27"/>
        <v>0</v>
      </c>
      <c r="H270" s="358">
        <f t="shared" si="28"/>
        <v>1040893.7081283558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</row>
    <row r="271" spans="2:66">
      <c r="B271" s="96">
        <f t="shared" si="29"/>
        <v>97</v>
      </c>
      <c r="C271" s="358">
        <f t="shared" si="24"/>
        <v>1040893.7081283558</v>
      </c>
      <c r="D271" s="359">
        <f t="shared" si="25"/>
        <v>10408.937081283559</v>
      </c>
      <c r="E271" s="360">
        <f t="shared" si="30"/>
        <v>0.01</v>
      </c>
      <c r="F271" s="358">
        <f t="shared" si="26"/>
        <v>10408.937081283559</v>
      </c>
      <c r="G271" s="359">
        <f t="shared" si="27"/>
        <v>0</v>
      </c>
      <c r="H271" s="358">
        <f t="shared" si="28"/>
        <v>1040893.7081283558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</row>
    <row r="272" spans="2:66">
      <c r="B272" s="96">
        <f t="shared" si="29"/>
        <v>98</v>
      </c>
      <c r="C272" s="358">
        <f t="shared" si="24"/>
        <v>1040893.7081283558</v>
      </c>
      <c r="D272" s="359">
        <f t="shared" si="25"/>
        <v>10408.937081283559</v>
      </c>
      <c r="E272" s="360">
        <f t="shared" si="30"/>
        <v>0.01</v>
      </c>
      <c r="F272" s="358">
        <f t="shared" si="26"/>
        <v>10408.937081283559</v>
      </c>
      <c r="G272" s="359">
        <f t="shared" si="27"/>
        <v>0</v>
      </c>
      <c r="H272" s="358">
        <f t="shared" si="28"/>
        <v>1040893.7081283558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</row>
    <row r="273" spans="2:66">
      <c r="B273" s="96">
        <f t="shared" si="29"/>
        <v>99</v>
      </c>
      <c r="C273" s="358">
        <f t="shared" si="24"/>
        <v>1040893.7081283558</v>
      </c>
      <c r="D273" s="359">
        <f t="shared" si="25"/>
        <v>10408.937081283559</v>
      </c>
      <c r="E273" s="360">
        <f t="shared" si="30"/>
        <v>0.01</v>
      </c>
      <c r="F273" s="358">
        <f t="shared" si="26"/>
        <v>10408.937081283559</v>
      </c>
      <c r="G273" s="359">
        <f t="shared" si="27"/>
        <v>0</v>
      </c>
      <c r="H273" s="358">
        <f t="shared" si="28"/>
        <v>1040893.7081283558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</row>
    <row r="274" spans="2:66">
      <c r="B274" s="96">
        <f t="shared" si="29"/>
        <v>100</v>
      </c>
      <c r="C274" s="358">
        <f t="shared" si="24"/>
        <v>1040893.7081283558</v>
      </c>
      <c r="D274" s="359">
        <f t="shared" si="25"/>
        <v>10408.937081283559</v>
      </c>
      <c r="E274" s="360">
        <f t="shared" si="30"/>
        <v>0.01</v>
      </c>
      <c r="F274" s="358">
        <f t="shared" si="26"/>
        <v>10408.937081283559</v>
      </c>
      <c r="G274" s="359">
        <f t="shared" si="27"/>
        <v>0</v>
      </c>
      <c r="H274" s="358">
        <f t="shared" si="28"/>
        <v>1040893.7081283558</v>
      </c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</row>
    <row r="275" spans="2:66">
      <c r="B275" s="96">
        <f t="shared" si="29"/>
        <v>101</v>
      </c>
      <c r="C275" s="358">
        <f t="shared" si="24"/>
        <v>1040893.7081283558</v>
      </c>
      <c r="D275" s="359">
        <f t="shared" si="25"/>
        <v>10408.937081283559</v>
      </c>
      <c r="E275" s="360">
        <f t="shared" si="30"/>
        <v>0.01</v>
      </c>
      <c r="F275" s="358">
        <f t="shared" si="26"/>
        <v>10408.937081283559</v>
      </c>
      <c r="G275" s="359">
        <f t="shared" si="27"/>
        <v>0</v>
      </c>
      <c r="H275" s="358">
        <f t="shared" si="28"/>
        <v>1040893.7081283558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  <c r="BM275" s="96"/>
      <c r="BN275" s="96"/>
    </row>
    <row r="276" spans="2:66">
      <c r="B276" s="96">
        <f t="shared" si="29"/>
        <v>102</v>
      </c>
      <c r="C276" s="358">
        <f t="shared" si="24"/>
        <v>1040893.7081283558</v>
      </c>
      <c r="D276" s="359">
        <f t="shared" si="25"/>
        <v>10408.937081283559</v>
      </c>
      <c r="E276" s="360">
        <f t="shared" si="30"/>
        <v>0.01</v>
      </c>
      <c r="F276" s="358">
        <f t="shared" si="26"/>
        <v>10408.937081283559</v>
      </c>
      <c r="G276" s="359">
        <f t="shared" si="27"/>
        <v>0</v>
      </c>
      <c r="H276" s="358">
        <f t="shared" si="28"/>
        <v>1040893.7081283558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  <c r="BM276" s="96"/>
      <c r="BN276" s="96"/>
    </row>
    <row r="277" spans="2:66">
      <c r="B277" s="96">
        <f t="shared" si="29"/>
        <v>103</v>
      </c>
      <c r="C277" s="358">
        <f t="shared" si="24"/>
        <v>1040893.7081283558</v>
      </c>
      <c r="D277" s="359">
        <f t="shared" si="25"/>
        <v>10408.937081283559</v>
      </c>
      <c r="E277" s="360">
        <f t="shared" si="30"/>
        <v>0.01</v>
      </c>
      <c r="F277" s="358">
        <f t="shared" si="26"/>
        <v>10408.937081283559</v>
      </c>
      <c r="G277" s="359">
        <f t="shared" si="27"/>
        <v>0</v>
      </c>
      <c r="H277" s="358">
        <f t="shared" si="28"/>
        <v>1040893.7081283558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</row>
    <row r="278" spans="2:66">
      <c r="B278" s="96">
        <f t="shared" si="29"/>
        <v>104</v>
      </c>
      <c r="C278" s="358">
        <f t="shared" si="24"/>
        <v>1040893.7081283558</v>
      </c>
      <c r="D278" s="359">
        <f t="shared" si="25"/>
        <v>10408.937081283559</v>
      </c>
      <c r="E278" s="360">
        <f t="shared" si="30"/>
        <v>0.01</v>
      </c>
      <c r="F278" s="358">
        <f t="shared" si="26"/>
        <v>10408.937081283559</v>
      </c>
      <c r="G278" s="359">
        <f t="shared" si="27"/>
        <v>0</v>
      </c>
      <c r="H278" s="358">
        <f t="shared" si="28"/>
        <v>1040893.7081283558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</row>
    <row r="279" spans="2:66">
      <c r="B279" s="96">
        <f t="shared" si="29"/>
        <v>105</v>
      </c>
      <c r="C279" s="358">
        <f t="shared" si="24"/>
        <v>1040893.7081283558</v>
      </c>
      <c r="D279" s="359">
        <f t="shared" si="25"/>
        <v>10408.937081283559</v>
      </c>
      <c r="E279" s="360">
        <f t="shared" si="30"/>
        <v>0.01</v>
      </c>
      <c r="F279" s="358">
        <f t="shared" si="26"/>
        <v>10408.937081283559</v>
      </c>
      <c r="G279" s="359">
        <f t="shared" si="27"/>
        <v>0</v>
      </c>
      <c r="H279" s="358">
        <f t="shared" si="28"/>
        <v>1040893.7081283558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</row>
    <row r="280" spans="2:66">
      <c r="B280" s="96">
        <f t="shared" si="29"/>
        <v>106</v>
      </c>
      <c r="C280" s="358">
        <f t="shared" si="24"/>
        <v>1040893.7081283558</v>
      </c>
      <c r="D280" s="359">
        <f t="shared" si="25"/>
        <v>10408.937081283559</v>
      </c>
      <c r="E280" s="360">
        <f t="shared" si="30"/>
        <v>0.01</v>
      </c>
      <c r="F280" s="358">
        <f t="shared" si="26"/>
        <v>10408.937081283559</v>
      </c>
      <c r="G280" s="359">
        <f t="shared" si="27"/>
        <v>0</v>
      </c>
      <c r="H280" s="358">
        <f t="shared" si="28"/>
        <v>1040893.7081283558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</row>
    <row r="281" spans="2:66">
      <c r="B281" s="96">
        <f t="shared" si="29"/>
        <v>107</v>
      </c>
      <c r="C281" s="358">
        <f t="shared" si="24"/>
        <v>1040893.7081283558</v>
      </c>
      <c r="D281" s="359">
        <f t="shared" si="25"/>
        <v>10408.937081283559</v>
      </c>
      <c r="E281" s="360">
        <f t="shared" si="30"/>
        <v>0.01</v>
      </c>
      <c r="F281" s="358">
        <f t="shared" si="26"/>
        <v>10408.937081283559</v>
      </c>
      <c r="G281" s="359">
        <f t="shared" si="27"/>
        <v>0</v>
      </c>
      <c r="H281" s="358">
        <f t="shared" si="28"/>
        <v>1040893.7081283558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</row>
    <row r="282" spans="2:66">
      <c r="B282" s="96">
        <f t="shared" si="29"/>
        <v>108</v>
      </c>
      <c r="C282" s="358">
        <f t="shared" si="24"/>
        <v>1040893.7081283558</v>
      </c>
      <c r="D282" s="359">
        <f t="shared" si="25"/>
        <v>10408.937081283559</v>
      </c>
      <c r="E282" s="360">
        <f t="shared" si="30"/>
        <v>0.01</v>
      </c>
      <c r="F282" s="358">
        <f t="shared" si="26"/>
        <v>10408.937081283559</v>
      </c>
      <c r="G282" s="359">
        <f t="shared" si="27"/>
        <v>0</v>
      </c>
      <c r="H282" s="358">
        <f t="shared" si="28"/>
        <v>1040893.7081283558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</row>
    <row r="283" spans="2:66">
      <c r="B283" s="96">
        <f t="shared" si="29"/>
        <v>109</v>
      </c>
      <c r="C283" s="358">
        <f t="shared" si="24"/>
        <v>1040893.7081283558</v>
      </c>
      <c r="D283" s="359">
        <f t="shared" si="25"/>
        <v>10408.937081283559</v>
      </c>
      <c r="E283" s="360">
        <f t="shared" si="30"/>
        <v>0.01</v>
      </c>
      <c r="F283" s="358">
        <f t="shared" si="26"/>
        <v>10408.937081283559</v>
      </c>
      <c r="G283" s="359">
        <f t="shared" si="27"/>
        <v>0</v>
      </c>
      <c r="H283" s="358">
        <f t="shared" si="28"/>
        <v>1040893.7081283558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</row>
    <row r="284" spans="2:66">
      <c r="B284" s="96">
        <f t="shared" si="29"/>
        <v>110</v>
      </c>
      <c r="C284" s="358">
        <f t="shared" si="24"/>
        <v>1040893.7081283558</v>
      </c>
      <c r="D284" s="359">
        <f t="shared" si="25"/>
        <v>10408.937081283559</v>
      </c>
      <c r="E284" s="360">
        <f t="shared" si="30"/>
        <v>0.01</v>
      </c>
      <c r="F284" s="358">
        <f t="shared" si="26"/>
        <v>10408.937081283559</v>
      </c>
      <c r="G284" s="359">
        <f t="shared" si="27"/>
        <v>0</v>
      </c>
      <c r="H284" s="358">
        <f t="shared" si="28"/>
        <v>1040893.7081283558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</row>
    <row r="285" spans="2:66">
      <c r="B285" s="96">
        <f t="shared" si="29"/>
        <v>111</v>
      </c>
      <c r="C285" s="358">
        <f t="shared" si="24"/>
        <v>1040893.7081283558</v>
      </c>
      <c r="D285" s="359">
        <f t="shared" si="25"/>
        <v>10408.937081283559</v>
      </c>
      <c r="E285" s="360">
        <f t="shared" si="30"/>
        <v>0.01</v>
      </c>
      <c r="F285" s="358">
        <f t="shared" si="26"/>
        <v>10408.937081283559</v>
      </c>
      <c r="G285" s="359">
        <f t="shared" si="27"/>
        <v>0</v>
      </c>
      <c r="H285" s="358">
        <f t="shared" si="28"/>
        <v>1040893.7081283558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</row>
    <row r="286" spans="2:66">
      <c r="B286" s="96">
        <f t="shared" si="29"/>
        <v>112</v>
      </c>
      <c r="C286" s="358">
        <f t="shared" si="24"/>
        <v>1040893.7081283558</v>
      </c>
      <c r="D286" s="359">
        <f t="shared" si="25"/>
        <v>10408.937081283559</v>
      </c>
      <c r="E286" s="360">
        <f t="shared" si="30"/>
        <v>0.01</v>
      </c>
      <c r="F286" s="358">
        <f t="shared" si="26"/>
        <v>10408.937081283559</v>
      </c>
      <c r="G286" s="359">
        <f t="shared" si="27"/>
        <v>0</v>
      </c>
      <c r="H286" s="358">
        <f t="shared" si="28"/>
        <v>1040893.7081283558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</row>
    <row r="287" spans="2:66">
      <c r="B287" s="96">
        <f t="shared" si="29"/>
        <v>113</v>
      </c>
      <c r="C287" s="358">
        <f t="shared" si="24"/>
        <v>1040893.7081283558</v>
      </c>
      <c r="D287" s="359">
        <f t="shared" si="25"/>
        <v>10408.937081283559</v>
      </c>
      <c r="E287" s="360">
        <f t="shared" si="30"/>
        <v>0.01</v>
      </c>
      <c r="F287" s="358">
        <f t="shared" si="26"/>
        <v>10408.937081283559</v>
      </c>
      <c r="G287" s="359">
        <f t="shared" si="27"/>
        <v>0</v>
      </c>
      <c r="H287" s="358">
        <f t="shared" si="28"/>
        <v>1040893.7081283558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  <c r="BM287" s="96"/>
      <c r="BN287" s="96"/>
    </row>
    <row r="288" spans="2:66">
      <c r="B288" s="96">
        <f t="shared" si="29"/>
        <v>114</v>
      </c>
      <c r="C288" s="358">
        <f t="shared" si="24"/>
        <v>1040893.7081283558</v>
      </c>
      <c r="D288" s="359">
        <f t="shared" si="25"/>
        <v>10408.937081283559</v>
      </c>
      <c r="E288" s="360">
        <f t="shared" si="30"/>
        <v>0.01</v>
      </c>
      <c r="F288" s="358">
        <f t="shared" si="26"/>
        <v>10408.937081283559</v>
      </c>
      <c r="G288" s="359">
        <f t="shared" si="27"/>
        <v>0</v>
      </c>
      <c r="H288" s="358">
        <f t="shared" si="28"/>
        <v>1040893.7081283558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  <c r="BM288" s="96"/>
      <c r="BN288" s="96"/>
    </row>
    <row r="289" spans="2:66">
      <c r="B289" s="96">
        <f t="shared" si="29"/>
        <v>115</v>
      </c>
      <c r="C289" s="358">
        <f t="shared" si="24"/>
        <v>1040893.7081283558</v>
      </c>
      <c r="D289" s="359">
        <f t="shared" si="25"/>
        <v>10408.937081283559</v>
      </c>
      <c r="E289" s="360">
        <f t="shared" si="30"/>
        <v>0.01</v>
      </c>
      <c r="F289" s="358">
        <f t="shared" si="26"/>
        <v>10408.937081283559</v>
      </c>
      <c r="G289" s="359">
        <f t="shared" si="27"/>
        <v>0</v>
      </c>
      <c r="H289" s="358">
        <f t="shared" si="28"/>
        <v>1040893.7081283558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</row>
    <row r="290" spans="2:66">
      <c r="B290" s="96">
        <f t="shared" si="29"/>
        <v>116</v>
      </c>
      <c r="C290" s="358">
        <f t="shared" si="24"/>
        <v>1040893.7081283558</v>
      </c>
      <c r="D290" s="359">
        <f t="shared" si="25"/>
        <v>10408.937081283559</v>
      </c>
      <c r="E290" s="360">
        <f t="shared" si="30"/>
        <v>0.01</v>
      </c>
      <c r="F290" s="358">
        <f t="shared" si="26"/>
        <v>10408.937081283559</v>
      </c>
      <c r="G290" s="359">
        <f t="shared" si="27"/>
        <v>0</v>
      </c>
      <c r="H290" s="358">
        <f t="shared" si="28"/>
        <v>1040893.7081283558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</row>
    <row r="291" spans="2:66">
      <c r="B291" s="96">
        <f t="shared" si="29"/>
        <v>117</v>
      </c>
      <c r="C291" s="358">
        <f t="shared" si="24"/>
        <v>1040893.7081283558</v>
      </c>
      <c r="D291" s="359">
        <f t="shared" si="25"/>
        <v>10408.937081283559</v>
      </c>
      <c r="E291" s="360">
        <f t="shared" si="30"/>
        <v>0.01</v>
      </c>
      <c r="F291" s="358">
        <f t="shared" si="26"/>
        <v>10408.937081283559</v>
      </c>
      <c r="G291" s="359">
        <f t="shared" si="27"/>
        <v>0</v>
      </c>
      <c r="H291" s="358">
        <f t="shared" si="28"/>
        <v>1040893.7081283558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  <c r="BM291" s="96"/>
      <c r="BN291" s="96"/>
    </row>
    <row r="292" spans="2:66">
      <c r="B292" s="96">
        <f t="shared" si="29"/>
        <v>118</v>
      </c>
      <c r="C292" s="358">
        <f t="shared" si="24"/>
        <v>1040893.7081283558</v>
      </c>
      <c r="D292" s="359">
        <f t="shared" si="25"/>
        <v>10408.937081283559</v>
      </c>
      <c r="E292" s="360">
        <f t="shared" si="30"/>
        <v>0.01</v>
      </c>
      <c r="F292" s="358">
        <f t="shared" si="26"/>
        <v>10408.937081283559</v>
      </c>
      <c r="G292" s="359">
        <f t="shared" si="27"/>
        <v>0</v>
      </c>
      <c r="H292" s="358">
        <f t="shared" si="28"/>
        <v>1040893.7081283558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  <c r="BM292" s="96"/>
      <c r="BN292" s="96"/>
    </row>
    <row r="293" spans="2:66">
      <c r="B293" s="96">
        <f t="shared" si="29"/>
        <v>119</v>
      </c>
      <c r="C293" s="358">
        <f t="shared" si="24"/>
        <v>1040893.7081283558</v>
      </c>
      <c r="D293" s="359">
        <f t="shared" si="25"/>
        <v>10408.937081283559</v>
      </c>
      <c r="E293" s="360">
        <f t="shared" si="30"/>
        <v>0.01</v>
      </c>
      <c r="F293" s="358">
        <f t="shared" si="26"/>
        <v>10408.937081283559</v>
      </c>
      <c r="G293" s="359">
        <f t="shared" si="27"/>
        <v>0</v>
      </c>
      <c r="H293" s="358">
        <f t="shared" si="28"/>
        <v>1040893.7081283558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</row>
    <row r="294" spans="2:66">
      <c r="B294" s="96">
        <f t="shared" si="29"/>
        <v>120</v>
      </c>
      <c r="C294" s="358">
        <f t="shared" si="24"/>
        <v>1040893.7081283558</v>
      </c>
      <c r="D294" s="359">
        <f t="shared" si="25"/>
        <v>10408.937081283559</v>
      </c>
      <c r="E294" s="360">
        <f t="shared" si="30"/>
        <v>0.01</v>
      </c>
      <c r="F294" s="358">
        <f t="shared" si="26"/>
        <v>10408.937081283559</v>
      </c>
      <c r="G294" s="359">
        <f t="shared" si="27"/>
        <v>0</v>
      </c>
      <c r="H294" s="358">
        <f t="shared" si="28"/>
        <v>1040893.7081283558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</row>
    <row r="295" spans="2:66">
      <c r="B295" s="96">
        <f t="shared" si="29"/>
        <v>121</v>
      </c>
      <c r="C295" s="358">
        <f t="shared" si="24"/>
        <v>1040893.7081283558</v>
      </c>
      <c r="D295" s="359">
        <f t="shared" si="25"/>
        <v>10408.937081283559</v>
      </c>
      <c r="E295" s="360">
        <f t="shared" si="30"/>
        <v>0.01</v>
      </c>
      <c r="F295" s="358">
        <f t="shared" si="26"/>
        <v>10408.937081283559</v>
      </c>
      <c r="G295" s="359">
        <f t="shared" si="27"/>
        <v>0</v>
      </c>
      <c r="H295" s="358">
        <f t="shared" si="28"/>
        <v>1040893.7081283558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</row>
    <row r="296" spans="2:66">
      <c r="B296" s="96">
        <f t="shared" si="29"/>
        <v>122</v>
      </c>
      <c r="C296" s="358">
        <f t="shared" si="24"/>
        <v>1040893.7081283558</v>
      </c>
      <c r="D296" s="359">
        <f t="shared" si="25"/>
        <v>10408.937081283559</v>
      </c>
      <c r="E296" s="360">
        <f t="shared" si="30"/>
        <v>0.01</v>
      </c>
      <c r="F296" s="358">
        <f t="shared" si="26"/>
        <v>10408.937081283559</v>
      </c>
      <c r="G296" s="359">
        <f t="shared" si="27"/>
        <v>0</v>
      </c>
      <c r="H296" s="358">
        <f t="shared" si="28"/>
        <v>1040893.7081283558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</row>
    <row r="297" spans="2:66">
      <c r="B297" s="96">
        <f t="shared" si="29"/>
        <v>123</v>
      </c>
      <c r="C297" s="358">
        <f t="shared" si="24"/>
        <v>1040893.7081283558</v>
      </c>
      <c r="D297" s="359">
        <f t="shared" si="25"/>
        <v>10408.937081283559</v>
      </c>
      <c r="E297" s="360">
        <f t="shared" si="30"/>
        <v>0.01</v>
      </c>
      <c r="F297" s="358">
        <f t="shared" si="26"/>
        <v>10408.937081283559</v>
      </c>
      <c r="G297" s="359">
        <f t="shared" si="27"/>
        <v>0</v>
      </c>
      <c r="H297" s="358">
        <f t="shared" si="28"/>
        <v>1040893.7081283558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</row>
    <row r="298" spans="2:66">
      <c r="B298" s="96">
        <f t="shared" si="29"/>
        <v>124</v>
      </c>
      <c r="C298" s="358">
        <f t="shared" ref="C298:C329" si="31">IF($C$30="Rent",0,IF(B298=$D$199,$D$195,IF(B298&gt;$D$199,H297,0)))</f>
        <v>1040893.7081283558</v>
      </c>
      <c r="D298" s="359">
        <f t="shared" si="25"/>
        <v>10408.937081283559</v>
      </c>
      <c r="E298" s="360">
        <f t="shared" si="30"/>
        <v>0.01</v>
      </c>
      <c r="F298" s="358">
        <f t="shared" ref="F298:F329" si="32">E298*C298</f>
        <v>10408.937081283559</v>
      </c>
      <c r="G298" s="359">
        <f t="shared" ref="G298:G329" si="33">D298-F298</f>
        <v>0</v>
      </c>
      <c r="H298" s="358">
        <f t="shared" ref="H298:H329" si="34">C298-G298</f>
        <v>1040893.7081283558</v>
      </c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</row>
    <row r="299" spans="2:66">
      <c r="B299" s="96">
        <f t="shared" si="29"/>
        <v>125</v>
      </c>
      <c r="C299" s="358">
        <f t="shared" si="31"/>
        <v>1040893.7081283558</v>
      </c>
      <c r="D299" s="359">
        <f t="shared" si="25"/>
        <v>10408.937081283559</v>
      </c>
      <c r="E299" s="360">
        <f t="shared" si="30"/>
        <v>0.01</v>
      </c>
      <c r="F299" s="358">
        <f t="shared" si="32"/>
        <v>10408.937081283559</v>
      </c>
      <c r="G299" s="359">
        <f t="shared" si="33"/>
        <v>0</v>
      </c>
      <c r="H299" s="358">
        <f t="shared" si="34"/>
        <v>1040893.7081283558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</row>
    <row r="300" spans="2:66">
      <c r="B300" s="96">
        <f t="shared" si="29"/>
        <v>126</v>
      </c>
      <c r="C300" s="358">
        <f t="shared" si="31"/>
        <v>1040893.7081283558</v>
      </c>
      <c r="D300" s="359">
        <f t="shared" si="25"/>
        <v>10408.937081283559</v>
      </c>
      <c r="E300" s="360">
        <f t="shared" si="30"/>
        <v>0.01</v>
      </c>
      <c r="F300" s="358">
        <f t="shared" si="32"/>
        <v>10408.937081283559</v>
      </c>
      <c r="G300" s="359">
        <f t="shared" si="33"/>
        <v>0</v>
      </c>
      <c r="H300" s="358">
        <f t="shared" si="34"/>
        <v>1040893.7081283558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</row>
    <row r="301" spans="2:66">
      <c r="B301" s="96">
        <f t="shared" si="29"/>
        <v>127</v>
      </c>
      <c r="C301" s="358">
        <f t="shared" si="31"/>
        <v>1040893.7081283558</v>
      </c>
      <c r="D301" s="359">
        <f t="shared" si="25"/>
        <v>10408.937081283559</v>
      </c>
      <c r="E301" s="360">
        <f t="shared" si="30"/>
        <v>0.01</v>
      </c>
      <c r="F301" s="358">
        <f t="shared" si="32"/>
        <v>10408.937081283559</v>
      </c>
      <c r="G301" s="359">
        <f t="shared" si="33"/>
        <v>0</v>
      </c>
      <c r="H301" s="358">
        <f t="shared" si="34"/>
        <v>1040893.7081283558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</row>
    <row r="302" spans="2:66">
      <c r="B302" s="96"/>
      <c r="C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</row>
    <row r="303" spans="2:66">
      <c r="B303" s="96"/>
      <c r="C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</row>
    <row r="304" spans="2:66">
      <c r="B304" s="96"/>
      <c r="C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</row>
    <row r="305" spans="2:66">
      <c r="B305" s="96"/>
      <c r="C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</row>
    <row r="306" spans="2:66">
      <c r="B306" s="96"/>
      <c r="C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</row>
    <row r="307" spans="2:66">
      <c r="B307" s="96"/>
      <c r="C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</row>
    <row r="308" spans="2:66">
      <c r="B308" s="96"/>
      <c r="C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</row>
    <row r="309" spans="2:66">
      <c r="B309" s="96"/>
      <c r="C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</row>
    <row r="310" spans="2:66">
      <c r="B310" s="96"/>
      <c r="C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</row>
    <row r="311" spans="2:66">
      <c r="B311" s="96"/>
      <c r="C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</row>
    <row r="312" spans="2:66">
      <c r="B312" s="96"/>
      <c r="C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</row>
    <row r="313" spans="2:66">
      <c r="B313" s="96"/>
      <c r="C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</row>
    <row r="314" spans="2:66">
      <c r="B314" s="96"/>
      <c r="C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</row>
    <row r="315" spans="2:66">
      <c r="B315" s="96"/>
      <c r="C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</row>
    <row r="316" spans="2:66">
      <c r="B316" s="96"/>
      <c r="C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</row>
    <row r="317" spans="2:66">
      <c r="B317" s="96"/>
      <c r="C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</row>
    <row r="318" spans="2:66">
      <c r="B318" s="96"/>
      <c r="C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</row>
    <row r="319" spans="2:66">
      <c r="B319" s="96"/>
      <c r="C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</row>
    <row r="320" spans="2:66">
      <c r="B320" s="96"/>
      <c r="C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</row>
    <row r="321" spans="2:66">
      <c r="B321" s="96"/>
      <c r="C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</row>
    <row r="322" spans="2:66">
      <c r="B322" s="96"/>
      <c r="C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</row>
    <row r="323" spans="2:66">
      <c r="B323" s="96"/>
      <c r="C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</row>
    <row r="324" spans="2:66">
      <c r="B324" s="96"/>
      <c r="C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  <c r="BM324" s="96"/>
      <c r="BN324" s="96"/>
    </row>
    <row r="325" spans="2:66">
      <c r="B325" s="96"/>
      <c r="C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</row>
    <row r="326" spans="2:66">
      <c r="B326" s="96"/>
      <c r="C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</row>
    <row r="327" spans="2:66">
      <c r="B327" s="96"/>
      <c r="C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</row>
    <row r="328" spans="2:66">
      <c r="B328" s="96"/>
      <c r="C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</row>
    <row r="329" spans="2:66">
      <c r="B329" s="96"/>
      <c r="C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</row>
    <row r="330" spans="2:66">
      <c r="B330" s="96"/>
      <c r="C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</row>
    <row r="331" spans="2:66">
      <c r="B331" s="96"/>
      <c r="C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</row>
    <row r="332" spans="2:66">
      <c r="B332" s="96"/>
      <c r="C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</row>
    <row r="333" spans="2:66">
      <c r="B333" s="96"/>
      <c r="C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  <c r="BM333" s="96"/>
      <c r="BN333" s="96"/>
    </row>
    <row r="334" spans="2:66">
      <c r="B334" s="96"/>
      <c r="C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  <c r="BM334" s="96"/>
      <c r="BN334" s="96"/>
    </row>
    <row r="335" spans="2:66">
      <c r="B335" s="96"/>
      <c r="C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</row>
    <row r="336" spans="2:66">
      <c r="B336" s="96"/>
      <c r="C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</row>
    <row r="337" spans="2:66">
      <c r="B337" s="96"/>
      <c r="C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</row>
    <row r="338" spans="2:66">
      <c r="B338" s="96"/>
      <c r="C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</row>
    <row r="339" spans="2:66">
      <c r="B339" s="96"/>
      <c r="C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</row>
    <row r="340" spans="2:66">
      <c r="B340" s="96"/>
      <c r="C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</row>
    <row r="341" spans="2:66">
      <c r="B341" s="96"/>
      <c r="C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</row>
    <row r="342" spans="2:66">
      <c r="B342" s="96"/>
      <c r="C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</row>
    <row r="343" spans="2:66">
      <c r="B343" s="96"/>
      <c r="C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</row>
    <row r="344" spans="2:66">
      <c r="B344" s="96"/>
      <c r="C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</row>
    <row r="345" spans="2:66">
      <c r="B345" s="96"/>
      <c r="C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</row>
    <row r="346" spans="2:66">
      <c r="B346" s="96"/>
      <c r="C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  <c r="BN346" s="96"/>
    </row>
    <row r="347" spans="2:66">
      <c r="B347" s="96"/>
      <c r="C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</row>
    <row r="348" spans="2:66">
      <c r="B348" s="96"/>
      <c r="C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</row>
    <row r="349" spans="2:66">
      <c r="B349" s="96"/>
      <c r="C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  <c r="BM349" s="96"/>
      <c r="BN349" s="96"/>
    </row>
    <row r="350" spans="2:66">
      <c r="B350" s="96"/>
      <c r="C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  <c r="BM350" s="96"/>
      <c r="BN350" s="96"/>
    </row>
    <row r="351" spans="2:66">
      <c r="B351" s="96"/>
      <c r="C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</row>
    <row r="352" spans="2:66">
      <c r="B352" s="96"/>
      <c r="C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</row>
    <row r="353" spans="2:66">
      <c r="B353" s="96"/>
      <c r="C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</row>
    <row r="354" spans="2:66">
      <c r="B354" s="96"/>
      <c r="C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</row>
    <row r="355" spans="2:66">
      <c r="B355" s="96"/>
      <c r="C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</row>
    <row r="356" spans="2:66">
      <c r="B356" s="96"/>
      <c r="C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</row>
    <row r="357" spans="2:66">
      <c r="B357" s="96"/>
      <c r="C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</row>
    <row r="358" spans="2:66">
      <c r="B358" s="96"/>
      <c r="C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</row>
    <row r="359" spans="2:66">
      <c r="B359" s="96"/>
      <c r="C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</row>
    <row r="360" spans="2:66">
      <c r="B360" s="96"/>
      <c r="C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</row>
    <row r="361" spans="2:66"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</row>
    <row r="362" spans="2:66"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</row>
    <row r="363" spans="2:66"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</row>
    <row r="364" spans="2:66"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  <c r="BM364" s="96"/>
      <c r="BN364" s="96"/>
    </row>
    <row r="365" spans="2:66"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</row>
    <row r="366" spans="2:66"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</row>
    <row r="367" spans="2:66"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</row>
    <row r="368" spans="2:66"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</row>
    <row r="369" spans="9:66"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  <c r="BN369" s="96"/>
    </row>
    <row r="370" spans="9:66"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</row>
    <row r="371" spans="9:66"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</row>
    <row r="372" spans="9:66"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</row>
    <row r="373" spans="9:66"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</row>
    <row r="374" spans="9:66"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</row>
    <row r="375" spans="9:66"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</row>
    <row r="376" spans="9:66"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</row>
    <row r="377" spans="9:66"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</row>
    <row r="378" spans="9:66"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</row>
    <row r="379" spans="9:66"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</row>
    <row r="380" spans="9:66"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</row>
    <row r="381" spans="9:66"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</row>
    <row r="382" spans="9:66"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</row>
    <row r="383" spans="9:66"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</row>
    <row r="384" spans="9:66"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</row>
    <row r="385" spans="9:66"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</row>
    <row r="386" spans="9:66"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</row>
    <row r="387" spans="9:66"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</row>
    <row r="388" spans="9:66"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</row>
    <row r="389" spans="9:66"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</row>
    <row r="390" spans="9:66"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</row>
    <row r="391" spans="9:66"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</row>
    <row r="392" spans="9:66"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</row>
    <row r="393" spans="9:66"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</row>
    <row r="394" spans="9:66"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</row>
    <row r="395" spans="9:66"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</row>
    <row r="396" spans="9:66"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</row>
    <row r="397" spans="9:66"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  <c r="BN397" s="96"/>
    </row>
    <row r="398" spans="9:66"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  <c r="BN398" s="96"/>
    </row>
    <row r="399" spans="9:66"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</row>
    <row r="400" spans="9:66"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</row>
    <row r="401" spans="9:66"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</row>
    <row r="402" spans="9:66"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</row>
    <row r="403" spans="9:66"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</row>
    <row r="404" spans="9:66"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</row>
    <row r="405" spans="9:66"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  <c r="BM405" s="96"/>
      <c r="BN405" s="96"/>
    </row>
    <row r="406" spans="9:66"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</row>
    <row r="407" spans="9:66"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</row>
    <row r="408" spans="9:66"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</row>
    <row r="409" spans="9:66"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</row>
    <row r="410" spans="9:66"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</row>
    <row r="411" spans="9:66"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</row>
    <row r="412" spans="9:66"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</row>
    <row r="413" spans="9:66"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</row>
    <row r="414" spans="9:66"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</row>
    <row r="415" spans="9:66"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</row>
    <row r="416" spans="9:66"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  <c r="BM416" s="96"/>
      <c r="BN416" s="96"/>
    </row>
    <row r="417" spans="9:66"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  <c r="BM417" s="96"/>
      <c r="BN417" s="96"/>
    </row>
    <row r="418" spans="9:66"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</row>
    <row r="419" spans="9:66"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</row>
    <row r="420" spans="9:66"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</row>
    <row r="421" spans="9:66"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</row>
    <row r="422" spans="9:66"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</row>
    <row r="423" spans="9:66"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</row>
    <row r="424" spans="9:66"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</row>
    <row r="425" spans="9:66"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</row>
    <row r="426" spans="9:66"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</row>
    <row r="427" spans="9:66"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</row>
    <row r="428" spans="9:66"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</row>
    <row r="429" spans="9:66"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</row>
    <row r="430" spans="9:66"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</row>
    <row r="431" spans="9:66"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</row>
    <row r="432" spans="9:66"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</row>
    <row r="433" spans="9:66"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</row>
    <row r="434" spans="9:66"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</row>
    <row r="435" spans="9:66"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</row>
    <row r="436" spans="9:66"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</row>
    <row r="437" spans="9:66"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</row>
    <row r="438" spans="9:66"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</row>
    <row r="439" spans="9:66"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</row>
    <row r="440" spans="9:66"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</row>
    <row r="441" spans="9:66"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</row>
  </sheetData>
  <mergeCells count="2">
    <mergeCell ref="B2:AB2"/>
    <mergeCell ref="AE2:AS2"/>
  </mergeCells>
  <conditionalFormatting sqref="H34:X34">
    <cfRule type="cellIs" dxfId="4" priority="3" operator="lessThan">
      <formula>0</formula>
    </cfRule>
    <cfRule type="cellIs" dxfId="3" priority="4" operator="greaterThanOrEqual">
      <formula>0</formula>
    </cfRule>
  </conditionalFormatting>
  <conditionalFormatting sqref="H47:X47">
    <cfRule type="cellIs" dxfId="2" priority="1" operator="lessThan">
      <formula>0</formula>
    </cfRule>
    <cfRule type="cellIs" dxfId="1" priority="2" operator="greaterThanOrEqual">
      <formula>0</formula>
    </cfRule>
  </conditionalFormatting>
  <conditionalFormatting sqref="AO6:AS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6:AT1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6:AT1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12">
    <dataValidation type="list" allowBlank="1" showInputMessage="1" showErrorMessage="1" sqref="C51 C47 AF7:AG7 C55 C61 C22 C8 AF4:AG4 C39:C43" xr:uid="{D622AAD3-8B2A-4342-B4F1-A19ACBDF7446}">
      <formula1>"Yes, No"</formula1>
    </dataValidation>
    <dataValidation type="list" allowBlank="1" showInputMessage="1" showErrorMessage="1" sqref="C27" xr:uid="{96825656-6F4B-524C-B08C-A3715781590A}">
      <formula1>"Buy, Rent"</formula1>
    </dataValidation>
    <dataValidation type="list" allowBlank="1" showInputMessage="1" showErrorMessage="1" sqref="C44" xr:uid="{FC9212AF-5DD8-424C-9140-42D962675DFC}">
      <formula1>"0, 20000, 30000, 40000, 50000, 75000, 100000, 150000, 200000, 300000"</formula1>
    </dataValidation>
    <dataValidation type="list" allowBlank="1" showInputMessage="1" showErrorMessage="1" sqref="C48" xr:uid="{1A3EF29B-A03B-944C-8C8E-F7BBE52D5810}">
      <formula1>"0, 5000, 10000, 15000, 20000, 30000, 50000, 80000"</formula1>
    </dataValidation>
    <dataValidation type="list" allowBlank="1" showInputMessage="1" showErrorMessage="1" sqref="C52" xr:uid="{2F021F27-47E4-9045-AFBB-402807B23767}">
      <formula1>"0, 5000, 10000, 15000, 20000, 25000, 50000, 75000, 10000"</formula1>
    </dataValidation>
    <dataValidation type="list" allowBlank="1" showInputMessage="1" showErrorMessage="1" sqref="C56" xr:uid="{171AB892-CABD-BC44-BF5E-6FC41D92D830}">
      <formula1>"0, 10000, 15000, 20000, 25000, 30000, 40000, 50000, 75000, 100000"</formula1>
    </dataValidation>
    <dataValidation type="list" allowBlank="1" showInputMessage="1" showErrorMessage="1" sqref="C44" xr:uid="{4DA63CCD-9C52-024E-938B-06058CEA14BE}">
      <formula1>"20000, 30000, 40000, 50000, 60000, 75000, 100000, 125000, 150000, 200000, 300000"</formula1>
    </dataValidation>
    <dataValidation type="list" allowBlank="1" showInputMessage="1" showErrorMessage="1" sqref="C48" xr:uid="{90D2026E-2C1E-0C4D-AD8C-C34CF99025E3}">
      <formula1>"5000, 10000, 15000, 20000, 30000, 50000, 75000, 100000"</formula1>
    </dataValidation>
    <dataValidation type="list" allowBlank="1" showInputMessage="1" showErrorMessage="1" sqref="C52" xr:uid="{936D43E2-C0D6-A148-8B05-4506A3640CB2}">
      <formula1>"5000, 10000, 15000, 20000, 25000, 50000, 75000"</formula1>
    </dataValidation>
    <dataValidation type="list" allowBlank="1" showInputMessage="1" showErrorMessage="1" sqref="C56" xr:uid="{C20347AB-E31E-724A-98B0-413B84334FB8}">
      <formula1>"10000, 15000, 20000, 25000, 30000, 40000, 50000, 75000"</formula1>
    </dataValidation>
    <dataValidation type="list" allowBlank="1" showInputMessage="1" showErrorMessage="1" sqref="C30" xr:uid="{4C874443-58C4-AC45-94AB-AC685EF6DBD3}">
      <formula1>"Flat, House, Rent"</formula1>
    </dataValidation>
    <dataValidation type="list" allowBlank="1" showInputMessage="1" showErrorMessage="1" sqref="C33" xr:uid="{05CD00F2-5387-204E-BF70-776C51510077}">
      <formula1>"Cheap, Normal, Expensive"</formula1>
    </dataValidation>
  </dataValidations>
  <pageMargins left="0.7" right="0.7" top="0.75" bottom="0.75" header="0.3" footer="0.3"/>
  <drawing r:id="rId1"/>
  <legacy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186D-CB96-5541-88EA-D4F963748B32}">
  <sheetPr>
    <tabColor rgb="FFFFFF00"/>
  </sheetPr>
  <dimension ref="A3:BC248"/>
  <sheetViews>
    <sheetView topLeftCell="G102" zoomScale="91" zoomScaleNormal="100" workbookViewId="0">
      <selection activeCell="T177" sqref="T177"/>
    </sheetView>
  </sheetViews>
  <sheetFormatPr baseColWidth="10" defaultColWidth="11" defaultRowHeight="16"/>
  <cols>
    <col min="2" max="2" width="44" customWidth="1"/>
    <col min="3" max="44" width="18.83203125" customWidth="1"/>
    <col min="45" max="55" width="18.33203125" customWidth="1"/>
  </cols>
  <sheetData>
    <row r="3" spans="2:55">
      <c r="B3" s="7" t="s">
        <v>47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2:55">
      <c r="B4" s="148" t="s">
        <v>13</v>
      </c>
      <c r="C4" s="11">
        <f>'General overview'!C5</f>
        <v>28</v>
      </c>
      <c r="D4" s="11">
        <f t="shared" ref="D4:AT4" si="0">C4+1</f>
        <v>29</v>
      </c>
      <c r="E4" s="11">
        <f t="shared" si="0"/>
        <v>30</v>
      </c>
      <c r="F4" s="11">
        <f t="shared" si="0"/>
        <v>31</v>
      </c>
      <c r="G4" s="11">
        <f t="shared" si="0"/>
        <v>32</v>
      </c>
      <c r="H4" s="11">
        <f t="shared" si="0"/>
        <v>33</v>
      </c>
      <c r="I4" s="11">
        <f t="shared" si="0"/>
        <v>34</v>
      </c>
      <c r="J4" s="11">
        <f t="shared" si="0"/>
        <v>35</v>
      </c>
      <c r="K4" s="11">
        <f t="shared" si="0"/>
        <v>36</v>
      </c>
      <c r="L4" s="11">
        <f t="shared" si="0"/>
        <v>37</v>
      </c>
      <c r="M4" s="11">
        <f t="shared" si="0"/>
        <v>38</v>
      </c>
      <c r="N4" s="11">
        <f t="shared" si="0"/>
        <v>39</v>
      </c>
      <c r="O4" s="11">
        <f t="shared" si="0"/>
        <v>40</v>
      </c>
      <c r="P4" s="11">
        <f t="shared" si="0"/>
        <v>41</v>
      </c>
      <c r="Q4" s="11">
        <f t="shared" si="0"/>
        <v>42</v>
      </c>
      <c r="R4" s="11">
        <f t="shared" si="0"/>
        <v>43</v>
      </c>
      <c r="S4" s="11">
        <f t="shared" si="0"/>
        <v>44</v>
      </c>
      <c r="T4" s="11">
        <f t="shared" si="0"/>
        <v>45</v>
      </c>
      <c r="U4" s="11">
        <f t="shared" si="0"/>
        <v>46</v>
      </c>
      <c r="V4" s="11">
        <f t="shared" si="0"/>
        <v>47</v>
      </c>
      <c r="W4" s="11">
        <f t="shared" si="0"/>
        <v>48</v>
      </c>
      <c r="X4" s="11">
        <f t="shared" si="0"/>
        <v>49</v>
      </c>
      <c r="Y4" s="11">
        <f t="shared" si="0"/>
        <v>50</v>
      </c>
      <c r="Z4" s="11">
        <f t="shared" si="0"/>
        <v>51</v>
      </c>
      <c r="AA4" s="11">
        <f t="shared" si="0"/>
        <v>52</v>
      </c>
      <c r="AB4" s="11">
        <f t="shared" si="0"/>
        <v>53</v>
      </c>
      <c r="AC4" s="11">
        <f t="shared" si="0"/>
        <v>54</v>
      </c>
      <c r="AD4" s="11">
        <f t="shared" si="0"/>
        <v>55</v>
      </c>
      <c r="AE4" s="11">
        <f t="shared" si="0"/>
        <v>56</v>
      </c>
      <c r="AF4" s="11">
        <f t="shared" si="0"/>
        <v>57</v>
      </c>
      <c r="AG4" s="11">
        <f t="shared" si="0"/>
        <v>58</v>
      </c>
      <c r="AH4" s="11">
        <f t="shared" si="0"/>
        <v>59</v>
      </c>
      <c r="AI4" s="11">
        <f t="shared" si="0"/>
        <v>60</v>
      </c>
      <c r="AJ4" s="11">
        <f t="shared" si="0"/>
        <v>61</v>
      </c>
      <c r="AK4" s="11">
        <f t="shared" si="0"/>
        <v>62</v>
      </c>
      <c r="AL4" s="11">
        <f t="shared" si="0"/>
        <v>63</v>
      </c>
      <c r="AM4" s="11">
        <f t="shared" si="0"/>
        <v>64</v>
      </c>
      <c r="AN4" s="11">
        <f t="shared" si="0"/>
        <v>65</v>
      </c>
      <c r="AO4" s="11">
        <f t="shared" si="0"/>
        <v>66</v>
      </c>
      <c r="AP4" s="11">
        <f t="shared" si="0"/>
        <v>67</v>
      </c>
      <c r="AQ4" s="11">
        <f t="shared" si="0"/>
        <v>68</v>
      </c>
      <c r="AR4" s="11">
        <f t="shared" si="0"/>
        <v>69</v>
      </c>
      <c r="AS4" s="11">
        <f t="shared" si="0"/>
        <v>70</v>
      </c>
      <c r="AT4" s="11">
        <f t="shared" si="0"/>
        <v>71</v>
      </c>
      <c r="AU4" s="11">
        <f t="shared" ref="AU4" si="1">AT4+1</f>
        <v>72</v>
      </c>
      <c r="AV4" s="11">
        <f t="shared" ref="AV4" si="2">AU4+1</f>
        <v>73</v>
      </c>
      <c r="AW4" s="11">
        <f t="shared" ref="AW4" si="3">AV4+1</f>
        <v>74</v>
      </c>
      <c r="AX4" s="11">
        <f t="shared" ref="AX4" si="4">AW4+1</f>
        <v>75</v>
      </c>
      <c r="AY4" s="11">
        <f t="shared" ref="AY4" si="5">AX4+1</f>
        <v>76</v>
      </c>
      <c r="AZ4" s="11">
        <f t="shared" ref="AZ4" si="6">AY4+1</f>
        <v>77</v>
      </c>
      <c r="BA4" s="11">
        <f t="shared" ref="BA4" si="7">AZ4+1</f>
        <v>78</v>
      </c>
      <c r="BB4" s="11">
        <f t="shared" ref="BB4" si="8">BA4+1</f>
        <v>79</v>
      </c>
      <c r="BC4" s="11">
        <f t="shared" ref="BC4" si="9">BB4+1</f>
        <v>80</v>
      </c>
    </row>
    <row r="5" spans="2:55">
      <c r="B5" s="148" t="s">
        <v>16</v>
      </c>
      <c r="C5" s="11">
        <v>2024</v>
      </c>
      <c r="D5" s="11">
        <v>2025</v>
      </c>
      <c r="E5" s="11">
        <v>2026</v>
      </c>
      <c r="F5" s="11">
        <v>2027</v>
      </c>
      <c r="G5" s="11">
        <v>2028</v>
      </c>
      <c r="H5" s="11">
        <v>2029</v>
      </c>
      <c r="I5" s="11">
        <v>2030</v>
      </c>
      <c r="J5" s="11">
        <v>2031</v>
      </c>
      <c r="K5" s="11">
        <v>2032</v>
      </c>
      <c r="L5" s="11">
        <v>2033</v>
      </c>
      <c r="M5" s="11">
        <v>2034</v>
      </c>
      <c r="N5" s="11">
        <v>2035</v>
      </c>
      <c r="O5" s="11">
        <v>2036</v>
      </c>
      <c r="P5" s="11">
        <v>2037</v>
      </c>
      <c r="Q5" s="11">
        <v>2038</v>
      </c>
      <c r="R5" s="11">
        <v>2039</v>
      </c>
      <c r="S5" s="11">
        <v>2040</v>
      </c>
      <c r="T5" s="11">
        <v>2041</v>
      </c>
      <c r="U5" s="11">
        <v>2042</v>
      </c>
      <c r="V5" s="11">
        <v>2043</v>
      </c>
      <c r="W5" s="11">
        <v>2044</v>
      </c>
      <c r="X5" s="11">
        <v>2045</v>
      </c>
      <c r="Y5" s="11">
        <v>2046</v>
      </c>
      <c r="Z5" s="11">
        <v>2047</v>
      </c>
      <c r="AA5" s="11">
        <v>2048</v>
      </c>
      <c r="AB5" s="11">
        <v>2049</v>
      </c>
      <c r="AC5" s="11">
        <v>2050</v>
      </c>
      <c r="AD5" s="11">
        <v>2051</v>
      </c>
      <c r="AE5" s="11">
        <v>2052</v>
      </c>
      <c r="AF5" s="11">
        <v>2053</v>
      </c>
      <c r="AG5" s="11">
        <v>2054</v>
      </c>
      <c r="AH5" s="11">
        <v>2055</v>
      </c>
      <c r="AI5" s="11">
        <v>2056</v>
      </c>
      <c r="AJ5" s="11">
        <v>2057</v>
      </c>
      <c r="AK5" s="11">
        <v>2058</v>
      </c>
      <c r="AL5" s="11">
        <v>2059</v>
      </c>
      <c r="AM5" s="11">
        <v>2060</v>
      </c>
      <c r="AN5" s="11">
        <v>2061</v>
      </c>
      <c r="AO5" s="11">
        <v>2062</v>
      </c>
      <c r="AP5" s="11">
        <v>2063</v>
      </c>
      <c r="AQ5" s="11">
        <v>2064</v>
      </c>
      <c r="AR5" s="11">
        <v>2065</v>
      </c>
      <c r="AS5" s="11">
        <v>2066</v>
      </c>
      <c r="AT5" s="11">
        <v>2067</v>
      </c>
      <c r="AU5" s="11">
        <v>2068</v>
      </c>
      <c r="AV5" s="11">
        <v>2069</v>
      </c>
      <c r="AW5" s="11">
        <v>2070</v>
      </c>
      <c r="AX5" s="11">
        <v>2071</v>
      </c>
      <c r="AY5" s="11">
        <v>2072</v>
      </c>
      <c r="AZ5" s="11">
        <v>2073</v>
      </c>
      <c r="BA5" s="11">
        <v>2074</v>
      </c>
      <c r="BB5" s="11">
        <v>2075</v>
      </c>
      <c r="BC5" s="11">
        <v>2076</v>
      </c>
    </row>
    <row r="6" spans="2:55">
      <c r="B6" s="151" t="s">
        <v>2509</v>
      </c>
      <c r="C6" s="217" t="str">
        <f>IF(C4&lt;'General overview'!$C$29,'General overview'!$C$71,'General overview'!$C$73)</f>
        <v>AG</v>
      </c>
      <c r="D6" s="217" t="str">
        <f>IF(D4&lt;'General overview'!$C$29,'General overview'!$C$71,'General overview'!$C$73)</f>
        <v>AG</v>
      </c>
      <c r="E6" s="217" t="str">
        <f>IF(E4&lt;'General overview'!$C$29,'General overview'!$C$71,'General overview'!$C$73)</f>
        <v>AG</v>
      </c>
      <c r="F6" s="217" t="str">
        <f>IF(F4&lt;'General overview'!$C$29,'General overview'!$C$71,'General overview'!$C$73)</f>
        <v>AG</v>
      </c>
      <c r="G6" s="217" t="str">
        <f>IF(G4&lt;'General overview'!$C$29,'General overview'!$C$71,'General overview'!$C$73)</f>
        <v>AG</v>
      </c>
      <c r="H6" s="217" t="str">
        <f>IF(H4&lt;'General overview'!$C$29,'General overview'!$C$71,'General overview'!$C$73)</f>
        <v>AG</v>
      </c>
      <c r="I6" s="217" t="str">
        <f>IF(I4&lt;'General overview'!$C$29,'General overview'!$C$71,'General overview'!$C$73)</f>
        <v>AG</v>
      </c>
      <c r="J6" s="217" t="str">
        <f>IF(J4&lt;'General overview'!$C$29,'General overview'!$C$71,'General overview'!$C$73)</f>
        <v>AG</v>
      </c>
      <c r="K6" s="217" t="str">
        <f>IF(K4&lt;'General overview'!$C$29,'General overview'!$C$71,'General overview'!$C$73)</f>
        <v>AG</v>
      </c>
      <c r="L6" s="217" t="str">
        <f>IF(L4&lt;'General overview'!$C$29,'General overview'!$C$71,'General overview'!$C$73)</f>
        <v>AG</v>
      </c>
      <c r="M6" s="217" t="str">
        <f>IF(M4&lt;'General overview'!$C$29,'General overview'!$C$71,'General overview'!$C$73)</f>
        <v>ZH</v>
      </c>
      <c r="N6" s="217" t="str">
        <f>IF(N4&lt;'General overview'!$C$29,'General overview'!$C$71,'General overview'!$C$73)</f>
        <v>ZH</v>
      </c>
      <c r="O6" s="217" t="str">
        <f>IF(O4&lt;'General overview'!$C$29,'General overview'!$C$71,'General overview'!$C$73)</f>
        <v>ZH</v>
      </c>
      <c r="P6" s="217" t="str">
        <f>IF(P4&lt;'General overview'!$C$29,'General overview'!$C$71,'General overview'!$C$73)</f>
        <v>ZH</v>
      </c>
      <c r="Q6" s="217" t="str">
        <f>IF(Q4&lt;'General overview'!$C$29,'General overview'!$C$71,'General overview'!$C$73)</f>
        <v>ZH</v>
      </c>
      <c r="R6" s="217" t="str">
        <f>IF(R4&lt;'General overview'!$C$29,'General overview'!$C$71,'General overview'!$C$73)</f>
        <v>ZH</v>
      </c>
      <c r="S6" s="217" t="str">
        <f>IF(S4&lt;'General overview'!$C$29,'General overview'!$C$71,'General overview'!$C$73)</f>
        <v>ZH</v>
      </c>
      <c r="T6" s="217" t="str">
        <f>IF(T4&lt;'General overview'!$C$29,'General overview'!$C$71,'General overview'!$C$73)</f>
        <v>ZH</v>
      </c>
      <c r="U6" s="217" t="str">
        <f>IF(U4&lt;'General overview'!$C$29,'General overview'!$C$71,'General overview'!$C$73)</f>
        <v>ZH</v>
      </c>
      <c r="V6" s="217" t="str">
        <f>IF(V4&lt;'General overview'!$C$29,'General overview'!$C$71,'General overview'!$C$73)</f>
        <v>ZH</v>
      </c>
      <c r="W6" s="217" t="str">
        <f>IF(W4&lt;'General overview'!$C$29,'General overview'!$C$71,'General overview'!$C$73)</f>
        <v>ZH</v>
      </c>
      <c r="X6" s="217" t="str">
        <f>IF(X4&lt;'General overview'!$C$29,'General overview'!$C$71,'General overview'!$C$73)</f>
        <v>ZH</v>
      </c>
      <c r="Y6" s="217" t="str">
        <f>IF(Y4&lt;'General overview'!$C$29,'General overview'!$C$71,'General overview'!$C$73)</f>
        <v>ZH</v>
      </c>
      <c r="Z6" s="217" t="str">
        <f>IF(Z4&lt;'General overview'!$C$29,'General overview'!$C$71,'General overview'!$C$73)</f>
        <v>ZH</v>
      </c>
      <c r="AA6" s="217" t="str">
        <f>IF(AA4&lt;'General overview'!$C$29,'General overview'!$C$71,'General overview'!$C$73)</f>
        <v>ZH</v>
      </c>
      <c r="AB6" s="217" t="str">
        <f>IF(AB4&lt;'General overview'!$C$29,'General overview'!$C$71,'General overview'!$C$73)</f>
        <v>ZH</v>
      </c>
      <c r="AC6" s="217" t="str">
        <f>IF(AC4&lt;'General overview'!$C$29,'General overview'!$C$71,'General overview'!$C$73)</f>
        <v>ZH</v>
      </c>
      <c r="AD6" s="217" t="str">
        <f>IF(AD4&lt;'General overview'!$C$29,'General overview'!$C$71,'General overview'!$C$73)</f>
        <v>ZH</v>
      </c>
      <c r="AE6" s="217" t="str">
        <f>IF(AE4&lt;'General overview'!$C$29,'General overview'!$C$71,'General overview'!$C$73)</f>
        <v>ZH</v>
      </c>
      <c r="AF6" s="217" t="str">
        <f>IF(AF4&lt;'General overview'!$C$29,'General overview'!$C$71,'General overview'!$C$73)</f>
        <v>ZH</v>
      </c>
      <c r="AG6" s="217" t="str">
        <f>IF(AG4&lt;'General overview'!$C$29,'General overview'!$C$71,'General overview'!$C$73)</f>
        <v>ZH</v>
      </c>
      <c r="AH6" s="217" t="str">
        <f>IF(AH4&lt;'General overview'!$C$29,'General overview'!$C$71,'General overview'!$C$73)</f>
        <v>ZH</v>
      </c>
      <c r="AI6" s="217" t="str">
        <f>IF(AI4&lt;'General overview'!$C$29,'General overview'!$C$71,'General overview'!$C$73)</f>
        <v>ZH</v>
      </c>
      <c r="AJ6" s="217" t="str">
        <f>IF(AJ4&lt;'General overview'!$C$29,'General overview'!$C$71,'General overview'!$C$73)</f>
        <v>ZH</v>
      </c>
      <c r="AK6" s="217" t="str">
        <f>IF(AK4&lt;'General overview'!$C$29,'General overview'!$C$71,'General overview'!$C$73)</f>
        <v>ZH</v>
      </c>
      <c r="AL6" s="217" t="str">
        <f>IF(AL4&lt;'General overview'!$C$29,'General overview'!$C$71,'General overview'!$C$73)</f>
        <v>ZH</v>
      </c>
      <c r="AM6" s="217" t="str">
        <f>IF(AM4&lt;'General overview'!$C$29,'General overview'!$C$71,'General overview'!$C$73)</f>
        <v>ZH</v>
      </c>
      <c r="AN6" s="217" t="str">
        <f>IF(AN4&lt;'General overview'!$C$29,'General overview'!$C$71,'General overview'!$C$73)</f>
        <v>ZH</v>
      </c>
      <c r="AO6" s="217" t="str">
        <f>IF(AO4&lt;'General overview'!$C$29,'General overview'!$C$71,'General overview'!$C$73)</f>
        <v>ZH</v>
      </c>
      <c r="AP6" s="217" t="str">
        <f>IF(AP4&lt;'General overview'!$C$29,'General overview'!$C$71,'General overview'!$C$73)</f>
        <v>ZH</v>
      </c>
      <c r="AQ6" s="217" t="str">
        <f>IF(AQ4&lt;'General overview'!$C$29,'General overview'!$C$71,'General overview'!$C$73)</f>
        <v>ZH</v>
      </c>
      <c r="AR6" s="217" t="str">
        <f>IF(AR4&lt;'General overview'!$C$29,'General overview'!$C$71,'General overview'!$C$73)</f>
        <v>ZH</v>
      </c>
      <c r="AS6" s="217" t="str">
        <f>IF(AS4&lt;'General overview'!$C$29,'General overview'!$C$71,'General overview'!$C$73)</f>
        <v>ZH</v>
      </c>
      <c r="AT6" s="217" t="str">
        <f>IF(AT4&lt;'General overview'!$C$29,'General overview'!$C$71,'General overview'!$C$73)</f>
        <v>ZH</v>
      </c>
      <c r="AU6" s="217" t="str">
        <f>IF(AU4&lt;'General overview'!$C$29,'General overview'!$C$71,'General overview'!$C$73)</f>
        <v>ZH</v>
      </c>
      <c r="AV6" s="217" t="str">
        <f>IF(AV4&lt;'General overview'!$C$29,'General overview'!$C$71,'General overview'!$C$73)</f>
        <v>ZH</v>
      </c>
      <c r="AW6" s="217" t="str">
        <f>IF(AW4&lt;'General overview'!$C$29,'General overview'!$C$71,'General overview'!$C$73)</f>
        <v>ZH</v>
      </c>
      <c r="AX6" s="217" t="str">
        <f>IF(AX4&lt;'General overview'!$C$29,'General overview'!$C$71,'General overview'!$C$73)</f>
        <v>ZH</v>
      </c>
      <c r="AY6" s="217" t="str">
        <f>IF(AY4&lt;'General overview'!$C$29,'General overview'!$C$71,'General overview'!$C$73)</f>
        <v>ZH</v>
      </c>
      <c r="AZ6" s="217" t="str">
        <f>IF(AZ4&lt;'General overview'!$C$29,'General overview'!$C$71,'General overview'!$C$73)</f>
        <v>ZH</v>
      </c>
      <c r="BA6" s="217" t="str">
        <f>IF(BA4&lt;'General overview'!$C$29,'General overview'!$C$71,'General overview'!$C$73)</f>
        <v>ZH</v>
      </c>
      <c r="BB6" s="217" t="str">
        <f>IF(BB4&lt;'General overview'!$C$29,'General overview'!$C$71,'General overview'!$C$73)</f>
        <v>ZH</v>
      </c>
      <c r="BC6" s="217" t="str">
        <f>IF(BC4&lt;'General overview'!$C$29,'General overview'!$C$71,'General overview'!$C$73)</f>
        <v>ZH</v>
      </c>
    </row>
    <row r="7" spans="2:55">
      <c r="B7" s="111"/>
    </row>
    <row r="8" spans="2:55">
      <c r="B8" s="149" t="s">
        <v>39</v>
      </c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</row>
    <row r="9" spans="2:55">
      <c r="B9" s="205" t="s">
        <v>48</v>
      </c>
      <c r="C9" s="150">
        <f>SUMIF(Tabella25[[#Headers],[#Data],[Age]],'CF Timeline'!C4,Tabella25[[#Headers],[#Data],[Salary and pension]])</f>
        <v>100000</v>
      </c>
      <c r="D9" s="150">
        <f>SUMIF(Tabella25[[#Headers],[#Data],[Age]],'CF Timeline'!D4,Tabella25[[#Headers],[#Data],[Salary and pension]])</f>
        <v>103713.74335979213</v>
      </c>
      <c r="E9" s="150">
        <f>SUMIF(Tabella25[[#Headers],[#Data],[Age]],'CF Timeline'!E4,Tabella25[[#Headers],[#Data],[Salary and pension]])</f>
        <v>107523.2132099712</v>
      </c>
      <c r="F9" s="150">
        <f>SUMIF(Tabella25[[#Headers],[#Data],[Age]],'CF Timeline'!F4,Tabella25[[#Headers],[#Data],[Salary and pension]])</f>
        <v>111431.18112786009</v>
      </c>
      <c r="G9" s="150">
        <f>SUMIF(Tabella25[[#Headers],[#Data],[Age]],'CF Timeline'!G4,Tabella25[[#Headers],[#Data],[Salary and pension]])</f>
        <v>115440.50142539543</v>
      </c>
      <c r="H9" s="150">
        <f>SUMIF(Tabella25[[#Headers],[#Data],[Age]],'CF Timeline'!H4,Tabella25[[#Headers],[#Data],[Salary and pension]])</f>
        <v>119554.11363698088</v>
      </c>
      <c r="I9" s="150">
        <f>SUMIF(Tabella25[[#Headers],[#Data],[Age]],'CF Timeline'!I4,Tabella25[[#Headers],[#Data],[Salary and pension]])</f>
        <v>123775.04508227963</v>
      </c>
      <c r="J9" s="150">
        <f>SUMIF(Tabella25[[#Headers],[#Data],[Age]],'CF Timeline'!J4,Tabella25[[#Headers],[#Data],[Salary and pension]])</f>
        <v>128106.41350620333</v>
      </c>
      <c r="K9" s="150">
        <f>SUMIF(Tabella25[[#Headers],[#Data],[Age]],'CF Timeline'!K4,Tabella25[[#Headers],[#Data],[Salary and pension]])</f>
        <v>132551.42979842433</v>
      </c>
      <c r="L9" s="150">
        <f>SUMIF(Tabella25[[#Headers],[#Data],[Age]],'CF Timeline'!L4,Tabella25[[#Headers],[#Data],[Salary and pension]])</f>
        <v>137113.40079480727</v>
      </c>
      <c r="M9" s="150">
        <f>SUMIF(Tabella25[[#Headers],[#Data],[Age]],'CF Timeline'!M4,Tabella25[[#Headers],[#Data],[Salary and pension]])</f>
        <v>141795.73216322847</v>
      </c>
      <c r="N9" s="150">
        <f>SUMIF(Tabella25[[#Headers],[#Data],[Age]],'CF Timeline'!N4,Tabella25[[#Headers],[#Data],[Salary and pension]])</f>
        <v>146601.93137632645</v>
      </c>
      <c r="O9" s="150">
        <f>SUMIF(Tabella25[[#Headers],[#Data],[Age]],'CF Timeline'!O4,Tabella25[[#Headers],[#Data],[Salary and pension]])</f>
        <v>151535.61077380291</v>
      </c>
      <c r="P9" s="150">
        <f>SUMIF(Tabella25[[#Headers],[#Data],[Age]],'CF Timeline'!P4,Tabella25[[#Headers],[#Data],[Salary and pension]])</f>
        <v>156600.4907169728</v>
      </c>
      <c r="Q9" s="150">
        <f>SUMIF(Tabella25[[#Headers],[#Data],[Age]],'CF Timeline'!Q4,Tabella25[[#Headers],[#Data],[Salary and pension]])</f>
        <v>161800.40283834317</v>
      </c>
      <c r="R9" s="150">
        <f>SUMIF(Tabella25[[#Headers],[#Data],[Age]],'CF Timeline'!R4,Tabella25[[#Headers],[#Data],[Salary and pension]])</f>
        <v>167139.29338908469</v>
      </c>
      <c r="S9" s="150">
        <f>SUMIF(Tabella25[[#Headers],[#Data],[Age]],'CF Timeline'!S4,Tabella25[[#Headers],[#Data],[Salary and pension]])</f>
        <v>172621.22668734577</v>
      </c>
      <c r="T9" s="150">
        <f>SUMIF(Tabella25[[#Headers],[#Data],[Age]],'CF Timeline'!T4,Tabella25[[#Headers],[#Data],[Salary and pension]])</f>
        <v>178250.38867044792</v>
      </c>
      <c r="U9" s="150">
        <f>SUMIF(Tabella25[[#Headers],[#Data],[Age]],'CF Timeline'!U4,Tabella25[[#Headers],[#Data],[Salary and pension]])</f>
        <v>184031.09055409278</v>
      </c>
      <c r="V9" s="150">
        <f>SUMIF(Tabella25[[#Headers],[#Data],[Age]],'CF Timeline'!V4,Tabella25[[#Headers],[#Data],[Salary and pension]])</f>
        <v>189967.7726018058</v>
      </c>
      <c r="W9" s="150">
        <f>SUMIF(Tabella25[[#Headers],[#Data],[Age]],'CF Timeline'!W4,Tabella25[[#Headers],[#Data],[Salary and pension]])</f>
        <v>196065.00800793851</v>
      </c>
      <c r="X9" s="150">
        <f>SUMIF(Tabella25[[#Headers],[#Data],[Age]],'CF Timeline'!X4,Tabella25[[#Headers],[#Data],[Salary and pension]])</f>
        <v>202327.50689765107</v>
      </c>
      <c r="Y9" s="150">
        <f>SUMIF(Tabella25[[#Headers],[#Data],[Age]],'CF Timeline'!Y4,Tabella25[[#Headers],[#Data],[Salary and pension]])</f>
        <v>208760.12044740084</v>
      </c>
      <c r="Z9" s="150">
        <f>SUMIF(Tabella25[[#Headers],[#Data],[Age]],'CF Timeline'!Z4,Tabella25[[#Headers],[#Data],[Salary and pension]])</f>
        <v>215367.8451295679</v>
      </c>
      <c r="AA9" s="150">
        <f>SUMIF(Tabella25[[#Headers],[#Data],[Age]],'CF Timeline'!AA4,Tabella25[[#Headers],[#Data],[Salary and pension]])</f>
        <v>222155.82708495855</v>
      </c>
      <c r="AB9" s="150">
        <f>SUMIF(Tabella25[[#Headers],[#Data],[Age]],'CF Timeline'!AB4,Tabella25[[#Headers],[#Data],[Salary and pension]])</f>
        <v>229129.36662704084</v>
      </c>
      <c r="AC9" s="150">
        <f>SUMIF(Tabella25[[#Headers],[#Data],[Age]],'CF Timeline'!AC4,Tabella25[[#Headers],[#Data],[Salary and pension]])</f>
        <v>236293.92288188101</v>
      </c>
      <c r="AD9" s="150">
        <f>SUMIF(Tabella25[[#Headers],[#Data],[Age]],'CF Timeline'!AD4,Tabella25[[#Headers],[#Data],[Salary and pension]])</f>
        <v>243655.11856787093</v>
      </c>
      <c r="AE9" s="150">
        <f>SUMIF(Tabella25[[#Headers],[#Data],[Age]],'CF Timeline'!AE4,Tabella25[[#Headers],[#Data],[Salary and pension]])</f>
        <v>251218.74491945893</v>
      </c>
      <c r="AF9" s="150">
        <f>SUMIF(Tabella25[[#Headers],[#Data],[Age]],'CF Timeline'!AF4,Tabella25[[#Headers],[#Data],[Salary and pension]])</f>
        <v>258990.7667592236</v>
      </c>
      <c r="AG9" s="150">
        <f>SUMIF(Tabella25[[#Headers],[#Data],[Age]],'CF Timeline'!AG4,Tabella25[[#Headers],[#Data],[Salary and pension]])</f>
        <v>266977.32772276056</v>
      </c>
      <c r="AH9" s="150">
        <f>SUMIF(Tabella25[[#Headers],[#Data],[Age]],'CF Timeline'!AH4,Tabella25[[#Headers],[#Data],[Salary and pension]])</f>
        <v>275184.75564098835</v>
      </c>
      <c r="AI9" s="150">
        <f>SUMIF(Tabella25[[#Headers],[#Data],[Age]],'CF Timeline'!AI4,Tabella25[[#Headers],[#Data],[Salary and pension]])</f>
        <v>283619.56808461575</v>
      </c>
      <c r="AJ9" s="150">
        <f>SUMIF(Tabella25[[#Headers],[#Data],[Age]],'CF Timeline'!AJ4,Tabella25[[#Headers],[#Data],[Salary and pension]])</f>
        <v>292288.47807565867</v>
      </c>
      <c r="AK9" s="150">
        <f>SUMIF(Tabella25[[#Headers],[#Data],[Age]],'CF Timeline'!AK4,Tabella25[[#Headers],[#Data],[Salary and pension]])</f>
        <v>301198.39997104026</v>
      </c>
      <c r="AL9" s="150">
        <f>SUMIF(Tabella25[[#Headers],[#Data],[Age]],'CF Timeline'!AL4,Tabella25[[#Headers],[#Data],[Salary and pension]])</f>
        <v>310356.45552345959</v>
      </c>
      <c r="AM9" s="150">
        <f>SUMIF(Tabella25[[#Headers],[#Data],[Age]],'CF Timeline'!AM4,Tabella25[[#Headers],[#Data],[Salary and pension]])</f>
        <v>319769.98012487195</v>
      </c>
      <c r="AN9" s="150">
        <f>SUMIF(Tabella25[[#Headers],[#Data],[Age]],'CF Timeline'!AN4,Tabella25[[#Headers],[#Data],[Salary and pension]])</f>
        <v>329446.52923808293</v>
      </c>
      <c r="AO9" s="150">
        <f>SUMIF(Tabella25[[#Headers],[#Data],[Age]],'CF Timeline'!AO4,Tabella25[[#Headers],[#Data],[Salary and pension]])</f>
        <v>107583.77781328086</v>
      </c>
      <c r="AP9" s="150">
        <f>SUMIF(Tabella25[[#Headers],[#Data],[Age]],'CF Timeline'!AP4,Tabella25[[#Headers],[#Data],[Salary and pension]])</f>
        <v>107583.77781328086</v>
      </c>
      <c r="AQ9" s="150">
        <f>SUMIF(Tabella25[[#Headers],[#Data],[Age]],'CF Timeline'!AQ4,Tabella25[[#Headers],[#Data],[Salary and pension]])</f>
        <v>107583.77781328086</v>
      </c>
      <c r="AR9" s="150">
        <f>SUMIF(Tabella25[[#Headers],[#Data],[Age]],'CF Timeline'!AR4,Tabella25[[#Headers],[#Data],[Salary and pension]])</f>
        <v>107583.77781328086</v>
      </c>
      <c r="AS9" s="150">
        <f>SUMIF(Tabella25[[#Headers],[#Data],[Age]],'CF Timeline'!AS4,Tabella25[[#Headers],[#Data],[Salary and pension]])</f>
        <v>107583.77781328086</v>
      </c>
      <c r="AT9" s="150">
        <f>SUMIF(Tabella25[[#Headers],[#Data],[Age]],'CF Timeline'!AT4,Tabella25[[#Headers],[#Data],[Salary and pension]])</f>
        <v>107583.77781328086</v>
      </c>
      <c r="AU9" s="150">
        <f>SUMIF(Tabella25[[#Headers],[#Data],[Age]],'CF Timeline'!AU4,Tabella25[[#Headers],[#Data],[Salary and pension]])</f>
        <v>107583.77781328086</v>
      </c>
      <c r="AV9" s="150">
        <f>SUMIF(Tabella25[[#Headers],[#Data],[Age]],'CF Timeline'!AV4,Tabella25[[#Headers],[#Data],[Salary and pension]])</f>
        <v>107583.77781328086</v>
      </c>
      <c r="AW9" s="150">
        <f>SUMIF(Tabella25[[#Headers],[#Data],[Age]],'CF Timeline'!AW4,Tabella25[[#Headers],[#Data],[Salary and pension]])</f>
        <v>107583.77781328086</v>
      </c>
      <c r="AX9" s="150">
        <f>SUMIF(Tabella25[[#Headers],[#Data],[Age]],'CF Timeline'!AX4,Tabella25[[#Headers],[#Data],[Salary and pension]])</f>
        <v>107583.77781328086</v>
      </c>
      <c r="AY9" s="150">
        <f>SUMIF(Tabella25[[#Headers],[#Data],[Age]],'CF Timeline'!AY4,Tabella25[[#Headers],[#Data],[Salary and pension]])</f>
        <v>107583.77781328086</v>
      </c>
      <c r="AZ9" s="150">
        <f>SUMIF(Tabella25[[#Headers],[#Data],[Age]],'CF Timeline'!AZ4,Tabella25[[#Headers],[#Data],[Salary and pension]])</f>
        <v>107583.77781328086</v>
      </c>
      <c r="BA9" s="150">
        <f>SUMIF(Tabella25[[#Headers],[#Data],[Age]],'CF Timeline'!BA4,Tabella25[[#Headers],[#Data],[Salary and pension]])</f>
        <v>107583.77781328086</v>
      </c>
      <c r="BB9" s="150">
        <f>SUMIF(Tabella25[[#Headers],[#Data],[Age]],'CF Timeline'!BB4,Tabella25[[#Headers],[#Data],[Salary and pension]])</f>
        <v>107583.77781328086</v>
      </c>
      <c r="BC9" s="150">
        <f>SUMIF(Tabella25[[#Headers],[#Data],[Age]],'CF Timeline'!BC4,Tabella25[[#Headers],[#Data],[Salary and pension]])</f>
        <v>107583.77781328086</v>
      </c>
    </row>
    <row r="10" spans="2:55">
      <c r="B10" s="172" t="s">
        <v>49</v>
      </c>
      <c r="C10" s="150">
        <f>SUMIF(Tabella25[[#Headers],[#Data],[Age]],'CF Timeline'!C4,Tabella25[[#Headers],[#Data],[Pension deductions]])</f>
        <v>10473.9</v>
      </c>
      <c r="D10" s="150">
        <f>SUMIF(Tabella25[[#Headers],[#Data],[Age]],'CF Timeline'!D4,Tabella25[[#Headers],[#Data],[Pension deductions]])</f>
        <v>10897.266743016304</v>
      </c>
      <c r="E10" s="150">
        <f>SUMIF(Tabella25[[#Headers],[#Data],[Age]],'CF Timeline'!E4,Tabella25[[#Headers],[#Data],[Pension deductions]])</f>
        <v>11331.546305936718</v>
      </c>
      <c r="F10" s="150">
        <f>SUMIF(Tabella25[[#Headers],[#Data],[Age]],'CF Timeline'!F4,Tabella25[[#Headers],[#Data],[Pension deductions]])</f>
        <v>11777.054648576051</v>
      </c>
      <c r="G10" s="150">
        <f>SUMIF(Tabella25[[#Headers],[#Data],[Age]],'CF Timeline'!G4,Tabella25[[#Headers],[#Data],[Pension deductions]])</f>
        <v>12234.11716249508</v>
      </c>
      <c r="H10" s="150">
        <f>SUMIF(Tabella25[[#Headers],[#Data],[Age]],'CF Timeline'!H4,Tabella25[[#Headers],[#Data],[Pension deductions]])</f>
        <v>12703.068954615821</v>
      </c>
      <c r="I10" s="150">
        <f>SUMIF(Tabella25[[#Headers],[#Data],[Age]],'CF Timeline'!I4,Tabella25[[#Headers],[#Data],[Pension deductions]])</f>
        <v>13184.255139379879</v>
      </c>
      <c r="J10" s="150">
        <f>SUMIF(Tabella25[[#Headers],[#Data],[Age]],'CF Timeline'!J4,Tabella25[[#Headers],[#Data],[Pension deductions]])</f>
        <v>15202.72734230023</v>
      </c>
      <c r="K10" s="150">
        <f>SUMIF(Tabella25[[#Headers],[#Data],[Age]],'CF Timeline'!K4,Tabella25[[#Headers],[#Data],[Pension deductions]])</f>
        <v>15776.13444399674</v>
      </c>
      <c r="L10" s="150">
        <f>SUMIF(Tabella25[[#Headers],[#Data],[Age]],'CF Timeline'!L4,Tabella25[[#Headers],[#Data],[Pension deductions]])</f>
        <v>16364.628702530137</v>
      </c>
      <c r="M10" s="150">
        <f>SUMIF(Tabella25[[#Headers],[#Data],[Age]],'CF Timeline'!M4,Tabella25[[#Headers],[#Data],[Pension deductions]])</f>
        <v>16968.649449056473</v>
      </c>
      <c r="N10" s="150">
        <f>SUMIF(Tabella25[[#Headers],[#Data],[Age]],'CF Timeline'!N4,Tabella25[[#Headers],[#Data],[Pension deductions]])</f>
        <v>17588.649147546112</v>
      </c>
      <c r="O10" s="150">
        <f>SUMIF(Tabella25[[#Headers],[#Data],[Age]],'CF Timeline'!O4,Tabella25[[#Headers],[#Data],[Pension deductions]])</f>
        <v>18225.093789820574</v>
      </c>
      <c r="P10" s="150">
        <f>SUMIF(Tabella25[[#Headers],[#Data],[Age]],'CF Timeline'!P4,Tabella25[[#Headers],[#Data],[Pension deductions]])</f>
        <v>18878.46330248949</v>
      </c>
      <c r="Q10" s="150">
        <f>SUMIF(Tabella25[[#Headers],[#Data],[Age]],'CF Timeline'!Q4,Tabella25[[#Headers],[#Data],[Pension deductions]])</f>
        <v>19549.251966146272</v>
      </c>
      <c r="R10" s="150">
        <f>SUMIF(Tabella25[[#Headers],[#Data],[Age]],'CF Timeline'!R4,Tabella25[[#Headers],[#Data],[Pension deductions]])</f>
        <v>20237.968847191925</v>
      </c>
      <c r="S10" s="150">
        <f>SUMIF(Tabella25[[#Headers],[#Data],[Age]],'CF Timeline'!S4,Tabella25[[#Headers],[#Data],[Pension deductions]])</f>
        <v>20945.138242667606</v>
      </c>
      <c r="T10" s="150">
        <f>SUMIF(Tabella25[[#Headers],[#Data],[Age]],'CF Timeline'!T4,Tabella25[[#Headers],[#Data],[Pension deductions]])</f>
        <v>25466.059855248979</v>
      </c>
      <c r="U10" s="150">
        <f>SUMIF(Tabella25[[#Headers],[#Data],[Age]],'CF Timeline'!U4,Tabella25[[#Headers],[#Data],[Pension deductions]])</f>
        <v>26356.287945330288</v>
      </c>
      <c r="V10" s="150">
        <f>SUMIF(Tabella25[[#Headers],[#Data],[Age]],'CF Timeline'!V4,Tabella25[[#Headers],[#Data],[Pension deductions]])</f>
        <v>27270.536980678095</v>
      </c>
      <c r="W10" s="150">
        <f>SUMIF(Tabella25[[#Headers],[#Data],[Age]],'CF Timeline'!W4,Tabella25[[#Headers],[#Data],[Pension deductions]])</f>
        <v>28209.511233222529</v>
      </c>
      <c r="X10" s="150">
        <f>SUMIF(Tabella25[[#Headers],[#Data],[Age]],'CF Timeline'!X4,Tabella25[[#Headers],[#Data],[Pension deductions]])</f>
        <v>29173.936062238266</v>
      </c>
      <c r="Y10" s="150">
        <f>SUMIF(Tabella25[[#Headers],[#Data],[Age]],'CF Timeline'!Y4,Tabella25[[#Headers],[#Data],[Pension deductions]])</f>
        <v>30164.558548899728</v>
      </c>
      <c r="Z10" s="150">
        <f>SUMIF(Tabella25[[#Headers],[#Data],[Age]],'CF Timeline'!Z4,Tabella25[[#Headers],[#Data],[Pension deductions]])</f>
        <v>31182.148149953457</v>
      </c>
      <c r="AA10" s="150">
        <f>SUMIF(Tabella25[[#Headers],[#Data],[Age]],'CF Timeline'!AA4,Tabella25[[#Headers],[#Data],[Pension deductions]])</f>
        <v>32227.49737108362</v>
      </c>
      <c r="AB10" s="150">
        <f>SUMIF(Tabella25[[#Headers],[#Data],[Age]],'CF Timeline'!AB4,Tabella25[[#Headers],[#Data],[Pension deductions]])</f>
        <v>33301.422460564288</v>
      </c>
      <c r="AC10" s="150">
        <f>SUMIF(Tabella25[[#Headers],[#Data],[Age]],'CF Timeline'!AC4,Tabella25[[#Headers],[#Data],[Pension deductions]])</f>
        <v>34404.764123809677</v>
      </c>
      <c r="AD10" s="150">
        <f>SUMIF(Tabella25[[#Headers],[#Data],[Age]],'CF Timeline'!AD4,Tabella25[[#Headers],[#Data],[Pension deductions]])</f>
        <v>38796.315037970184</v>
      </c>
      <c r="AE10" s="150">
        <f>SUMIF(Tabella25[[#Headers],[#Data],[Age]],'CF Timeline'!AE4,Tabella25[[#Headers],[#Data],[Pension deductions]])</f>
        <v>40074.567891388557</v>
      </c>
      <c r="AF10" s="150">
        <f>SUMIF(Tabella25[[#Headers],[#Data],[Age]],'CF Timeline'!AF4,Tabella25[[#Headers],[#Data],[Pension deductions]])</f>
        <v>41388.039582308789</v>
      </c>
      <c r="AG10" s="150">
        <f>SUMIF(Tabella25[[#Headers],[#Data],[Age]],'CF Timeline'!AG4,Tabella25[[#Headers],[#Data],[Pension deductions]])</f>
        <v>42737.768385146526</v>
      </c>
      <c r="AH10" s="150">
        <f>SUMIF(Tabella25[[#Headers],[#Data],[Age]],'CF Timeline'!AH4,Tabella25[[#Headers],[#Data],[Pension deductions]])</f>
        <v>44124.823703327027</v>
      </c>
      <c r="AI10" s="150">
        <f>SUMIF(Tabella25[[#Headers],[#Data],[Age]],'CF Timeline'!AI4,Tabella25[[#Headers],[#Data],[Pension deductions]])</f>
        <v>45550.307006300063</v>
      </c>
      <c r="AJ10" s="150">
        <f>SUMIF(Tabella25[[#Headers],[#Data],[Age]],'CF Timeline'!AJ4,Tabella25[[#Headers],[#Data],[Pension deductions]])</f>
        <v>47015.352794786311</v>
      </c>
      <c r="AK10" s="150">
        <f>SUMIF(Tabella25[[#Headers],[#Data],[Age]],'CF Timeline'!AK4,Tabella25[[#Headers],[#Data],[Pension deductions]])</f>
        <v>48521.129595105798</v>
      </c>
      <c r="AL10" s="150">
        <f>SUMIF(Tabella25[[#Headers],[#Data],[Age]],'CF Timeline'!AL4,Tabella25[[#Headers],[#Data],[Pension deductions]])</f>
        <v>50068.840983464666</v>
      </c>
      <c r="AM10" s="150">
        <f>SUMIF(Tabella25[[#Headers],[#Data],[Age]],'CF Timeline'!AM4,Tabella25[[#Headers],[#Data],[Pension deductions]])</f>
        <v>51659.726641103356</v>
      </c>
      <c r="AN10" s="150">
        <f>SUMIF(Tabella25[[#Headers],[#Data],[Age]],'CF Timeline'!AN4,Tabella25[[#Headers],[#Data],[Pension deductions]])</f>
        <v>53295.063441236009</v>
      </c>
      <c r="AO10" s="150">
        <f>SUMIF(Tabella25[[#Headers],[#Data],[Age]],'CF Timeline'!AO4,Tabella25[[#Headers],[#Data],[Pension deductions]])</f>
        <v>0</v>
      </c>
      <c r="AP10" s="150">
        <f>SUMIF(Tabella25[[#Headers],[#Data],[Age]],'CF Timeline'!AP4,Tabella25[[#Headers],[#Data],[Pension deductions]])</f>
        <v>0</v>
      </c>
      <c r="AQ10" s="150">
        <f>SUMIF(Tabella25[[#Headers],[#Data],[Age]],'CF Timeline'!AQ4,Tabella25[[#Headers],[#Data],[Pension deductions]])</f>
        <v>0</v>
      </c>
      <c r="AR10" s="150">
        <f>SUMIF(Tabella25[[#Headers],[#Data],[Age]],'CF Timeline'!AR4,Tabella25[[#Headers],[#Data],[Pension deductions]])</f>
        <v>0</v>
      </c>
      <c r="AS10" s="150">
        <f>SUMIF(Tabella25[[#Headers],[#Data],[Age]],'CF Timeline'!AS4,Tabella25[[#Headers],[#Data],[Pension deductions]])</f>
        <v>0</v>
      </c>
      <c r="AT10" s="150">
        <f>SUMIF(Tabella25[[#Headers],[#Data],[Age]],'CF Timeline'!AT4,Tabella25[[#Headers],[#Data],[Pension deductions]])</f>
        <v>0</v>
      </c>
      <c r="AU10" s="150">
        <f>SUMIF(Tabella25[[#Headers],[#Data],[Age]],'CF Timeline'!AU4,Tabella25[[#Headers],[#Data],[Pension deductions]])</f>
        <v>0</v>
      </c>
      <c r="AV10" s="150">
        <f>SUMIF(Tabella25[[#Headers],[#Data],[Age]],'CF Timeline'!AV4,Tabella25[[#Headers],[#Data],[Pension deductions]])</f>
        <v>0</v>
      </c>
      <c r="AW10" s="150">
        <f>SUMIF(Tabella25[[#Headers],[#Data],[Age]],'CF Timeline'!AW4,Tabella25[[#Headers],[#Data],[Pension deductions]])</f>
        <v>0</v>
      </c>
      <c r="AX10" s="150">
        <f>SUMIF(Tabella25[[#Headers],[#Data],[Age]],'CF Timeline'!AX4,Tabella25[[#Headers],[#Data],[Pension deductions]])</f>
        <v>0</v>
      </c>
      <c r="AY10" s="150">
        <f>SUMIF(Tabella25[[#Headers],[#Data],[Age]],'CF Timeline'!AY4,Tabella25[[#Headers],[#Data],[Pension deductions]])</f>
        <v>0</v>
      </c>
      <c r="AZ10" s="150">
        <f>SUMIF(Tabella25[[#Headers],[#Data],[Age]],'CF Timeline'!AZ4,Tabella25[[#Headers],[#Data],[Pension deductions]])</f>
        <v>0</v>
      </c>
      <c r="BA10" s="150">
        <f>SUMIF(Tabella25[[#Headers],[#Data],[Age]],'CF Timeline'!BA4,Tabella25[[#Headers],[#Data],[Pension deductions]])</f>
        <v>0</v>
      </c>
      <c r="BB10" s="150">
        <f>SUMIF(Tabella25[[#Headers],[#Data],[Age]],'CF Timeline'!BB4,Tabella25[[#Headers],[#Data],[Pension deductions]])</f>
        <v>0</v>
      </c>
      <c r="BC10" s="150">
        <f>SUMIF(Tabella25[[#Headers],[#Data],[Age]],'CF Timeline'!BC4,Tabella25[[#Headers],[#Data],[Pension deductions]])</f>
        <v>0</v>
      </c>
    </row>
    <row r="11" spans="2:55">
      <c r="B11" s="205" t="s">
        <v>4864</v>
      </c>
      <c r="C11" s="150">
        <f ca="1">IF('General overview'!$C$8="Yes",SUMIF(Tabella25[[#Headers],[#Data],[Age]],'CF Timeline'!C4,Tabella6[[#All],[Partmer Salary and Pension]]),0)</f>
        <v>70000</v>
      </c>
      <c r="D11" s="150">
        <f ca="1">IF('General overview'!$C$8="Yes",SUMIF(Tabella25[[#Headers],[#Data],[Age]],'CF Timeline'!D4,Tabella6[[#All],[Partmer Salary and Pension]]),0)</f>
        <v>72111.59862702692</v>
      </c>
      <c r="E11" s="150">
        <f ca="1">IF('General overview'!$C$8="Yes",SUMIF(Tabella25[[#Headers],[#Data],[Age]],'CF Timeline'!E4,Tabella6[[#All],[Partmer Salary and Pension]]),0)</f>
        <v>74269.279107235896</v>
      </c>
      <c r="F11" s="150">
        <f ca="1">IF('General overview'!$C$8="Yes",SUMIF(Tabella25[[#Headers],[#Data],[Age]],'CF Timeline'!F4,Tabella6[[#All],[Partmer Salary and Pension]]),0)</f>
        <v>76474.165832508297</v>
      </c>
      <c r="G11" s="150">
        <f ca="1">IF('General overview'!$C$8="Yes",SUMIF(Tabella25[[#Headers],[#Data],[Age]],'CF Timeline'!G4,Tabella6[[#All],[Partmer Salary and Pension]]),0)</f>
        <v>78727.411314378551</v>
      </c>
      <c r="H11" s="150">
        <f ca="1">IF('General overview'!$C$8="Yes",SUMIF(Tabella25[[#Headers],[#Data],[Age]],'CF Timeline'!H4,Tabella6[[#All],[Partmer Salary and Pension]]),0)</f>
        <v>81030.196890802297</v>
      </c>
      <c r="I11" s="150">
        <f ca="1">IF('General overview'!$C$8="Yes",SUMIF(Tabella25[[#Headers],[#Data],[Age]],'CF Timeline'!I4,Tabella6[[#All],[Partmer Salary and Pension]]),0)</f>
        <v>83383.733450706786</v>
      </c>
      <c r="J11" s="150">
        <f ca="1">IF('General overview'!$C$8="Yes",SUMIF(Tabella25[[#Headers],[#Data],[Age]],'CF Timeline'!J4,Tabella6[[#All],[Partmer Salary and Pension]]),0)</f>
        <v>85789.262176770368</v>
      </c>
      <c r="K11" s="150">
        <f ca="1">IF('General overview'!$C$8="Yes",SUMIF(Tabella25[[#Headers],[#Data],[Age]],'CF Timeline'!K4,Tabella6[[#All],[Partmer Salary and Pension]]),0)</f>
        <v>88248.055306890485</v>
      </c>
      <c r="L11" s="150">
        <f ca="1">IF('General overview'!$C$8="Yes",SUMIF(Tabella25[[#Headers],[#Data],[Age]],'CF Timeline'!L4,Tabella6[[#All],[Partmer Salary and Pension]]),0)</f>
        <v>90761.416914809495</v>
      </c>
      <c r="M11" s="150">
        <f ca="1">IF('General overview'!$C$8="Yes",SUMIF(Tabella25[[#Headers],[#Data],[Age]],'CF Timeline'!M4,Tabella6[[#All],[Partmer Salary and Pension]]),0)</f>
        <v>93330.683710381563</v>
      </c>
      <c r="N11" s="150">
        <f ca="1">IF('General overview'!$C$8="Yes",SUMIF(Tabella25[[#Headers],[#Data],[Age]],'CF Timeline'!N4,Tabella6[[#All],[Partmer Salary and Pension]]),0)</f>
        <v>95957.225859973812</v>
      </c>
      <c r="O11" s="150">
        <f ca="1">IF('General overview'!$C$8="Yes",SUMIF(Tabella25[[#Headers],[#Data],[Age]],'CF Timeline'!O4,Tabella6[[#All],[Partmer Salary and Pension]]),0)</f>
        <v>98642.447827509372</v>
      </c>
      <c r="P11" s="150">
        <f ca="1">IF('General overview'!$C$8="Yes",SUMIF(Tabella25[[#Headers],[#Data],[Age]],'CF Timeline'!P4,Tabella6[[#All],[Partmer Salary and Pension]]),0)</f>
        <v>101387.7892366708</v>
      </c>
      <c r="Q11" s="150">
        <f ca="1">IF('General overview'!$C$8="Yes",SUMIF(Tabella25[[#Headers],[#Data],[Age]],'CF Timeline'!Q4,Tabella6[[#All],[Partmer Salary and Pension]]),0)</f>
        <v>104194.7257547972</v>
      </c>
      <c r="R11" s="150">
        <f ca="1">IF('General overview'!$C$8="Yes",SUMIF(Tabella25[[#Headers],[#Data],[Age]],'CF Timeline'!R4,Tabella6[[#All],[Partmer Salary and Pension]]),0)</f>
        <v>107064.76999902053</v>
      </c>
      <c r="S11" s="150">
        <f ca="1">IF('General overview'!$C$8="Yes",SUMIF(Tabella25[[#Headers],[#Data],[Age]],'CF Timeline'!S4,Tabella6[[#All],[Partmer Salary and Pension]]),0)</f>
        <v>109999.47246520076</v>
      </c>
      <c r="T11" s="150">
        <f ca="1">IF('General overview'!$C$8="Yes",SUMIF(Tabella25[[#Headers],[#Data],[Age]],'CF Timeline'!T4,Tabella6[[#All],[Partmer Salary and Pension]]),0)</f>
        <v>113000.42248023374</v>
      </c>
      <c r="U11" s="150">
        <f ca="1">IF('General overview'!$C$8="Yes",SUMIF(Tabella25[[#Headers],[#Data],[Age]],'CF Timeline'!U4,Tabella6[[#All],[Partmer Salary and Pension]]),0)</f>
        <v>116069.24917831988</v>
      </c>
      <c r="V11" s="150">
        <f ca="1">IF('General overview'!$C$8="Yes",SUMIF(Tabella25[[#Headers],[#Data],[Age]],'CF Timeline'!V4,Tabella6[[#All],[Partmer Salary and Pension]]),0)</f>
        <v>119207.6225017964</v>
      </c>
      <c r="W11" s="150">
        <f ca="1">IF('General overview'!$C$8="Yes",SUMIF(Tabella25[[#Headers],[#Data],[Age]],'CF Timeline'!W4,Tabella6[[#All],[Partmer Salary and Pension]]),0)</f>
        <v>122417.25422715192</v>
      </c>
      <c r="X11" s="150">
        <f ca="1">IF('General overview'!$C$8="Yes",SUMIF(Tabella25[[#Headers],[#Data],[Age]],'CF Timeline'!X4,Tabella6[[#All],[Partmer Salary and Pension]]),0)</f>
        <v>125699.89901685619</v>
      </c>
      <c r="Y11" s="150">
        <f ca="1">IF('General overview'!$C$8="Yes",SUMIF(Tabella25[[#Headers],[#Data],[Age]],'CF Timeline'!Y4,Tabella6[[#All],[Partmer Salary and Pension]]),0)</f>
        <v>129057.35549765534</v>
      </c>
      <c r="Z11" s="150">
        <f ca="1">IF('General overview'!$C$8="Yes",SUMIF(Tabella25[[#Headers],[#Data],[Age]],'CF Timeline'!Z4,Tabella6[[#All],[Partmer Salary and Pension]]),0)</f>
        <v>132491.46736599837</v>
      </c>
      <c r="AA11" s="150">
        <f ca="1">IF('General overview'!$C$8="Yes",SUMIF(Tabella25[[#Headers],[#Data],[Age]],'CF Timeline'!AA4,Tabella6[[#All],[Partmer Salary and Pension]]),0)</f>
        <v>136004.1245212775</v>
      </c>
      <c r="AB11" s="150">
        <f ca="1">IF('General overview'!$C$8="Yes",SUMIF(Tabella25[[#Headers],[#Data],[Age]],'CF Timeline'!AB4,Tabella6[[#All],[Partmer Salary and Pension]]),0)</f>
        <v>139597.26422758267</v>
      </c>
      <c r="AC11" s="150">
        <f ca="1">IF('General overview'!$C$8="Yes",SUMIF(Tabella25[[#Headers],[#Data],[Age]],'CF Timeline'!AC4,Tabella6[[#All],[Partmer Salary and Pension]]),0)</f>
        <v>143272.87230468719</v>
      </c>
      <c r="AD11" s="150">
        <f ca="1">IF('General overview'!$C$8="Yes",SUMIF(Tabella25[[#Headers],[#Data],[Age]],'CF Timeline'!AD4,Tabella6[[#All],[Partmer Salary and Pension]]),0)</f>
        <v>147032.98434900091</v>
      </c>
      <c r="AE11" s="150">
        <f ca="1">IF('General overview'!$C$8="Yes",SUMIF(Tabella25[[#Headers],[#Data],[Age]],'CF Timeline'!AE4,Tabella6[[#All],[Partmer Salary and Pension]]),0)</f>
        <v>150879.68698524425</v>
      </c>
      <c r="AF11" s="150">
        <f ca="1">IF('General overview'!$C$8="Yes",SUMIF(Tabella25[[#Headers],[#Data],[Age]],'CF Timeline'!AF4,Tabella6[[#All],[Partmer Salary and Pension]]),0)</f>
        <v>154815.11914961654</v>
      </c>
      <c r="AG11" s="150">
        <f ca="1">IF('General overview'!$C$8="Yes",SUMIF(Tabella25[[#Headers],[#Data],[Age]],'CF Timeline'!AG4,Tabella6[[#All],[Partmer Salary and Pension]]),0)</f>
        <v>158841.47340525154</v>
      </c>
      <c r="AH11" s="150">
        <f ca="1">IF('General overview'!$C$8="Yes",SUMIF(Tabella25[[#Headers],[#Data],[Age]],'CF Timeline'!AH4,Tabella6[[#All],[Partmer Salary and Pension]]),0)</f>
        <v>162960.99729077195</v>
      </c>
      <c r="AI11" s="150">
        <f ca="1">IF('General overview'!$C$8="Yes",SUMIF(Tabella25[[#Headers],[#Data],[Age]],'CF Timeline'!AI4,Tabella6[[#All],[Partmer Salary and Pension]]),0)</f>
        <v>167175.99470277637</v>
      </c>
      <c r="AJ11" s="150">
        <f ca="1">IF('General overview'!$C$8="Yes",SUMIF(Tabella25[[#Headers],[#Data],[Age]],'CF Timeline'!AJ4,Tabella6[[#All],[Partmer Salary and Pension]]),0)</f>
        <v>171488.8273131125</v>
      </c>
      <c r="AK11" s="150">
        <f ca="1">IF('General overview'!$C$8="Yes",SUMIF(Tabella25[[#Headers],[#Data],[Age]],'CF Timeline'!AK4,Tabella6[[#All],[Partmer Salary and Pension]]),0)</f>
        <v>175901.91602181183</v>
      </c>
      <c r="AL11" s="150">
        <f ca="1">IF('General overview'!$C$8="Yes",SUMIF(Tabella25[[#Headers],[#Data],[Age]],'CF Timeline'!AL4,Tabella6[[#All],[Partmer Salary and Pension]]),0)</f>
        <v>180417.74244658329</v>
      </c>
      <c r="AM11" s="150">
        <f ca="1">IF('General overview'!$C$8="Yes",SUMIF(Tabella25[[#Headers],[#Data],[Age]],'CF Timeline'!AM4,Tabella6[[#All],[Partmer Salary and Pension]]),0)</f>
        <v>185038.85044978623</v>
      </c>
      <c r="AN11" s="150">
        <f ca="1">IF('General overview'!$C$8="Yes",SUMIF(Tabella25[[#Headers],[#Data],[Age]],'CF Timeline'!AN4,Tabella6[[#All],[Partmer Salary and Pension]]),0)</f>
        <v>189767.84770382522</v>
      </c>
      <c r="AO11" s="150">
        <f ca="1">IF('General overview'!$C$8="Yes",SUMIF(Tabella25[[#Headers],[#Data],[Age]],'CF Timeline'!AO4,Tabella6[[#All],[Partmer Salary and Pension]]),0)</f>
        <v>194607.40729593398</v>
      </c>
      <c r="AP11" s="150">
        <f ca="1">IF('General overview'!$C$8="Yes",SUMIF(Tabella25[[#Headers],[#Data],[Age]],'CF Timeline'!AP4,Tabella6[[#All],[Partmer Salary and Pension]]),0)</f>
        <v>73212.866902780079</v>
      </c>
      <c r="AQ11" s="150">
        <f ca="1">IF('General overview'!$C$8="Yes",SUMIF(Tabella25[[#Headers],[#Data],[Age]],'CF Timeline'!AQ4,Tabella6[[#All],[Partmer Salary and Pension]]),0)</f>
        <v>73212.866902780079</v>
      </c>
      <c r="AR11" s="150">
        <f ca="1">IF('General overview'!$C$8="Yes",SUMIF(Tabella25[[#Headers],[#Data],[Age]],'CF Timeline'!AR4,Tabella6[[#All],[Partmer Salary and Pension]]),0)</f>
        <v>73212.866902780079</v>
      </c>
      <c r="AS11" s="150">
        <f ca="1">IF('General overview'!$C$8="Yes",SUMIF(Tabella25[[#Headers],[#Data],[Age]],'CF Timeline'!AS4,Tabella6[[#All],[Partmer Salary and Pension]]),0)</f>
        <v>73212.866902780079</v>
      </c>
      <c r="AT11" s="150">
        <f ca="1">IF('General overview'!$C$8="Yes",SUMIF(Tabella25[[#Headers],[#Data],[Age]],'CF Timeline'!AT4,Tabella6[[#All],[Partmer Salary and Pension]]),0)</f>
        <v>73212.866902780079</v>
      </c>
      <c r="AU11" s="150">
        <f ca="1">IF('General overview'!$C$8="Yes",SUMIF(Tabella25[[#Headers],[#Data],[Age]],'CF Timeline'!AU4,Tabella6[[#All],[Partmer Salary and Pension]]),0)</f>
        <v>73212.866902780079</v>
      </c>
      <c r="AV11" s="150">
        <f ca="1">IF('General overview'!$C$8="Yes",SUMIF(Tabella25[[#Headers],[#Data],[Age]],'CF Timeline'!AV4,Tabella6[[#All],[Partmer Salary and Pension]]),0)</f>
        <v>73212.866902780079</v>
      </c>
      <c r="AW11" s="150">
        <f ca="1">IF('General overview'!$C$8="Yes",SUMIF(Tabella25[[#Headers],[#Data],[Age]],'CF Timeline'!AW4,Tabella6[[#All],[Partmer Salary and Pension]]),0)</f>
        <v>73212.866902780079</v>
      </c>
      <c r="AX11" s="150">
        <f ca="1">IF('General overview'!$C$8="Yes",SUMIF(Tabella25[[#Headers],[#Data],[Age]],'CF Timeline'!AX4,Tabella6[[#All],[Partmer Salary and Pension]]),0)</f>
        <v>73212.866902780079</v>
      </c>
      <c r="AY11" s="150">
        <f ca="1">IF('General overview'!$C$8="Yes",SUMIF(Tabella25[[#Headers],[#Data],[Age]],'CF Timeline'!AY4,Tabella6[[#All],[Partmer Salary and Pension]]),0)</f>
        <v>73212.866902780079</v>
      </c>
      <c r="AZ11" s="150">
        <f ca="1">IF('General overview'!$C$8="Yes",SUMIF(Tabella25[[#Headers],[#Data],[Age]],'CF Timeline'!AZ4,Tabella6[[#All],[Partmer Salary and Pension]]),0)</f>
        <v>73212.866902780079</v>
      </c>
      <c r="BA11" s="150">
        <f ca="1">IF('General overview'!$C$8="Yes",SUMIF(Tabella25[[#Headers],[#Data],[Age]],'CF Timeline'!BA4,Tabella6[[#All],[Partmer Salary and Pension]]),0)</f>
        <v>73212.866902780079</v>
      </c>
      <c r="BB11" s="150">
        <f ca="1">IF('General overview'!$C$8="Yes",SUMIF(Tabella25[[#Headers],[#Data],[Age]],'CF Timeline'!BB4,Tabella6[[#All],[Partmer Salary and Pension]]),0)</f>
        <v>73212.866902780079</v>
      </c>
      <c r="BC11" s="150">
        <f ca="1">IF('General overview'!$C$8="Yes",SUMIF(Tabella25[[#Headers],[#Data],[Age]],'CF Timeline'!BC4,Tabella6[[#All],[Partmer Salary and Pension]]),0)</f>
        <v>73212.866902780079</v>
      </c>
    </row>
    <row r="12" spans="2:55">
      <c r="B12" s="172" t="s">
        <v>4865</v>
      </c>
      <c r="C12" s="150">
        <f ca="1">IF('General overview'!$C$8="Yes",SUMIF(Tabella2579[[#Headers],[#Data],[Year]],'CF Timeline'!C5,Tabella2579[[#Headers],[#Data],[Pension deductions]]),0)</f>
        <v>5530</v>
      </c>
      <c r="D12" s="150">
        <f ca="1">IF('General overview'!$C$8="Yes",SUMIF(Tabella2579[[#Headers],[#Data],[Year]],'CF Timeline'!D5,Tabella2579[[#Headers],[#Data],[Pension deductions]]),0)</f>
        <v>5696.8162915351268</v>
      </c>
      <c r="E12" s="150">
        <f ca="1">IF('General overview'!$C$8="Yes",SUMIF(Tabella2579[[#Headers],[#Data],[Year]],'CF Timeline'!E5,Tabella2579[[#Headers],[#Data],[Pension deductions]]),0)</f>
        <v>5867.2730494716352</v>
      </c>
      <c r="F12" s="150">
        <f ca="1">IF('General overview'!$C$8="Yes",SUMIF(Tabella2579[[#Headers],[#Data],[Year]],'CF Timeline'!F5,Tabella2579[[#Headers],[#Data],[Pension deductions]]),0)</f>
        <v>7791.954904905946</v>
      </c>
      <c r="G12" s="150">
        <f ca="1">IF('General overview'!$C$8="Yes",SUMIF(Tabella2579[[#Headers],[#Data],[Year]],'CF Timeline'!G5,Tabella2579[[#Headers],[#Data],[Pension deductions]]),0)</f>
        <v>8048.8248898391548</v>
      </c>
      <c r="H12" s="150">
        <f ca="1">IF('General overview'!$C$8="Yes",SUMIF(Tabella2579[[#Headers],[#Data],[Year]],'CF Timeline'!H5,Tabella2579[[#Headers],[#Data],[Pension deductions]]),0)</f>
        <v>8311.3424455514614</v>
      </c>
      <c r="I12" s="150">
        <f ca="1">IF('General overview'!$C$8="Yes",SUMIF(Tabella2579[[#Headers],[#Data],[Year]],'CF Timeline'!I5,Tabella2579[[#Headers],[#Data],[Pension deductions]]),0)</f>
        <v>8579.6456133805732</v>
      </c>
      <c r="J12" s="150">
        <f ca="1">IF('General overview'!$C$8="Yes",SUMIF(Tabella2579[[#Headers],[#Data],[Year]],'CF Timeline'!J5,Tabella2579[[#Headers],[#Data],[Pension deductions]]),0)</f>
        <v>8853.8758881518224</v>
      </c>
      <c r="K12" s="150">
        <f ca="1">IF('General overview'!$C$8="Yes",SUMIF(Tabella2579[[#Headers],[#Data],[Year]],'CF Timeline'!K5,Tabella2579[[#Headers],[#Data],[Pension deductions]]),0)</f>
        <v>9134.1783049855148</v>
      </c>
      <c r="L12" s="150">
        <f ca="1">IF('General overview'!$C$8="Yes",SUMIF(Tabella2579[[#Headers],[#Data],[Year]],'CF Timeline'!L5,Tabella2579[[#Headers],[#Data],[Pension deductions]]),0)</f>
        <v>9420.7015282882821</v>
      </c>
      <c r="M12" s="150">
        <f ca="1">IF('General overview'!$C$8="Yes",SUMIF(Tabella2579[[#Headers],[#Data],[Year]],'CF Timeline'!M5,Tabella2579[[#Headers],[#Data],[Pension deductions]]),0)</f>
        <v>9713.5979429834988</v>
      </c>
      <c r="N12" s="150">
        <f ca="1">IF('General overview'!$C$8="Yes",SUMIF(Tabella2579[[#Headers],[#Data],[Year]],'CF Timeline'!N5,Tabella2579[[#Headers],[#Data],[Pension deductions]]),0)</f>
        <v>10013.023748037014</v>
      </c>
      <c r="O12" s="150">
        <f ca="1">IF('General overview'!$C$8="Yes",SUMIF(Tabella2579[[#Headers],[#Data],[Year]],'CF Timeline'!O5,Tabella2579[[#Headers],[#Data],[Pension deductions]]),0)</f>
        <v>10319.139052336068</v>
      </c>
      <c r="P12" s="150">
        <f ca="1">IF('General overview'!$C$8="Yes",SUMIF(Tabella2579[[#Headers],[#Data],[Year]],'CF Timeline'!P5,Tabella2579[[#Headers],[#Data],[Pension deductions]]),0)</f>
        <v>11756.024811530533</v>
      </c>
      <c r="Q12" s="150">
        <f ca="1">IF('General overview'!$C$8="Yes",SUMIF(Tabella2579[[#Headers],[#Data],[Year]],'CF Timeline'!Q5,Tabella2579[[#Headers],[#Data],[Pension deductions]]),0)</f>
        <v>12118.119622368838</v>
      </c>
      <c r="R12" s="150">
        <f ca="1">IF('General overview'!$C$8="Yes",SUMIF(Tabella2579[[#Headers],[#Data],[Year]],'CF Timeline'!R5,Tabella2579[[#Headers],[#Data],[Pension deductions]]),0)</f>
        <v>12488.355329873648</v>
      </c>
      <c r="S12" s="150">
        <f ca="1">IF('General overview'!$C$8="Yes",SUMIF(Tabella2579[[#Headers],[#Data],[Year]],'CF Timeline'!S5,Tabella2579[[#Headers],[#Data],[Pension deductions]]),0)</f>
        <v>12866.931948010897</v>
      </c>
      <c r="T12" s="150">
        <f ca="1">IF('General overview'!$C$8="Yes",SUMIF(Tabella2579[[#Headers],[#Data],[Year]],'CF Timeline'!T5,Tabella2579[[#Headers],[#Data],[Pension deductions]]),0)</f>
        <v>13254.054499950151</v>
      </c>
      <c r="U12" s="150">
        <f ca="1">IF('General overview'!$C$8="Yes",SUMIF(Tabella2579[[#Headers],[#Data],[Year]],'CF Timeline'!U5,Tabella2579[[#Headers],[#Data],[Pension deductions]]),0)</f>
        <v>13649.933144003264</v>
      </c>
      <c r="V12" s="150">
        <f ca="1">IF('General overview'!$C$8="Yes",SUMIF(Tabella2579[[#Headers],[#Data],[Year]],'CF Timeline'!V5,Tabella2579[[#Headers],[#Data],[Pension deductions]]),0)</f>
        <v>14054.783302731736</v>
      </c>
      <c r="W12" s="150">
        <f ca="1">IF('General overview'!$C$8="Yes",SUMIF(Tabella2579[[#Headers],[#Data],[Year]],'CF Timeline'!W5,Tabella2579[[#Headers],[#Data],[Pension deductions]]),0)</f>
        <v>14468.825795302597</v>
      </c>
      <c r="X12" s="150">
        <f ca="1">IF('General overview'!$C$8="Yes",SUMIF(Tabella2579[[#Headers],[#Data],[Year]],'CF Timeline'!X5,Tabella2579[[#Headers],[#Data],[Pension deductions]]),0)</f>
        <v>14892.286973174447</v>
      </c>
      <c r="Y12" s="150">
        <f ca="1">IF('General overview'!$C$8="Yes",SUMIF(Tabella2579[[#Headers],[#Data],[Year]],'CF Timeline'!Y5,Tabella2579[[#Headers],[#Data],[Pension deductions]]),0)</f>
        <v>15325.398859197539</v>
      </c>
      <c r="Z12" s="150">
        <f ca="1">IF('General overview'!$C$8="Yes",SUMIF(Tabella2579[[#Headers],[#Data],[Year]],'CF Timeline'!Z5,Tabella2579[[#Headers],[#Data],[Pension deductions]]),0)</f>
        <v>18419.185974363747</v>
      </c>
      <c r="AA12" s="150">
        <f ca="1">IF('General overview'!$C$8="Yes",SUMIF(Tabella2579[[#Headers],[#Data],[Year]],'CF Timeline'!AA5,Tabella2579[[#Headers],[#Data],[Pension deductions]]),0)</f>
        <v>18960.13517627673</v>
      </c>
      <c r="AB12" s="150">
        <f ca="1">IF('General overview'!$C$8="Yes",SUMIF(Tabella2579[[#Headers],[#Data],[Year]],'CF Timeline'!AB5,Tabella2579[[#Headers],[#Data],[Pension deductions]]),0)</f>
        <v>19513.478691047727</v>
      </c>
      <c r="AC12" s="150">
        <f ca="1">IF('General overview'!$C$8="Yes",SUMIF(Tabella2579[[#Headers],[#Data],[Year]],'CF Timeline'!AC5,Tabella2579[[#Headers],[#Data],[Pension deductions]]),0)</f>
        <v>20079.522334921829</v>
      </c>
      <c r="AD12" s="150">
        <f ca="1">IF('General overview'!$C$8="Yes",SUMIF(Tabella2579[[#Headers],[#Data],[Year]],'CF Timeline'!AD5,Tabella2579[[#Headers],[#Data],[Pension deductions]]),0)</f>
        <v>20658.579589746139</v>
      </c>
      <c r="AE12" s="150">
        <f ca="1">IF('General overview'!$C$8="Yes",SUMIF(Tabella2579[[#Headers],[#Data],[Year]],'CF Timeline'!AE5,Tabella2579[[#Headers],[#Data],[Pension deductions]]),0)</f>
        <v>21250.971795727612</v>
      </c>
      <c r="AF12" s="150">
        <f ca="1">IF('General overview'!$C$8="Yes",SUMIF(Tabella2579[[#Headers],[#Data],[Year]],'CF Timeline'!AF5,Tabella2579[[#Headers],[#Data],[Pension deductions]]),0)</f>
        <v>21857.028349040946</v>
      </c>
      <c r="AG12" s="150">
        <f ca="1">IF('General overview'!$C$8="Yes",SUMIF(Tabella2579[[#Headers],[#Data],[Year]],'CF Timeline'!AG5,Tabella2579[[#Headers],[#Data],[Pension deductions]]),0)</f>
        <v>22477.086904408738</v>
      </c>
      <c r="AH12" s="150">
        <f ca="1">IF('General overview'!$C$8="Yes",SUMIF(Tabella2579[[#Headers],[#Data],[Year]],'CF Timeline'!AH5,Tabella2579[[#Headers],[#Data],[Pension deductions]]),0)</f>
        <v>23111.493582778879</v>
      </c>
      <c r="AI12" s="150">
        <f ca="1">IF('General overview'!$C$8="Yes",SUMIF(Tabella2579[[#Headers],[#Data],[Year]],'CF Timeline'!AI5,Tabella2579[[#Headers],[#Data],[Pension deductions]]),0)</f>
        <v>23760.603184227562</v>
      </c>
      <c r="AJ12" s="150">
        <f ca="1">IF('General overview'!$C$8="Yes",SUMIF(Tabella2579[[#Headers],[#Data],[Year]],'CF Timeline'!AJ5,Tabella2579[[#Headers],[#Data],[Pension deductions]]),0)</f>
        <v>26600.211815916013</v>
      </c>
      <c r="AK12" s="150">
        <f ca="1">IF('General overview'!$C$8="Yes",SUMIF(Tabella2579[[#Headers],[#Data],[Year]],'CF Timeline'!AK5,Tabella2579[[#Headers],[#Data],[Pension deductions]]),0)</f>
        <v>27346.023807686201</v>
      </c>
      <c r="AL12" s="150">
        <f ca="1">IF('General overview'!$C$8="Yes",SUMIF(Tabella2579[[#Headers],[#Data],[Year]],'CF Timeline'!AL5,Tabella2579[[#Headers],[#Data],[Pension deductions]]),0)</f>
        <v>28109.198473472577</v>
      </c>
      <c r="AM12" s="150">
        <f ca="1">IF('General overview'!$C$8="Yes",SUMIF(Tabella2579[[#Headers],[#Data],[Year]],'CF Timeline'!AM5,Tabella2579[[#Headers],[#Data],[Pension deductions]]),0)</f>
        <v>28890.165726013867</v>
      </c>
      <c r="AN12" s="150">
        <f ca="1">IF('General overview'!$C$8="Yes",SUMIF(Tabella2579[[#Headers],[#Data],[Year]],'CF Timeline'!AN5,Tabella2579[[#Headers],[#Data],[Pension deductions]]),0)</f>
        <v>29689.366261946459</v>
      </c>
      <c r="AO12" s="150">
        <f ca="1">IF('General overview'!$C$8="Yes",SUMIF(Tabella2579[[#Headers],[#Data],[Year]],'CF Timeline'!AO5,Tabella2579[[#Headers],[#Data],[Pension deductions]]),0)</f>
        <v>30507.251833012844</v>
      </c>
      <c r="AP12" s="150">
        <f ca="1">IF('General overview'!$C$8="Yes",SUMIF(Tabella2579[[#Headers],[#Data],[Year]],'CF Timeline'!AP5,Tabella2579[[#Headers],[#Data],[Pension deductions]]),0)</f>
        <v>0</v>
      </c>
      <c r="AQ12" s="150">
        <f ca="1">IF('General overview'!$C$8="Yes",SUMIF(Tabella2579[[#Headers],[#Data],[Year]],'CF Timeline'!AQ5,Tabella2579[[#Headers],[#Data],[Pension deductions]]),0)</f>
        <v>0</v>
      </c>
      <c r="AR12" s="150">
        <f ca="1">IF('General overview'!$C$8="Yes",SUMIF(Tabella2579[[#Headers],[#Data],[Year]],'CF Timeline'!AR5,Tabella2579[[#Headers],[#Data],[Pension deductions]]),0)</f>
        <v>0</v>
      </c>
      <c r="AS12" s="150">
        <f ca="1">IF('General overview'!$C$8="Yes",SUMIF(Tabella2579[[#Headers],[#Data],[Year]],'CF Timeline'!AS5,Tabella2579[[#Headers],[#Data],[Pension deductions]]),0)</f>
        <v>0</v>
      </c>
      <c r="AT12" s="150">
        <f ca="1">IF('General overview'!$C$8="Yes",SUMIF(Tabella2579[[#Headers],[#Data],[Year]],'CF Timeline'!AT5,Tabella2579[[#Headers],[#Data],[Pension deductions]]),0)</f>
        <v>0</v>
      </c>
      <c r="AU12" s="150">
        <f ca="1">IF('General overview'!$C$8="Yes",SUMIF(Tabella2579[[#Headers],[#Data],[Year]],'CF Timeline'!AU5,Tabella2579[[#Headers],[#Data],[Pension deductions]]),0)</f>
        <v>0</v>
      </c>
      <c r="AV12" s="150">
        <f ca="1">IF('General overview'!$C$8="Yes",SUMIF(Tabella2579[[#Headers],[#Data],[Year]],'CF Timeline'!AV5,Tabella2579[[#Headers],[#Data],[Pension deductions]]),0)</f>
        <v>0</v>
      </c>
      <c r="AW12" s="150">
        <f ca="1">IF('General overview'!$C$8="Yes",SUMIF(Tabella2579[[#Headers],[#Data],[Year]],'CF Timeline'!AW5,Tabella2579[[#Headers],[#Data],[Pension deductions]]),0)</f>
        <v>0</v>
      </c>
      <c r="AX12" s="150">
        <f ca="1">IF('General overview'!$C$8="Yes",SUMIF(Tabella2579[[#Headers],[#Data],[Year]],'CF Timeline'!AX5,Tabella2579[[#Headers],[#Data],[Pension deductions]]),0)</f>
        <v>0</v>
      </c>
      <c r="AY12" s="150">
        <f ca="1">IF('General overview'!$C$8="Yes",SUMIF(Tabella2579[[#Headers],[#Data],[Year]],'CF Timeline'!AY5,Tabella2579[[#Headers],[#Data],[Pension deductions]]),0)</f>
        <v>0</v>
      </c>
      <c r="AZ12" s="150">
        <f ca="1">IF('General overview'!$C$8="Yes",SUMIF(Tabella2579[[#Headers],[#Data],[Year]],'CF Timeline'!AZ5,Tabella2579[[#Headers],[#Data],[Pension deductions]]),0)</f>
        <v>0</v>
      </c>
      <c r="BA12" s="150">
        <f ca="1">IF('General overview'!$C$8="Yes",SUMIF(Tabella2579[[#Headers],[#Data],[Year]],'CF Timeline'!BA5,Tabella2579[[#Headers],[#Data],[Pension deductions]]),0)</f>
        <v>0</v>
      </c>
      <c r="BB12" s="150">
        <f ca="1">IF('General overview'!$C$8="Yes",SUMIF(Tabella2579[[#Headers],[#Data],[Year]],'CF Timeline'!BB5,Tabella2579[[#Headers],[#Data],[Pension deductions]]),0)</f>
        <v>0</v>
      </c>
      <c r="BC12" s="150">
        <f ca="1">IF('General overview'!$C$8="Yes",SUMIF(Tabella2579[[#Headers],[#Data],[Year]],'CF Timeline'!BC5,Tabella2579[[#Headers],[#Data],[Pension deductions]]),0)</f>
        <v>0</v>
      </c>
    </row>
    <row r="13" spans="2:55">
      <c r="B13" s="160" t="s">
        <v>50</v>
      </c>
      <c r="C13" s="173">
        <f t="shared" ref="C13:AH13" ca="1" si="10">SUM(C9-C10,C11-C12)</f>
        <v>153996.1</v>
      </c>
      <c r="D13" s="173">
        <f t="shared" ca="1" si="10"/>
        <v>159231.25895226764</v>
      </c>
      <c r="E13" s="173">
        <f t="shared" ca="1" si="10"/>
        <v>164593.67296179873</v>
      </c>
      <c r="F13" s="173">
        <f t="shared" ca="1" si="10"/>
        <v>168336.33740688639</v>
      </c>
      <c r="G13" s="173">
        <f t="shared" ca="1" si="10"/>
        <v>173884.97068743972</v>
      </c>
      <c r="H13" s="173">
        <f t="shared" ca="1" si="10"/>
        <v>179569.89912761591</v>
      </c>
      <c r="I13" s="173">
        <f t="shared" ca="1" si="10"/>
        <v>185394.87778022594</v>
      </c>
      <c r="J13" s="173">
        <f t="shared" ca="1" si="10"/>
        <v>189839.07245252165</v>
      </c>
      <c r="K13" s="173">
        <f t="shared" ca="1" si="10"/>
        <v>195889.17235633256</v>
      </c>
      <c r="L13" s="173">
        <f t="shared" ca="1" si="10"/>
        <v>202089.48747879834</v>
      </c>
      <c r="M13" s="173">
        <f t="shared" ca="1" si="10"/>
        <v>208444.16848157006</v>
      </c>
      <c r="N13" s="173">
        <f t="shared" ca="1" si="10"/>
        <v>214957.48434071714</v>
      </c>
      <c r="O13" s="173">
        <f t="shared" ca="1" si="10"/>
        <v>221633.82575915565</v>
      </c>
      <c r="P13" s="173">
        <f t="shared" ca="1" si="10"/>
        <v>227353.79183962359</v>
      </c>
      <c r="Q13" s="173">
        <f t="shared" ca="1" si="10"/>
        <v>234327.75700462525</v>
      </c>
      <c r="R13" s="173">
        <f t="shared" ca="1" si="10"/>
        <v>241477.73921103965</v>
      </c>
      <c r="S13" s="173">
        <f t="shared" ca="1" si="10"/>
        <v>248808.62896186803</v>
      </c>
      <c r="T13" s="173">
        <f t="shared" ca="1" si="10"/>
        <v>252530.69679548254</v>
      </c>
      <c r="U13" s="173">
        <f t="shared" ca="1" si="10"/>
        <v>260094.1186430791</v>
      </c>
      <c r="V13" s="173">
        <f t="shared" ca="1" si="10"/>
        <v>267850.07482019236</v>
      </c>
      <c r="W13" s="173">
        <f t="shared" ca="1" si="10"/>
        <v>275803.9252065653</v>
      </c>
      <c r="X13" s="173">
        <f t="shared" ca="1" si="10"/>
        <v>283961.18287909456</v>
      </c>
      <c r="Y13" s="173">
        <f t="shared" ca="1" si="10"/>
        <v>292327.51853695896</v>
      </c>
      <c r="Z13" s="173">
        <f t="shared" ca="1" si="10"/>
        <v>298257.97837124905</v>
      </c>
      <c r="AA13" s="173">
        <f t="shared" ca="1" si="10"/>
        <v>306972.31905887567</v>
      </c>
      <c r="AB13" s="173">
        <f t="shared" ca="1" si="10"/>
        <v>315911.72970301146</v>
      </c>
      <c r="AC13" s="173">
        <f t="shared" ca="1" si="10"/>
        <v>325082.50872783671</v>
      </c>
      <c r="AD13" s="173">
        <f t="shared" ca="1" si="10"/>
        <v>331233.2082891555</v>
      </c>
      <c r="AE13" s="173">
        <f t="shared" ca="1" si="10"/>
        <v>340772.89221758698</v>
      </c>
      <c r="AF13" s="173">
        <f t="shared" ca="1" si="10"/>
        <v>350560.81797749037</v>
      </c>
      <c r="AG13" s="173">
        <f t="shared" ca="1" si="10"/>
        <v>360603.94583845686</v>
      </c>
      <c r="AH13" s="173">
        <f t="shared" ca="1" si="10"/>
        <v>370909.43564565439</v>
      </c>
      <c r="AI13" s="173">
        <f t="shared" ref="AI13:BN13" ca="1" si="11">SUM(AI9-AI10,AI11-AI12)</f>
        <v>381484.6525968645</v>
      </c>
      <c r="AJ13" s="173">
        <f t="shared" ca="1" si="11"/>
        <v>390161.7407780689</v>
      </c>
      <c r="AK13" s="173">
        <f t="shared" ca="1" si="11"/>
        <v>401233.16259006009</v>
      </c>
      <c r="AL13" s="173">
        <f t="shared" ca="1" si="11"/>
        <v>412596.15851310559</v>
      </c>
      <c r="AM13" s="173">
        <f t="shared" ca="1" si="11"/>
        <v>424258.93820754101</v>
      </c>
      <c r="AN13" s="173">
        <f t="shared" ca="1" si="11"/>
        <v>436229.94723872567</v>
      </c>
      <c r="AO13" s="173">
        <f t="shared" ca="1" si="11"/>
        <v>271683.93327620201</v>
      </c>
      <c r="AP13" s="173">
        <f t="shared" ca="1" si="11"/>
        <v>180796.64471606095</v>
      </c>
      <c r="AQ13" s="173">
        <f t="shared" ca="1" si="11"/>
        <v>180796.64471606095</v>
      </c>
      <c r="AR13" s="173">
        <f t="shared" ca="1" si="11"/>
        <v>180796.64471606095</v>
      </c>
      <c r="AS13" s="173">
        <f t="shared" ca="1" si="11"/>
        <v>180796.64471606095</v>
      </c>
      <c r="AT13" s="173">
        <f t="shared" ca="1" si="11"/>
        <v>180796.64471606095</v>
      </c>
      <c r="AU13" s="173">
        <f t="shared" ca="1" si="11"/>
        <v>180796.64471606095</v>
      </c>
      <c r="AV13" s="173">
        <f t="shared" ca="1" si="11"/>
        <v>180796.64471606095</v>
      </c>
      <c r="AW13" s="173">
        <f t="shared" ca="1" si="11"/>
        <v>180796.64471606095</v>
      </c>
      <c r="AX13" s="173">
        <f t="shared" ca="1" si="11"/>
        <v>180796.64471606095</v>
      </c>
      <c r="AY13" s="173">
        <f t="shared" ca="1" si="11"/>
        <v>180796.64471606095</v>
      </c>
      <c r="AZ13" s="173">
        <f t="shared" ca="1" si="11"/>
        <v>180796.64471606095</v>
      </c>
      <c r="BA13" s="173">
        <f t="shared" ca="1" si="11"/>
        <v>180796.64471606095</v>
      </c>
      <c r="BB13" s="173">
        <f t="shared" ca="1" si="11"/>
        <v>180796.64471606095</v>
      </c>
      <c r="BC13" s="173">
        <f t="shared" ca="1" si="11"/>
        <v>180796.64471606095</v>
      </c>
    </row>
    <row r="14" spans="2:55">
      <c r="B14" s="158" t="s">
        <v>51</v>
      </c>
      <c r="C14" s="150">
        <f ca="1">IF(_xlfn.NUMBERVALUE('General overview'!$C$18),'General overview'!$C$18/('CF Timeline'!$C$9+$C$11)*('CF Timeline'!C9+C11), IF(C$4 &lt; 'General overview'!$C$24,
    SUMIF(Tabella2[Age], 'CF Timeline'!C4, Tabella2[Total taxes]),
    SUMIF(Tabella245[Age], 'CF Timeline'!C4, Tabella245[Total taxes])
))</f>
        <v>25638.305456234055</v>
      </c>
      <c r="D14" s="150">
        <f ca="1">IF(_xlfn.NUMBERVALUE('General overview'!$C$18),'General overview'!$C$18/('CF Timeline'!$C$9+$C$11)*('CF Timeline'!D9+D11), IF(D$4 &lt; 'General overview'!$C$24,
    SUMIF(Tabella2[Age], 'CF Timeline'!D4, Tabella2[Total taxes]),
    SUMIF(Tabella245[Age], 'CF Timeline'!D4, Tabella245[Total taxes])
))</f>
        <v>27121.63375676233</v>
      </c>
      <c r="E14" s="150">
        <f ca="1">IF(_xlfn.NUMBERVALUE('General overview'!$C$18),'General overview'!$C$18/('CF Timeline'!$C$9+$C$11)*('CF Timeline'!E9+E11), IF(E$4 &lt; 'General overview'!$C$24,
    SUMIF(Tabella2[Age], 'CF Timeline'!E4, Tabella2[Total taxes]),
    SUMIF(Tabella245[Age], 'CF Timeline'!E4, Tabella245[Total taxes])
))</f>
        <v>28641.070010171046</v>
      </c>
      <c r="F14" s="150">
        <f ca="1">IF(_xlfn.NUMBERVALUE('General overview'!$C$18),'General overview'!$C$18/'CF Timeline'!$C$9*'CF Timeline'!F9, IF(F$4 &lt; 'General overview'!$C$24,
    SUMIF(Tabella2[Age], 'CF Timeline'!F4, Tabella2[Total taxes]),
    SUMIF(Tabella245[Age], 'CF Timeline'!F4, Tabella245[Total taxes])
))</f>
        <v>30197.607021524378</v>
      </c>
      <c r="G14" s="150">
        <f ca="1">IF(_xlfn.NUMBERVALUE('General overview'!$C$18),'General overview'!$C$18/'CF Timeline'!$C$9*'CF Timeline'!G9, IF(G$4 &lt; 'General overview'!$C$24,
    SUMIF(Tabella2[Age], 'CF Timeline'!G4, Tabella2[Total taxes]),
    SUMIF(Tabella245[Age], 'CF Timeline'!G4, Tabella245[Total taxes])
))</f>
        <v>31995.67730851932</v>
      </c>
      <c r="H14" s="150">
        <f ca="1">IF(_xlfn.NUMBERVALUE('General overview'!$C$18),'General overview'!$C$18/'CF Timeline'!$C$9*'CF Timeline'!H9, IF(H$4 &lt; 'General overview'!$C$24,
    SUMIF(Tabella2[Age], 'CF Timeline'!H4, Tabella2[Total taxes]),
    SUMIF(Tabella245[Age], 'CF Timeline'!H4, Tabella245[Total taxes])
))</f>
        <v>33638.795358214935</v>
      </c>
      <c r="I14" s="150">
        <f ca="1">IF(_xlfn.NUMBERVALUE('General overview'!$C$18),'General overview'!$C$18/'CF Timeline'!$C$9*'CF Timeline'!I9, IF(I$4 &lt; 'General overview'!$C$24,
    SUMIF(Tabella2[Age], 'CF Timeline'!I4, Tabella2[Total taxes]),
    SUMIF(Tabella245[Age], 'CF Timeline'!I4, Tabella245[Total taxes])
))</f>
        <v>35322.394326350288</v>
      </c>
      <c r="J14" s="150">
        <f ca="1">IF(_xlfn.NUMBERVALUE('General overview'!$C$18),'General overview'!$C$18/'CF Timeline'!$C$9*'CF Timeline'!J9, IF(J$4 &lt; 'General overview'!$C$24,
    SUMIF(Tabella2[Age], 'CF Timeline'!J4, Tabella2[Total taxes]),
    SUMIF(Tabella245[Age], 'CF Timeline'!J4, Tabella245[Total taxes])
))</f>
        <v>35439.353585810968</v>
      </c>
      <c r="K14" s="150">
        <f ca="1">IF(_xlfn.NUMBERVALUE('General overview'!$C$18),'General overview'!$C$18/'CF Timeline'!$C$9*'CF Timeline'!K9, IF(K$4 &lt; 'General overview'!$C$24,
    SUMIF(Tabella2[Age], 'CF Timeline'!K4, Tabella2[Total taxes]),
    SUMIF(Tabella245[Age], 'CF Timeline'!K4, Tabella245[Total taxes])
))</f>
        <v>37165.753413875427</v>
      </c>
      <c r="L14" s="150">
        <f ca="1">IF(_xlfn.NUMBERVALUE('General overview'!$C$18),'General overview'!$C$18/'CF Timeline'!$C$9*'CF Timeline'!L9, IF(L$4 &lt; 'General overview'!$C$24,
    SUMIF(Tabella2[Age], 'CF Timeline'!L4, Tabella2[Total taxes]),
    SUMIF(Tabella245[Age], 'CF Timeline'!L4, Tabella245[Total taxes])
))</f>
        <v>39036.326024777023</v>
      </c>
      <c r="M14" s="150">
        <f ca="1">IF(_xlfn.NUMBERVALUE('General overview'!$C$18),'General overview'!$C$18/'CF Timeline'!$C$9*'CF Timeline'!M9, IF(M$4 &lt; 'General overview'!$C$24,
    SUMIF(Tabella2[Age], 'CF Timeline'!M4, Tabella2[Total taxes]),
    SUMIF(Tabella245[Age], 'CF Timeline'!M4, Tabella245[Total taxes])
))</f>
        <v>40961.375880925603</v>
      </c>
      <c r="N14" s="150">
        <f ca="1">IF(_xlfn.NUMBERVALUE('General overview'!$C$18),'General overview'!$C$18/'CF Timeline'!$C$9*'CF Timeline'!N9, IF(N$4 &lt; 'General overview'!$C$24,
    SUMIF(Tabella2[Age], 'CF Timeline'!N4, Tabella2[Total taxes]),
    SUMIF(Tabella245[Age], 'CF Timeline'!N4, Tabella245[Total taxes])
))</f>
        <v>43032.677679498964</v>
      </c>
      <c r="O14" s="150">
        <f ca="1">IF(_xlfn.NUMBERVALUE('General overview'!$C$18),'General overview'!$C$18/'CF Timeline'!$C$9*'CF Timeline'!O9, IF(O$4 &lt; 'General overview'!$C$24,
    SUMIF(Tabella2[Age], 'CF Timeline'!O4, Tabella2[Total taxes]),
    SUMIF(Tabella245[Age], 'CF Timeline'!O4, Tabella245[Total taxes])
))</f>
        <v>45155.868271503612</v>
      </c>
      <c r="P14" s="150">
        <f ca="1">IF(_xlfn.NUMBERVALUE('General overview'!$C$18),'General overview'!$C$18/'CF Timeline'!$C$9*'CF Timeline'!P9, IF(P$4 &lt; 'General overview'!$C$24,
    SUMIF(Tabella2[Age], 'CF Timeline'!P4, Tabella2[Total taxes]),
    SUMIF(Tabella245[Age], 'CF Timeline'!P4, Tabella245[Total taxes])
))</f>
        <v>47332.38742234448</v>
      </c>
      <c r="Q14" s="150">
        <f ca="1">IF(_xlfn.NUMBERVALUE('General overview'!$C$18),'General overview'!$C$18/'CF Timeline'!$C$9*'CF Timeline'!Q9, IF(Q$4 &lt; 'General overview'!$C$24,
    SUMIF(Tabella2[Age], 'CF Timeline'!Q4, Tabella2[Total taxes]),
    SUMIF(Tabella245[Age], 'CF Timeline'!Q4, Tabella245[Total taxes])
))</f>
        <v>49563.716050192641</v>
      </c>
      <c r="R14" s="150">
        <f ca="1">IF(_xlfn.NUMBERVALUE('General overview'!$C$18),'General overview'!$C$18/'CF Timeline'!$C$9*'CF Timeline'!R9, IF(R$4 &lt; 'General overview'!$C$24,
    SUMIF(Tabella2[Age], 'CF Timeline'!R4, Tabella2[Total taxes]),
    SUMIF(Tabella245[Age], 'CF Timeline'!R4, Tabella245[Total taxes])
))</f>
        <v>51851.377415562034</v>
      </c>
      <c r="S14" s="150">
        <f ca="1">IF(_xlfn.NUMBERVALUE('General overview'!$C$18),'General overview'!$C$18/'CF Timeline'!$C$9*'CF Timeline'!S9, IF(S$4 &lt; 'General overview'!$C$24,
    SUMIF(Tabella2[Age], 'CF Timeline'!S4, Tabella2[Total taxes]),
    SUMIF(Tabella245[Age], 'CF Timeline'!S4, Tabella245[Total taxes])
))</f>
        <v>54196.938345499235</v>
      </c>
      <c r="T14" s="150">
        <f ca="1">IF(_xlfn.NUMBERVALUE('General overview'!$C$18),'General overview'!$C$18/'CF Timeline'!$C$9*'CF Timeline'!T9, IF(T$4 &lt; 'General overview'!$C$24,
    SUMIF(Tabella2[Age], 'CF Timeline'!T4, Tabella2[Total taxes]),
    SUMIF(Tabella245[Age], 'CF Timeline'!T4, Tabella245[Total taxes])
))</f>
        <v>52177.787443812747</v>
      </c>
      <c r="U14" s="150">
        <f ca="1">IF(_xlfn.NUMBERVALUE('General overview'!$C$18),'General overview'!$C$18/'CF Timeline'!$C$9*'CF Timeline'!U9, IF(U$4 &lt; 'General overview'!$C$24,
    SUMIF(Tabella2[Age], 'CF Timeline'!U4, Tabella2[Total taxes]),
    SUMIF(Tabella245[Age], 'CF Timeline'!U4, Tabella245[Total taxes])
))</f>
        <v>54484.554544788465</v>
      </c>
      <c r="V14" s="150">
        <f ca="1">IF(_xlfn.NUMBERVALUE('General overview'!$C$18),'General overview'!$C$18/'CF Timeline'!$C$9*'CF Timeline'!V9, IF(V$4 &lt; 'General overview'!$C$24,
    SUMIF(Tabella2[Age], 'CF Timeline'!V4, Tabella2[Total taxes]),
    SUMIF(Tabella245[Age], 'CF Timeline'!V4, Tabella245[Total taxes])
))</f>
        <v>56850.138173031504</v>
      </c>
      <c r="W14" s="150">
        <f ca="1">IF(_xlfn.NUMBERVALUE('General overview'!$C$18),'General overview'!$C$18/'CF Timeline'!$C$9*'CF Timeline'!W9, IF(W$4 &lt; 'General overview'!$C$24,
    SUMIF(Tabella2[Age], 'CF Timeline'!W4, Tabella2[Total taxes]),
    SUMIF(Tabella245[Age], 'CF Timeline'!W4, Tabella245[Total taxes])
))</f>
        <v>59276.1798392489</v>
      </c>
      <c r="X14" s="150">
        <f ca="1">IF(_xlfn.NUMBERVALUE('General overview'!$C$18),'General overview'!$C$18/'CF Timeline'!$C$9*'CF Timeline'!X9, IF(X$4 &lt; 'General overview'!$C$24,
    SUMIF(Tabella2[Age], 'CF Timeline'!X4, Tabella2[Total taxes]),
    SUMIF(Tabella245[Age], 'CF Timeline'!X4, Tabella245[Total taxes])
))</f>
        <v>61764.368093409008</v>
      </c>
      <c r="Y14" s="150">
        <f ca="1">IF(_xlfn.NUMBERVALUE('General overview'!$C$18),'General overview'!$C$18/'CF Timeline'!$C$9*'CF Timeline'!Y9, IF(Y$4 &lt; 'General overview'!$C$24,
    SUMIF(Tabella2[Age], 'CF Timeline'!Y4, Tabella2[Total taxes]),
    SUMIF(Tabella245[Age], 'CF Timeline'!Y4, Tabella245[Total taxes])
))</f>
        <v>62558.163983507344</v>
      </c>
      <c r="Z14" s="150">
        <f ca="1">IF(_xlfn.NUMBERVALUE('General overview'!$C$18),'General overview'!$C$18/'CF Timeline'!$C$9*'CF Timeline'!Z9, IF(Z$4 &lt; 'General overview'!$C$24,
    SUMIF(Tabella2[Age], 'CF Timeline'!Z4, Tabella2[Total taxes]),
    SUMIF(Tabella245[Age], 'CF Timeline'!Z4, Tabella245[Total taxes])
))</f>
        <v>65310.149254168398</v>
      </c>
      <c r="AA14" s="150">
        <f ca="1">IF(_xlfn.NUMBERVALUE('General overview'!$C$18),'General overview'!$C$18/'CF Timeline'!$C$9*'CF Timeline'!AA9, IF(AA$4 &lt; 'General overview'!$C$24,
    SUMIF(Tabella2[Age], 'CF Timeline'!AA4, Tabella2[Total taxes]),
    SUMIF(Tabella245[Age], 'CF Timeline'!AA4, Tabella245[Total taxes])
))</f>
        <v>68133.104781667251</v>
      </c>
      <c r="AB14" s="150">
        <f ca="1">IF(_xlfn.NUMBERVALUE('General overview'!$C$18),'General overview'!$C$18/'CF Timeline'!$C$9*'CF Timeline'!AB9, IF(AB$4 &lt; 'General overview'!$C$24,
    SUMIF(Tabella2[Age], 'CF Timeline'!AB4, Tabella2[Total taxes]),
    SUMIF(Tabella245[Age], 'CF Timeline'!AB4, Tabella245[Total taxes])
))</f>
        <v>71029.018256293915</v>
      </c>
      <c r="AC14" s="150">
        <f ca="1">IF(_xlfn.NUMBERVALUE('General overview'!$C$18),'General overview'!$C$18/'CF Timeline'!$C$9*'CF Timeline'!AC9, IF(AC$4 &lt; 'General overview'!$C$24,
    SUMIF(Tabella2[Age], 'CF Timeline'!AC4, Tabella2[Total taxes]),
    SUMIF(Tabella245[Age], 'CF Timeline'!AC4, Tabella245[Total taxes])
))</f>
        <v>73999.934408733141</v>
      </c>
      <c r="AD14" s="150">
        <f ca="1">IF(_xlfn.NUMBERVALUE('General overview'!$C$18),'General overview'!$C$18/'CF Timeline'!$C$9*'CF Timeline'!AD9, IF(AD$4 &lt; 'General overview'!$C$24,
    SUMIF(Tabella2[Age], 'CF Timeline'!AD4, Tabella2[Total taxes]),
    SUMIF(Tabella245[Age], 'CF Timeline'!AD4, Tabella245[Total taxes])
))</f>
        <v>73127.244672877918</v>
      </c>
      <c r="AE14" s="150">
        <f ca="1">IF(_xlfn.NUMBERVALUE('General overview'!$C$18),'General overview'!$C$18/'CF Timeline'!$C$9*'CF Timeline'!AE9, IF(AE$4 &lt; 'General overview'!$C$24,
    SUMIF(Tabella2[Age], 'CF Timeline'!AE4, Tabella2[Total taxes]),
    SUMIF(Tabella245[Age], 'CF Timeline'!AE4, Tabella245[Total taxes])
))</f>
        <v>76124.90088410578</v>
      </c>
      <c r="AF14" s="150">
        <f ca="1">IF(_xlfn.NUMBERVALUE('General overview'!$C$18),'General overview'!$C$18/'CF Timeline'!$C$9*'CF Timeline'!AF9, IF(AF$4 &lt; 'General overview'!$C$24,
    SUMIF(Tabella2[Age], 'CF Timeline'!AF4, Tabella2[Total taxes]),
    SUMIF(Tabella245[Age], 'CF Timeline'!AF4, Tabella245[Total taxes])
))</f>
        <v>79200.685274452611</v>
      </c>
      <c r="AG14" s="150">
        <f ca="1">IF(_xlfn.NUMBERVALUE('General overview'!$C$18),'General overview'!$C$18/'CF Timeline'!$C$9*'CF Timeline'!AG9, IF(AG$4 &lt; 'General overview'!$C$24,
    SUMIF(Tabella2[Age], 'CF Timeline'!AG4, Tabella2[Total taxes]),
    SUMIF(Tabella245[Age], 'CF Timeline'!AG4, Tabella245[Total taxes])
))</f>
        <v>82356.793722061164</v>
      </c>
      <c r="AH14" s="150">
        <f ca="1">IF(_xlfn.NUMBERVALUE('General overview'!$C$18),'General overview'!$C$18/'CF Timeline'!$C$9*'CF Timeline'!AH9, IF(AH$4 &lt; 'General overview'!$C$24,
    SUMIF(Tabella2[Age], 'CF Timeline'!AH4, Tabella2[Total taxes]),
    SUMIF(Tabella245[Age], 'CF Timeline'!AH4, Tabella245[Total taxes])
))</f>
        <v>85595.485222495627</v>
      </c>
      <c r="AI14" s="150">
        <f ca="1">IF(_xlfn.NUMBERVALUE('General overview'!$C$18),'General overview'!$C$18/'CF Timeline'!$C$9*'CF Timeline'!AI9, IF(AI$4 &lt; 'General overview'!$C$24,
    SUMIF(Tabella2[Age], 'CF Timeline'!AI4, Tabella2[Total taxes]),
    SUMIF(Tabella245[Age], 'CF Timeline'!AI4, Tabella245[Total taxes])
))</f>
        <v>88919.083719909759</v>
      </c>
      <c r="AJ14" s="150">
        <f ca="1">IF(_xlfn.NUMBERVALUE('General overview'!$C$18),'General overview'!$C$18/'CF Timeline'!$C$9*'CF Timeline'!AJ9, IF(AJ$4 &lt; 'General overview'!$C$24,
    SUMIF(Tabella2[Age], 'CF Timeline'!AJ4, Tabella2[Total taxes]),
    SUMIF(Tabella245[Age], 'CF Timeline'!AJ4, Tabella245[Total taxes])
))</f>
        <v>109259.91015583696</v>
      </c>
      <c r="AK14" s="150">
        <f ca="1">IF(_xlfn.NUMBERVALUE('General overview'!$C$18),'General overview'!$C$18/'CF Timeline'!$C$9*'CF Timeline'!AK9, IF(AK$4 &lt; 'General overview'!$C$24,
    SUMIF(Tabella2[Age], 'CF Timeline'!AK4, Tabella2[Total taxes]),
    SUMIF(Tabella245[Age], 'CF Timeline'!AK4, Tabella245[Total taxes])
))</f>
        <v>113234.24512844725</v>
      </c>
      <c r="AL14" s="150">
        <f ca="1">IF(_xlfn.NUMBERVALUE('General overview'!$C$18),'General overview'!$C$18/'CF Timeline'!$C$9*'CF Timeline'!AL9, IF(AL$4 &lt; 'General overview'!$C$24,
    SUMIF(Tabella2[Age], 'CF Timeline'!AL4, Tabella2[Total taxes]),
    SUMIF(Tabella245[Age], 'CF Timeline'!AL4, Tabella245[Total taxes])
))</f>
        <v>117311.98709699963</v>
      </c>
      <c r="AM14" s="150">
        <f ca="1">IF(_xlfn.NUMBERVALUE('General overview'!$C$18),'General overview'!$C$18/'CF Timeline'!$C$9*'CF Timeline'!AM9, IF(AM$4 &lt; 'General overview'!$C$24,
    SUMIF(Tabella2[Age], 'CF Timeline'!AM4, Tabella2[Total taxes]),
    SUMIF(Tabella245[Age], 'CF Timeline'!AM4, Tabella245[Total taxes])
))</f>
        <v>121496.01502461173</v>
      </c>
      <c r="AN14" s="150">
        <f ca="1">IF(_xlfn.NUMBERVALUE('General overview'!$C$18),'General overview'!$C$18/'CF Timeline'!$C$9*'CF Timeline'!AN9, IF(AN$4 &lt; 'General overview'!$C$24,
    SUMIF(Tabella2[Age], 'CF Timeline'!AN4, Tabella2[Total taxes]),
    SUMIF(Tabella245[Age], 'CF Timeline'!AN4, Tabella245[Total taxes])
))</f>
        <v>125789.28973362347</v>
      </c>
      <c r="AO14" s="150">
        <f ca="1">IF(_xlfn.NUMBERVALUE('General overview'!$C$18),'General overview'!$C$18/'CF Timeline'!$C$9*'CF Timeline'!AO9, IF(AO$4 &lt; 'General overview'!$C$24,
    SUMIF(Tabella2[Age], 'CF Timeline'!AO4, Tabella2[Total taxes]),
    SUMIF(Tabella245[Age], 'CF Timeline'!AO4, Tabella245[Total taxes])
))</f>
        <v>76554.759587404726</v>
      </c>
      <c r="AP14" s="150">
        <f ca="1">IF(_xlfn.NUMBERVALUE('General overview'!$C$18),'General overview'!$C$18/'CF Timeline'!$C$9*'CF Timeline'!AP9, IF(AP$4 &lt; 'General overview'!$C$24,
    SUMIF(Tabella2[Age], 'CF Timeline'!AP4, Tabella2[Total taxes]),
    SUMIF(Tabella245[Age], 'CF Timeline'!AP4, Tabella245[Total taxes])
))</f>
        <v>36255.561335796105</v>
      </c>
      <c r="AQ14" s="150">
        <f ca="1">IF(_xlfn.NUMBERVALUE('General overview'!$C$18),'General overview'!$C$18/'CF Timeline'!$C$9*'CF Timeline'!AQ9, IF(AQ$4 &lt; 'General overview'!$C$24,
    SUMIF(Tabella2[Age], 'CF Timeline'!AQ4, Tabella2[Total taxes]),
    SUMIF(Tabella245[Age], 'CF Timeline'!AQ4, Tabella245[Total taxes])
))</f>
        <v>36255.561335796105</v>
      </c>
      <c r="AR14" s="150">
        <f ca="1">IF(_xlfn.NUMBERVALUE('General overview'!$C$18),'General overview'!$C$18/'CF Timeline'!$C$9*'CF Timeline'!AR9, IF(AR$4 &lt; 'General overview'!$C$24,
    SUMIF(Tabella2[Age], 'CF Timeline'!AR4, Tabella2[Total taxes]),
    SUMIF(Tabella245[Age], 'CF Timeline'!AR4, Tabella245[Total taxes])
))</f>
        <v>36255.561335796105</v>
      </c>
      <c r="AS14" s="150">
        <f ca="1">IF(_xlfn.NUMBERVALUE('General overview'!$C$18),'General overview'!$C$18/'CF Timeline'!$C$9*'CF Timeline'!AS9, IF(AS$4 &lt; 'General overview'!$C$24,
    SUMIF(Tabella2[Age], 'CF Timeline'!AS4, Tabella2[Total taxes]),
    SUMIF(Tabella245[Age], 'CF Timeline'!AS4, Tabella245[Total taxes])
))</f>
        <v>36255.561335796105</v>
      </c>
      <c r="AT14" s="150">
        <f ca="1">IF(_xlfn.NUMBERVALUE('General overview'!$C$18),'General overview'!$C$18/'CF Timeline'!$C$9*'CF Timeline'!AT9, IF(AT$4 &lt; 'General overview'!$C$24,
    SUMIF(Tabella2[Age], 'CF Timeline'!AT4, Tabella2[Total taxes]),
    SUMIF(Tabella245[Age], 'CF Timeline'!AT4, Tabella245[Total taxes])
))</f>
        <v>36255.561335796105</v>
      </c>
      <c r="AU14" s="150">
        <f ca="1">IF(_xlfn.NUMBERVALUE('General overview'!$C$18),'General overview'!$C$18/'CF Timeline'!$C$9*'CF Timeline'!AU9, IF(AU$4 &lt; 'General overview'!$C$24,
    SUMIF(Tabella2[Age], 'CF Timeline'!AU4, Tabella2[Total taxes]),
    SUMIF(Tabella245[Age], 'CF Timeline'!AU4, Tabella245[Total taxes])
))</f>
        <v>36255.561335796105</v>
      </c>
      <c r="AV14" s="150">
        <f ca="1">IF(_xlfn.NUMBERVALUE('General overview'!$C$18),'General overview'!$C$18/'CF Timeline'!$C$9*'CF Timeline'!AV9, IF(AV$4 &lt; 'General overview'!$C$24,
    SUMIF(Tabella2[Age], 'CF Timeline'!AV4, Tabella2[Total taxes]),
    SUMIF(Tabella245[Age], 'CF Timeline'!AV4, Tabella245[Total taxes])
))</f>
        <v>36255.561335796105</v>
      </c>
      <c r="AW14" s="150">
        <f ca="1">IF(_xlfn.NUMBERVALUE('General overview'!$C$18),'General overview'!$C$18/'CF Timeline'!$C$9*'CF Timeline'!AW9, IF(AW$4 &lt; 'General overview'!$C$24,
    SUMIF(Tabella2[Age], 'CF Timeline'!AW4, Tabella2[Total taxes]),
    SUMIF(Tabella245[Age], 'CF Timeline'!AW4, Tabella245[Total taxes])
))</f>
        <v>36255.561335796105</v>
      </c>
      <c r="AX14" s="150">
        <f ca="1">IF(_xlfn.NUMBERVALUE('General overview'!$C$18),'General overview'!$C$18/'CF Timeline'!$C$9*'CF Timeline'!AX9, IF(AX$4 &lt; 'General overview'!$C$24,
    SUMIF(Tabella2[Age], 'CF Timeline'!AX4, Tabella2[Total taxes]),
    SUMIF(Tabella245[Age], 'CF Timeline'!AX4, Tabella245[Total taxes])
))</f>
        <v>36255.561335796105</v>
      </c>
      <c r="AY14" s="150">
        <f ca="1">IF(_xlfn.NUMBERVALUE('General overview'!$C$18),'General overview'!$C$18/'CF Timeline'!$C$9*'CF Timeline'!AY9, IF(AY$4 &lt; 'General overview'!$C$24,
    SUMIF(Tabella2[Age], 'CF Timeline'!AY4, Tabella2[Total taxes]),
    SUMIF(Tabella245[Age], 'CF Timeline'!AY4, Tabella245[Total taxes])
))</f>
        <v>36255.561335796105</v>
      </c>
      <c r="AZ14" s="150">
        <f ca="1">IF(_xlfn.NUMBERVALUE('General overview'!$C$18),'General overview'!$C$18/'CF Timeline'!$C$9*'CF Timeline'!AZ9, IF(AZ$4 &lt; 'General overview'!$C$24,
    SUMIF(Tabella2[Age], 'CF Timeline'!AZ4, Tabella2[Total taxes]),
    SUMIF(Tabella245[Age], 'CF Timeline'!AZ4, Tabella245[Total taxes])
))</f>
        <v>36255.561335796105</v>
      </c>
      <c r="BA14" s="150">
        <f ca="1">IF(_xlfn.NUMBERVALUE('General overview'!$C$18),'General overview'!$C$18/'CF Timeline'!$C$9*'CF Timeline'!BA9, IF(BA$4 &lt; 'General overview'!$C$24,
    SUMIF(Tabella2[Age], 'CF Timeline'!BA4, Tabella2[Total taxes]),
    SUMIF(Tabella245[Age], 'CF Timeline'!BA4, Tabella245[Total taxes])
))</f>
        <v>36255.561335796105</v>
      </c>
      <c r="BB14" s="150">
        <f ca="1">IF(_xlfn.NUMBERVALUE('General overview'!$C$18),'General overview'!$C$18/'CF Timeline'!$C$9*'CF Timeline'!BB9, IF(BB$4 &lt; 'General overview'!$C$24,
    SUMIF(Tabella2[Age], 'CF Timeline'!BB4, Tabella2[Total taxes]),
    SUMIF(Tabella245[Age], 'CF Timeline'!BB4, Tabella245[Total taxes])
))</f>
        <v>36255.561335796105</v>
      </c>
      <c r="BC14" s="150">
        <f ca="1">IF(_xlfn.NUMBERVALUE('General overview'!$C$18),'General overview'!$C$18/'CF Timeline'!$C$9*'CF Timeline'!BC9, IF(BC$4 &lt; 'General overview'!$C$24,
    SUMIF(Tabella2[Age], 'CF Timeline'!BC4, Tabella2[Total taxes]),
    SUMIF(Tabella245[Age], 'CF Timeline'!BC4, Tabella245[Total taxes])
))</f>
        <v>36255.561335796105</v>
      </c>
    </row>
    <row r="15" spans="2:55">
      <c r="B15" s="188" t="s">
        <v>52</v>
      </c>
      <c r="C15" s="244">
        <f t="shared" ref="C15:AH15" ca="1" si="12">C13-C14</f>
        <v>128357.79454376595</v>
      </c>
      <c r="D15" s="244">
        <f t="shared" ca="1" si="12"/>
        <v>132109.6251955053</v>
      </c>
      <c r="E15" s="244">
        <f t="shared" ca="1" si="12"/>
        <v>135952.60295162769</v>
      </c>
      <c r="F15" s="244">
        <f t="shared" ca="1" si="12"/>
        <v>138138.73038536203</v>
      </c>
      <c r="G15" s="244">
        <f t="shared" ca="1" si="12"/>
        <v>141889.29337892041</v>
      </c>
      <c r="H15" s="244">
        <f t="shared" ca="1" si="12"/>
        <v>145931.10376940097</v>
      </c>
      <c r="I15" s="244">
        <f t="shared" ca="1" si="12"/>
        <v>150072.48345387564</v>
      </c>
      <c r="J15" s="244">
        <f t="shared" ca="1" si="12"/>
        <v>154399.71886671067</v>
      </c>
      <c r="K15" s="244">
        <f t="shared" ca="1" si="12"/>
        <v>158723.41894245712</v>
      </c>
      <c r="L15" s="244">
        <f t="shared" ca="1" si="12"/>
        <v>163053.16145402132</v>
      </c>
      <c r="M15" s="244">
        <f t="shared" ca="1" si="12"/>
        <v>167482.79260064446</v>
      </c>
      <c r="N15" s="244">
        <f t="shared" ca="1" si="12"/>
        <v>171924.80666121817</v>
      </c>
      <c r="O15" s="244">
        <f t="shared" ca="1" si="12"/>
        <v>176477.95748765202</v>
      </c>
      <c r="P15" s="244">
        <f t="shared" ca="1" si="12"/>
        <v>180021.40441727912</v>
      </c>
      <c r="Q15" s="244">
        <f t="shared" ca="1" si="12"/>
        <v>184764.04095443262</v>
      </c>
      <c r="R15" s="244">
        <f t="shared" ca="1" si="12"/>
        <v>189626.36179547763</v>
      </c>
      <c r="S15" s="244">
        <f t="shared" ca="1" si="12"/>
        <v>194611.69061636878</v>
      </c>
      <c r="T15" s="244">
        <f t="shared" ca="1" si="12"/>
        <v>200352.90935166978</v>
      </c>
      <c r="U15" s="244">
        <f t="shared" ca="1" si="12"/>
        <v>205609.56409829063</v>
      </c>
      <c r="V15" s="244">
        <f t="shared" ca="1" si="12"/>
        <v>210999.93664716085</v>
      </c>
      <c r="W15" s="244">
        <f t="shared" ca="1" si="12"/>
        <v>216527.74536731641</v>
      </c>
      <c r="X15" s="244">
        <f t="shared" ca="1" si="12"/>
        <v>222196.81478568556</v>
      </c>
      <c r="Y15" s="244">
        <f t="shared" ca="1" si="12"/>
        <v>229769.35455345162</v>
      </c>
      <c r="Z15" s="244">
        <f t="shared" ca="1" si="12"/>
        <v>232947.82911708066</v>
      </c>
      <c r="AA15" s="244">
        <f t="shared" ca="1" si="12"/>
        <v>238839.21427720843</v>
      </c>
      <c r="AB15" s="244">
        <f t="shared" ca="1" si="12"/>
        <v>244882.71144671756</v>
      </c>
      <c r="AC15" s="244">
        <f t="shared" ca="1" si="12"/>
        <v>251082.57431910356</v>
      </c>
      <c r="AD15" s="244">
        <f t="shared" ca="1" si="12"/>
        <v>258105.96361627759</v>
      </c>
      <c r="AE15" s="244">
        <f t="shared" ca="1" si="12"/>
        <v>264647.99133348122</v>
      </c>
      <c r="AF15" s="244">
        <f t="shared" ca="1" si="12"/>
        <v>271360.13270303776</v>
      </c>
      <c r="AG15" s="244">
        <f t="shared" ca="1" si="12"/>
        <v>278247.15211639571</v>
      </c>
      <c r="AH15" s="244">
        <f t="shared" ca="1" si="12"/>
        <v>285313.95042315876</v>
      </c>
      <c r="AI15" s="244">
        <f t="shared" ref="AI15:BN15" ca="1" si="13">AI13-AI14</f>
        <v>292565.56887695473</v>
      </c>
      <c r="AJ15" s="244">
        <f t="shared" ca="1" si="13"/>
        <v>280901.83062223194</v>
      </c>
      <c r="AK15" s="244">
        <f t="shared" ca="1" si="13"/>
        <v>287998.91746161284</v>
      </c>
      <c r="AL15" s="244">
        <f t="shared" ca="1" si="13"/>
        <v>295284.17141610594</v>
      </c>
      <c r="AM15" s="244">
        <f t="shared" ca="1" si="13"/>
        <v>302762.92318292928</v>
      </c>
      <c r="AN15" s="244">
        <f t="shared" ca="1" si="13"/>
        <v>310440.65750510222</v>
      </c>
      <c r="AO15" s="244">
        <f t="shared" ca="1" si="13"/>
        <v>195129.17368879728</v>
      </c>
      <c r="AP15" s="244">
        <f t="shared" ca="1" si="13"/>
        <v>144541.08338026484</v>
      </c>
      <c r="AQ15" s="244">
        <f t="shared" ca="1" si="13"/>
        <v>144541.08338026484</v>
      </c>
      <c r="AR15" s="244">
        <f t="shared" ca="1" si="13"/>
        <v>144541.08338026484</v>
      </c>
      <c r="AS15" s="244">
        <f t="shared" ca="1" si="13"/>
        <v>144541.08338026484</v>
      </c>
      <c r="AT15" s="244">
        <f t="shared" ca="1" si="13"/>
        <v>144541.08338026484</v>
      </c>
      <c r="AU15" s="244">
        <f t="shared" ca="1" si="13"/>
        <v>144541.08338026484</v>
      </c>
      <c r="AV15" s="244">
        <f t="shared" ca="1" si="13"/>
        <v>144541.08338026484</v>
      </c>
      <c r="AW15" s="244">
        <f t="shared" ca="1" si="13"/>
        <v>144541.08338026484</v>
      </c>
      <c r="AX15" s="244">
        <f t="shared" ca="1" si="13"/>
        <v>144541.08338026484</v>
      </c>
      <c r="AY15" s="244">
        <f t="shared" ca="1" si="13"/>
        <v>144541.08338026484</v>
      </c>
      <c r="AZ15" s="244">
        <f t="shared" ca="1" si="13"/>
        <v>144541.08338026484</v>
      </c>
      <c r="BA15" s="244">
        <f t="shared" ca="1" si="13"/>
        <v>144541.08338026484</v>
      </c>
      <c r="BB15" s="244">
        <f t="shared" ca="1" si="13"/>
        <v>144541.08338026484</v>
      </c>
      <c r="BC15" s="244">
        <f t="shared" ca="1" si="13"/>
        <v>144541.08338026484</v>
      </c>
    </row>
    <row r="16" spans="2:55">
      <c r="B16" s="189" t="s">
        <v>53</v>
      </c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</row>
    <row r="17" spans="1:55">
      <c r="B17" s="159" t="s">
        <v>54</v>
      </c>
      <c r="C17" s="175">
        <f>IF(ISNUMBER('General overview'!$C$19),
    'General overview'!$C$19,
    IF('General overview'!$C$8="Yes",
        SUMIF('Health insurance'!$B$12:$B$37, 'CF Timeline'!C6, 'Health insurance'!$F$12:$F$37)*2,
        SUMIF('Health insurance'!$B$12:$B$37, 'CF Timeline'!C6, 'Health insurance'!$F$12:$F$37)
    )
)</f>
        <v>7480.2070045398177</v>
      </c>
      <c r="D17" s="175">
        <f>C17*(1+(SUMIF('Health insurance'!$B$12:$B$37,'CF Timeline'!D6,'Health insurance'!$E$12:$E$37)))</f>
        <v>7632.5581804650992</v>
      </c>
      <c r="E17" s="175">
        <f>D17*(1+(SUMIF('Health insurance'!$B$12:$B$37,'CF Timeline'!E6,'Health insurance'!$E$12:$E$37)))</f>
        <v>7788.0123294487103</v>
      </c>
      <c r="F17" s="175">
        <f>E17*(1+(SUMIF('Health insurance'!$B$12:$B$37,'CF Timeline'!F6,'Health insurance'!$E$12:$E$37)))</f>
        <v>7946.6326504895578</v>
      </c>
      <c r="G17" s="175">
        <f>F17*(1+(SUMIF('Health insurance'!$B$12:$B$37,'CF Timeline'!G6,'Health insurance'!$E$12:$E$37)))</f>
        <v>8108.4836297757656</v>
      </c>
      <c r="H17" s="175">
        <f>G17*(1+(SUMIF('Health insurance'!$B$12:$B$37,'CF Timeline'!H6,'Health insurance'!$E$12:$E$37)))</f>
        <v>8273.6310669011673</v>
      </c>
      <c r="I17" s="175">
        <f>H17*(1+(SUMIF('Health insurance'!$B$12:$B$37,'CF Timeline'!I6,'Health insurance'!$E$12:$E$37)))</f>
        <v>8442.1421016157583</v>
      </c>
      <c r="J17" s="175">
        <f>I17*(1+(SUMIF('Health insurance'!$B$12:$B$37,'CF Timeline'!J6,'Health insurance'!$E$12:$E$37)))</f>
        <v>8614.0852411209744</v>
      </c>
      <c r="K17" s="175">
        <f>J17*(1+(SUMIF('Health insurance'!$B$12:$B$37,'CF Timeline'!K6,'Health insurance'!$E$12:$E$37)))</f>
        <v>8789.5303879209096</v>
      </c>
      <c r="L17" s="175">
        <f>K17*(1+(SUMIF('Health insurance'!$B$12:$B$37,'CF Timeline'!L6,'Health insurance'!$E$12:$E$37)))</f>
        <v>8968.5488682407758</v>
      </c>
      <c r="M17" s="175">
        <f>L17*(1+(SUMIF('Health insurance'!$B$12:$B$37,'CF Timeline'!M6,'Health insurance'!$E$12:$E$37)))</f>
        <v>9148.8101617368247</v>
      </c>
      <c r="N17" s="175">
        <f>M17*(1+(SUMIF('Health insurance'!$B$12:$B$37,'CF Timeline'!N6,'Health insurance'!$E$12:$E$37)))</f>
        <v>9332.6945758079237</v>
      </c>
      <c r="O17" s="175">
        <f>N17*(1+(SUMIF('Health insurance'!$B$12:$B$37,'CF Timeline'!O6,'Health insurance'!$E$12:$E$37)))</f>
        <v>9520.2749325361001</v>
      </c>
      <c r="P17" s="175">
        <f>O17*(1+(SUMIF('Health insurance'!$B$12:$B$37,'CF Timeline'!P6,'Health insurance'!$E$12:$E$37)))</f>
        <v>9711.6255176741379</v>
      </c>
      <c r="Q17" s="175">
        <f>P17*(1+(SUMIF('Health insurance'!$B$12:$B$37,'CF Timeline'!Q6,'Health insurance'!$E$12:$E$37)))</f>
        <v>9906.8221100642932</v>
      </c>
      <c r="R17" s="175">
        <f>Q17*(1+(SUMIF('Health insurance'!$B$12:$B$37,'CF Timeline'!R6,'Health insurance'!$E$12:$E$37)))</f>
        <v>10105.942011648298</v>
      </c>
      <c r="S17" s="175">
        <f>R17*(1+(SUMIF('Health insurance'!$B$12:$B$37,'CF Timeline'!S6,'Health insurance'!$E$12:$E$37)))</f>
        <v>10309.064078080559</v>
      </c>
      <c r="T17" s="175">
        <f>S17*(1+(SUMIF('Health insurance'!$B$12:$B$37,'CF Timeline'!T6,'Health insurance'!$E$12:$E$37)))</f>
        <v>10516.268749956644</v>
      </c>
      <c r="U17" s="175">
        <f>T17*(1+(SUMIF('Health insurance'!$B$12:$B$37,'CF Timeline'!U6,'Health insurance'!$E$12:$E$37)))</f>
        <v>10727.638084669441</v>
      </c>
      <c r="V17" s="175">
        <f>U17*(1+(SUMIF('Health insurance'!$B$12:$B$37,'CF Timeline'!V6,'Health insurance'!$E$12:$E$37)))</f>
        <v>10943.255788905612</v>
      </c>
      <c r="W17" s="175">
        <f>V17*(1+(SUMIF('Health insurance'!$B$12:$B$37,'CF Timeline'!W6,'Health insurance'!$E$12:$E$37)))</f>
        <v>11163.207251795193</v>
      </c>
      <c r="X17" s="175">
        <f>W17*(1+(SUMIF('Health insurance'!$B$12:$B$37,'CF Timeline'!X6,'Health insurance'!$E$12:$E$37)))</f>
        <v>11387.579578727476</v>
      </c>
      <c r="Y17" s="175">
        <f>X17*(1+(SUMIF('Health insurance'!$B$12:$B$37,'CF Timeline'!Y6,'Health insurance'!$E$12:$E$37)))</f>
        <v>11616.461625846574</v>
      </c>
      <c r="Z17" s="175">
        <f>Y17*(1+(SUMIF('Health insurance'!$B$12:$B$37,'CF Timeline'!Z6,'Health insurance'!$E$12:$E$37)))</f>
        <v>11849.944035240309</v>
      </c>
      <c r="AA17" s="175">
        <f>Z17*(1+(SUMIF('Health insurance'!$B$12:$B$37,'CF Timeline'!AA6,'Health insurance'!$E$12:$E$37)))</f>
        <v>12088.119270836389</v>
      </c>
      <c r="AB17" s="175">
        <f>AA17*(1+(SUMIF('Health insurance'!$B$12:$B$37,'CF Timeline'!AB6,'Health insurance'!$E$12:$E$37)))</f>
        <v>12331.081655020052</v>
      </c>
      <c r="AC17" s="175">
        <f>AB17*(1+(SUMIF('Health insurance'!$B$12:$B$37,'CF Timeline'!AC6,'Health insurance'!$E$12:$E$37)))</f>
        <v>12578.927405987715</v>
      </c>
      <c r="AD17" s="175">
        <f>AC17*(1+(SUMIF('Health insurance'!$B$12:$B$37,'CF Timeline'!AD6,'Health insurance'!$E$12:$E$37)))</f>
        <v>12831.754675851387</v>
      </c>
      <c r="AE17" s="175">
        <f>AD17*(1+(SUMIF('Health insurance'!$B$12:$B$37,'CF Timeline'!AE6,'Health insurance'!$E$12:$E$37)))</f>
        <v>13089.663589508973</v>
      </c>
      <c r="AF17" s="175">
        <f>AE17*(1+(SUMIF('Health insurance'!$B$12:$B$37,'CF Timeline'!AF6,'Health insurance'!$E$12:$E$37)))</f>
        <v>13352.756284295823</v>
      </c>
      <c r="AG17" s="175">
        <f>AF17*(1+(SUMIF('Health insurance'!$B$12:$B$37,'CF Timeline'!AG6,'Health insurance'!$E$12:$E$37)))</f>
        <v>13621.136950433265</v>
      </c>
      <c r="AH17" s="175">
        <f>AG17*(1+(SUMIF('Health insurance'!$B$12:$B$37,'CF Timeline'!AH6,'Health insurance'!$E$12:$E$37)))</f>
        <v>13894.911872290111</v>
      </c>
      <c r="AI17" s="175">
        <f>AH17*(1+(SUMIF('Health insurance'!$B$12:$B$37,'CF Timeline'!AI6,'Health insurance'!$E$12:$E$37)))</f>
        <v>14174.189470473499</v>
      </c>
      <c r="AJ17" s="175">
        <f>AI17*(1+(SUMIF('Health insurance'!$B$12:$B$37,'CF Timeline'!AJ6,'Health insurance'!$E$12:$E$37)))</f>
        <v>14459.08034476572</v>
      </c>
      <c r="AK17" s="175">
        <f>AJ17*(1+(SUMIF('Health insurance'!$B$12:$B$37,'CF Timeline'!AK6,'Health insurance'!$E$12:$E$37)))</f>
        <v>14749.697317924058</v>
      </c>
      <c r="AL17" s="175">
        <f>AK17*(1+(SUMIF('Health insurance'!$B$12:$B$37,'CF Timeline'!AL6,'Health insurance'!$E$12:$E$37)))</f>
        <v>15046.155480360956</v>
      </c>
      <c r="AM17" s="175">
        <f>AL17*(1+(SUMIF('Health insurance'!$B$12:$B$37,'CF Timeline'!AM6,'Health insurance'!$E$12:$E$37)))</f>
        <v>15348.572235722244</v>
      </c>
      <c r="AN17" s="175">
        <f>AM17*(1+(SUMIF('Health insurance'!$B$12:$B$37,'CF Timeline'!AN6,'Health insurance'!$E$12:$E$37)))</f>
        <v>15657.067347381433</v>
      </c>
      <c r="AO17" s="175">
        <f>AN17*(1+(SUMIF('Health insurance'!$B$12:$B$37,'CF Timeline'!AO6,'Health insurance'!$E$12:$E$37)))</f>
        <v>15971.762985868527</v>
      </c>
      <c r="AP17" s="175">
        <f>AO17*(1+(SUMIF('Health insurance'!$B$12:$B$37,'CF Timeline'!AP6,'Health insurance'!$E$12:$E$37)))</f>
        <v>16292.783777252109</v>
      </c>
      <c r="AQ17" s="175">
        <f>AP17*(1+(SUMIF('Health insurance'!$B$12:$B$37,'CF Timeline'!AQ6,'Health insurance'!$E$12:$E$37)))</f>
        <v>16620.25685249388</v>
      </c>
      <c r="AR17" s="175">
        <f>AQ17*(1+(SUMIF('Health insurance'!$B$12:$B$37,'CF Timeline'!AR6,'Health insurance'!$E$12:$E$37)))</f>
        <v>16954.311897795182</v>
      </c>
      <c r="AS17" s="175">
        <f>AR17*(1+(SUMIF('Health insurance'!$B$12:$B$37,'CF Timeline'!AS6,'Health insurance'!$E$12:$E$37)))</f>
        <v>17295.081205955456</v>
      </c>
      <c r="AT17" s="175">
        <f>AS17*(1+(SUMIF('Health insurance'!$B$12:$B$37,'CF Timeline'!AT6,'Health insurance'!$E$12:$E$37)))</f>
        <v>17642.699728762957</v>
      </c>
      <c r="AU17" s="175">
        <f>AT17*(1+(SUMIF('Health insurance'!$B$12:$B$37,'CF Timeline'!AU6,'Health insurance'!$E$12:$E$37)))</f>
        <v>17997.305130438494</v>
      </c>
      <c r="AV17" s="175">
        <f>AU17*(1+(SUMIF('Health insurance'!$B$12:$B$37,'CF Timeline'!AV6,'Health insurance'!$E$12:$E$37)))</f>
        <v>18359.037842153346</v>
      </c>
      <c r="AW17" s="175">
        <f>AV17*(1+(SUMIF('Health insurance'!$B$12:$B$37,'CF Timeline'!AW6,'Health insurance'!$E$12:$E$37)))</f>
        <v>18728.041117642955</v>
      </c>
      <c r="AX17" s="175">
        <f>AW17*(1+(SUMIF('Health insurance'!$B$12:$B$37,'CF Timeline'!AX6,'Health insurance'!$E$12:$E$37)))</f>
        <v>19104.461089938395</v>
      </c>
      <c r="AY17" s="175">
        <f>AX17*(1+(SUMIF('Health insurance'!$B$12:$B$37,'CF Timeline'!AY6,'Health insurance'!$E$12:$E$37)))</f>
        <v>19488.446829238128</v>
      </c>
      <c r="AZ17" s="175">
        <f>AY17*(1+(SUMIF('Health insurance'!$B$12:$B$37,'CF Timeline'!AZ6,'Health insurance'!$E$12:$E$37)))</f>
        <v>19880.150401942919</v>
      </c>
      <c r="BA17" s="175">
        <f>AZ17*(1+(SUMIF('Health insurance'!$B$12:$B$37,'CF Timeline'!BA6,'Health insurance'!$E$12:$E$37)))</f>
        <v>20279.726930877325</v>
      </c>
      <c r="BB17" s="175">
        <f>BA17*(1+(SUMIF('Health insurance'!$B$12:$B$37,'CF Timeline'!BB6,'Health insurance'!$E$12:$E$37)))</f>
        <v>20687.33465672157</v>
      </c>
      <c r="BC17" s="175">
        <f>BB17*(1+(SUMIF('Health insurance'!$B$12:$B$37,'CF Timeline'!BC6,'Health insurance'!$E$12:$E$37)))</f>
        <v>21103.13500067819</v>
      </c>
    </row>
    <row r="18" spans="1:55">
      <c r="A18" s="322"/>
      <c r="B18" s="159" t="s">
        <v>55</v>
      </c>
      <c r="C18" s="175">
        <f ca="1">IF('General overview'!$C$16&gt;0,'General overview'!$C$16,VLOOKUP(C6,'RC'!$A$3:$F$28,IF('CF Timeline'!C15&lt;56028,2,IF('CF Timeline'!C15&lt;84048,3,IF('CF Timeline'!C15&lt;116796,4,IF('CF Timeline'!C15&lt;164592,5,6)))),FALSE)*C15)</f>
        <v>42691.052878773888</v>
      </c>
      <c r="D18" s="314">
        <f ca="1">IF('General overview'!$C$16&gt;0,'General overview'!$C$16*((1+0.007)^(D4-$C$4)),VLOOKUP(D6,'RC'!$A$3:$F$28,IF('CF Timeline'!D15&lt;56028,2,IF('CF Timeline'!D15&lt;84048,3,IF('CF Timeline'!D15&lt;116796,4,IF('CF Timeline'!D15&lt;164592,5,6)))),FALSE)*D15)</f>
        <v>43938.889843524761</v>
      </c>
      <c r="E18" s="314">
        <f ca="1">IF('General overview'!$C$16&gt;0,'General overview'!$C$16*((1+0.007)^(E4-$C$4)),VLOOKUP(E6,'RC'!$A$3:$F$28,IF('CF Timeline'!E15&lt;56028,2,IF('CF Timeline'!E15&lt;84048,3,IF('CF Timeline'!E15&lt;116796,4,IF('CF Timeline'!E15&lt;164592,5,6)))),FALSE)*E15)</f>
        <v>45217.041802910702</v>
      </c>
      <c r="F18" s="314">
        <f ca="1">IF('General overview'!$C$16&gt;0,'General overview'!$C$16*((1+0.007)^(F4-$C$4)),VLOOKUP(F6,'RC'!$A$3:$F$28,IF('CF Timeline'!F15&lt;56028,2,IF('CF Timeline'!F15&lt;84048,3,IF('CF Timeline'!F15&lt;116796,4,IF('CF Timeline'!F15&lt;164592,5,6)))),FALSE)*F15)</f>
        <v>45944.135020778893</v>
      </c>
      <c r="G18" s="314">
        <f ca="1">IF('General overview'!$C$16&gt;0,'General overview'!$C$16*((1+0.007)^(G4-$C$4)),VLOOKUP(G6,'RC'!$A$3:$F$28,IF('CF Timeline'!G15&lt;56028,2,IF('CF Timeline'!G15&lt;84048,3,IF('CF Timeline'!G15&lt;116796,4,IF('CF Timeline'!G15&lt;164592,5,6)))),FALSE)*G15)</f>
        <v>47191.550369821678</v>
      </c>
      <c r="H18" s="314">
        <f ca="1">IF('General overview'!$C$16&gt;0,'General overview'!$C$16*((1+0.007)^(H4-$C$4)),VLOOKUP(H6,'RC'!$A$3:$F$28,IF('CF Timeline'!H15&lt;56028,2,IF('CF Timeline'!H15&lt;84048,3,IF('CF Timeline'!H15&lt;116796,4,IF('CF Timeline'!H15&lt;164592,5,6)))),FALSE)*H15)</f>
        <v>48535.83290224825</v>
      </c>
      <c r="I18" s="314">
        <f ca="1">IF('General overview'!$C$16&gt;0,'General overview'!$C$16*((1+0.007)^(I4-$C$4)),VLOOKUP(I6,'RC'!$A$3:$F$28,IF('CF Timeline'!I15&lt;56028,2,IF('CF Timeline'!I15&lt;84048,3,IF('CF Timeline'!I15&lt;116796,4,IF('CF Timeline'!I15&lt;164592,5,6)))),FALSE)*I15)</f>
        <v>49913.231600390456</v>
      </c>
      <c r="J18" s="314">
        <f ca="1">IF('General overview'!$C$16&gt;0,'General overview'!$C$16*((1+0.007)^(J4-$C$4)),VLOOKUP(J6,'RC'!$A$3:$F$28,IF('CF Timeline'!J15&lt;56028,2,IF('CF Timeline'!J15&lt;84048,3,IF('CF Timeline'!J15&lt;116796,4,IF('CF Timeline'!J15&lt;164592,5,6)))),FALSE)*J15)</f>
        <v>51352.444828421219</v>
      </c>
      <c r="K18" s="314">
        <f ca="1">IF('General overview'!$C$16&gt;0,'General overview'!$C$16*((1+0.007)^(K4-$C$4)),VLOOKUP(K6,'RC'!$A$3:$F$28,IF('CF Timeline'!K15&lt;56028,2,IF('CF Timeline'!K15&lt;84048,3,IF('CF Timeline'!K15&lt;116796,4,IF('CF Timeline'!K15&lt;164592,5,6)))),FALSE)*K15)</f>
        <v>52790.482223982057</v>
      </c>
      <c r="L18" s="314">
        <f ca="1">IF('General overview'!$C$16&gt;0,'General overview'!$C$16*((1+0.007)^(L4-$C$4)),VLOOKUP(L6,'RC'!$A$3:$F$28,IF('CF Timeline'!L15&lt;56028,2,IF('CF Timeline'!L15&lt;84048,3,IF('CF Timeline'!L15&lt;116796,4,IF('CF Timeline'!L15&lt;164592,5,6)))),FALSE)*L15)</f>
        <v>54230.529298409136</v>
      </c>
      <c r="M18" s="314">
        <f ca="1">IF('General overview'!$C$16&gt;0,'General overview'!$C$16*((1+0.007)^(M4-$C$4)),VLOOKUP(M6,'RC'!$A$3:$F$28,IF('CF Timeline'!M15&lt;56028,2,IF('CF Timeline'!M15&lt;84048,3,IF('CF Timeline'!M15&lt;116796,4,IF('CF Timeline'!M15&lt;164592,5,6)))),FALSE)*M15)</f>
        <v>53427.010839605588</v>
      </c>
      <c r="N18" s="314">
        <f ca="1">IF('General overview'!$C$16&gt;0,'General overview'!$C$16*((1+0.007)^(N4-$C$4)),VLOOKUP(N6,'RC'!$A$3:$F$28,IF('CF Timeline'!N15&lt;56028,2,IF('CF Timeline'!N15&lt;84048,3,IF('CF Timeline'!N15&lt;116796,4,IF('CF Timeline'!N15&lt;164592,5,6)))),FALSE)*N15)</f>
        <v>54844.013324928601</v>
      </c>
      <c r="O18" s="314">
        <f ca="1">IF('General overview'!$C$16&gt;0,'General overview'!$C$16*((1+0.007)^(O4-$C$4)),VLOOKUP(O6,'RC'!$A$3:$F$28,IF('CF Timeline'!O15&lt;56028,2,IF('CF Timeline'!O15&lt;84048,3,IF('CF Timeline'!O15&lt;116796,4,IF('CF Timeline'!O15&lt;164592,5,6)))),FALSE)*O15)</f>
        <v>56296.468438560994</v>
      </c>
      <c r="P18" s="314">
        <f ca="1">IF('General overview'!$C$16&gt;0,'General overview'!$C$16*((1+0.007)^(P4-$C$4)),VLOOKUP(P6,'RC'!$A$3:$F$28,IF('CF Timeline'!P15&lt;56028,2,IF('CF Timeline'!P15&lt;84048,3,IF('CF Timeline'!P15&lt;116796,4,IF('CF Timeline'!P15&lt;164592,5,6)))),FALSE)*P15)</f>
        <v>57426.82800911204</v>
      </c>
      <c r="Q18" s="314">
        <f ca="1">IF('General overview'!$C$16&gt;0,'General overview'!$C$16*((1+0.007)^(Q4-$C$4)),VLOOKUP(Q6,'RC'!$A$3:$F$28,IF('CF Timeline'!Q15&lt;56028,2,IF('CF Timeline'!Q15&lt;84048,3,IF('CF Timeline'!Q15&lt;116796,4,IF('CF Timeline'!Q15&lt;164592,5,6)))),FALSE)*Q15)</f>
        <v>58939.729064464009</v>
      </c>
      <c r="R18" s="314">
        <f ca="1">IF('General overview'!$C$16&gt;0,'General overview'!$C$16*((1+0.007)^(R4-$C$4)),VLOOKUP(R6,'RC'!$A$3:$F$28,IF('CF Timeline'!R15&lt;56028,2,IF('CF Timeline'!R15&lt;84048,3,IF('CF Timeline'!R15&lt;116796,4,IF('CF Timeline'!R15&lt;164592,5,6)))),FALSE)*R15)</f>
        <v>60490.809412757364</v>
      </c>
      <c r="S18" s="314">
        <f ca="1">IF('General overview'!$C$16&gt;0,'General overview'!$C$16*((1+0.007)^(S4-$C$4)),VLOOKUP(S6,'RC'!$A$3:$F$28,IF('CF Timeline'!S15&lt;56028,2,IF('CF Timeline'!S15&lt;84048,3,IF('CF Timeline'!S15&lt;116796,4,IF('CF Timeline'!S15&lt;164592,5,6)))),FALSE)*S15)</f>
        <v>62081.129306621646</v>
      </c>
      <c r="T18" s="314">
        <f ca="1">IF('General overview'!$C$16&gt;0,'General overview'!$C$16*((1+0.007)^(T4-$C$4)),VLOOKUP(T6,'RC'!$A$3:$F$28,IF('CF Timeline'!T15&lt;56028,2,IF('CF Timeline'!T15&lt;84048,3,IF('CF Timeline'!T15&lt;116796,4,IF('CF Timeline'!T15&lt;164592,5,6)))),FALSE)*T15)</f>
        <v>63912.578083182663</v>
      </c>
      <c r="U18" s="314">
        <f ca="1">IF('General overview'!$C$16&gt;0,'General overview'!$C$16*((1+0.007)^(U4-$C$4)),VLOOKUP(U6,'RC'!$A$3:$F$28,IF('CF Timeline'!U15&lt;56028,2,IF('CF Timeline'!U15&lt;84048,3,IF('CF Timeline'!U15&lt;116796,4,IF('CF Timeline'!U15&lt;164592,5,6)))),FALSE)*U15)</f>
        <v>65589.450947354708</v>
      </c>
      <c r="V18" s="314">
        <f ca="1">IF('General overview'!$C$16&gt;0,'General overview'!$C$16*((1+0.007)^(V4-$C$4)),VLOOKUP(V6,'RC'!$A$3:$F$28,IF('CF Timeline'!V15&lt;56028,2,IF('CF Timeline'!V15&lt;84048,3,IF('CF Timeline'!V15&lt;116796,4,IF('CF Timeline'!V15&lt;164592,5,6)))),FALSE)*V15)</f>
        <v>67308.979790444311</v>
      </c>
      <c r="W18" s="314">
        <f ca="1">IF('General overview'!$C$16&gt;0,'General overview'!$C$16*((1+0.007)^(W4-$C$4)),VLOOKUP(W6,'RC'!$A$3:$F$28,IF('CF Timeline'!W15&lt;56028,2,IF('CF Timeline'!W15&lt;84048,3,IF('CF Timeline'!W15&lt;116796,4,IF('CF Timeline'!W15&lt;164592,5,6)))),FALSE)*W15)</f>
        <v>69072.35077217393</v>
      </c>
      <c r="X18" s="314">
        <f ca="1">IF('General overview'!$C$16&gt;0,'General overview'!$C$16*((1+0.007)^(X4-$C$4)),VLOOKUP(X6,'RC'!$A$3:$F$28,IF('CF Timeline'!X15&lt;56028,2,IF('CF Timeline'!X15&lt;84048,3,IF('CF Timeline'!X15&lt;116796,4,IF('CF Timeline'!X15&lt;164592,5,6)))),FALSE)*X15)</f>
        <v>70880.783916633693</v>
      </c>
      <c r="Y18" s="314">
        <f ca="1">IF('General overview'!$C$16&gt;0,'General overview'!$C$16*((1+0.007)^(Y4-$C$4)),VLOOKUP(Y6,'RC'!$A$3:$F$28,IF('CF Timeline'!Y15&lt;56028,2,IF('CF Timeline'!Y15&lt;84048,3,IF('CF Timeline'!Y15&lt;116796,4,IF('CF Timeline'!Y15&lt;164592,5,6)))),FALSE)*Y15)</f>
        <v>73296.424102551071</v>
      </c>
      <c r="Z18" s="314">
        <f ca="1">IF('General overview'!$C$16&gt;0,'General overview'!$C$16*((1+0.007)^(Z4-$C$4)),VLOOKUP(Z6,'RC'!$A$3:$F$28,IF('CF Timeline'!Z15&lt;56028,2,IF('CF Timeline'!Z15&lt;84048,3,IF('CF Timeline'!Z15&lt;116796,4,IF('CF Timeline'!Z15&lt;164592,5,6)))),FALSE)*Z15)</f>
        <v>74310.357488348731</v>
      </c>
      <c r="AA18" s="314">
        <f ca="1">IF('General overview'!$C$16&gt;0,'General overview'!$C$16*((1+0.007)^(AA4-$C$4)),VLOOKUP(AA6,'RC'!$A$3:$F$28,IF('CF Timeline'!AA15&lt;56028,2,IF('CF Timeline'!AA15&lt;84048,3,IF('CF Timeline'!AA15&lt;116796,4,IF('CF Timeline'!AA15&lt;164592,5,6)))),FALSE)*AA15)</f>
        <v>76189.709354429491</v>
      </c>
      <c r="AB18" s="314">
        <f ca="1">IF('General overview'!$C$16&gt;0,'General overview'!$C$16*((1+0.007)^(AB4-$C$4)),VLOOKUP(AB6,'RC'!$A$3:$F$28,IF('CF Timeline'!AB15&lt;56028,2,IF('CF Timeline'!AB15&lt;84048,3,IF('CF Timeline'!AB15&lt;116796,4,IF('CF Timeline'!AB15&lt;164592,5,6)))),FALSE)*AB15)</f>
        <v>78117.584951502897</v>
      </c>
      <c r="AC18" s="314">
        <f ca="1">IF('General overview'!$C$16&gt;0,'General overview'!$C$16*((1+0.007)^(AC4-$C$4)),VLOOKUP(AC6,'RC'!$A$3:$F$28,IF('CF Timeline'!AC15&lt;56028,2,IF('CF Timeline'!AC15&lt;84048,3,IF('CF Timeline'!AC15&lt;116796,4,IF('CF Timeline'!AC15&lt;164592,5,6)))),FALSE)*AC15)</f>
        <v>80095.34120779403</v>
      </c>
      <c r="AD18" s="314">
        <f ca="1">IF('General overview'!$C$16&gt;0,'General overview'!$C$16*((1+0.007)^(AD4-$C$4)),VLOOKUP(AD6,'RC'!$A$3:$F$28,IF('CF Timeline'!AD15&lt;56028,2,IF('CF Timeline'!AD15&lt;84048,3,IF('CF Timeline'!AD15&lt;116796,4,IF('CF Timeline'!AD15&lt;164592,5,6)))),FALSE)*AD15)</f>
        <v>82335.802393592545</v>
      </c>
      <c r="AE18" s="314">
        <f ca="1">IF('General overview'!$C$16&gt;0,'General overview'!$C$16*((1+0.007)^(AE4-$C$4)),VLOOKUP(AE6,'RC'!$A$3:$F$28,IF('CF Timeline'!AE15&lt;56028,2,IF('CF Timeline'!AE15&lt;84048,3,IF('CF Timeline'!AE15&lt;116796,4,IF('CF Timeline'!AE15&lt;164592,5,6)))),FALSE)*AE15)</f>
        <v>84422.709235380506</v>
      </c>
      <c r="AF18" s="314">
        <f ca="1">IF('General overview'!$C$16&gt;0,'General overview'!$C$16*((1+0.007)^(AF4-$C$4)),VLOOKUP(AF6,'RC'!$A$3:$F$28,IF('CF Timeline'!AF15&lt;56028,2,IF('CF Timeline'!AF15&lt;84048,3,IF('CF Timeline'!AF15&lt;116796,4,IF('CF Timeline'!AF15&lt;164592,5,6)))),FALSE)*AF15)</f>
        <v>86563.882332269044</v>
      </c>
      <c r="AG18" s="314">
        <f ca="1">IF('General overview'!$C$16&gt;0,'General overview'!$C$16*((1+0.007)^(AG4-$C$4)),VLOOKUP(AG6,'RC'!$A$3:$F$28,IF('CF Timeline'!AG15&lt;56028,2,IF('CF Timeline'!AG15&lt;84048,3,IF('CF Timeline'!AG15&lt;116796,4,IF('CF Timeline'!AG15&lt;164592,5,6)))),FALSE)*AG15)</f>
        <v>88760.841525130236</v>
      </c>
      <c r="AH18" s="314">
        <f ca="1">IF('General overview'!$C$16&gt;0,'General overview'!$C$16*((1+0.007)^(AH4-$C$4)),VLOOKUP(AH6,'RC'!$A$3:$F$28,IF('CF Timeline'!AH15&lt;56028,2,IF('CF Timeline'!AH15&lt;84048,3,IF('CF Timeline'!AH15&lt;116796,4,IF('CF Timeline'!AH15&lt;164592,5,6)))),FALSE)*AH15)</f>
        <v>91015.150184987651</v>
      </c>
      <c r="AI18" s="314">
        <f ca="1">IF('General overview'!$C$16&gt;0,'General overview'!$C$16*((1+0.007)^(AI4-$C$4)),VLOOKUP(AI6,'RC'!$A$3:$F$28,IF('CF Timeline'!AI15&lt;56028,2,IF('CF Timeline'!AI15&lt;84048,3,IF('CF Timeline'!AI15&lt;116796,4,IF('CF Timeline'!AI15&lt;164592,5,6)))),FALSE)*AI15)</f>
        <v>93328.416471748555</v>
      </c>
      <c r="AJ18" s="314">
        <f ca="1">IF('General overview'!$C$16&gt;0,'General overview'!$C$16*((1+0.007)^(AJ4-$C$4)),VLOOKUP(AJ6,'RC'!$A$3:$F$28,IF('CF Timeline'!AJ15&lt;56028,2,IF('CF Timeline'!AJ15&lt;84048,3,IF('CF Timeline'!AJ15&lt;116796,4,IF('CF Timeline'!AJ15&lt;164592,5,6)))),FALSE)*AJ15)</f>
        <v>89607.683968491983</v>
      </c>
      <c r="AK18" s="314">
        <f ca="1">IF('General overview'!$C$16&gt;0,'General overview'!$C$16*((1+0.007)^(AK4-$C$4)),VLOOKUP(AK6,'RC'!$A$3:$F$28,IF('CF Timeline'!AK15&lt;56028,2,IF('CF Timeline'!AK15&lt;84048,3,IF('CF Timeline'!AK15&lt;116796,4,IF('CF Timeline'!AK15&lt;164592,5,6)))),FALSE)*AK15)</f>
        <v>91871.654670254502</v>
      </c>
      <c r="AL18" s="314">
        <f ca="1">IF('General overview'!$C$16&gt;0,'General overview'!$C$16*((1+0.007)^(AL4-$C$4)),VLOOKUP(AL6,'RC'!$A$3:$F$28,IF('CF Timeline'!AL15&lt;56028,2,IF('CF Timeline'!AL15&lt;84048,3,IF('CF Timeline'!AL15&lt;116796,4,IF('CF Timeline'!AL15&lt;164592,5,6)))),FALSE)*AL15)</f>
        <v>94195.650681737796</v>
      </c>
      <c r="AM18" s="314">
        <f ca="1">IF('General overview'!$C$16&gt;0,'General overview'!$C$16*((1+0.007)^(AM4-$C$4)),VLOOKUP(AM6,'RC'!$A$3:$F$28,IF('CF Timeline'!AM15&lt;56028,2,IF('CF Timeline'!AM15&lt;84048,3,IF('CF Timeline'!AM15&lt;116796,4,IF('CF Timeline'!AM15&lt;164592,5,6)))),FALSE)*AM15)</f>
        <v>96581.372495354444</v>
      </c>
      <c r="AN18" s="314">
        <f ca="1">IF('General overview'!$C$16&gt;0,'General overview'!$C$16*((1+0.007)^(AN4-$C$4)),VLOOKUP(AN6,'RC'!$A$3:$F$28,IF('CF Timeline'!AN15&lt;56028,2,IF('CF Timeline'!AN15&lt;84048,3,IF('CF Timeline'!AN15&lt;116796,4,IF('CF Timeline'!AN15&lt;164592,5,6)))),FALSE)*AN15)</f>
        <v>99030.569744127613</v>
      </c>
      <c r="AO18" s="314">
        <f ca="1">IF('General overview'!$C$16&gt;0,'General overview'!$C$16*((1+0.007)^(AO4-$C$4)),VLOOKUP(AO6,'RC'!$A$3:$F$28,IF('CF Timeline'!AO15&lt;56028,2,IF('CF Timeline'!AO15&lt;84048,3,IF('CF Timeline'!AO15&lt;116796,4,IF('CF Timeline'!AO15&lt;164592,5,6)))),FALSE)*AO15)</f>
        <v>62246.206406726335</v>
      </c>
      <c r="AP18" s="314">
        <f ca="1">IF('General overview'!$C$16&gt;0,'General overview'!$C$16*((1+0.007)^(AP4-$C$4)),VLOOKUP(AP6,'RC'!$A$3:$F$28,IF('CF Timeline'!AP15&lt;56028,2,IF('CF Timeline'!AP15&lt;84048,3,IF('CF Timeline'!AP15&lt;116796,4,IF('CF Timeline'!AP15&lt;164592,5,6)))),FALSE)*AP15)</f>
        <v>50444.838099712426</v>
      </c>
      <c r="AQ18" s="314">
        <f ca="1">IF('General overview'!$C$16&gt;0,'General overview'!$C$16*((1+0.007)^(AQ4-$C$4)),VLOOKUP(AQ6,'RC'!$A$3:$F$28,IF('CF Timeline'!AQ15&lt;56028,2,IF('CF Timeline'!AQ15&lt;84048,3,IF('CF Timeline'!AQ15&lt;116796,4,IF('CF Timeline'!AQ15&lt;164592,5,6)))),FALSE)*AQ15)</f>
        <v>50444.838099712426</v>
      </c>
      <c r="AR18" s="314">
        <f ca="1">IF('General overview'!$C$16&gt;0,'General overview'!$C$16*((1+0.007)^(AR4-$C$4)),VLOOKUP(AR6,'RC'!$A$3:$F$28,IF('CF Timeline'!AR15&lt;56028,2,IF('CF Timeline'!AR15&lt;84048,3,IF('CF Timeline'!AR15&lt;116796,4,IF('CF Timeline'!AR15&lt;164592,5,6)))),FALSE)*AR15)</f>
        <v>50444.838099712426</v>
      </c>
      <c r="AS18" s="314">
        <f ca="1">IF('General overview'!$C$16&gt;0,'General overview'!$C$16*((1+0.007)^(AS4-$C$4)),VLOOKUP(AS6,'RC'!$A$3:$F$28,IF('CF Timeline'!AS15&lt;56028,2,IF('CF Timeline'!AS15&lt;84048,3,IF('CF Timeline'!AS15&lt;116796,4,IF('CF Timeline'!AS15&lt;164592,5,6)))),FALSE)*AS15)</f>
        <v>50444.838099712426</v>
      </c>
      <c r="AT18" s="314">
        <f ca="1">IF('General overview'!$C$16&gt;0,'General overview'!$C$16*((1+0.007)^(AT4-$C$4)),VLOOKUP(AT6,'RC'!$A$3:$F$28,IF('CF Timeline'!AT15&lt;56028,2,IF('CF Timeline'!AT15&lt;84048,3,IF('CF Timeline'!AT15&lt;116796,4,IF('CF Timeline'!AT15&lt;164592,5,6)))),FALSE)*AT15)</f>
        <v>50444.838099712426</v>
      </c>
      <c r="AU18" s="314">
        <f ca="1">IF('General overview'!$C$16&gt;0,'General overview'!$C$16*((1+0.007)^(AU4-$C$4)),VLOOKUP(AU6,'RC'!$A$3:$F$28,IF('CF Timeline'!AU15&lt;56028,2,IF('CF Timeline'!AU15&lt;84048,3,IF('CF Timeline'!AU15&lt;116796,4,IF('CF Timeline'!AU15&lt;164592,5,6)))),FALSE)*AU15)</f>
        <v>50444.838099712426</v>
      </c>
      <c r="AV18" s="314">
        <f ca="1">IF('General overview'!$C$16&gt;0,'General overview'!$C$16*((1+0.007)^(AV4-$C$4)),VLOOKUP(AV6,'RC'!$A$3:$F$28,IF('CF Timeline'!AV15&lt;56028,2,IF('CF Timeline'!AV15&lt;84048,3,IF('CF Timeline'!AV15&lt;116796,4,IF('CF Timeline'!AV15&lt;164592,5,6)))),FALSE)*AV15)</f>
        <v>50444.838099712426</v>
      </c>
      <c r="AW18" s="314">
        <f ca="1">IF('General overview'!$C$16&gt;0,'General overview'!$C$16*((1+0.007)^(AW4-$C$4)),VLOOKUP(AW6,'RC'!$A$3:$F$28,IF('CF Timeline'!AW15&lt;56028,2,IF('CF Timeline'!AW15&lt;84048,3,IF('CF Timeline'!AW15&lt;116796,4,IF('CF Timeline'!AW15&lt;164592,5,6)))),FALSE)*AW15)</f>
        <v>50444.838099712426</v>
      </c>
      <c r="AX18" s="314">
        <f ca="1">IF('General overview'!$C$16&gt;0,'General overview'!$C$16*((1+0.007)^(AX4-$C$4)),VLOOKUP(AX6,'RC'!$A$3:$F$28,IF('CF Timeline'!AX15&lt;56028,2,IF('CF Timeline'!AX15&lt;84048,3,IF('CF Timeline'!AX15&lt;116796,4,IF('CF Timeline'!AX15&lt;164592,5,6)))),FALSE)*AX15)</f>
        <v>50444.838099712426</v>
      </c>
      <c r="AY18" s="314">
        <f ca="1">IF('General overview'!$C$16&gt;0,'General overview'!$C$16*((1+0.007)^(AY4-$C$4)),VLOOKUP(AY6,'RC'!$A$3:$F$28,IF('CF Timeline'!AY15&lt;56028,2,IF('CF Timeline'!AY15&lt;84048,3,IF('CF Timeline'!AY15&lt;116796,4,IF('CF Timeline'!AY15&lt;164592,5,6)))),FALSE)*AY15)</f>
        <v>50444.838099712426</v>
      </c>
      <c r="AZ18" s="314">
        <f ca="1">IF('General overview'!$C$16&gt;0,'General overview'!$C$16*((1+0.007)^(AZ4-$C$4)),VLOOKUP(AZ6,'RC'!$A$3:$F$28,IF('CF Timeline'!AZ15&lt;56028,2,IF('CF Timeline'!AZ15&lt;84048,3,IF('CF Timeline'!AZ15&lt;116796,4,IF('CF Timeline'!AZ15&lt;164592,5,6)))),FALSE)*AZ15)</f>
        <v>50444.838099712426</v>
      </c>
      <c r="BA18" s="314">
        <f ca="1">IF('General overview'!$C$16&gt;0,'General overview'!$C$16*((1+0.007)^(BA4-$C$4)),VLOOKUP(BA6,'RC'!$A$3:$F$28,IF('CF Timeline'!BA15&lt;56028,2,IF('CF Timeline'!BA15&lt;84048,3,IF('CF Timeline'!BA15&lt;116796,4,IF('CF Timeline'!BA15&lt;164592,5,6)))),FALSE)*BA15)</f>
        <v>50444.838099712426</v>
      </c>
      <c r="BB18" s="314">
        <f ca="1">IF('General overview'!$C$16&gt;0,'General overview'!$C$16*((1+0.007)^(BB4-$C$4)),VLOOKUP(BB6,'RC'!$A$3:$F$28,IF('CF Timeline'!BB15&lt;56028,2,IF('CF Timeline'!BB15&lt;84048,3,IF('CF Timeline'!BB15&lt;116796,4,IF('CF Timeline'!BB15&lt;164592,5,6)))),FALSE)*BB15)</f>
        <v>50444.838099712426</v>
      </c>
      <c r="BC18" s="314">
        <f ca="1">IF('General overview'!$C$16&gt;0,'General overview'!$C$16*((1+0.007)^(BC4-$C$4)),VLOOKUP(BC6,'RC'!$A$3:$F$28,IF('CF Timeline'!BC15&lt;56028,2,IF('CF Timeline'!BC15&lt;84048,3,IF('CF Timeline'!BC15&lt;116796,4,IF('CF Timeline'!BC15&lt;164592,5,6)))),FALSE)*BC15)</f>
        <v>50444.838099712426</v>
      </c>
    </row>
    <row r="19" spans="1:55">
      <c r="A19" s="322"/>
      <c r="B19" s="159" t="s">
        <v>56</v>
      </c>
      <c r="C19" s="175">
        <f ca="1">IF(C4&lt;'General overview'!$C$29,IF('General overview'!$C$17&gt;0,'General overview'!$C$17/C15,VLOOKUP(C6,RE!$A$3:$F$28,IF(C15&lt;56028,2,IF(C15&lt;84048,3,IF(C15&lt;116796,4,IF(C15&lt;164592,5,6)))),FALSE))*C15,IF('General overview'!$C$27="Rent",('General overview'!$C$81)*0.07^(C4-'General overview'!$C$29),0))</f>
        <v>12981.358948418905</v>
      </c>
      <c r="D19" s="314">
        <f ca="1">IF(D4&lt;'General overview'!$C$29,IF('General overview'!$C$17&gt;0,('General overview'!$C$17/D15)*((1+0.007)^(D4-$C$4)),VLOOKUP(D6,RE!$A$3:$F$28,IF(D15&lt;56028,2,IF(D15&lt;84048,3,IF(D15&lt;116796,4,IF(D15&lt;164592,5,6)))),FALSE))*D15,IF('General overview'!$C$27="Rent",('General overview'!$C$81)*1.007^(D4-'General overview'!$C$29),0))</f>
        <v>13360.797225439959</v>
      </c>
      <c r="E19" s="314">
        <f ca="1">IF(E4&lt;'General overview'!$C$29,IF('General overview'!$C$17&gt;0,('General overview'!$C$17/E15)*((1+0.007)^(E4-$C$4)),VLOOKUP(E6,RE!$A$3:$F$28,IF(E15&lt;56028,2,IF(E15&lt;84048,3,IF(E15&lt;116796,4,IF(E15&lt;164592,5,6)))),FALSE))*E15,IF('General overview'!$C$27="Rent",('General overview'!$C$81)*1.007^(E4-'General overview'!$C$29),0))</f>
        <v>13749.453589163973</v>
      </c>
      <c r="F19" s="314">
        <f ca="1">IF(F4&lt;'General overview'!$C$29,IF('General overview'!$C$17&gt;0,('General overview'!$C$17/F15)*((1+0.007)^(F4-$C$4)),VLOOKUP(F6,RE!$A$3:$F$28,IF(F15&lt;56028,2,IF(F15&lt;84048,3,IF(F15&lt;116796,4,IF(F15&lt;164592,5,6)))),FALSE))*F15,IF('General overview'!$C$27="Rent",('General overview'!$C$81)*1.007^(F4-'General overview'!$C$29),0))</f>
        <v>13970.54577156833</v>
      </c>
      <c r="G19" s="314">
        <f ca="1">IF(G4&lt;'General overview'!$C$29,IF('General overview'!$C$17&gt;0,('General overview'!$C$17/G15)*((1+0.007)^(G4-$C$4)),VLOOKUP(G6,RE!$A$3:$F$28,IF(G15&lt;56028,2,IF(G15&lt;84048,3,IF(G15&lt;116796,4,IF(G15&lt;164592,5,6)))),FALSE))*G15,IF('General overview'!$C$27="Rent",('General overview'!$C$81)*1.007^(G4-'General overview'!$C$29),0))</f>
        <v>14349.855845032058</v>
      </c>
      <c r="H19" s="314">
        <f ca="1">IF(H4&lt;'General overview'!$C$29,IF('General overview'!$C$17&gt;0,('General overview'!$C$17/H15)*((1+0.007)^(H4-$C$4)),VLOOKUP(H6,RE!$A$3:$F$28,IF(H15&lt;56028,2,IF(H15&lt;84048,3,IF(H15&lt;116796,4,IF(H15&lt;164592,5,6)))),FALSE))*H15,IF('General overview'!$C$27="Rent",('General overview'!$C$81)*1.007^(H4-'General overview'!$C$29),0))</f>
        <v>14758.620982098879</v>
      </c>
      <c r="I19" s="314">
        <f ca="1">IF(I4&lt;'General overview'!$C$29,IF('General overview'!$C$17&gt;0,('General overview'!$C$17/I15)*((1+0.007)^(I4-$C$4)),VLOOKUP(I6,RE!$A$3:$F$28,IF(I15&lt;56028,2,IF(I15&lt;84048,3,IF(I15&lt;116796,4,IF(I15&lt;164592,5,6)))),FALSE))*I15,IF('General overview'!$C$27="Rent",('General overview'!$C$81)*1.007^(I4-'General overview'!$C$29),0))</f>
        <v>15177.455977020241</v>
      </c>
      <c r="J19" s="314">
        <f ca="1">IF(J4&lt;'General overview'!$C$29,IF('General overview'!$C$17&gt;0,('General overview'!$C$17/J15)*((1+0.007)^(J4-$C$4)),VLOOKUP(J6,RE!$A$3:$F$28,IF(J15&lt;56028,2,IF(J15&lt;84048,3,IF(J15&lt;116796,4,IF(J15&lt;164592,5,6)))),FALSE))*J15,IF('General overview'!$C$27="Rent",('General overview'!$C$81)*1.007^(J4-'General overview'!$C$29),0))</f>
        <v>15615.087336673805</v>
      </c>
      <c r="K19" s="314">
        <f ca="1">IF(K4&lt;'General overview'!$C$29,IF('General overview'!$C$17&gt;0,('General overview'!$C$17/K15)*((1+0.007)^(K4-$C$4)),VLOOKUP(K6,RE!$A$3:$F$28,IF(K15&lt;56028,2,IF(K15&lt;84048,3,IF(K15&lt;116796,4,IF(K15&lt;164592,5,6)))),FALSE))*K15,IF('General overview'!$C$27="Rent",('General overview'!$C$81)*1.007^(K4-'General overview'!$C$29),0))</f>
        <v>16052.36115294706</v>
      </c>
      <c r="L19" s="314">
        <f ca="1">IF(L4&lt;'General overview'!$C$29,IF('General overview'!$C$17&gt;0,('General overview'!$C$17/L15)*((1+0.007)^(L4-$C$4)),VLOOKUP(L6,RE!$A$3:$F$28,IF(L15&lt;56028,2,IF(L15&lt;84048,3,IF(L15&lt;116796,4,IF(L15&lt;164592,5,6)))),FALSE))*L15,IF('General overview'!$C$27="Rent",('General overview'!$C$81)*1.007^(L4-'General overview'!$C$29),0))</f>
        <v>16490.24606594842</v>
      </c>
      <c r="M19" s="314">
        <f>IF(M4&lt;'General overview'!$C$29,IF('General overview'!$C$17&gt;0,('General overview'!$C$17/M15)*((1+0.007)^(M4-$C$4)),VLOOKUP(M6,RE!$A$3:$F$28,IF(M15&lt;56028,2,IF(M15&lt;84048,3,IF(M15&lt;116796,4,IF(M15&lt;164592,5,6)))),FALSE))*M15,IF('General overview'!$C$27="Rent",('General overview'!$C$81)*1.007^(M4-'General overview'!$C$29),0))</f>
        <v>0</v>
      </c>
      <c r="N19" s="314">
        <f>IF(N4&lt;'General overview'!$C$29,IF('General overview'!$C$17&gt;0,('General overview'!$C$17/N15)*((1+0.007)^(N4-$C$4)),VLOOKUP(N6,RE!$A$3:$F$28,IF(N15&lt;56028,2,IF(N15&lt;84048,3,IF(N15&lt;116796,4,IF(N15&lt;164592,5,6)))),FALSE))*N15,IF('General overview'!$C$27="Rent",('General overview'!$C$81)*1.007^(N4-'General overview'!$C$29),0))</f>
        <v>0</v>
      </c>
      <c r="O19" s="314">
        <f>IF(O4&lt;'General overview'!$C$29,IF('General overview'!$C$17&gt;0,('General overview'!$C$17/O15)*((1+0.007)^(O4-$C$4)),VLOOKUP(O6,RE!$A$3:$F$28,IF(O15&lt;56028,2,IF(O15&lt;84048,3,IF(O15&lt;116796,4,IF(O15&lt;164592,5,6)))),FALSE))*O15,IF('General overview'!$C$27="Rent",('General overview'!$C$81)*1.007^(O4-'General overview'!$C$29),0))</f>
        <v>0</v>
      </c>
      <c r="P19" s="314">
        <f>IF(P4&lt;'General overview'!$C$29,IF('General overview'!$C$17&gt;0,('General overview'!$C$17/P15)*((1+0.007)^(P4-$C$4)),VLOOKUP(P6,RE!$A$3:$F$28,IF(P15&lt;56028,2,IF(P15&lt;84048,3,IF(P15&lt;116796,4,IF(P15&lt;164592,5,6)))),FALSE))*P15,IF('General overview'!$C$27="Rent",('General overview'!$C$81)*1.007^(P4-'General overview'!$C$29),0))</f>
        <v>0</v>
      </c>
      <c r="Q19" s="314">
        <f>IF(Q4&lt;'General overview'!$C$29,IF('General overview'!$C$17&gt;0,('General overview'!$C$17/Q15)*((1+0.007)^(Q4-$C$4)),VLOOKUP(Q6,RE!$A$3:$F$28,IF(Q15&lt;56028,2,IF(Q15&lt;84048,3,IF(Q15&lt;116796,4,IF(Q15&lt;164592,5,6)))),FALSE))*Q15,IF('General overview'!$C$27="Rent",('General overview'!$C$81)*1.007^(Q4-'General overview'!$C$29),0))</f>
        <v>0</v>
      </c>
      <c r="R19" s="314">
        <f>IF(R4&lt;'General overview'!$C$29,IF('General overview'!$C$17&gt;0,('General overview'!$C$17/R15)*((1+0.007)^(R4-$C$4)),VLOOKUP(R6,RE!$A$3:$F$28,IF(R15&lt;56028,2,IF(R15&lt;84048,3,IF(R15&lt;116796,4,IF(R15&lt;164592,5,6)))),FALSE))*R15,IF('General overview'!$C$27="Rent",('General overview'!$C$81)*1.007^(R4-'General overview'!$C$29),0))</f>
        <v>0</v>
      </c>
      <c r="S19" s="314">
        <f>IF(S4&lt;'General overview'!$C$29,IF('General overview'!$C$17&gt;0,('General overview'!$C$17/S15)*((1+0.007)^(S4-$C$4)),VLOOKUP(S6,RE!$A$3:$F$28,IF(S15&lt;56028,2,IF(S15&lt;84048,3,IF(S15&lt;116796,4,IF(S15&lt;164592,5,6)))),FALSE))*S15,IF('General overview'!$C$27="Rent",('General overview'!$C$81)*1.007^(S4-'General overview'!$C$29),0))</f>
        <v>0</v>
      </c>
      <c r="T19" s="314">
        <f>IF(T4&lt;'General overview'!$C$29,IF('General overview'!$C$17&gt;0,('General overview'!$C$17/T15)*((1+0.007)^(T4-$C$4)),VLOOKUP(T6,RE!$A$3:$F$28,IF(T15&lt;56028,2,IF(T15&lt;84048,3,IF(T15&lt;116796,4,IF(T15&lt;164592,5,6)))),FALSE))*T15,IF('General overview'!$C$27="Rent",('General overview'!$C$81)*1.007^(T4-'General overview'!$C$29),0))</f>
        <v>0</v>
      </c>
      <c r="U19" s="314">
        <f>IF(U4&lt;'General overview'!$C$29,IF('General overview'!$C$17&gt;0,('General overview'!$C$17/U15)*((1+0.007)^(U4-$C$4)),VLOOKUP(U6,RE!$A$3:$F$28,IF(U15&lt;56028,2,IF(U15&lt;84048,3,IF(U15&lt;116796,4,IF(U15&lt;164592,5,6)))),FALSE))*U15,IF('General overview'!$C$27="Rent",('General overview'!$C$81)*1.007^(U4-'General overview'!$C$29),0))</f>
        <v>0</v>
      </c>
      <c r="V19" s="314">
        <f>IF(V4&lt;'General overview'!$C$29,IF('General overview'!$C$17&gt;0,('General overview'!$C$17/V15)*((1+0.007)^(V4-$C$4)),VLOOKUP(V6,RE!$A$3:$F$28,IF(V15&lt;56028,2,IF(V15&lt;84048,3,IF(V15&lt;116796,4,IF(V15&lt;164592,5,6)))),FALSE))*V15,IF('General overview'!$C$27="Rent",('General overview'!$C$81)*1.007^(V4-'General overview'!$C$29),0))</f>
        <v>0</v>
      </c>
      <c r="W19" s="314">
        <f>IF(W4&lt;'General overview'!$C$29,IF('General overview'!$C$17&gt;0,('General overview'!$C$17/W15)*((1+0.007)^(W4-$C$4)),VLOOKUP(W6,RE!$A$3:$F$28,IF(W15&lt;56028,2,IF(W15&lt;84048,3,IF(W15&lt;116796,4,IF(W15&lt;164592,5,6)))),FALSE))*W15,IF('General overview'!$C$27="Rent",('General overview'!$C$81)*1.007^(W4-'General overview'!$C$29),0))</f>
        <v>0</v>
      </c>
      <c r="X19" s="314">
        <f>IF(X4&lt;'General overview'!$C$29,IF('General overview'!$C$17&gt;0,('General overview'!$C$17/X15)*((1+0.007)^(X4-$C$4)),VLOOKUP(X6,RE!$A$3:$F$28,IF(X15&lt;56028,2,IF(X15&lt;84048,3,IF(X15&lt;116796,4,IF(X15&lt;164592,5,6)))),FALSE))*X15,IF('General overview'!$C$27="Rent",('General overview'!$C$81)*1.007^(X4-'General overview'!$C$29),0))</f>
        <v>0</v>
      </c>
      <c r="Y19" s="314">
        <f>IF(Y4&lt;'General overview'!$C$29,IF('General overview'!$C$17&gt;0,('General overview'!$C$17/Y15)*((1+0.007)^(Y4-$C$4)),VLOOKUP(Y6,RE!$A$3:$F$28,IF(Y15&lt;56028,2,IF(Y15&lt;84048,3,IF(Y15&lt;116796,4,IF(Y15&lt;164592,5,6)))),FALSE))*Y15,IF('General overview'!$C$27="Rent",('General overview'!$C$81)*1.007^(Y4-'General overview'!$C$29),0))</f>
        <v>0</v>
      </c>
      <c r="Z19" s="314">
        <f>IF(Z4&lt;'General overview'!$C$29,IF('General overview'!$C$17&gt;0,('General overview'!$C$17/Z15)*((1+0.007)^(Z4-$C$4)),VLOOKUP(Z6,RE!$A$3:$F$28,IF(Z15&lt;56028,2,IF(Z15&lt;84048,3,IF(Z15&lt;116796,4,IF(Z15&lt;164592,5,6)))),FALSE))*Z15,IF('General overview'!$C$27="Rent",('General overview'!$C$81)*1.007^(Z4-'General overview'!$C$29),0))</f>
        <v>0</v>
      </c>
      <c r="AA19" s="314">
        <f>IF(AA4&lt;'General overview'!$C$29,IF('General overview'!$C$17&gt;0,('General overview'!$C$17/AA15)*((1+0.007)^(AA4-$C$4)),VLOOKUP(AA6,RE!$A$3:$F$28,IF(AA15&lt;56028,2,IF(AA15&lt;84048,3,IF(AA15&lt;116796,4,IF(AA15&lt;164592,5,6)))),FALSE))*AA15,IF('General overview'!$C$27="Rent",('General overview'!$C$81)*1.007^(AA4-'General overview'!$C$29),0))</f>
        <v>0</v>
      </c>
      <c r="AB19" s="314">
        <f>IF(AB4&lt;'General overview'!$C$29,IF('General overview'!$C$17&gt;0,('General overview'!$C$17/AB15)*((1+0.007)^(AB4-$C$4)),VLOOKUP(AB6,RE!$A$3:$F$28,IF(AB15&lt;56028,2,IF(AB15&lt;84048,3,IF(AB15&lt;116796,4,IF(AB15&lt;164592,5,6)))),FALSE))*AB15,IF('General overview'!$C$27="Rent",('General overview'!$C$81)*1.007^(AB4-'General overview'!$C$29),0))</f>
        <v>0</v>
      </c>
      <c r="AC19" s="314">
        <f>IF(AC4&lt;'General overview'!$C$29,IF('General overview'!$C$17&gt;0,('General overview'!$C$17/AC15)*((1+0.007)^(AC4-$C$4)),VLOOKUP(AC6,RE!$A$3:$F$28,IF(AC15&lt;56028,2,IF(AC15&lt;84048,3,IF(AC15&lt;116796,4,IF(AC15&lt;164592,5,6)))),FALSE))*AC15,IF('General overview'!$C$27="Rent",('General overview'!$C$81)*1.007^(AC4-'General overview'!$C$29),0))</f>
        <v>0</v>
      </c>
      <c r="AD19" s="314">
        <f>IF(AD4&lt;'General overview'!$C$29,IF('General overview'!$C$17&gt;0,('General overview'!$C$17/AD15)*((1+0.007)^(AD4-$C$4)),VLOOKUP(AD6,RE!$A$3:$F$28,IF(AD15&lt;56028,2,IF(AD15&lt;84048,3,IF(AD15&lt;116796,4,IF(AD15&lt;164592,5,6)))),FALSE))*AD15,IF('General overview'!$C$27="Rent",('General overview'!$C$81)*1.007^(AD4-'General overview'!$C$29),0))</f>
        <v>0</v>
      </c>
      <c r="AE19" s="314">
        <f>IF(AE4&lt;'General overview'!$C$29,IF('General overview'!$C$17&gt;0,('General overview'!$C$17/AE15)*((1+0.007)^(AE4-$C$4)),VLOOKUP(AE6,RE!$A$3:$F$28,IF(AE15&lt;56028,2,IF(AE15&lt;84048,3,IF(AE15&lt;116796,4,IF(AE15&lt;164592,5,6)))),FALSE))*AE15,IF('General overview'!$C$27="Rent",('General overview'!$C$81)*1.007^(AE4-'General overview'!$C$29),0))</f>
        <v>0</v>
      </c>
      <c r="AF19" s="314">
        <f>IF(AF4&lt;'General overview'!$C$29,IF('General overview'!$C$17&gt;0,('General overview'!$C$17/AF15)*((1+0.007)^(AF4-$C$4)),VLOOKUP(AF6,RE!$A$3:$F$28,IF(AF15&lt;56028,2,IF(AF15&lt;84048,3,IF(AF15&lt;116796,4,IF(AF15&lt;164592,5,6)))),FALSE))*AF15,IF('General overview'!$C$27="Rent",('General overview'!$C$81)*1.007^(AF4-'General overview'!$C$29),0))</f>
        <v>0</v>
      </c>
      <c r="AG19" s="314">
        <f>IF(AG4&lt;'General overview'!$C$29,IF('General overview'!$C$17&gt;0,('General overview'!$C$17/AG15)*((1+0.007)^(AG4-$C$4)),VLOOKUP(AG6,RE!$A$3:$F$28,IF(AG15&lt;56028,2,IF(AG15&lt;84048,3,IF(AG15&lt;116796,4,IF(AG15&lt;164592,5,6)))),FALSE))*AG15,IF('General overview'!$C$27="Rent",('General overview'!$C$81)*1.007^(AG4-'General overview'!$C$29),0))</f>
        <v>0</v>
      </c>
      <c r="AH19" s="314">
        <f>IF(AH4&lt;'General overview'!$C$29,IF('General overview'!$C$17&gt;0,('General overview'!$C$17/AH15)*((1+0.007)^(AH4-$C$4)),VLOOKUP(AH6,RE!$A$3:$F$28,IF(AH15&lt;56028,2,IF(AH15&lt;84048,3,IF(AH15&lt;116796,4,IF(AH15&lt;164592,5,6)))),FALSE))*AH15,IF('General overview'!$C$27="Rent",('General overview'!$C$81)*1.007^(AH4-'General overview'!$C$29),0))</f>
        <v>0</v>
      </c>
      <c r="AI19" s="314">
        <f>IF(AI4&lt;'General overview'!$C$29,IF('General overview'!$C$17&gt;0,('General overview'!$C$17/AI15)*((1+0.007)^(AI4-$C$4)),VLOOKUP(AI6,RE!$A$3:$F$28,IF(AI15&lt;56028,2,IF(AI15&lt;84048,3,IF(AI15&lt;116796,4,IF(AI15&lt;164592,5,6)))),FALSE))*AI15,IF('General overview'!$C$27="Rent",('General overview'!$C$81)*1.007^(AI4-'General overview'!$C$29),0))</f>
        <v>0</v>
      </c>
      <c r="AJ19" s="314">
        <f>IF(AJ4&lt;'General overview'!$C$29,IF('General overview'!$C$17&gt;0,('General overview'!$C$17/AJ15)*((1+0.007)^(AJ4-$C$4)),VLOOKUP(AJ6,RE!$A$3:$F$28,IF(AJ15&lt;56028,2,IF(AJ15&lt;84048,3,IF(AJ15&lt;116796,4,IF(AJ15&lt;164592,5,6)))),FALSE))*AJ15,IF('General overview'!$C$27="Rent",('General overview'!$C$81)*1.007^(AJ4-'General overview'!$C$29),0))</f>
        <v>0</v>
      </c>
      <c r="AK19" s="314">
        <f>IF(AK4&lt;'General overview'!$C$29,IF('General overview'!$C$17&gt;0,('General overview'!$C$17/AK15)*((1+0.007)^(AK4-$C$4)),VLOOKUP(AK6,RE!$A$3:$F$28,IF(AK15&lt;56028,2,IF(AK15&lt;84048,3,IF(AK15&lt;116796,4,IF(AK15&lt;164592,5,6)))),FALSE))*AK15,IF('General overview'!$C$27="Rent",('General overview'!$C$81)*1.007^(AK4-'General overview'!$C$29),0))</f>
        <v>0</v>
      </c>
      <c r="AL19" s="314">
        <f>IF(AL4&lt;'General overview'!$C$29,IF('General overview'!$C$17&gt;0,('General overview'!$C$17/AL15)*((1+0.007)^(AL4-$C$4)),VLOOKUP(AL6,RE!$A$3:$F$28,IF(AL15&lt;56028,2,IF(AL15&lt;84048,3,IF(AL15&lt;116796,4,IF(AL15&lt;164592,5,6)))),FALSE))*AL15,IF('General overview'!$C$27="Rent",('General overview'!$C$81)*1.007^(AL4-'General overview'!$C$29),0))</f>
        <v>0</v>
      </c>
      <c r="AM19" s="314">
        <f>IF(AM4&lt;'General overview'!$C$29,IF('General overview'!$C$17&gt;0,('General overview'!$C$17/AM15)*((1+0.007)^(AM4-$C$4)),VLOOKUP(AM6,RE!$A$3:$F$28,IF(AM15&lt;56028,2,IF(AM15&lt;84048,3,IF(AM15&lt;116796,4,IF(AM15&lt;164592,5,6)))),FALSE))*AM15,IF('General overview'!$C$27="Rent",('General overview'!$C$81)*1.007^(AM4-'General overview'!$C$29),0))</f>
        <v>0</v>
      </c>
      <c r="AN19" s="314">
        <f>IF(AN4&lt;'General overview'!$C$29,IF('General overview'!$C$17&gt;0,('General overview'!$C$17/AN15)*((1+0.007)^(AN4-$C$4)),VLOOKUP(AN6,RE!$A$3:$F$28,IF(AN15&lt;56028,2,IF(AN15&lt;84048,3,IF(AN15&lt;116796,4,IF(AN15&lt;164592,5,6)))),FALSE))*AN15,IF('General overview'!$C$27="Rent",('General overview'!$C$81)*1.007^(AN4-'General overview'!$C$29),0))</f>
        <v>0</v>
      </c>
      <c r="AO19" s="314">
        <f>IF(AO4&lt;'General overview'!$C$29,IF('General overview'!$C$17&gt;0,('General overview'!$C$17/AO15)*((1+0.007)^(AO4-$C$4)),VLOOKUP(AO6,RE!$A$3:$F$28,IF(AO15&lt;56028,2,IF(AO15&lt;84048,3,IF(AO15&lt;116796,4,IF(AO15&lt;164592,5,6)))),FALSE))*AO15,IF('General overview'!$C$27="Rent",('General overview'!$C$81)*1.007^(AO4-'General overview'!$C$29),0))</f>
        <v>0</v>
      </c>
      <c r="AP19" s="314">
        <f>IF(AP4&lt;'General overview'!$C$29,IF('General overview'!$C$17&gt;0,('General overview'!$C$17/AP15)*((1+0.007)^(AP4-$C$4)),VLOOKUP(AP6,RE!$A$3:$F$28,IF(AP15&lt;56028,2,IF(AP15&lt;84048,3,IF(AP15&lt;116796,4,IF(AP15&lt;164592,5,6)))),FALSE))*AP15,IF('General overview'!$C$27="Rent",('General overview'!$C$81)*1.007^(AP4-'General overview'!$C$29),0))</f>
        <v>0</v>
      </c>
      <c r="AQ19" s="314">
        <f>IF(AQ4&lt;'General overview'!$C$29,IF('General overview'!$C$17&gt;0,('General overview'!$C$17/AQ15)*((1+0.007)^(AQ4-$C$4)),VLOOKUP(AQ6,RE!$A$3:$F$28,IF(AQ15&lt;56028,2,IF(AQ15&lt;84048,3,IF(AQ15&lt;116796,4,IF(AQ15&lt;164592,5,6)))),FALSE))*AQ15,IF('General overview'!$C$27="Rent",('General overview'!$C$81)*1.007^(AQ4-'General overview'!$C$29),0))</f>
        <v>0</v>
      </c>
      <c r="AR19" s="314">
        <f>IF(AR4&lt;'General overview'!$C$29,IF('General overview'!$C$17&gt;0,('General overview'!$C$17/AR15)*((1+0.007)^(AR4-$C$4)),VLOOKUP(AR6,RE!$A$3:$F$28,IF(AR15&lt;56028,2,IF(AR15&lt;84048,3,IF(AR15&lt;116796,4,IF(AR15&lt;164592,5,6)))),FALSE))*AR15,IF('General overview'!$C$27="Rent",('General overview'!$C$81)*1.007^(AR4-'General overview'!$C$29),0))</f>
        <v>0</v>
      </c>
      <c r="AS19" s="314">
        <f>IF(AS4&lt;'General overview'!$C$29,IF('General overview'!$C$17&gt;0,('General overview'!$C$17/AS15)*((1+0.007)^(AS4-$C$4)),VLOOKUP(AS6,RE!$A$3:$F$28,IF(AS15&lt;56028,2,IF(AS15&lt;84048,3,IF(AS15&lt;116796,4,IF(AS15&lt;164592,5,6)))),FALSE))*AS15,IF('General overview'!$C$27="Rent",('General overview'!$C$81)*1.007^(AS4-'General overview'!$C$29),0))</f>
        <v>0</v>
      </c>
      <c r="AT19" s="314">
        <f>IF(AT4&lt;'General overview'!$C$29,IF('General overview'!$C$17&gt;0,('General overview'!$C$17/AT15)*((1+0.007)^(AT4-$C$4)),VLOOKUP(AT6,RE!$A$3:$F$28,IF(AT15&lt;56028,2,IF(AT15&lt;84048,3,IF(AT15&lt;116796,4,IF(AT15&lt;164592,5,6)))),FALSE))*AT15,IF('General overview'!$C$27="Rent",('General overview'!$C$81)*1.007^(AT4-'General overview'!$C$29),0))</f>
        <v>0</v>
      </c>
      <c r="AU19" s="314">
        <f>IF(AU4&lt;'General overview'!$C$29,IF('General overview'!$C$17&gt;0,('General overview'!$C$17/AU15)*((1+0.007)^(AU4-$C$4)),VLOOKUP(AU6,RE!$A$3:$F$28,IF(AU15&lt;56028,2,IF(AU15&lt;84048,3,IF(AU15&lt;116796,4,IF(AU15&lt;164592,5,6)))),FALSE))*AU15,IF('General overview'!$C$27="Rent",('General overview'!$C$81)*1.007^(AU4-'General overview'!$C$29),0))</f>
        <v>0</v>
      </c>
      <c r="AV19" s="314">
        <f>IF(AV4&lt;'General overview'!$C$29,IF('General overview'!$C$17&gt;0,('General overview'!$C$17/AV15)*((1+0.007)^(AV4-$C$4)),VLOOKUP(AV6,RE!$A$3:$F$28,IF(AV15&lt;56028,2,IF(AV15&lt;84048,3,IF(AV15&lt;116796,4,IF(AV15&lt;164592,5,6)))),FALSE))*AV15,IF('General overview'!$C$27="Rent",('General overview'!$C$81)*1.007^(AV4-'General overview'!$C$29),0))</f>
        <v>0</v>
      </c>
      <c r="AW19" s="314">
        <f>IF(AW4&lt;'General overview'!$C$29,IF('General overview'!$C$17&gt;0,('General overview'!$C$17/AW15)*((1+0.007)^(AW4-$C$4)),VLOOKUP(AW6,RE!$A$3:$F$28,IF(AW15&lt;56028,2,IF(AW15&lt;84048,3,IF(AW15&lt;116796,4,IF(AW15&lt;164592,5,6)))),FALSE))*AW15,IF('General overview'!$C$27="Rent",('General overview'!$C$81)*1.007^(AW4-'General overview'!$C$29),0))</f>
        <v>0</v>
      </c>
      <c r="AX19" s="314">
        <f>IF(AX4&lt;'General overview'!$C$29,IF('General overview'!$C$17&gt;0,('General overview'!$C$17/AX15)*((1+0.007)^(AX4-$C$4)),VLOOKUP(AX6,RE!$A$3:$F$28,IF(AX15&lt;56028,2,IF(AX15&lt;84048,3,IF(AX15&lt;116796,4,IF(AX15&lt;164592,5,6)))),FALSE))*AX15,IF('General overview'!$C$27="Rent",('General overview'!$C$81)*1.007^(AX4-'General overview'!$C$29),0))</f>
        <v>0</v>
      </c>
      <c r="AY19" s="314">
        <f>IF(AY4&lt;'General overview'!$C$29,IF('General overview'!$C$17&gt;0,('General overview'!$C$17/AY15)*((1+0.007)^(AY4-$C$4)),VLOOKUP(AY6,RE!$A$3:$F$28,IF(AY15&lt;56028,2,IF(AY15&lt;84048,3,IF(AY15&lt;116796,4,IF(AY15&lt;164592,5,6)))),FALSE))*AY15,IF('General overview'!$C$27="Rent",('General overview'!$C$81)*1.007^(AY4-'General overview'!$C$29),0))</f>
        <v>0</v>
      </c>
      <c r="AZ19" s="314">
        <f>IF(AZ4&lt;'General overview'!$C$29,IF('General overview'!$C$17&gt;0,('General overview'!$C$17/AZ15)*((1+0.007)^(AZ4-$C$4)),VLOOKUP(AZ6,RE!$A$3:$F$28,IF(AZ15&lt;56028,2,IF(AZ15&lt;84048,3,IF(AZ15&lt;116796,4,IF(AZ15&lt;164592,5,6)))),FALSE))*AZ15,IF('General overview'!$C$27="Rent",('General overview'!$C$81)*1.007^(AZ4-'General overview'!$C$29),0))</f>
        <v>0</v>
      </c>
      <c r="BA19" s="314">
        <f>IF(BA4&lt;'General overview'!$C$29,IF('General overview'!$C$17&gt;0,('General overview'!$C$17/BA15)*((1+0.007)^(BA4-$C$4)),VLOOKUP(BA6,RE!$A$3:$F$28,IF(BA15&lt;56028,2,IF(BA15&lt;84048,3,IF(BA15&lt;116796,4,IF(BA15&lt;164592,5,6)))),FALSE))*BA15,IF('General overview'!$C$27="Rent",('General overview'!$C$81)*1.007^(BA4-'General overview'!$C$29),0))</f>
        <v>0</v>
      </c>
      <c r="BB19" s="314">
        <f>IF(BB4&lt;'General overview'!$C$29,IF('General overview'!$C$17&gt;0,('General overview'!$C$17/BB15)*((1+0.007)^(BB4-$C$4)),VLOOKUP(BB6,RE!$A$3:$F$28,IF(BB15&lt;56028,2,IF(BB15&lt;84048,3,IF(BB15&lt;116796,4,IF(BB15&lt;164592,5,6)))),FALSE))*BB15,IF('General overview'!$C$27="Rent",('General overview'!$C$81)*1.007^(BB4-'General overview'!$C$29),0))</f>
        <v>0</v>
      </c>
      <c r="BC19" s="314">
        <f>IF(BC4&lt;'General overview'!$C$29,IF('General overview'!$C$17&gt;0,('General overview'!$C$17/BC15)*((1+0.007)^(BC4-$C$4)),VLOOKUP(BC6,RE!$A$3:$F$28,IF(BC15&lt;56028,2,IF(BC15&lt;84048,3,IF(BC15&lt;116796,4,IF(BC15&lt;164592,5,6)))),FALSE))*BC15,IF('General overview'!$C$27="Rent",('General overview'!$C$81)*1.007^(BC4-'General overview'!$C$29),0))</f>
        <v>0</v>
      </c>
    </row>
    <row r="20" spans="1:55">
      <c r="A20" s="323"/>
      <c r="B20" s="211"/>
      <c r="C20" s="320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321"/>
      <c r="Y20" s="321"/>
      <c r="Z20" s="32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1"/>
      <c r="BB20" s="211"/>
      <c r="BC20" s="157"/>
    </row>
    <row r="21" spans="1:55">
      <c r="B21" s="159"/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</row>
    <row r="22" spans="1:55">
      <c r="B22" s="159" t="s">
        <v>4850</v>
      </c>
      <c r="C22" s="175">
        <f>VLOOKUP(C4,'General overview'!$B$201:$H$300,3,FALSE)</f>
        <v>0</v>
      </c>
      <c r="D22" s="175">
        <f>VLOOKUP(D4,'General overview'!$B$201:$H$300,3,FALSE)</f>
        <v>0</v>
      </c>
      <c r="E22" s="175">
        <f>VLOOKUP(E4,'General overview'!$B$201:$H$300,3,FALSE)</f>
        <v>0</v>
      </c>
      <c r="F22" s="175">
        <f>VLOOKUP(F4,'General overview'!$B$201:$H$300,3,FALSE)</f>
        <v>0</v>
      </c>
      <c r="G22" s="175">
        <f>VLOOKUP(G4,'General overview'!$B$201:$H$300,3,FALSE)</f>
        <v>0</v>
      </c>
      <c r="H22" s="175">
        <f>VLOOKUP(H4,'General overview'!$B$201:$H$300,3,FALSE)</f>
        <v>0</v>
      </c>
      <c r="I22" s="175">
        <f>VLOOKUP(I4,'General overview'!$B$201:$H$300,3,FALSE)</f>
        <v>0</v>
      </c>
      <c r="J22" s="175">
        <f>VLOOKUP(J4,'General overview'!$B$201:$H$300,3,FALSE)</f>
        <v>0</v>
      </c>
      <c r="K22" s="175">
        <f>VLOOKUP(K4,'General overview'!$B$201:$H$300,3,FALSE)</f>
        <v>0</v>
      </c>
      <c r="L22" s="175">
        <f>VLOOKUP(L4,'General overview'!$B$201:$H$300,3,FALSE)</f>
        <v>0</v>
      </c>
      <c r="M22" s="175">
        <f>VLOOKUP(M4,'General overview'!$B$201:$H$300,3,FALSE)</f>
        <v>24677.659161340976</v>
      </c>
      <c r="N22" s="175">
        <f>VLOOKUP(N4,'General overview'!$B$201:$H$300,3,FALSE)</f>
        <v>24677.659161340976</v>
      </c>
      <c r="O22" s="175">
        <f>VLOOKUP(O4,'General overview'!$B$201:$H$300,3,FALSE)</f>
        <v>24677.659161340976</v>
      </c>
      <c r="P22" s="175">
        <f>VLOOKUP(P4,'General overview'!$B$201:$H$300,3,FALSE)</f>
        <v>24677.659161340976</v>
      </c>
      <c r="Q22" s="175">
        <f>VLOOKUP(Q4,'General overview'!$B$201:$H$300,3,FALSE)</f>
        <v>24677.659161340976</v>
      </c>
      <c r="R22" s="175">
        <f>VLOOKUP(R4,'General overview'!$B$201:$H$300,3,FALSE)</f>
        <v>24677.659161340976</v>
      </c>
      <c r="S22" s="175">
        <f>VLOOKUP(S4,'General overview'!$B$201:$H$300,3,FALSE)</f>
        <v>24677.659161340976</v>
      </c>
      <c r="T22" s="175">
        <f>VLOOKUP(T4,'General overview'!$B$201:$H$300,3,FALSE)</f>
        <v>24677.659161340976</v>
      </c>
      <c r="U22" s="175">
        <f>VLOOKUP(U4,'General overview'!$B$201:$H$300,3,FALSE)</f>
        <v>24677.659161340976</v>
      </c>
      <c r="V22" s="175">
        <f>VLOOKUP(V4,'General overview'!$B$201:$H$300,3,FALSE)</f>
        <v>24677.659161340976</v>
      </c>
      <c r="W22" s="175">
        <f>VLOOKUP(W4,'General overview'!$B$201:$H$300,3,FALSE)</f>
        <v>24677.659161340976</v>
      </c>
      <c r="X22" s="175">
        <f>VLOOKUP(X4,'General overview'!$B$201:$H$300,3,FALSE)</f>
        <v>24677.659161340976</v>
      </c>
      <c r="Y22" s="175">
        <f>VLOOKUP(Y4,'General overview'!$B$201:$H$300,3,FALSE)</f>
        <v>24677.659161340976</v>
      </c>
      <c r="Z22" s="175">
        <f>VLOOKUP(Z4,'General overview'!$B$201:$H$300,3,FALSE)</f>
        <v>24677.659161340976</v>
      </c>
      <c r="AA22" s="175">
        <f>VLOOKUP(AA4,'General overview'!$B$201:$H$300,3,FALSE)</f>
        <v>24677.659161340976</v>
      </c>
      <c r="AB22" s="175">
        <f>VLOOKUP(AB4,'General overview'!$B$201:$H$300,3,FALSE)</f>
        <v>24677.659161340976</v>
      </c>
      <c r="AC22" s="175">
        <f>VLOOKUP(AC4,'General overview'!$B$201:$H$300,3,FALSE)</f>
        <v>24677.659161340976</v>
      </c>
      <c r="AD22" s="175">
        <f>VLOOKUP(AD4,'General overview'!$B$201:$H$300,3,FALSE)</f>
        <v>24677.659161340976</v>
      </c>
      <c r="AE22" s="175">
        <f>VLOOKUP(AE4,'General overview'!$B$201:$H$300,3,FALSE)</f>
        <v>24677.659161340976</v>
      </c>
      <c r="AF22" s="175">
        <f>VLOOKUP(AF4,'General overview'!$B$201:$H$300,3,FALSE)</f>
        <v>24677.659161340976</v>
      </c>
      <c r="AG22" s="175">
        <f>VLOOKUP(AG4,'General overview'!$B$201:$H$300,3,FALSE)</f>
        <v>24677.659161340976</v>
      </c>
      <c r="AH22" s="175">
        <f>VLOOKUP(AH4,'General overview'!$B$201:$H$300,3,FALSE)</f>
        <v>24677.659161340976</v>
      </c>
      <c r="AI22" s="175">
        <f>VLOOKUP(AI4,'General overview'!$B$201:$H$300,3,FALSE)</f>
        <v>24677.659161340976</v>
      </c>
      <c r="AJ22" s="175">
        <f>VLOOKUP(AJ4,'General overview'!$B$201:$H$300,3,FALSE)</f>
        <v>24677.659161340976</v>
      </c>
      <c r="AK22" s="175">
        <f>VLOOKUP(AK4,'General overview'!$B$201:$H$300,3,FALSE)</f>
        <v>24677.659161340976</v>
      </c>
      <c r="AL22" s="175">
        <f>VLOOKUP(AL4,'General overview'!$B$201:$H$300,3,FALSE)</f>
        <v>24677.659161340976</v>
      </c>
      <c r="AM22" s="175">
        <f>VLOOKUP(AM4,'General overview'!$B$201:$H$300,3,FALSE)</f>
        <v>24677.659161340976</v>
      </c>
      <c r="AN22" s="175">
        <f>VLOOKUP(AN4,'General overview'!$B$201:$H$300,3,FALSE)</f>
        <v>24677.659161340976</v>
      </c>
      <c r="AO22" s="175">
        <f>VLOOKUP(AO4,'General overview'!$B$201:$H$300,3,FALSE)</f>
        <v>10408.937081283559</v>
      </c>
      <c r="AP22" s="175">
        <f>VLOOKUP(AP4,'General overview'!$B$201:$H$300,3,FALSE)</f>
        <v>10408.937081283559</v>
      </c>
      <c r="AQ22" s="175">
        <f>VLOOKUP(AQ4,'General overview'!$B$201:$H$300,3,FALSE)</f>
        <v>10408.937081283559</v>
      </c>
      <c r="AR22" s="175">
        <f>VLOOKUP(AR4,'General overview'!$B$201:$H$300,3,FALSE)</f>
        <v>10408.937081283559</v>
      </c>
      <c r="AS22" s="175">
        <f>VLOOKUP(AS4,'General overview'!$B$201:$H$300,3,FALSE)</f>
        <v>10408.937081283559</v>
      </c>
      <c r="AT22" s="175">
        <f>VLOOKUP(AT4,'General overview'!$B$201:$H$300,3,FALSE)</f>
        <v>10408.937081283559</v>
      </c>
      <c r="AU22" s="175">
        <f>VLOOKUP(AU4,'General overview'!$B$201:$H$300,3,FALSE)</f>
        <v>10408.937081283559</v>
      </c>
      <c r="AV22" s="175">
        <f>VLOOKUP(AV4,'General overview'!$B$201:$H$300,3,FALSE)</f>
        <v>10408.937081283559</v>
      </c>
      <c r="AW22" s="175">
        <f>VLOOKUP(AW4,'General overview'!$B$201:$H$300,3,FALSE)</f>
        <v>10408.937081283559</v>
      </c>
      <c r="AX22" s="175">
        <f>VLOOKUP(AX4,'General overview'!$B$201:$H$300,3,FALSE)</f>
        <v>10408.937081283559</v>
      </c>
      <c r="AY22" s="175">
        <f>VLOOKUP(AY4,'General overview'!$B$201:$H$300,3,FALSE)</f>
        <v>10408.937081283559</v>
      </c>
      <c r="AZ22" s="175">
        <f>VLOOKUP(AZ4,'General overview'!$B$201:$H$300,3,FALSE)</f>
        <v>10408.937081283559</v>
      </c>
      <c r="BA22" s="175">
        <f>VLOOKUP(BA4,'General overview'!$B$201:$H$300,3,FALSE)</f>
        <v>10408.937081283559</v>
      </c>
      <c r="BB22" s="175">
        <f>VLOOKUP(BB4,'General overview'!$B$201:$H$300,3,FALSE)</f>
        <v>10408.937081283559</v>
      </c>
      <c r="BC22" s="175">
        <f>VLOOKUP(BC4,'General overview'!$B$201:$H$300,3,FALSE)</f>
        <v>10408.937081283559</v>
      </c>
    </row>
    <row r="23" spans="1:55">
      <c r="B23" s="159" t="s">
        <v>4851</v>
      </c>
      <c r="C23" s="175">
        <f>IF('General overview'!$C$27="Rent",0,IF(C4&gt;='General overview'!$C$29,IF('General overview'!$C$37&gt;0,'General overview'!$C$37*((1+0.01)^(D4-$C$4)),IF('General overview'!$C$28&gt;0,'General overview'!$C$28*0.01,'General overview'!$C$81*0.01)),0))</f>
        <v>0</v>
      </c>
      <c r="D23" s="175">
        <f>IF('General overview'!$C$27="Rent",0,IF(D4&gt;='General overview'!$C$29,IF('General overview'!$C$37&gt;0,'General overview'!$C$37*((1+0.01)^(E4-$C$4)),IF('General overview'!$C$28&gt;0,'General overview'!$C$28*0.01,'General overview'!$C$81*0.01)),0))</f>
        <v>0</v>
      </c>
      <c r="E23" s="175">
        <f>IF('General overview'!$C$27="Rent",0,IF(E4&gt;='General overview'!$C$29,IF('General overview'!$C$37&gt;0,'General overview'!$C$37*((1+0.01)^(F4-$C$4)),IF('General overview'!$C$28&gt;0,'General overview'!$C$28*0.01,'General overview'!$C$81*0.01)),0))</f>
        <v>0</v>
      </c>
      <c r="F23" s="175">
        <f>IF('General overview'!$C$27="Rent",0,IF(F4&gt;='General overview'!$C$29,IF('General overview'!$C$37&gt;0,'General overview'!$C$37*((1+0.01)^(G4-$C$4)),IF('General overview'!$C$28&gt;0,'General overview'!$C$28*0.01,'General overview'!$C$81*0.01)),0))</f>
        <v>0</v>
      </c>
      <c r="G23" s="175">
        <f>IF('General overview'!$C$27="Rent",0,IF(G4&gt;='General overview'!$C$29,IF('General overview'!$C$37&gt;0,'General overview'!$C$37*((1+0.01)^(H4-$C$4)),IF('General overview'!$C$28&gt;0,'General overview'!$C$28*0.01,'General overview'!$C$81*0.01)),0))</f>
        <v>0</v>
      </c>
      <c r="H23" s="175">
        <f>IF('General overview'!$C$27="Rent",0,IF(H4&gt;='General overview'!$C$29,IF('General overview'!$C$37&gt;0,'General overview'!$C$37*((1+0.01)^(I4-$C$4)),IF('General overview'!$C$28&gt;0,'General overview'!$C$28*0.01,'General overview'!$C$81*0.01)),0))</f>
        <v>0</v>
      </c>
      <c r="I23" s="175">
        <f>IF('General overview'!$C$27="Rent",0,IF(I4&gt;='General overview'!$C$29,IF('General overview'!$C$37&gt;0,'General overview'!$C$37*((1+0.01)^(J4-$C$4)),IF('General overview'!$C$28&gt;0,'General overview'!$C$28*0.01,'General overview'!$C$81*0.01)),0))</f>
        <v>0</v>
      </c>
      <c r="J23" s="175">
        <f>IF('General overview'!$C$27="Rent",0,IF(J4&gt;='General overview'!$C$29,IF('General overview'!$C$37&gt;0,'General overview'!$C$37*((1+0.01)^(K4-$C$4)),IF('General overview'!$C$28&gt;0,'General overview'!$C$28*0.01,'General overview'!$C$81*0.01)),0))</f>
        <v>0</v>
      </c>
      <c r="K23" s="175">
        <f>IF('General overview'!$C$27="Rent",0,IF(K4&gt;='General overview'!$C$29,IF('General overview'!$C$37&gt;0,'General overview'!$C$37*((1+0.01)^(L4-$C$4)),IF('General overview'!$C$28&gt;0,'General overview'!$C$28*0.01,'General overview'!$C$81*0.01)),0))</f>
        <v>0</v>
      </c>
      <c r="L23" s="175">
        <f>IF('General overview'!$C$27="Rent",0,IF(L4&gt;='General overview'!$C$29,IF('General overview'!$C$37&gt;0,'General overview'!$C$37*((1+0.01)^(M4-$C$4)),IF('General overview'!$C$28&gt;0,'General overview'!$C$28*0.01,'General overview'!$C$81*0.01)),0))</f>
        <v>0</v>
      </c>
      <c r="M23" s="175">
        <f>IF('General overview'!$C$27="Rent",0,IF(M4&gt;='General overview'!$C$29,IF('General overview'!$C$37&gt;0,'General overview'!$C$37*((1+0.01)^(N4-$C$4)),IF('General overview'!$C$28&gt;0,'General overview'!$C$28*0.01,'General overview'!$C$81*0.01)),0))</f>
        <v>23130.97129174124</v>
      </c>
      <c r="N23" s="175">
        <f>IF('General overview'!$C$27="Rent",0,IF(N4&gt;='General overview'!$C$29,IF('General overview'!$C$37&gt;0,'General overview'!$C$37*((1+0.01)^(O4-$C$4)),IF('General overview'!$C$28&gt;0,'General overview'!$C$28*0.01,'General overview'!$C$81*0.01)),0))</f>
        <v>23130.97129174124</v>
      </c>
      <c r="O23" s="175">
        <f>IF('General overview'!$C$27="Rent",0,IF(O4&gt;='General overview'!$C$29,IF('General overview'!$C$37&gt;0,'General overview'!$C$37*((1+0.01)^(P4-$C$4)),IF('General overview'!$C$28&gt;0,'General overview'!$C$28*0.01,'General overview'!$C$81*0.01)),0))</f>
        <v>23130.97129174124</v>
      </c>
      <c r="P23" s="175">
        <f>IF('General overview'!$C$27="Rent",0,IF(P4&gt;='General overview'!$C$29,IF('General overview'!$C$37&gt;0,'General overview'!$C$37*((1+0.01)^(Q4-$C$4)),IF('General overview'!$C$28&gt;0,'General overview'!$C$28*0.01,'General overview'!$C$81*0.01)),0))</f>
        <v>23130.97129174124</v>
      </c>
      <c r="Q23" s="175">
        <f>IF('General overview'!$C$27="Rent",0,IF(Q4&gt;='General overview'!$C$29,IF('General overview'!$C$37&gt;0,'General overview'!$C$37*((1+0.01)^(R4-$C$4)),IF('General overview'!$C$28&gt;0,'General overview'!$C$28*0.01,'General overview'!$C$81*0.01)),0))</f>
        <v>23130.97129174124</v>
      </c>
      <c r="R23" s="175">
        <f>IF('General overview'!$C$27="Rent",0,IF(R4&gt;='General overview'!$C$29,IF('General overview'!$C$37&gt;0,'General overview'!$C$37*((1+0.01)^(S4-$C$4)),IF('General overview'!$C$28&gt;0,'General overview'!$C$28*0.01,'General overview'!$C$81*0.01)),0))</f>
        <v>23130.97129174124</v>
      </c>
      <c r="S23" s="175">
        <f>IF('General overview'!$C$27="Rent",0,IF(S4&gt;='General overview'!$C$29,IF('General overview'!$C$37&gt;0,'General overview'!$C$37*((1+0.01)^(T4-$C$4)),IF('General overview'!$C$28&gt;0,'General overview'!$C$28*0.01,'General overview'!$C$81*0.01)),0))</f>
        <v>23130.97129174124</v>
      </c>
      <c r="T23" s="175">
        <f>IF('General overview'!$C$27="Rent",0,IF(T4&gt;='General overview'!$C$29,IF('General overview'!$C$37&gt;0,'General overview'!$C$37*((1+0.01)^(U4-$C$4)),IF('General overview'!$C$28&gt;0,'General overview'!$C$28*0.01,'General overview'!$C$81*0.01)),0))</f>
        <v>23130.97129174124</v>
      </c>
      <c r="U23" s="175">
        <f>IF('General overview'!$C$27="Rent",0,IF(U4&gt;='General overview'!$C$29,IF('General overview'!$C$37&gt;0,'General overview'!$C$37*((1+0.01)^(V4-$C$4)),IF('General overview'!$C$28&gt;0,'General overview'!$C$28*0.01,'General overview'!$C$81*0.01)),0))</f>
        <v>23130.97129174124</v>
      </c>
      <c r="V23" s="175">
        <f>IF('General overview'!$C$27="Rent",0,IF(V4&gt;='General overview'!$C$29,IF('General overview'!$C$37&gt;0,'General overview'!$C$37*((1+0.01)^(W4-$C$4)),IF('General overview'!$C$28&gt;0,'General overview'!$C$28*0.01,'General overview'!$C$81*0.01)),0))</f>
        <v>23130.97129174124</v>
      </c>
      <c r="W23" s="175">
        <f>IF('General overview'!$C$27="Rent",0,IF(W4&gt;='General overview'!$C$29,IF('General overview'!$C$37&gt;0,'General overview'!$C$37*((1+0.01)^(X4-$C$4)),IF('General overview'!$C$28&gt;0,'General overview'!$C$28*0.01,'General overview'!$C$81*0.01)),0))</f>
        <v>23130.97129174124</v>
      </c>
      <c r="X23" s="175">
        <f>IF('General overview'!$C$27="Rent",0,IF(X4&gt;='General overview'!$C$29,IF('General overview'!$C$37&gt;0,'General overview'!$C$37*((1+0.01)^(Y4-$C$4)),IF('General overview'!$C$28&gt;0,'General overview'!$C$28*0.01,'General overview'!$C$81*0.01)),0))</f>
        <v>23130.97129174124</v>
      </c>
      <c r="Y23" s="175">
        <f>IF('General overview'!$C$27="Rent",0,IF(Y4&gt;='General overview'!$C$29,IF('General overview'!$C$37&gt;0,'General overview'!$C$37*((1+0.01)^(Z4-$C$4)),IF('General overview'!$C$28&gt;0,'General overview'!$C$28*0.01,'General overview'!$C$81*0.01)),0))</f>
        <v>23130.97129174124</v>
      </c>
      <c r="Z23" s="175">
        <f>IF('General overview'!$C$27="Rent",0,IF(Z4&gt;='General overview'!$C$29,IF('General overview'!$C$37&gt;0,'General overview'!$C$37*((1+0.01)^(AA4-$C$4)),IF('General overview'!$C$28&gt;0,'General overview'!$C$28*0.01,'General overview'!$C$81*0.01)),0))</f>
        <v>23130.97129174124</v>
      </c>
      <c r="AA23" s="175">
        <f>IF('General overview'!$C$27="Rent",0,IF(AA4&gt;='General overview'!$C$29,IF('General overview'!$C$37&gt;0,'General overview'!$C$37*((1+0.01)^(AB4-$C$4)),IF('General overview'!$C$28&gt;0,'General overview'!$C$28*0.01,'General overview'!$C$81*0.01)),0))</f>
        <v>23130.97129174124</v>
      </c>
      <c r="AB23" s="175">
        <f>IF('General overview'!$C$27="Rent",0,IF(AB4&gt;='General overview'!$C$29,IF('General overview'!$C$37&gt;0,'General overview'!$C$37*((1+0.01)^(AC4-$C$4)),IF('General overview'!$C$28&gt;0,'General overview'!$C$28*0.01,'General overview'!$C$81*0.01)),0))</f>
        <v>23130.97129174124</v>
      </c>
      <c r="AC23" s="175">
        <f>IF('General overview'!$C$27="Rent",0,IF(AC4&gt;='General overview'!$C$29,IF('General overview'!$C$37&gt;0,'General overview'!$C$37*((1+0.01)^(AD4-$C$4)),IF('General overview'!$C$28&gt;0,'General overview'!$C$28*0.01,'General overview'!$C$81*0.01)),0))</f>
        <v>23130.97129174124</v>
      </c>
      <c r="AD23" s="175">
        <f>IF('General overview'!$C$27="Rent",0,IF(AD4&gt;='General overview'!$C$29,IF('General overview'!$C$37&gt;0,'General overview'!$C$37*((1+0.01)^(AE4-$C$4)),IF('General overview'!$C$28&gt;0,'General overview'!$C$28*0.01,'General overview'!$C$81*0.01)),0))</f>
        <v>23130.97129174124</v>
      </c>
      <c r="AE23" s="175">
        <f>IF('General overview'!$C$27="Rent",0,IF(AE4&gt;='General overview'!$C$29,IF('General overview'!$C$37&gt;0,'General overview'!$C$37*((1+0.01)^(AF4-$C$4)),IF('General overview'!$C$28&gt;0,'General overview'!$C$28*0.01,'General overview'!$C$81*0.01)),0))</f>
        <v>23130.97129174124</v>
      </c>
      <c r="AF23" s="175">
        <f>IF('General overview'!$C$27="Rent",0,IF(AF4&gt;='General overview'!$C$29,IF('General overview'!$C$37&gt;0,'General overview'!$C$37*((1+0.01)^(AG4-$C$4)),IF('General overview'!$C$28&gt;0,'General overview'!$C$28*0.01,'General overview'!$C$81*0.01)),0))</f>
        <v>23130.97129174124</v>
      </c>
      <c r="AG23" s="175">
        <f>IF('General overview'!$C$27="Rent",0,IF(AG4&gt;='General overview'!$C$29,IF('General overview'!$C$37&gt;0,'General overview'!$C$37*((1+0.01)^(AH4-$C$4)),IF('General overview'!$C$28&gt;0,'General overview'!$C$28*0.01,'General overview'!$C$81*0.01)),0))</f>
        <v>23130.97129174124</v>
      </c>
      <c r="AH23" s="175">
        <f>IF('General overview'!$C$27="Rent",0,IF(AH4&gt;='General overview'!$C$29,IF('General overview'!$C$37&gt;0,'General overview'!$C$37*((1+0.01)^(AI4-$C$4)),IF('General overview'!$C$28&gt;0,'General overview'!$C$28*0.01,'General overview'!$C$81*0.01)),0))</f>
        <v>23130.97129174124</v>
      </c>
      <c r="AI23" s="175">
        <f>IF('General overview'!$C$27="Rent",0,IF(AI4&gt;='General overview'!$C$29,IF('General overview'!$C$37&gt;0,'General overview'!$C$37*((1+0.01)^(AJ4-$C$4)),IF('General overview'!$C$28&gt;0,'General overview'!$C$28*0.01,'General overview'!$C$81*0.01)),0))</f>
        <v>23130.97129174124</v>
      </c>
      <c r="AJ23" s="175">
        <f>IF('General overview'!$C$27="Rent",0,IF(AJ4&gt;='General overview'!$C$29,IF('General overview'!$C$37&gt;0,'General overview'!$C$37*((1+0.01)^(AK4-$C$4)),IF('General overview'!$C$28&gt;0,'General overview'!$C$28*0.01,'General overview'!$C$81*0.01)),0))</f>
        <v>23130.97129174124</v>
      </c>
      <c r="AK23" s="175">
        <f>IF('General overview'!$C$27="Rent",0,IF(AK4&gt;='General overview'!$C$29,IF('General overview'!$C$37&gt;0,'General overview'!$C$37*((1+0.01)^(AL4-$C$4)),IF('General overview'!$C$28&gt;0,'General overview'!$C$28*0.01,'General overview'!$C$81*0.01)),0))</f>
        <v>23130.97129174124</v>
      </c>
      <c r="AL23" s="175">
        <f>IF('General overview'!$C$27="Rent",0,IF(AL4&gt;='General overview'!$C$29,IF('General overview'!$C$37&gt;0,'General overview'!$C$37*((1+0.01)^(AM4-$C$4)),IF('General overview'!$C$28&gt;0,'General overview'!$C$28*0.01,'General overview'!$C$81*0.01)),0))</f>
        <v>23130.97129174124</v>
      </c>
      <c r="AM23" s="175">
        <f>IF('General overview'!$C$27="Rent",0,IF(AM4&gt;='General overview'!$C$29,IF('General overview'!$C$37&gt;0,'General overview'!$C$37*((1+0.01)^(AN4-$C$4)),IF('General overview'!$C$28&gt;0,'General overview'!$C$28*0.01,'General overview'!$C$81*0.01)),0))</f>
        <v>23130.97129174124</v>
      </c>
      <c r="AN23" s="175">
        <f>IF('General overview'!$C$27="Rent",0,IF(AN4&gt;='General overview'!$C$29,IF('General overview'!$C$37&gt;0,'General overview'!$C$37*((1+0.01)^(AO4-$C$4)),IF('General overview'!$C$28&gt;0,'General overview'!$C$28*0.01,'General overview'!$C$81*0.01)),0))</f>
        <v>23130.97129174124</v>
      </c>
      <c r="AO23" s="175">
        <f>IF('General overview'!$C$27="Rent",0,IF(AO4&gt;='General overview'!$C$29,IF('General overview'!$C$37&gt;0,'General overview'!$C$37*((1+0.01)^(AP4-$C$4)),IF('General overview'!$C$28&gt;0,'General overview'!$C$28*0.01,'General overview'!$C$81*0.01)),0))</f>
        <v>23130.97129174124</v>
      </c>
      <c r="AP23" s="175">
        <f>IF('General overview'!$C$27="Rent",0,IF(AP4&gt;='General overview'!$C$29,IF('General overview'!$C$37&gt;0,'General overview'!$C$37*((1+0.01)^(AQ4-$C$4)),IF('General overview'!$C$28&gt;0,'General overview'!$C$28*0.01,'General overview'!$C$81*0.01)),0))</f>
        <v>23130.97129174124</v>
      </c>
      <c r="AQ23" s="175">
        <f>IF('General overview'!$C$27="Rent",0,IF(AQ4&gt;='General overview'!$C$29,IF('General overview'!$C$37&gt;0,'General overview'!$C$37*((1+0.01)^(AR4-$C$4)),IF('General overview'!$C$28&gt;0,'General overview'!$C$28*0.01,'General overview'!$C$81*0.01)),0))</f>
        <v>23130.97129174124</v>
      </c>
      <c r="AR23" s="175">
        <f>IF('General overview'!$C$27="Rent",0,IF(AR4&gt;='General overview'!$C$29,IF('General overview'!$C$37&gt;0,'General overview'!$C$37*((1+0.01)^(AS4-$C$4)),IF('General overview'!$C$28&gt;0,'General overview'!$C$28*0.01,'General overview'!$C$81*0.01)),0))</f>
        <v>23130.97129174124</v>
      </c>
      <c r="AS23" s="175">
        <f>IF('General overview'!$C$27="Rent",0,IF(AS4&gt;='General overview'!$C$29,IF('General overview'!$C$37&gt;0,'General overview'!$C$37*((1+0.01)^(AT4-$C$4)),IF('General overview'!$C$28&gt;0,'General overview'!$C$28*0.01,'General overview'!$C$81*0.01)),0))</f>
        <v>23130.97129174124</v>
      </c>
      <c r="AT23" s="175">
        <f>IF('General overview'!$C$27="Rent",0,IF(AT4&gt;='General overview'!$C$29,IF('General overview'!$C$37&gt;0,'General overview'!$C$37*((1+0.01)^(AU4-$C$4)),IF('General overview'!$C$28&gt;0,'General overview'!$C$28*0.01,'General overview'!$C$81*0.01)),0))</f>
        <v>23130.97129174124</v>
      </c>
      <c r="AU23" s="175">
        <f>IF('General overview'!$C$27="Rent",0,IF(AU4&gt;='General overview'!$C$29,IF('General overview'!$C$37&gt;0,'General overview'!$C$37*((1+0.01)^(AV4-$C$4)),IF('General overview'!$C$28&gt;0,'General overview'!$C$28*0.01,'General overview'!$C$81*0.01)),0))</f>
        <v>23130.97129174124</v>
      </c>
      <c r="AV23" s="175">
        <f>IF('General overview'!$C$27="Rent",0,IF(AV4&gt;='General overview'!$C$29,IF('General overview'!$C$37&gt;0,'General overview'!$C$37*((1+0.01)^(AW4-$C$4)),IF('General overview'!$C$28&gt;0,'General overview'!$C$28*0.01,'General overview'!$C$81*0.01)),0))</f>
        <v>23130.97129174124</v>
      </c>
      <c r="AW23" s="175">
        <f>IF('General overview'!$C$27="Rent",0,IF(AW4&gt;='General overview'!$C$29,IF('General overview'!$C$37&gt;0,'General overview'!$C$37*((1+0.01)^(AX4-$C$4)),IF('General overview'!$C$28&gt;0,'General overview'!$C$28*0.01,'General overview'!$C$81*0.01)),0))</f>
        <v>23130.97129174124</v>
      </c>
      <c r="AX23" s="175">
        <f>IF('General overview'!$C$27="Rent",0,IF(AX4&gt;='General overview'!$C$29,IF('General overview'!$C$37&gt;0,'General overview'!$C$37*((1+0.01)^(AY4-$C$4)),IF('General overview'!$C$28&gt;0,'General overview'!$C$28*0.01,'General overview'!$C$81*0.01)),0))</f>
        <v>23130.97129174124</v>
      </c>
      <c r="AY23" s="175">
        <f>IF('General overview'!$C$27="Rent",0,IF(AY4&gt;='General overview'!$C$29,IF('General overview'!$C$37&gt;0,'General overview'!$C$37*((1+0.01)^(AZ4-$C$4)),IF('General overview'!$C$28&gt;0,'General overview'!$C$28*0.01,'General overview'!$C$81*0.01)),0))</f>
        <v>23130.97129174124</v>
      </c>
      <c r="AZ23" s="175">
        <f>IF('General overview'!$C$27="Rent",0,IF(AZ4&gt;='General overview'!$C$29,IF('General overview'!$C$37&gt;0,'General overview'!$C$37*((1+0.01)^(BA4-$C$4)),IF('General overview'!$C$28&gt;0,'General overview'!$C$28*0.01,'General overview'!$C$81*0.01)),0))</f>
        <v>23130.97129174124</v>
      </c>
      <c r="BA23" s="175">
        <f>IF('General overview'!$C$27="Rent",0,IF(BA4&gt;='General overview'!$C$29,IF('General overview'!$C$37&gt;0,'General overview'!$C$37*((1+0.01)^(BB4-$C$4)),IF('General overview'!$C$28&gt;0,'General overview'!$C$28*0.01,'General overview'!$C$81*0.01)),0))</f>
        <v>23130.97129174124</v>
      </c>
      <c r="BB23" s="175">
        <f>IF('General overview'!$C$27="Rent",0,IF(BB4&gt;='General overview'!$C$29,IF('General overview'!$C$37&gt;0,'General overview'!$C$37*((1+0.01)^(BC4-$C$4)),IF('General overview'!$C$28&gt;0,'General overview'!$C$28*0.01,'General overview'!$C$81*0.01)),0))</f>
        <v>23130.97129174124</v>
      </c>
      <c r="BC23" s="175">
        <f>IF('General overview'!$C$27="Rent",0,IF(BC4&gt;='General overview'!$C$29,IF('General overview'!$C$37&gt;0,'General overview'!$C$37*((1+0.01)^(BD4-$C$4)),IF('General overview'!$C$28&gt;0,'General overview'!$C$28*0.01,'General overview'!$C$81*0.01)),0))</f>
        <v>23130.97129174124</v>
      </c>
    </row>
    <row r="24" spans="1:55">
      <c r="A24" s="322"/>
      <c r="B24" s="159" t="s">
        <v>5</v>
      </c>
      <c r="C24" s="175">
        <f>IF('General overview'!$C$22="no",0,IF(C4&gt;='General overview'!$C$24,IF('General overview'!$C$25&gt;0,'General overview'!$C$25*((1.01)^(C4-'General overview'!$C$24)),VLOOKUP(C6,Children!$G$5:$L$30,IF('CF Timeline'!C15&lt;56028,2,IF('CF Timeline'!C15&lt;84048,3,IF('CF Timeline'!C15&lt;116796,4,IF('CF Timeline'!C15&lt;164592,5,6)))),FALSE)*VLOOKUP(C4,Children!$A$4:$E$86,5,FALSE)*C15),0))</f>
        <v>0</v>
      </c>
      <c r="D24" s="314">
        <f>IF('General overview'!$C$22="no",0,IF(D4&gt;='General overview'!$C$24,IF('General overview'!$C$25&gt;0,'General overview'!$C$25*((1.01)^(D4-'General overview'!$C$24)),VLOOKUP(D6,Children!$G$5:$L$30,IF('CF Timeline'!D15&lt;56028,2,IF('CF Timeline'!D15&lt;84048,3,IF('CF Timeline'!D15&lt;116796,4,IF('CF Timeline'!D15&lt;164592,5,6)))),FALSE)*VLOOKUP(D4,Children!$A$4:$E$86,5,FALSE)*D15),0))</f>
        <v>0</v>
      </c>
      <c r="E24" s="314">
        <f>IF('General overview'!$C$22="no",0,IF(E4&gt;='General overview'!$C$24,IF('General overview'!$C$25&gt;0,'General overview'!$C$25*((1.01)^(E4-'General overview'!$C$24)),VLOOKUP(E6,Children!$G$5:$L$30,IF('CF Timeline'!E15&lt;56028,2,IF('CF Timeline'!E15&lt;84048,3,IF('CF Timeline'!E15&lt;116796,4,IF('CF Timeline'!E15&lt;164592,5,6)))),FALSE)*VLOOKUP(E4,Children!$A$4:$E$86,5,FALSE)*E15),0))</f>
        <v>0</v>
      </c>
      <c r="F24" s="314">
        <f>IF('General overview'!$C$22="no",0,IF(F4&gt;='General overview'!$C$24,IF('General overview'!$C$25&gt;0,'General overview'!$C$25*((1.01)^(F4-'General overview'!$C$24)),VLOOKUP(F6,Children!$G$5:$L$30,IF('CF Timeline'!F15&lt;56028,2,IF('CF Timeline'!F15&lt;84048,3,IF('CF Timeline'!F15&lt;116796,4,IF('CF Timeline'!F15&lt;164592,5,6)))),FALSE)*VLOOKUP(F4,Children!$A$4:$E$86,5,FALSE)*F15),0))</f>
        <v>0</v>
      </c>
      <c r="G24" s="314">
        <f ca="1">IF('General overview'!$C$22="no",0,IF(G4&gt;='General overview'!$C$24,IF('General overview'!$C$25&gt;0,'General overview'!$C$25*((1.01)^(G4-'General overview'!$C$24)),VLOOKUP(G6,Children!$G$5:$L$30,IF('CF Timeline'!G15&lt;56028,2,IF('CF Timeline'!G15&lt;84048,3,IF('CF Timeline'!G15&lt;116796,4,IF('CF Timeline'!G15&lt;164592,5,6)))),FALSE)*VLOOKUP(G4,Children!$A$4:$E$86,5,FALSE)*G15),0))</f>
        <v>14516.807639381326</v>
      </c>
      <c r="H24" s="314">
        <f ca="1">IF('General overview'!$C$22="no",0,IF(H4&gt;='General overview'!$C$24,IF('General overview'!$C$25&gt;0,'General overview'!$C$25*((1.01)^(H4-'General overview'!$C$24)),VLOOKUP(H6,Children!$G$5:$L$30,IF('CF Timeline'!H15&lt;56028,2,IF('CF Timeline'!H15&lt;84048,3,IF('CF Timeline'!H15&lt;116796,4,IF('CF Timeline'!H15&lt;164592,5,6)))),FALSE)*VLOOKUP(H4,Children!$A$4:$E$86,5,FALSE)*H15),0))</f>
        <v>14930.328508759168</v>
      </c>
      <c r="I24" s="314">
        <f ca="1">IF('General overview'!$C$22="no",0,IF(I4&gt;='General overview'!$C$24,IF('General overview'!$C$25&gt;0,'General overview'!$C$25*((1.01)^(I4-'General overview'!$C$24)),VLOOKUP(I6,Children!$G$5:$L$30,IF('CF Timeline'!I15&lt;56028,2,IF('CF Timeline'!I15&lt;84048,3,IF('CF Timeline'!I15&lt;116796,4,IF('CF Timeline'!I15&lt;164592,5,6)))),FALSE)*VLOOKUP(I4,Children!$A$4:$E$86,5,FALSE)*I15),0))</f>
        <v>27038.554610325456</v>
      </c>
      <c r="J24" s="314">
        <f ca="1">IF('General overview'!$C$22="no",0,IF(J4&gt;='General overview'!$C$24,IF('General overview'!$C$25&gt;0,'General overview'!$C$25*((1.01)^(J4-'General overview'!$C$24)),VLOOKUP(J6,Children!$G$5:$L$30,IF('CF Timeline'!J15&lt;56028,2,IF('CF Timeline'!J15&lt;84048,3,IF('CF Timeline'!J15&lt;116796,4,IF('CF Timeline'!J15&lt;164592,5,6)))),FALSE)*VLOOKUP(J4,Children!$A$4:$E$86,5,FALSE)*J15),0))</f>
        <v>27818.19247816706</v>
      </c>
      <c r="K24" s="314">
        <f ca="1">IF('General overview'!$C$22="no",0,IF(K4&gt;='General overview'!$C$24,IF('General overview'!$C$25&gt;0,'General overview'!$C$25*((1.01)^(K4-'General overview'!$C$24)),VLOOKUP(K6,Children!$G$5:$L$30,IF('CF Timeline'!K15&lt;56028,2,IF('CF Timeline'!K15&lt;84048,3,IF('CF Timeline'!K15&lt;116796,4,IF('CF Timeline'!K15&lt;164592,5,6)))),FALSE)*VLOOKUP(K4,Children!$A$4:$E$86,5,FALSE)*K15),0))</f>
        <v>40036.070756554764</v>
      </c>
      <c r="L24" s="314">
        <f ca="1">IF('General overview'!$C$22="no",0,IF(L4&gt;='General overview'!$C$24,IF('General overview'!$C$25&gt;0,'General overview'!$C$25*((1.01)^(L4-'General overview'!$C$24)),VLOOKUP(L6,Children!$G$5:$L$30,IF('CF Timeline'!L15&lt;56028,2,IF('CF Timeline'!L15&lt;84048,3,IF('CF Timeline'!L15&lt;116796,4,IF('CF Timeline'!L15&lt;164592,5,6)))),FALSE)*VLOOKUP(L4,Children!$A$4:$E$86,5,FALSE)*L15),0))</f>
        <v>43961.005589951637</v>
      </c>
      <c r="M24" s="314">
        <f ca="1">IF('General overview'!$C$22="no",0,IF(M4&gt;='General overview'!$C$24,IF('General overview'!$C$25&gt;0,'General overview'!$C$25*((1.01)^(M4-'General overview'!$C$24)),VLOOKUP(M6,Children!$G$5:$L$30,IF('CF Timeline'!M15&lt;56028,2,IF('CF Timeline'!M15&lt;84048,3,IF('CF Timeline'!M15&lt;116796,4,IF('CF Timeline'!M15&lt;164592,5,6)))),FALSE)*VLOOKUP(M4,Children!$A$4:$E$86,5,FALSE)*M15),0))</f>
        <v>45003.392491109611</v>
      </c>
      <c r="N24" s="314">
        <f ca="1">IF('General overview'!$C$22="no",0,IF(N4&gt;='General overview'!$C$24,IF('General overview'!$C$25&gt;0,'General overview'!$C$25*((1.01)^(N4-'General overview'!$C$24)),VLOOKUP(N6,Children!$G$5:$L$30,IF('CF Timeline'!N15&lt;56028,2,IF('CF Timeline'!N15&lt;84048,3,IF('CF Timeline'!N15&lt;116796,4,IF('CF Timeline'!N15&lt;164592,5,6)))),FALSE)*VLOOKUP(N4,Children!$A$4:$E$86,5,FALSE)*N15),0))</f>
        <v>50717.4504012709</v>
      </c>
      <c r="O24" s="314">
        <f ca="1">IF('General overview'!$C$22="no",0,IF(O4&gt;='General overview'!$C$24,IF('General overview'!$C$25&gt;0,'General overview'!$C$25*((1.01)^(O4-'General overview'!$C$24)),VLOOKUP(O6,Children!$G$5:$L$30,IF('CF Timeline'!O15&lt;56028,2,IF('CF Timeline'!O15&lt;84048,3,IF('CF Timeline'!O15&lt;116796,4,IF('CF Timeline'!O15&lt;164592,5,6)))),FALSE)*VLOOKUP(O4,Children!$A$4:$E$86,5,FALSE)*O15),0))</f>
        <v>52060.620160735605</v>
      </c>
      <c r="P24" s="314">
        <f ca="1">IF('General overview'!$C$22="no",0,IF(P4&gt;='General overview'!$C$24,IF('General overview'!$C$25&gt;0,'General overview'!$C$25*((1.01)^(P4-'General overview'!$C$24)),VLOOKUP(P6,Children!$G$5:$L$30,IF('CF Timeline'!P15&lt;56028,2,IF('CF Timeline'!P15&lt;84048,3,IF('CF Timeline'!P15&lt;116796,4,IF('CF Timeline'!P15&lt;164592,5,6)))),FALSE)*VLOOKUP(P4,Children!$A$4:$E$86,5,FALSE)*P15),0))</f>
        <v>58416.522374403459</v>
      </c>
      <c r="Q24" s="314">
        <f ca="1">IF('General overview'!$C$22="no",0,IF(Q4&gt;='General overview'!$C$24,IF('General overview'!$C$25&gt;0,'General overview'!$C$25*((1.01)^(Q4-'General overview'!$C$24)),VLOOKUP(Q6,Children!$G$5:$L$30,IF('CF Timeline'!Q15&lt;56028,2,IF('CF Timeline'!Q15&lt;84048,3,IF('CF Timeline'!Q15&lt;116796,4,IF('CF Timeline'!Q15&lt;164592,5,6)))),FALSE)*VLOOKUP(Q4,Children!$A$4:$E$86,5,FALSE)*Q15),0))</f>
        <v>59955.496777381173</v>
      </c>
      <c r="R24" s="314">
        <f ca="1">IF('General overview'!$C$22="no",0,IF(R4&gt;='General overview'!$C$24,IF('General overview'!$C$25&gt;0,'General overview'!$C$25*((1.01)^(R4-'General overview'!$C$24)),VLOOKUP(R6,Children!$G$5:$L$30,IF('CF Timeline'!R15&lt;56028,2,IF('CF Timeline'!R15&lt;84048,3,IF('CF Timeline'!R15&lt;116796,4,IF('CF Timeline'!R15&lt;164592,5,6)))),FALSE)*VLOOKUP(R4,Children!$A$4:$E$86,5,FALSE)*R15),0))</f>
        <v>61533.308455508326</v>
      </c>
      <c r="S24" s="314">
        <f ca="1">IF('General overview'!$C$22="no",0,IF(S4&gt;='General overview'!$C$24,IF('General overview'!$C$25&gt;0,'General overview'!$C$25*((1.01)^(S4-'General overview'!$C$24)),VLOOKUP(S6,Children!$G$5:$L$30,IF('CF Timeline'!S15&lt;56028,2,IF('CF Timeline'!S15&lt;84048,3,IF('CF Timeline'!S15&lt;116796,4,IF('CF Timeline'!S15&lt;164592,5,6)))),FALSE)*VLOOKUP(S4,Children!$A$4:$E$86,5,FALSE)*S15),0))</f>
        <v>63151.03593381586</v>
      </c>
      <c r="T24" s="314">
        <f ca="1">IF('General overview'!$C$22="no",0,IF(T4&gt;='General overview'!$C$24,IF('General overview'!$C$25&gt;0,'General overview'!$C$25*((1.01)^(T4-'General overview'!$C$24)),VLOOKUP(T6,Children!$G$5:$L$30,IF('CF Timeline'!T15&lt;56028,2,IF('CF Timeline'!T15&lt;84048,3,IF('CF Timeline'!T15&lt;116796,4,IF('CF Timeline'!T15&lt;164592,5,6)))),FALSE)*VLOOKUP(T4,Children!$A$4:$E$86,5,FALSE)*T15),0))</f>
        <v>73879.599907392869</v>
      </c>
      <c r="U24" s="314">
        <f ca="1">IF('General overview'!$C$22="no",0,IF(U4&gt;='General overview'!$C$24,IF('General overview'!$C$25&gt;0,'General overview'!$C$25*((1.01)^(U4-'General overview'!$C$24)),VLOOKUP(U6,Children!$G$5:$L$30,IF('CF Timeline'!U15&lt;56028,2,IF('CF Timeline'!U15&lt;84048,3,IF('CF Timeline'!U15&lt;116796,4,IF('CF Timeline'!U15&lt;164592,5,6)))),FALSE)*VLOOKUP(U4,Children!$A$4:$E$86,5,FALSE)*U15),0))</f>
        <v>75817.977297510908</v>
      </c>
      <c r="V24" s="314">
        <f ca="1">IF('General overview'!$C$22="no",0,IF(V4&gt;='General overview'!$C$24,IF('General overview'!$C$25&gt;0,'General overview'!$C$25*((1.01)^(V4-'General overview'!$C$24)),VLOOKUP(V6,Children!$G$5:$L$30,IF('CF Timeline'!V15&lt;56028,2,IF('CF Timeline'!V15&lt;84048,3,IF('CF Timeline'!V15&lt;116796,4,IF('CF Timeline'!V15&lt;164592,5,6)))),FALSE)*VLOOKUP(V4,Children!$A$4:$E$86,5,FALSE)*V15),0))</f>
        <v>87412.970758348471</v>
      </c>
      <c r="W24" s="314">
        <f ca="1">IF('General overview'!$C$22="no",0,IF(W4&gt;='General overview'!$C$24,IF('General overview'!$C$25&gt;0,'General overview'!$C$25*((1.01)^(W4-'General overview'!$C$24)),VLOOKUP(W6,Children!$G$5:$L$30,IF('CF Timeline'!W15&lt;56028,2,IF('CF Timeline'!W15&lt;84048,3,IF('CF Timeline'!W15&lt;116796,4,IF('CF Timeline'!W15&lt;164592,5,6)))),FALSE)*VLOOKUP(W4,Children!$A$4:$E$86,5,FALSE)*W15),0))</f>
        <v>89703.02918059683</v>
      </c>
      <c r="X24" s="314">
        <f ca="1">IF('General overview'!$C$22="no",0,IF(X4&gt;='General overview'!$C$24,IF('General overview'!$C$25&gt;0,'General overview'!$C$25*((1.01)^(X4-'General overview'!$C$24)),VLOOKUP(X6,Children!$G$5:$L$30,IF('CF Timeline'!X15&lt;56028,2,IF('CF Timeline'!X15&lt;84048,3,IF('CF Timeline'!X15&lt;116796,4,IF('CF Timeline'!X15&lt;164592,5,6)))),FALSE)*VLOOKUP(X4,Children!$A$4:$E$86,5,FALSE)*X15),0))</f>
        <v>102738.71539572212</v>
      </c>
      <c r="Y24" s="314">
        <f ca="1">IF('General overview'!$C$22="no",0,IF(Y4&gt;='General overview'!$C$24,IF('General overview'!$C$25&gt;0,'General overview'!$C$25*((1.01)^(Y4-'General overview'!$C$24)),VLOOKUP(Y6,Children!$G$5:$L$30,IF('CF Timeline'!Y15&lt;56028,2,IF('CF Timeline'!Y15&lt;84048,3,IF('CF Timeline'!Y15&lt;116796,4,IF('CF Timeline'!Y15&lt;164592,5,6)))),FALSE)*VLOOKUP(Y4,Children!$A$4:$E$86,5,FALSE)*Y15),0))</f>
        <v>106240.0842554589</v>
      </c>
      <c r="Z24" s="314">
        <f ca="1">IF('General overview'!$C$22="no",0,IF(Z4&gt;='General overview'!$C$24,IF('General overview'!$C$25&gt;0,'General overview'!$C$25*((1.01)^(Z4-'General overview'!$C$24)),VLOOKUP(Z6,Children!$G$5:$L$30,IF('CF Timeline'!Z15&lt;56028,2,IF('CF Timeline'!Z15&lt;84048,3,IF('CF Timeline'!Z15&lt;116796,4,IF('CF Timeline'!Z15&lt;164592,5,6)))),FALSE)*VLOOKUP(Z4,Children!$A$4:$E$86,5,FALSE)*Z15),0))</f>
        <v>69615.447917278594</v>
      </c>
      <c r="AA24" s="314">
        <f ca="1">IF('General overview'!$C$22="no",0,IF(AA4&gt;='General overview'!$C$24,IF('General overview'!$C$25&gt;0,'General overview'!$C$25*((1.01)^(AA4-'General overview'!$C$24)),VLOOKUP(AA6,Children!$G$5:$L$30,IF('CF Timeline'!AA15&lt;56028,2,IF('CF Timeline'!AA15&lt;84048,3,IF('CF Timeline'!AA15&lt;116796,4,IF('CF Timeline'!AA15&lt;164592,5,6)))),FALSE)*VLOOKUP(AA4,Children!$A$4:$E$86,5,FALSE)*AA15),0))</f>
        <v>71376.062808303686</v>
      </c>
      <c r="AB24" s="314">
        <f ca="1">IF('General overview'!$C$22="no",0,IF(AB4&gt;='General overview'!$C$24,IF('General overview'!$C$25&gt;0,'General overview'!$C$25*((1.01)^(AB4-'General overview'!$C$24)),VLOOKUP(AB6,Children!$G$5:$L$30,IF('CF Timeline'!AB15&lt;56028,2,IF('CF Timeline'!AB15&lt;84048,3,IF('CF Timeline'!AB15&lt;116796,4,IF('CF Timeline'!AB15&lt;164592,5,6)))),FALSE)*VLOOKUP(AB4,Children!$A$4:$E$86,5,FALSE)*AB15),0))</f>
        <v>36591.067884883283</v>
      </c>
      <c r="AC24" s="314">
        <f ca="1">IF('General overview'!$C$22="no",0,IF(AC4&gt;='General overview'!$C$24,IF('General overview'!$C$25&gt;0,'General overview'!$C$25*((1.01)^(AC4-'General overview'!$C$24)),VLOOKUP(AC6,Children!$G$5:$L$30,IF('CF Timeline'!AC15&lt;56028,2,IF('CF Timeline'!AC15&lt;84048,3,IF('CF Timeline'!AC15&lt;116796,4,IF('CF Timeline'!AC15&lt;164592,5,6)))),FALSE)*VLOOKUP(AC4,Children!$A$4:$E$86,5,FALSE)*AC15),0))</f>
        <v>37517.468943987064</v>
      </c>
      <c r="AD24" s="314">
        <f ca="1">IF('General overview'!$C$22="no",0,IF(AD4&gt;='General overview'!$C$24,IF('General overview'!$C$25&gt;0,'General overview'!$C$25*((1.01)^(AD4-'General overview'!$C$24)),VLOOKUP(AD6,Children!$G$5:$L$30,IF('CF Timeline'!AD15&lt;56028,2,IF('CF Timeline'!AD15&lt;84048,3,IF('CF Timeline'!AD15&lt;116796,4,IF('CF Timeline'!AD15&lt;164592,5,6)))),FALSE)*VLOOKUP(AD4,Children!$A$4:$E$86,5,FALSE)*AD15),0))</f>
        <v>0</v>
      </c>
      <c r="AE24" s="314">
        <f ca="1">IF('General overview'!$C$22="no",0,IF(AE4&gt;='General overview'!$C$24,IF('General overview'!$C$25&gt;0,'General overview'!$C$25*((1.01)^(AE4-'General overview'!$C$24)),VLOOKUP(AE6,Children!$G$5:$L$30,IF('CF Timeline'!AE15&lt;56028,2,IF('CF Timeline'!AE15&lt;84048,3,IF('CF Timeline'!AE15&lt;116796,4,IF('CF Timeline'!AE15&lt;164592,5,6)))),FALSE)*VLOOKUP(AE4,Children!$A$4:$E$86,5,FALSE)*AE15),0))</f>
        <v>0</v>
      </c>
      <c r="AF24" s="314">
        <f ca="1">IF('General overview'!$C$22="no",0,IF(AF4&gt;='General overview'!$C$24,IF('General overview'!$C$25&gt;0,'General overview'!$C$25*((1.01)^(AF4-'General overview'!$C$24)),VLOOKUP(AF6,Children!$G$5:$L$30,IF('CF Timeline'!AF15&lt;56028,2,IF('CF Timeline'!AF15&lt;84048,3,IF('CF Timeline'!AF15&lt;116796,4,IF('CF Timeline'!AF15&lt;164592,5,6)))),FALSE)*VLOOKUP(AF4,Children!$A$4:$E$86,5,FALSE)*AF15),0))</f>
        <v>0</v>
      </c>
      <c r="AG24" s="314">
        <f ca="1">IF('General overview'!$C$22="no",0,IF(AG4&gt;='General overview'!$C$24,IF('General overview'!$C$25&gt;0,'General overview'!$C$25*((1.01)^(AG4-'General overview'!$C$24)),VLOOKUP(AG6,Children!$G$5:$L$30,IF('CF Timeline'!AG15&lt;56028,2,IF('CF Timeline'!AG15&lt;84048,3,IF('CF Timeline'!AG15&lt;116796,4,IF('CF Timeline'!AG15&lt;164592,5,6)))),FALSE)*VLOOKUP(AG4,Children!$A$4:$E$86,5,FALSE)*AG15),0))</f>
        <v>0</v>
      </c>
      <c r="AH24" s="314">
        <f ca="1">IF('General overview'!$C$22="no",0,IF(AH4&gt;='General overview'!$C$24,IF('General overview'!$C$25&gt;0,'General overview'!$C$25*((1.01)^(AH4-'General overview'!$C$24)),VLOOKUP(AH6,Children!$G$5:$L$30,IF('CF Timeline'!AH15&lt;56028,2,IF('CF Timeline'!AH15&lt;84048,3,IF('CF Timeline'!AH15&lt;116796,4,IF('CF Timeline'!AH15&lt;164592,5,6)))),FALSE)*VLOOKUP(AH4,Children!$A$4:$E$86,5,FALSE)*AH15),0))</f>
        <v>0</v>
      </c>
      <c r="AI24" s="314">
        <f ca="1">IF('General overview'!$C$22="no",0,IF(AI4&gt;='General overview'!$C$24,IF('General overview'!$C$25&gt;0,'General overview'!$C$25*((1.01)^(AI4-'General overview'!$C$24)),VLOOKUP(AI6,Children!$G$5:$L$30,IF('CF Timeline'!AI15&lt;56028,2,IF('CF Timeline'!AI15&lt;84048,3,IF('CF Timeline'!AI15&lt;116796,4,IF('CF Timeline'!AI15&lt;164592,5,6)))),FALSE)*VLOOKUP(AI4,Children!$A$4:$E$86,5,FALSE)*AI15),0))</f>
        <v>0</v>
      </c>
      <c r="AJ24" s="314">
        <f ca="1">IF('General overview'!$C$22="no",0,IF(AJ4&gt;='General overview'!$C$24,IF('General overview'!$C$25&gt;0,'General overview'!$C$25*((1.01)^(AJ4-'General overview'!$C$24)),VLOOKUP(AJ6,Children!$G$5:$L$30,IF('CF Timeline'!AJ15&lt;56028,2,IF('CF Timeline'!AJ15&lt;84048,3,IF('CF Timeline'!AJ15&lt;116796,4,IF('CF Timeline'!AJ15&lt;164592,5,6)))),FALSE)*VLOOKUP(AJ4,Children!$A$4:$E$86,5,FALSE)*AJ15),0))</f>
        <v>0</v>
      </c>
      <c r="AK24" s="314">
        <f ca="1">IF('General overview'!$C$22="no",0,IF(AK4&gt;='General overview'!$C$24,IF('General overview'!$C$25&gt;0,'General overview'!$C$25*((1.01)^(AK4-'General overview'!$C$24)),VLOOKUP(AK6,Children!$G$5:$L$30,IF('CF Timeline'!AK15&lt;56028,2,IF('CF Timeline'!AK15&lt;84048,3,IF('CF Timeline'!AK15&lt;116796,4,IF('CF Timeline'!AK15&lt;164592,5,6)))),FALSE)*VLOOKUP(AK4,Children!$A$4:$E$86,5,FALSE)*AK15),0))</f>
        <v>0</v>
      </c>
      <c r="AL24" s="314">
        <f ca="1">IF('General overview'!$C$22="no",0,IF(AL4&gt;='General overview'!$C$24,IF('General overview'!$C$25&gt;0,'General overview'!$C$25*((1.01)^(AL4-'General overview'!$C$24)),VLOOKUP(AL6,Children!$G$5:$L$30,IF('CF Timeline'!AL15&lt;56028,2,IF('CF Timeline'!AL15&lt;84048,3,IF('CF Timeline'!AL15&lt;116796,4,IF('CF Timeline'!AL15&lt;164592,5,6)))),FALSE)*VLOOKUP(AL4,Children!$A$4:$E$86,5,FALSE)*AL15),0))</f>
        <v>0</v>
      </c>
      <c r="AM24" s="314">
        <f ca="1">IF('General overview'!$C$22="no",0,IF(AM4&gt;='General overview'!$C$24,IF('General overview'!$C$25&gt;0,'General overview'!$C$25*((1.01)^(AM4-'General overview'!$C$24)),VLOOKUP(AM6,Children!$G$5:$L$30,IF('CF Timeline'!AM15&lt;56028,2,IF('CF Timeline'!AM15&lt;84048,3,IF('CF Timeline'!AM15&lt;116796,4,IF('CF Timeline'!AM15&lt;164592,5,6)))),FALSE)*VLOOKUP(AM4,Children!$A$4:$E$86,5,FALSE)*AM15),0))</f>
        <v>0</v>
      </c>
      <c r="AN24" s="314">
        <f ca="1">IF('General overview'!$C$22="no",0,IF(AN4&gt;='General overview'!$C$24,IF('General overview'!$C$25&gt;0,'General overview'!$C$25*((1.01)^(AN4-'General overview'!$C$24)),VLOOKUP(AN6,Children!$G$5:$L$30,IF('CF Timeline'!AN15&lt;56028,2,IF('CF Timeline'!AN15&lt;84048,3,IF('CF Timeline'!AN15&lt;116796,4,IF('CF Timeline'!AN15&lt;164592,5,6)))),FALSE)*VLOOKUP(AN4,Children!$A$4:$E$86,5,FALSE)*AN15),0))</f>
        <v>0</v>
      </c>
      <c r="AO24" s="314">
        <f ca="1">IF('General overview'!$C$22="no",0,IF(AO4&gt;='General overview'!$C$24,IF('General overview'!$C$25&gt;0,'General overview'!$C$25*((1.01)^(AO4-'General overview'!$C$24)),VLOOKUP(AO6,Children!$G$5:$L$30,IF('CF Timeline'!AO15&lt;56028,2,IF('CF Timeline'!AO15&lt;84048,3,IF('CF Timeline'!AO15&lt;116796,4,IF('CF Timeline'!AO15&lt;164592,5,6)))),FALSE)*VLOOKUP(AO4,Children!$A$4:$E$86,5,FALSE)*AO15),0))</f>
        <v>0</v>
      </c>
      <c r="AP24" s="314">
        <f ca="1">IF('General overview'!$C$22="no",0,IF(AP4&gt;='General overview'!$C$24,IF('General overview'!$C$25&gt;0,'General overview'!$C$25*((1.01)^(AP4-'General overview'!$C$24)),VLOOKUP(AP6,Children!$G$5:$L$30,IF('CF Timeline'!AP15&lt;56028,2,IF('CF Timeline'!AP15&lt;84048,3,IF('CF Timeline'!AP15&lt;116796,4,IF('CF Timeline'!AP15&lt;164592,5,6)))),FALSE)*VLOOKUP(AP4,Children!$A$4:$E$86,5,FALSE)*AP15),0))</f>
        <v>0</v>
      </c>
      <c r="AQ24" s="314">
        <f ca="1">IF('General overview'!$C$22="no",0,IF(AQ4&gt;='General overview'!$C$24,IF('General overview'!$C$25&gt;0,'General overview'!$C$25*((1.01)^(AQ4-'General overview'!$C$24)),VLOOKUP(AQ6,Children!$G$5:$L$30,IF('CF Timeline'!AQ15&lt;56028,2,IF('CF Timeline'!AQ15&lt;84048,3,IF('CF Timeline'!AQ15&lt;116796,4,IF('CF Timeline'!AQ15&lt;164592,5,6)))),FALSE)*VLOOKUP(AQ4,Children!$A$4:$E$86,5,FALSE)*AQ15),0))</f>
        <v>0</v>
      </c>
      <c r="AR24" s="314">
        <f ca="1">IF('General overview'!$C$22="no",0,IF(AR4&gt;='General overview'!$C$24,IF('General overview'!$C$25&gt;0,'General overview'!$C$25*((1.01)^(AR4-'General overview'!$C$24)),VLOOKUP(AR6,Children!$G$5:$L$30,IF('CF Timeline'!AR15&lt;56028,2,IF('CF Timeline'!AR15&lt;84048,3,IF('CF Timeline'!AR15&lt;116796,4,IF('CF Timeline'!AR15&lt;164592,5,6)))),FALSE)*VLOOKUP(AR4,Children!$A$4:$E$86,5,FALSE)*AR15),0))</f>
        <v>0</v>
      </c>
      <c r="AS24" s="314">
        <f ca="1">IF('General overview'!$C$22="no",0,IF(AS4&gt;='General overview'!$C$24,IF('General overview'!$C$25&gt;0,'General overview'!$C$25*((1.01)^(AS4-'General overview'!$C$24)),VLOOKUP(AS6,Children!$G$5:$L$30,IF('CF Timeline'!AS15&lt;56028,2,IF('CF Timeline'!AS15&lt;84048,3,IF('CF Timeline'!AS15&lt;116796,4,IF('CF Timeline'!AS15&lt;164592,5,6)))),FALSE)*VLOOKUP(AS4,Children!$A$4:$E$86,5,FALSE)*AS15),0))</f>
        <v>0</v>
      </c>
      <c r="AT24" s="314">
        <f ca="1">IF('General overview'!$C$22="no",0,IF(AT4&gt;='General overview'!$C$24,IF('General overview'!$C$25&gt;0,'General overview'!$C$25*((1.01)^(AT4-'General overview'!$C$24)),VLOOKUP(AT6,Children!$G$5:$L$30,IF('CF Timeline'!AT15&lt;56028,2,IF('CF Timeline'!AT15&lt;84048,3,IF('CF Timeline'!AT15&lt;116796,4,IF('CF Timeline'!AT15&lt;164592,5,6)))),FALSE)*VLOOKUP(AT4,Children!$A$4:$E$86,5,FALSE)*AT15),0))</f>
        <v>0</v>
      </c>
      <c r="AU24" s="314">
        <f ca="1">IF('General overview'!$C$22="no",0,IF(AU4&gt;='General overview'!$C$24,IF('General overview'!$C$25&gt;0,'General overview'!$C$25*((1.01)^(AU4-'General overview'!$C$24)),VLOOKUP(AU6,Children!$G$5:$L$30,IF('CF Timeline'!AU15&lt;56028,2,IF('CF Timeline'!AU15&lt;84048,3,IF('CF Timeline'!AU15&lt;116796,4,IF('CF Timeline'!AU15&lt;164592,5,6)))),FALSE)*VLOOKUP(AU4,Children!$A$4:$E$86,5,FALSE)*AU15),0))</f>
        <v>0</v>
      </c>
      <c r="AV24" s="314">
        <f ca="1">IF('General overview'!$C$22="no",0,IF(AV4&gt;='General overview'!$C$24,IF('General overview'!$C$25&gt;0,'General overview'!$C$25*((1.01)^(AV4-'General overview'!$C$24)),VLOOKUP(AV6,Children!$G$5:$L$30,IF('CF Timeline'!AV15&lt;56028,2,IF('CF Timeline'!AV15&lt;84048,3,IF('CF Timeline'!AV15&lt;116796,4,IF('CF Timeline'!AV15&lt;164592,5,6)))),FALSE)*VLOOKUP(AV4,Children!$A$4:$E$86,5,FALSE)*AV15),0))</f>
        <v>0</v>
      </c>
      <c r="AW24" s="314">
        <f ca="1">IF('General overview'!$C$22="no",0,IF(AW4&gt;='General overview'!$C$24,IF('General overview'!$C$25&gt;0,'General overview'!$C$25*((1.01)^(AW4-'General overview'!$C$24)),VLOOKUP(AW6,Children!$G$5:$L$30,IF('CF Timeline'!AW15&lt;56028,2,IF('CF Timeline'!AW15&lt;84048,3,IF('CF Timeline'!AW15&lt;116796,4,IF('CF Timeline'!AW15&lt;164592,5,6)))),FALSE)*VLOOKUP(AW4,Children!$A$4:$E$86,5,FALSE)*AW15),0))</f>
        <v>0</v>
      </c>
      <c r="AX24" s="314">
        <f ca="1">IF('General overview'!$C$22="no",0,IF(AX4&gt;='General overview'!$C$24,IF('General overview'!$C$25&gt;0,'General overview'!$C$25*((1.01)^(AX4-'General overview'!$C$24)),VLOOKUP(AX6,Children!$G$5:$L$30,IF('CF Timeline'!AX15&lt;56028,2,IF('CF Timeline'!AX15&lt;84048,3,IF('CF Timeline'!AX15&lt;116796,4,IF('CF Timeline'!AX15&lt;164592,5,6)))),FALSE)*VLOOKUP(AX4,Children!$A$4:$E$86,5,FALSE)*AX15),0))</f>
        <v>0</v>
      </c>
      <c r="AY24" s="314">
        <f ca="1">IF('General overview'!$C$22="no",0,IF(AY4&gt;='General overview'!$C$24,IF('General overview'!$C$25&gt;0,'General overview'!$C$25*((1.01)^(AY4-'General overview'!$C$24)),VLOOKUP(AY6,Children!$G$5:$L$30,IF('CF Timeline'!AY15&lt;56028,2,IF('CF Timeline'!AY15&lt;84048,3,IF('CF Timeline'!AY15&lt;116796,4,IF('CF Timeline'!AY15&lt;164592,5,6)))),FALSE)*VLOOKUP(AY4,Children!$A$4:$E$86,5,FALSE)*AY15),0))</f>
        <v>0</v>
      </c>
      <c r="AZ24" s="314">
        <f ca="1">IF('General overview'!$C$22="no",0,IF(AZ4&gt;='General overview'!$C$24,IF('General overview'!$C$25&gt;0,'General overview'!$C$25*((1.01)^(AZ4-'General overview'!$C$24)),VLOOKUP(AZ6,Children!$G$5:$L$30,IF('CF Timeline'!AZ15&lt;56028,2,IF('CF Timeline'!AZ15&lt;84048,3,IF('CF Timeline'!AZ15&lt;116796,4,IF('CF Timeline'!AZ15&lt;164592,5,6)))),FALSE)*VLOOKUP(AZ4,Children!$A$4:$E$86,5,FALSE)*AZ15),0))</f>
        <v>0</v>
      </c>
      <c r="BA24" s="314">
        <f ca="1">IF('General overview'!$C$22="no",0,IF(BA4&gt;='General overview'!$C$24,IF('General overview'!$C$25&gt;0,'General overview'!$C$25*((1.01)^(BA4-'General overview'!$C$24)),VLOOKUP(BA6,Children!$G$5:$L$30,IF('CF Timeline'!BA15&lt;56028,2,IF('CF Timeline'!BA15&lt;84048,3,IF('CF Timeline'!BA15&lt;116796,4,IF('CF Timeline'!BA15&lt;164592,5,6)))),FALSE)*VLOOKUP(BA4,Children!$A$4:$E$86,5,FALSE)*BA15),0))</f>
        <v>0</v>
      </c>
      <c r="BB24" s="314">
        <f ca="1">IF('General overview'!$C$22="no",0,IF(BB4&gt;='General overview'!$C$24,IF('General overview'!$C$25&gt;0,'General overview'!$C$25*((1.01)^(BB4-'General overview'!$C$24)),VLOOKUP(BB6,Children!$G$5:$L$30,IF('CF Timeline'!BB15&lt;56028,2,IF('CF Timeline'!BB15&lt;84048,3,IF('CF Timeline'!BB15&lt;116796,4,IF('CF Timeline'!BB15&lt;164592,5,6)))),FALSE)*VLOOKUP(BB4,Children!$A$4:$E$86,5,FALSE)*BB15),0))</f>
        <v>0</v>
      </c>
      <c r="BC24" s="314">
        <f ca="1">IF('General overview'!$C$22="no",0,IF(BC4&gt;='General overview'!$C$24,IF('General overview'!$C$25&gt;0,'General overview'!$C$25*((1.01)^(BC4-'General overview'!$C$24)),VLOOKUP(BC6,Children!$G$5:$L$30,IF('CF Timeline'!BC15&lt;56028,2,IF('CF Timeline'!BC15&lt;84048,3,IF('CF Timeline'!BC15&lt;116796,4,IF('CF Timeline'!BC15&lt;164592,5,6)))),FALSE)*VLOOKUP(BC4,Children!$A$4:$E$86,5,FALSE)*BC15),0))</f>
        <v>0</v>
      </c>
    </row>
    <row r="25" spans="1:55">
      <c r="B25" s="161" t="s">
        <v>57</v>
      </c>
      <c r="C25" s="162">
        <f ca="1">IFERROR(SUM(C17:C24), 0)</f>
        <v>63152.618831732609</v>
      </c>
      <c r="D25" s="162">
        <f t="shared" ref="D25:F25" ca="1" si="14">IFERROR(SUM(D17:D24), 0)</f>
        <v>64932.24524942982</v>
      </c>
      <c r="E25" s="162">
        <f t="shared" ca="1" si="14"/>
        <v>66754.507721523391</v>
      </c>
      <c r="F25" s="162">
        <f t="shared" ca="1" si="14"/>
        <v>67861.313442836778</v>
      </c>
      <c r="G25" s="162">
        <f t="shared" ref="G25" ca="1" si="15">IFERROR(SUM(G17:G24), 0)</f>
        <v>84166.697484010831</v>
      </c>
      <c r="H25" s="162">
        <f t="shared" ref="H25" ca="1" si="16">IFERROR(SUM(H17:H24), 0)</f>
        <v>86498.413460007461</v>
      </c>
      <c r="I25" s="162">
        <f t="shared" ref="I25" ca="1" si="17">IFERROR(SUM(I17:I24), 0)</f>
        <v>100571.38428935192</v>
      </c>
      <c r="J25" s="162">
        <f t="shared" ref="J25" ca="1" si="18">IFERROR(SUM(J17:J24), 0)</f>
        <v>103399.80988438305</v>
      </c>
      <c r="K25" s="162">
        <f t="shared" ref="K25" ca="1" si="19">IFERROR(SUM(K17:K24), 0)</f>
        <v>117668.44452140479</v>
      </c>
      <c r="L25" s="162">
        <f t="shared" ref="L25" ca="1" si="20">IFERROR(SUM(L17:L24), 0)</f>
        <v>123650.32982254997</v>
      </c>
      <c r="M25" s="162">
        <f t="shared" ref="M25" ca="1" si="21">IFERROR(SUM(M17:M24), 0)</f>
        <v>155387.84394553423</v>
      </c>
      <c r="N25" s="162">
        <f t="shared" ref="N25" ca="1" si="22">IFERROR(SUM(N17:N24), 0)</f>
        <v>162702.78875508966</v>
      </c>
      <c r="O25" s="162">
        <f ca="1">IFERROR(SUM(O17:O24), 0)</f>
        <v>165685.99398491491</v>
      </c>
      <c r="P25" s="162">
        <f t="shared" ref="P25" ca="1" si="23">IFERROR(SUM(P17:P24), 0)</f>
        <v>173363.60635427185</v>
      </c>
      <c r="Q25" s="162">
        <f t="shared" ref="Q25" ca="1" si="24">IFERROR(SUM(Q17:Q24), 0)</f>
        <v>176610.67840499169</v>
      </c>
      <c r="R25" s="162">
        <f t="shared" ref="R25" ca="1" si="25">IFERROR(SUM(R17:R24), 0)</f>
        <v>179938.69033299619</v>
      </c>
      <c r="S25" s="162">
        <f t="shared" ref="S25" ca="1" si="26">IFERROR(SUM(S17:S24), 0)</f>
        <v>183349.85977160028</v>
      </c>
      <c r="T25" s="162">
        <f t="shared" ref="T25" ca="1" si="27">IFERROR(SUM(T17:T24), 0)</f>
        <v>196117.07719361439</v>
      </c>
      <c r="U25" s="162">
        <f t="shared" ref="U25" ca="1" si="28">IFERROR(SUM(U17:U24), 0)</f>
        <v>199943.69678261725</v>
      </c>
      <c r="V25" s="162">
        <f t="shared" ref="V25" ca="1" si="29">IFERROR(SUM(V17:V24), 0)</f>
        <v>213473.8367907806</v>
      </c>
      <c r="W25" s="162">
        <f t="shared" ref="W25" ca="1" si="30">IFERROR(SUM(W17:W24), 0)</f>
        <v>217747.21765764814</v>
      </c>
      <c r="X25" s="162">
        <f t="shared" ref="X25" ca="1" si="31">IFERROR(SUM(X17:X24), 0)</f>
        <v>232815.70934416552</v>
      </c>
      <c r="Y25" s="162">
        <f t="shared" ref="Y25" ca="1" si="32">IFERROR(SUM(Y17:Y24), 0)</f>
        <v>238961.60043693875</v>
      </c>
      <c r="Z25" s="162">
        <f t="shared" ref="Z25" ca="1" si="33">IFERROR(SUM(Z17:Z24), 0)</f>
        <v>203584.37989394984</v>
      </c>
      <c r="AA25" s="162">
        <f t="shared" ref="AA25" ca="1" si="34">IFERROR(SUM(AA17:AA24), 0)</f>
        <v>207462.52188665178</v>
      </c>
      <c r="AB25" s="162">
        <f t="shared" ref="AB25" ca="1" si="35">IFERROR(SUM(AB17:AB24), 0)</f>
        <v>174848.36494448845</v>
      </c>
      <c r="AC25" s="162">
        <f t="shared" ref="AC25" ca="1" si="36">IFERROR(SUM(AC17:AC24), 0)</f>
        <v>178000.36801085103</v>
      </c>
      <c r="AD25" s="162">
        <f t="shared" ref="AD25" ca="1" si="37">IFERROR(SUM(AD17:AD24), 0)</f>
        <v>142976.18752252616</v>
      </c>
      <c r="AE25" s="162">
        <f t="shared" ref="AE25" ca="1" si="38">IFERROR(SUM(AE17:AE24), 0)</f>
        <v>145321.0032779717</v>
      </c>
      <c r="AF25" s="162">
        <f t="shared" ref="AF25" ca="1" si="39">IFERROR(SUM(AF17:AF24), 0)</f>
        <v>147725.2690696471</v>
      </c>
      <c r="AG25" s="162">
        <f t="shared" ref="AG25" ca="1" si="40">IFERROR(SUM(AG17:AG24), 0)</f>
        <v>150190.60892864573</v>
      </c>
      <c r="AH25" s="162">
        <f t="shared" ref="AH25" ca="1" si="41">IFERROR(SUM(AH17:AH24), 0)</f>
        <v>152718.69251035998</v>
      </c>
      <c r="AI25" s="162">
        <f t="shared" ref="AI25" ca="1" si="42">IFERROR(SUM(AI17:AI24), 0)</f>
        <v>155311.23639530427</v>
      </c>
      <c r="AJ25" s="162">
        <f t="shared" ref="AJ25" ca="1" si="43">IFERROR(SUM(AJ17:AJ24), 0)</f>
        <v>151875.39476633992</v>
      </c>
      <c r="AK25" s="162">
        <f t="shared" ref="AK25" ca="1" si="44">IFERROR(SUM(AK17:AK24), 0)</f>
        <v>154429.98244126077</v>
      </c>
      <c r="AL25" s="162">
        <f t="shared" ref="AL25" ca="1" si="45">IFERROR(SUM(AL17:AL24), 0)</f>
        <v>157050.43661518098</v>
      </c>
      <c r="AM25" s="162">
        <f t="shared" ref="AM25" ca="1" si="46">IFERROR(SUM(AM17:AM24), 0)</f>
        <v>159738.57518415889</v>
      </c>
      <c r="AN25" s="162">
        <f t="shared" ref="AN25" ca="1" si="47">IFERROR(SUM(AN17:AN24), 0)</f>
        <v>162496.26754459128</v>
      </c>
      <c r="AO25" s="162">
        <f t="shared" ref="AO25" ca="1" si="48">IFERROR(SUM(AO17:AO24), 0)</f>
        <v>111757.87776561966</v>
      </c>
      <c r="AP25" s="162">
        <f t="shared" ref="AP25" ca="1" si="49">IFERROR(SUM(AP17:AP24), 0)</f>
        <v>100277.53024998933</v>
      </c>
      <c r="AQ25" s="162">
        <f t="shared" ref="AQ25" ca="1" si="50">IFERROR(SUM(AQ17:AQ24), 0)</f>
        <v>100605.0033252311</v>
      </c>
      <c r="AR25" s="162">
        <f t="shared" ref="AR25" ca="1" si="51">IFERROR(SUM(AR17:AR24), 0)</f>
        <v>100939.0583705324</v>
      </c>
      <c r="AS25" s="162">
        <f t="shared" ref="AS25" ca="1" si="52">IFERROR(SUM(AS17:AS24), 0)</f>
        <v>101279.82767869267</v>
      </c>
      <c r="AT25" s="162">
        <f t="shared" ref="AT25" ca="1" si="53">IFERROR(SUM(AT17:AT24), 0)</f>
        <v>101627.44620150018</v>
      </c>
      <c r="AU25" s="162">
        <f t="shared" ref="AU25" ca="1" si="54">IFERROR(SUM(AU17:AU24), 0)</f>
        <v>101982.05160317571</v>
      </c>
      <c r="AV25" s="162">
        <f t="shared" ref="AV25" ca="1" si="55">IFERROR(SUM(AV17:AV24), 0)</f>
        <v>102343.78431489057</v>
      </c>
      <c r="AW25" s="162">
        <f t="shared" ref="AW25" ca="1" si="56">IFERROR(SUM(AW17:AW24), 0)</f>
        <v>102712.78759038018</v>
      </c>
      <c r="AX25" s="162">
        <f t="shared" ref="AX25" ca="1" si="57">IFERROR(SUM(AX17:AX24), 0)</f>
        <v>103089.20756267561</v>
      </c>
      <c r="AY25" s="162">
        <f t="shared" ref="AY25" ca="1" si="58">IFERROR(SUM(AY17:AY24), 0)</f>
        <v>103473.19330197535</v>
      </c>
      <c r="AZ25" s="162">
        <f t="shared" ref="AZ25" ca="1" si="59">IFERROR(SUM(AZ17:AZ24), 0)</f>
        <v>103864.89687468014</v>
      </c>
      <c r="BA25" s="162">
        <f t="shared" ref="BA25" ca="1" si="60">IFERROR(SUM(BA17:BA24), 0)</f>
        <v>104264.47340361455</v>
      </c>
      <c r="BB25" s="162">
        <f t="shared" ref="BB25" ca="1" si="61">IFERROR(SUM(BB17:BB24), 0)</f>
        <v>104672.08112945879</v>
      </c>
      <c r="BC25" s="162">
        <f t="shared" ref="BC25" ca="1" si="62">IFERROR(SUM(BC17:BC24), 0)</f>
        <v>105087.88147341541</v>
      </c>
    </row>
    <row r="26" spans="1:55">
      <c r="B26" s="318" t="s">
        <v>58</v>
      </c>
      <c r="C26" s="319">
        <f ca="1">C15-C25</f>
        <v>65205.175712033342</v>
      </c>
      <c r="D26" s="319">
        <f t="shared" ref="D26:BC26" ca="1" si="63">D15-D25</f>
        <v>67177.379946075482</v>
      </c>
      <c r="E26" s="319">
        <f t="shared" ca="1" si="63"/>
        <v>69198.0952301043</v>
      </c>
      <c r="F26" s="319">
        <f t="shared" ca="1" si="63"/>
        <v>70277.416942525248</v>
      </c>
      <c r="G26" s="319">
        <f t="shared" ca="1" si="63"/>
        <v>57722.59589490958</v>
      </c>
      <c r="H26" s="319">
        <f t="shared" ca="1" si="63"/>
        <v>59432.690309393511</v>
      </c>
      <c r="I26" s="319">
        <f t="shared" ca="1" si="63"/>
        <v>49501.099164523723</v>
      </c>
      <c r="J26" s="319">
        <f t="shared" ca="1" si="63"/>
        <v>50999.908982327615</v>
      </c>
      <c r="K26" s="319">
        <f t="shared" ca="1" si="63"/>
        <v>41054.974421052335</v>
      </c>
      <c r="L26" s="319">
        <f t="shared" ca="1" si="63"/>
        <v>39402.831631471345</v>
      </c>
      <c r="M26" s="319">
        <f t="shared" ca="1" si="63"/>
        <v>12094.948655110231</v>
      </c>
      <c r="N26" s="319">
        <f t="shared" ca="1" si="63"/>
        <v>9222.0179061285162</v>
      </c>
      <c r="O26" s="319">
        <f t="shared" ca="1" si="63"/>
        <v>10791.963502737111</v>
      </c>
      <c r="P26" s="319">
        <f t="shared" ca="1" si="63"/>
        <v>6657.7980630072707</v>
      </c>
      <c r="Q26" s="319">
        <f t="shared" ca="1" si="63"/>
        <v>8153.3625494409353</v>
      </c>
      <c r="R26" s="319">
        <f t="shared" ca="1" si="63"/>
        <v>9687.671462481434</v>
      </c>
      <c r="S26" s="319">
        <f t="shared" ca="1" si="63"/>
        <v>11261.830844768498</v>
      </c>
      <c r="T26" s="319">
        <f t="shared" ca="1" si="63"/>
        <v>4235.8321580553893</v>
      </c>
      <c r="U26" s="319">
        <f t="shared" ca="1" si="63"/>
        <v>5665.8673156733857</v>
      </c>
      <c r="V26" s="319">
        <f t="shared" ca="1" si="63"/>
        <v>-2473.9001436197432</v>
      </c>
      <c r="W26" s="319">
        <f t="shared" ca="1" si="63"/>
        <v>-1219.4722903317306</v>
      </c>
      <c r="X26" s="319">
        <f t="shared" ca="1" si="63"/>
        <v>-10618.894558479951</v>
      </c>
      <c r="Y26" s="319">
        <f t="shared" ca="1" si="63"/>
        <v>-9192.2458834871359</v>
      </c>
      <c r="Z26" s="319">
        <f t="shared" ca="1" si="63"/>
        <v>29363.449223130825</v>
      </c>
      <c r="AA26" s="319">
        <f t="shared" ca="1" si="63"/>
        <v>31376.692390556651</v>
      </c>
      <c r="AB26" s="319">
        <f t="shared" ca="1" si="63"/>
        <v>70034.346502229106</v>
      </c>
      <c r="AC26" s="319">
        <f t="shared" ca="1" si="63"/>
        <v>73082.206308252527</v>
      </c>
      <c r="AD26" s="319">
        <f t="shared" ca="1" si="63"/>
        <v>115129.77609375142</v>
      </c>
      <c r="AE26" s="319">
        <f t="shared" ca="1" si="63"/>
        <v>119326.98805550952</v>
      </c>
      <c r="AF26" s="319">
        <f t="shared" ca="1" si="63"/>
        <v>123634.86363339066</v>
      </c>
      <c r="AG26" s="319">
        <f t="shared" ca="1" si="63"/>
        <v>128056.54318774998</v>
      </c>
      <c r="AH26" s="319">
        <f t="shared" ca="1" si="63"/>
        <v>132595.25791279878</v>
      </c>
      <c r="AI26" s="319">
        <f t="shared" ca="1" si="63"/>
        <v>137254.33248165046</v>
      </c>
      <c r="AJ26" s="319">
        <f t="shared" ca="1" si="63"/>
        <v>129026.43585589202</v>
      </c>
      <c r="AK26" s="319">
        <f t="shared" ca="1" si="63"/>
        <v>133568.93502035207</v>
      </c>
      <c r="AL26" s="319">
        <f t="shared" ca="1" si="63"/>
        <v>138233.73480092495</v>
      </c>
      <c r="AM26" s="319">
        <f t="shared" ca="1" si="63"/>
        <v>143024.34799877039</v>
      </c>
      <c r="AN26" s="319">
        <f t="shared" ca="1" si="63"/>
        <v>147944.38996051095</v>
      </c>
      <c r="AO26" s="319">
        <f t="shared" ca="1" si="63"/>
        <v>83371.295923177619</v>
      </c>
      <c r="AP26" s="319">
        <f t="shared" ca="1" si="63"/>
        <v>44263.553130275512</v>
      </c>
      <c r="AQ26" s="319">
        <f t="shared" ca="1" si="63"/>
        <v>43936.080055033744</v>
      </c>
      <c r="AR26" s="319">
        <f t="shared" ca="1" si="63"/>
        <v>43602.025009732446</v>
      </c>
      <c r="AS26" s="319">
        <f t="shared" ca="1" si="63"/>
        <v>43261.255701572169</v>
      </c>
      <c r="AT26" s="319">
        <f t="shared" ca="1" si="63"/>
        <v>42913.637178764664</v>
      </c>
      <c r="AU26" s="319">
        <f t="shared" ca="1" si="63"/>
        <v>42559.031777089127</v>
      </c>
      <c r="AV26" s="319">
        <f t="shared" ca="1" si="63"/>
        <v>42197.299065374275</v>
      </c>
      <c r="AW26" s="319">
        <f t="shared" ca="1" si="63"/>
        <v>41828.295789884665</v>
      </c>
      <c r="AX26" s="319">
        <f t="shared" ca="1" si="63"/>
        <v>41451.875817589229</v>
      </c>
      <c r="AY26" s="319">
        <f t="shared" ca="1" si="63"/>
        <v>41067.890078289493</v>
      </c>
      <c r="AZ26" s="319">
        <f t="shared" ca="1" si="63"/>
        <v>40676.186505584701</v>
      </c>
      <c r="BA26" s="319">
        <f t="shared" ca="1" si="63"/>
        <v>40276.609976650288</v>
      </c>
      <c r="BB26" s="319">
        <f t="shared" ca="1" si="63"/>
        <v>39869.00225080605</v>
      </c>
      <c r="BC26" s="319">
        <f t="shared" ca="1" si="63"/>
        <v>39453.201906849426</v>
      </c>
    </row>
    <row r="27" spans="1:55">
      <c r="B27" s="151" t="s">
        <v>4934</v>
      </c>
      <c r="C27" s="152">
        <f ca="1">C26+'General overview'!C15</f>
        <v>115205.17571203335</v>
      </c>
      <c r="D27" s="152">
        <f t="shared" ref="D27:AI27" ca="1" si="64">D26+C29</f>
        <v>182382.55565810885</v>
      </c>
      <c r="E27" s="152">
        <f t="shared" ca="1" si="64"/>
        <v>251580.65088821313</v>
      </c>
      <c r="F27" s="152">
        <f t="shared" ca="1" si="64"/>
        <v>311858.06783073838</v>
      </c>
      <c r="G27" s="152">
        <f t="shared" ca="1" si="64"/>
        <v>354580.66372564796</v>
      </c>
      <c r="H27" s="152">
        <f t="shared" ca="1" si="64"/>
        <v>414013.35403504147</v>
      </c>
      <c r="I27" s="152">
        <f t="shared" ca="1" si="64"/>
        <v>463514.45319956518</v>
      </c>
      <c r="J27" s="152">
        <f t="shared" ca="1" si="64"/>
        <v>514514.36218189279</v>
      </c>
      <c r="K27" s="152">
        <f t="shared" ca="1" si="64"/>
        <v>555569.33660294511</v>
      </c>
      <c r="L27" s="152">
        <f t="shared" ca="1" si="64"/>
        <v>594972.16823441652</v>
      </c>
      <c r="M27" s="152">
        <f t="shared" ca="1" si="64"/>
        <v>607067.11688952672</v>
      </c>
      <c r="N27" s="152">
        <f t="shared" ca="1" si="64"/>
        <v>-771569.14270881913</v>
      </c>
      <c r="O27" s="152">
        <f t="shared" ca="1" si="64"/>
        <v>-760777.17920608202</v>
      </c>
      <c r="P27" s="152">
        <f t="shared" ca="1" si="64"/>
        <v>-784119.38114307472</v>
      </c>
      <c r="Q27" s="152">
        <f t="shared" ca="1" si="64"/>
        <v>-775966.01859363378</v>
      </c>
      <c r="R27" s="152">
        <f t="shared" ca="1" si="64"/>
        <v>-766278.3471311524</v>
      </c>
      <c r="S27" s="152">
        <f t="shared" ca="1" si="64"/>
        <v>-755016.51628638385</v>
      </c>
      <c r="T27" s="152">
        <f t="shared" ca="1" si="64"/>
        <v>-750780.68412832846</v>
      </c>
      <c r="U27" s="152">
        <f t="shared" ca="1" si="64"/>
        <v>-745114.81681265507</v>
      </c>
      <c r="V27" s="152">
        <f t="shared" ca="1" si="64"/>
        <v>-747588.71695627482</v>
      </c>
      <c r="W27" s="152">
        <f t="shared" ca="1" si="64"/>
        <v>-748808.18924660655</v>
      </c>
      <c r="X27" s="152">
        <f t="shared" ca="1" si="64"/>
        <v>-759427.08380508656</v>
      </c>
      <c r="Y27" s="152">
        <f t="shared" ca="1" si="64"/>
        <v>-768619.32968857372</v>
      </c>
      <c r="Z27" s="152">
        <f t="shared" ca="1" si="64"/>
        <v>-839255.8804654429</v>
      </c>
      <c r="AA27" s="152">
        <f t="shared" ca="1" si="64"/>
        <v>-807879.18807488622</v>
      </c>
      <c r="AB27" s="152">
        <f t="shared" ca="1" si="64"/>
        <v>-737844.84157265711</v>
      </c>
      <c r="AC27" s="152">
        <f t="shared" ca="1" si="64"/>
        <v>-664762.63526440458</v>
      </c>
      <c r="AD27" s="152">
        <f t="shared" ca="1" si="64"/>
        <v>-549632.85917065316</v>
      </c>
      <c r="AE27" s="152">
        <f t="shared" ca="1" si="64"/>
        <v>-430305.87111514364</v>
      </c>
      <c r="AF27" s="152">
        <f t="shared" ca="1" si="64"/>
        <v>-306671.00748175301</v>
      </c>
      <c r="AG27" s="152">
        <f t="shared" ca="1" si="64"/>
        <v>-178614.46429400303</v>
      </c>
      <c r="AH27" s="152">
        <f t="shared" ca="1" si="64"/>
        <v>-46019.206381204247</v>
      </c>
      <c r="AI27" s="152">
        <f t="shared" ca="1" si="64"/>
        <v>91235.126100446214</v>
      </c>
      <c r="AJ27" s="152">
        <f t="shared" ref="AJ27:BO27" ca="1" si="65">AJ26+AI29</f>
        <v>220261.56195633824</v>
      </c>
      <c r="AK27" s="152">
        <f t="shared" ca="1" si="65"/>
        <v>353830.49697669031</v>
      </c>
      <c r="AL27" s="152">
        <f t="shared" ca="1" si="65"/>
        <v>492064.23177761526</v>
      </c>
      <c r="AM27" s="152">
        <f t="shared" ca="1" si="65"/>
        <v>635088.57977638568</v>
      </c>
      <c r="AN27" s="152">
        <f t="shared" ca="1" si="65"/>
        <v>783032.96973689669</v>
      </c>
      <c r="AO27" s="152">
        <f t="shared" ca="1" si="65"/>
        <v>866404.26566007431</v>
      </c>
      <c r="AP27" s="152">
        <f t="shared" ca="1" si="65"/>
        <v>910667.81879034988</v>
      </c>
      <c r="AQ27" s="152">
        <f t="shared" ca="1" si="65"/>
        <v>954603.89884538366</v>
      </c>
      <c r="AR27" s="152">
        <f t="shared" ca="1" si="65"/>
        <v>998205.92385511613</v>
      </c>
      <c r="AS27" s="152">
        <f t="shared" ca="1" si="65"/>
        <v>1041467.1795566883</v>
      </c>
      <c r="AT27" s="152">
        <f t="shared" ca="1" si="65"/>
        <v>1084380.816735453</v>
      </c>
      <c r="AU27" s="152">
        <f t="shared" ca="1" si="65"/>
        <v>1126939.8485125422</v>
      </c>
      <c r="AV27" s="152">
        <f t="shared" ca="1" si="65"/>
        <v>1169137.1475779165</v>
      </c>
      <c r="AW27" s="152">
        <f t="shared" ca="1" si="65"/>
        <v>1210965.4433678011</v>
      </c>
      <c r="AX27" s="152">
        <f t="shared" ca="1" si="65"/>
        <v>1252417.3191853904</v>
      </c>
      <c r="AY27" s="152">
        <f t="shared" ca="1" si="65"/>
        <v>1293485.2092636798</v>
      </c>
      <c r="AZ27" s="152">
        <f t="shared" ca="1" si="65"/>
        <v>1334161.3957692645</v>
      </c>
      <c r="BA27" s="152">
        <f t="shared" ca="1" si="65"/>
        <v>1374438.0057459148</v>
      </c>
      <c r="BB27" s="152">
        <f t="shared" ca="1" si="65"/>
        <v>1414307.0079967207</v>
      </c>
      <c r="BC27" s="152">
        <f t="shared" ca="1" si="65"/>
        <v>1453760.2099035701</v>
      </c>
    </row>
    <row r="28" spans="1:55">
      <c r="B28" s="151" t="s">
        <v>4932</v>
      </c>
      <c r="C28" s="152">
        <f>SUMIF('General overview'!$C$94:$C$102,'CF Timeline'!C4,'General overview'!$E$93:$E$101)</f>
        <v>0</v>
      </c>
      <c r="D28" s="152">
        <f>SUMIF('General overview'!$C$94:$C$102,'CF Timeline'!D4,'General overview'!$E$93:$E$101)</f>
        <v>0</v>
      </c>
      <c r="E28" s="152">
        <f>SUMIF('General overview'!$C$94:$C$102,'CF Timeline'!E4,'General overview'!$E$93:$E$101)</f>
        <v>10000</v>
      </c>
      <c r="F28" s="152">
        <f>SUMIF('General overview'!$C$94:$C$102,'CF Timeline'!F4,'General overview'!$E$93:$E$101)</f>
        <v>15000</v>
      </c>
      <c r="G28" s="152">
        <f>SUMIF('General overview'!$C$94:$C$102,'CF Timeline'!G4,'General overview'!$E$93:$E$101)</f>
        <v>0</v>
      </c>
      <c r="H28" s="152">
        <f>SUMIF('General overview'!$C$94:$C$102,'CF Timeline'!H4,'General overview'!$E$93:$E$101)</f>
        <v>0</v>
      </c>
      <c r="I28" s="152">
        <f>SUMIF('General overview'!$C$94:$C$102,'CF Timeline'!I4,'General overview'!$E$93:$E$101)</f>
        <v>0</v>
      </c>
      <c r="J28" s="152">
        <f>SUMIF('General overview'!$C$94:$C$102,'CF Timeline'!J4,'General overview'!$E$93:$E$101)</f>
        <v>0</v>
      </c>
      <c r="K28" s="152">
        <f>SUMIF('General overview'!$C$94:$C$102,'CF Timeline'!K4,'General overview'!$E$93:$E$101)</f>
        <v>0</v>
      </c>
      <c r="L28" s="152">
        <f>SUMIF('General overview'!$C$94:$C$102,'CF Timeline'!L4,'General overview'!$E$93:$E$101)</f>
        <v>0</v>
      </c>
      <c r="M28" s="152">
        <f>SUMIF('General overview'!$C$94:$C$102,'CF Timeline'!M4,'General overview'!$E$93:$E$101)</f>
        <v>1387858.2775044744</v>
      </c>
      <c r="N28" s="152">
        <f>SUMIF('General overview'!$C$94:$C$102,'CF Timeline'!N4,'General overview'!$E$93:$E$101)</f>
        <v>0</v>
      </c>
      <c r="O28" s="152">
        <f>SUMIF('General overview'!$C$94:$C$102,'CF Timeline'!O4,'General overview'!$E$93:$E$101)</f>
        <v>30000</v>
      </c>
      <c r="P28" s="152">
        <f>SUMIF('General overview'!$C$94:$C$102,'CF Timeline'!P4,'General overview'!$E$93:$E$101)</f>
        <v>0</v>
      </c>
      <c r="Q28" s="152">
        <f>SUMIF('General overview'!$C$94:$C$102,'CF Timeline'!Q4,'General overview'!$E$93:$E$101)</f>
        <v>0</v>
      </c>
      <c r="R28" s="152">
        <f>SUMIF('General overview'!$C$94:$C$102,'CF Timeline'!R4,'General overview'!$E$93:$E$101)</f>
        <v>0</v>
      </c>
      <c r="S28" s="152">
        <f>SUMIF('General overview'!$C$94:$C$102,'CF Timeline'!S4,'General overview'!$E$93:$E$101)</f>
        <v>0</v>
      </c>
      <c r="T28" s="152">
        <f>SUMIF('General overview'!$C$94:$C$102,'CF Timeline'!T4,'General overview'!$E$93:$E$101)</f>
        <v>0</v>
      </c>
      <c r="U28" s="152">
        <f>SUMIF('General overview'!$C$94:$C$102,'CF Timeline'!U4,'General overview'!$E$93:$E$101)</f>
        <v>0</v>
      </c>
      <c r="V28" s="152">
        <f>SUMIF('General overview'!$C$94:$C$102,'CF Timeline'!V4,'General overview'!$E$93:$E$101)</f>
        <v>0</v>
      </c>
      <c r="W28" s="152">
        <f>SUMIF('General overview'!$C$94:$C$102,'CF Timeline'!W4,'General overview'!$E$93:$E$101)</f>
        <v>0</v>
      </c>
      <c r="X28" s="152">
        <f>SUMIF('General overview'!$C$94:$C$102,'CF Timeline'!X4,'General overview'!$E$93:$E$101)</f>
        <v>0</v>
      </c>
      <c r="Y28" s="152">
        <f>SUMIF('General overview'!$C$94:$C$102,'CF Timeline'!Y4,'General overview'!$E$93:$E$101)</f>
        <v>100000</v>
      </c>
      <c r="Z28" s="152">
        <f>SUMIF('General overview'!$C$94:$C$102,'CF Timeline'!Z4,'General overview'!$E$93:$E$101)</f>
        <v>0</v>
      </c>
      <c r="AA28" s="152">
        <f>SUMIF('General overview'!$C$94:$C$102,'CF Timeline'!AA4,'General overview'!$E$93:$E$101)</f>
        <v>0</v>
      </c>
      <c r="AB28" s="152">
        <f>SUMIF('General overview'!$C$94:$C$102,'CF Timeline'!AB4,'General overview'!$E$93:$E$101)</f>
        <v>0</v>
      </c>
      <c r="AC28" s="152">
        <f>SUMIF('General overview'!$C$94:$C$102,'CF Timeline'!AC4,'General overview'!$E$93:$E$101)</f>
        <v>0</v>
      </c>
      <c r="AD28" s="152">
        <f>SUMIF('General overview'!$C$94:$C$102,'CF Timeline'!AD4,'General overview'!$E$93:$E$101)</f>
        <v>0</v>
      </c>
      <c r="AE28" s="152">
        <f>SUMIF('General overview'!$C$94:$C$102,'CF Timeline'!AE4,'General overview'!$E$93:$E$101)</f>
        <v>0</v>
      </c>
      <c r="AF28" s="152">
        <f>SUMIF('General overview'!$C$94:$C$102,'CF Timeline'!AF4,'General overview'!$E$93:$E$101)</f>
        <v>0</v>
      </c>
      <c r="AG28" s="152">
        <f>SUMIF('General overview'!$C$94:$C$102,'CF Timeline'!AG4,'General overview'!$E$93:$E$101)</f>
        <v>0</v>
      </c>
      <c r="AH28" s="152">
        <f>SUMIF('General overview'!$C$94:$C$102,'CF Timeline'!AH4,'General overview'!$E$93:$E$101)</f>
        <v>0</v>
      </c>
      <c r="AI28" s="152">
        <f>SUMIF('General overview'!$C$94:$C$102,'CF Timeline'!AI4,'General overview'!$E$93:$E$101)</f>
        <v>0</v>
      </c>
      <c r="AJ28" s="152">
        <f>SUMIF('General overview'!$C$94:$C$102,'CF Timeline'!AJ4,'General overview'!$E$93:$E$101)</f>
        <v>0</v>
      </c>
      <c r="AK28" s="152">
        <f>SUMIF('General overview'!$C$94:$C$102,'CF Timeline'!AK4,'General overview'!$E$93:$E$101)</f>
        <v>0</v>
      </c>
      <c r="AL28" s="152">
        <f>SUMIF('General overview'!$C$94:$C$102,'CF Timeline'!AL4,'General overview'!$E$93:$E$101)</f>
        <v>0</v>
      </c>
      <c r="AM28" s="152">
        <f>SUMIF('General overview'!$C$94:$C$102,'CF Timeline'!AM4,'General overview'!$E$93:$E$101)</f>
        <v>0</v>
      </c>
      <c r="AN28" s="152">
        <f>SUMIF('General overview'!$C$94:$C$102,'CF Timeline'!AN4,'General overview'!$E$93:$E$101)</f>
        <v>0</v>
      </c>
      <c r="AO28" s="152">
        <f>SUMIF('General overview'!$C$94:$C$102,'CF Timeline'!AO4,'General overview'!$E$93:$E$101)</f>
        <v>0</v>
      </c>
      <c r="AP28" s="152">
        <f>SUMIF('General overview'!$C$94:$C$102,'CF Timeline'!AP4,'General overview'!$E$93:$E$101)</f>
        <v>0</v>
      </c>
      <c r="AQ28" s="152">
        <f>SUMIF('General overview'!$C$94:$C$102,'CF Timeline'!AQ4,'General overview'!$E$93:$E$101)</f>
        <v>0</v>
      </c>
      <c r="AR28" s="152">
        <f>SUMIF('General overview'!$C$94:$C$102,'CF Timeline'!AR4,'General overview'!$E$93:$E$101)</f>
        <v>0</v>
      </c>
      <c r="AS28" s="152">
        <f>SUMIF('General overview'!$C$94:$C$102,'CF Timeline'!AS4,'General overview'!$E$93:$E$101)</f>
        <v>0</v>
      </c>
      <c r="AT28" s="152">
        <f>SUMIF('General overview'!$C$94:$C$102,'CF Timeline'!AT4,'General overview'!$E$93:$E$101)</f>
        <v>0</v>
      </c>
      <c r="AU28" s="152">
        <f>SUMIF('General overview'!$C$94:$C$102,'CF Timeline'!AU4,'General overview'!$E$93:$E$101)</f>
        <v>0</v>
      </c>
      <c r="AV28" s="152">
        <f>SUMIF('General overview'!$C$94:$C$102,'CF Timeline'!AV4,'General overview'!$E$93:$E$101)</f>
        <v>0</v>
      </c>
      <c r="AW28" s="152">
        <f>SUMIF('General overview'!$C$94:$C$102,'CF Timeline'!AW4,'General overview'!$E$93:$E$101)</f>
        <v>0</v>
      </c>
      <c r="AX28" s="152">
        <f>SUMIF('General overview'!$C$94:$C$102,'CF Timeline'!AX4,'General overview'!$E$93:$E$101)</f>
        <v>0</v>
      </c>
      <c r="AY28" s="152">
        <f>SUMIF('General overview'!$C$94:$C$102,'CF Timeline'!AY4,'General overview'!$E$93:$E$101)</f>
        <v>0</v>
      </c>
      <c r="AZ28" s="152">
        <f>SUMIF('General overview'!$C$94:$C$102,'CF Timeline'!AZ4,'General overview'!$E$93:$E$101)</f>
        <v>0</v>
      </c>
      <c r="BA28" s="152">
        <f>SUMIF('General overview'!$C$94:$C$102,'CF Timeline'!BA4,'General overview'!$E$93:$E$101)</f>
        <v>0</v>
      </c>
      <c r="BB28" s="152">
        <f>SUMIF('General overview'!$C$94:$C$102,'CF Timeline'!BB4,'General overview'!$E$93:$E$101)</f>
        <v>0</v>
      </c>
      <c r="BC28" s="152">
        <f>SUMIF('General overview'!$C$94:$C$102,'CF Timeline'!BC4,'General overview'!$E$93:$E$101)</f>
        <v>0</v>
      </c>
    </row>
    <row r="29" spans="1:55">
      <c r="B29" s="151" t="s">
        <v>4933</v>
      </c>
      <c r="C29" s="317">
        <f ca="1">C27-C28</f>
        <v>115205.17571203335</v>
      </c>
      <c r="D29" s="317">
        <f ca="1">C29+D26-D28</f>
        <v>182382.55565810885</v>
      </c>
      <c r="E29" s="317">
        <f ca="1">D29+E26-E28</f>
        <v>241580.65088821313</v>
      </c>
      <c r="F29" s="317">
        <f t="shared" ref="F29:BC29" ca="1" si="66">E29+F26-F28</f>
        <v>296858.06783073838</v>
      </c>
      <c r="G29" s="317">
        <f t="shared" ca="1" si="66"/>
        <v>354580.66372564796</v>
      </c>
      <c r="H29" s="317">
        <f t="shared" ca="1" si="66"/>
        <v>414013.35403504147</v>
      </c>
      <c r="I29" s="317">
        <f t="shared" ca="1" si="66"/>
        <v>463514.45319956518</v>
      </c>
      <c r="J29" s="317">
        <f t="shared" ca="1" si="66"/>
        <v>514514.36218189279</v>
      </c>
      <c r="K29" s="317">
        <f t="shared" ca="1" si="66"/>
        <v>555569.33660294511</v>
      </c>
      <c r="L29" s="317">
        <f t="shared" ca="1" si="66"/>
        <v>594972.16823441652</v>
      </c>
      <c r="M29" s="317">
        <f t="shared" ca="1" si="66"/>
        <v>-780791.16061494767</v>
      </c>
      <c r="N29" s="317">
        <f t="shared" ca="1" si="66"/>
        <v>-771569.14270881913</v>
      </c>
      <c r="O29" s="317">
        <f t="shared" ca="1" si="66"/>
        <v>-790777.17920608202</v>
      </c>
      <c r="P29" s="317">
        <f t="shared" ca="1" si="66"/>
        <v>-784119.38114307472</v>
      </c>
      <c r="Q29" s="317">
        <f t="shared" ca="1" si="66"/>
        <v>-775966.01859363378</v>
      </c>
      <c r="R29" s="317">
        <f t="shared" ca="1" si="66"/>
        <v>-766278.3471311524</v>
      </c>
      <c r="S29" s="317">
        <f t="shared" ca="1" si="66"/>
        <v>-755016.51628638385</v>
      </c>
      <c r="T29" s="317">
        <f t="shared" ca="1" si="66"/>
        <v>-750780.68412832846</v>
      </c>
      <c r="U29" s="317">
        <f t="shared" ca="1" si="66"/>
        <v>-745114.81681265507</v>
      </c>
      <c r="V29" s="317">
        <f t="shared" ca="1" si="66"/>
        <v>-747588.71695627482</v>
      </c>
      <c r="W29" s="317">
        <f t="shared" ca="1" si="66"/>
        <v>-748808.18924660655</v>
      </c>
      <c r="X29" s="317">
        <f t="shared" ca="1" si="66"/>
        <v>-759427.08380508656</v>
      </c>
      <c r="Y29" s="317">
        <f t="shared" ca="1" si="66"/>
        <v>-868619.32968857372</v>
      </c>
      <c r="Z29" s="317">
        <f t="shared" ca="1" si="66"/>
        <v>-839255.8804654429</v>
      </c>
      <c r="AA29" s="317">
        <f t="shared" ca="1" si="66"/>
        <v>-807879.18807488622</v>
      </c>
      <c r="AB29" s="317">
        <f t="shared" ca="1" si="66"/>
        <v>-737844.84157265711</v>
      </c>
      <c r="AC29" s="317">
        <f t="shared" ca="1" si="66"/>
        <v>-664762.63526440458</v>
      </c>
      <c r="AD29" s="317">
        <f t="shared" ca="1" si="66"/>
        <v>-549632.85917065316</v>
      </c>
      <c r="AE29" s="317">
        <f t="shared" ca="1" si="66"/>
        <v>-430305.87111514364</v>
      </c>
      <c r="AF29" s="317">
        <f t="shared" ca="1" si="66"/>
        <v>-306671.00748175301</v>
      </c>
      <c r="AG29" s="317">
        <f t="shared" ca="1" si="66"/>
        <v>-178614.46429400303</v>
      </c>
      <c r="AH29" s="317">
        <f t="shared" ca="1" si="66"/>
        <v>-46019.206381204247</v>
      </c>
      <c r="AI29" s="317">
        <f t="shared" ca="1" si="66"/>
        <v>91235.126100446214</v>
      </c>
      <c r="AJ29" s="317">
        <f t="shared" ca="1" si="66"/>
        <v>220261.56195633824</v>
      </c>
      <c r="AK29" s="317">
        <f t="shared" ca="1" si="66"/>
        <v>353830.49697669031</v>
      </c>
      <c r="AL29" s="317">
        <f t="shared" ca="1" si="66"/>
        <v>492064.23177761526</v>
      </c>
      <c r="AM29" s="317">
        <f t="shared" ca="1" si="66"/>
        <v>635088.57977638568</v>
      </c>
      <c r="AN29" s="317">
        <f t="shared" ca="1" si="66"/>
        <v>783032.96973689669</v>
      </c>
      <c r="AO29" s="317">
        <f t="shared" ca="1" si="66"/>
        <v>866404.26566007431</v>
      </c>
      <c r="AP29" s="317">
        <f t="shared" ca="1" si="66"/>
        <v>910667.81879034988</v>
      </c>
      <c r="AQ29" s="317">
        <f t="shared" ca="1" si="66"/>
        <v>954603.89884538366</v>
      </c>
      <c r="AR29" s="317">
        <f t="shared" ca="1" si="66"/>
        <v>998205.92385511613</v>
      </c>
      <c r="AS29" s="317">
        <f t="shared" ca="1" si="66"/>
        <v>1041467.1795566883</v>
      </c>
      <c r="AT29" s="317">
        <f t="shared" ca="1" si="66"/>
        <v>1084380.816735453</v>
      </c>
      <c r="AU29" s="317">
        <f t="shared" ca="1" si="66"/>
        <v>1126939.8485125422</v>
      </c>
      <c r="AV29" s="317">
        <f t="shared" ca="1" si="66"/>
        <v>1169137.1475779165</v>
      </c>
      <c r="AW29" s="317">
        <f t="shared" ca="1" si="66"/>
        <v>1210965.4433678011</v>
      </c>
      <c r="AX29" s="317">
        <f t="shared" ca="1" si="66"/>
        <v>1252417.3191853904</v>
      </c>
      <c r="AY29" s="317">
        <f t="shared" ca="1" si="66"/>
        <v>1293485.2092636798</v>
      </c>
      <c r="AZ29" s="317">
        <f t="shared" ca="1" si="66"/>
        <v>1334161.3957692645</v>
      </c>
      <c r="BA29" s="317">
        <f t="shared" ca="1" si="66"/>
        <v>1374438.0057459148</v>
      </c>
      <c r="BB29" s="317">
        <f t="shared" ca="1" si="66"/>
        <v>1414307.0079967207</v>
      </c>
      <c r="BC29" s="317">
        <f t="shared" ca="1" si="66"/>
        <v>1453760.2099035701</v>
      </c>
    </row>
    <row r="30" spans="1:55">
      <c r="B30" s="153" t="s">
        <v>59</v>
      </c>
      <c r="C30" s="16"/>
      <c r="D30" s="16"/>
      <c r="E30" s="16"/>
      <c r="F30" s="16"/>
      <c r="G30" s="16"/>
      <c r="H30" s="510">
        <f>PMT(0.04,7,0,-H28)</f>
        <v>0</v>
      </c>
      <c r="I30" s="16"/>
      <c r="J30" s="16"/>
      <c r="K30" s="16"/>
      <c r="L30" s="16"/>
      <c r="M30" s="16"/>
      <c r="N30" s="16"/>
      <c r="O30" s="16"/>
      <c r="P30" s="330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</row>
    <row r="31" spans="1:55">
      <c r="B31" s="156" t="s">
        <v>7</v>
      </c>
      <c r="C31" s="165">
        <f>IF(C4&lt;='General overview'!C29,'House calculator '!C13,0)</f>
        <v>61799.421345002222</v>
      </c>
      <c r="D31" s="165">
        <f>IFERROR((IF(D4&lt;='House calculator '!$C$6,'House calculator '!$C$13,0)),0)</f>
        <v>61799.421345002222</v>
      </c>
      <c r="E31" s="165">
        <f>IFERROR((IF(E4&lt;='House calculator '!$C$6,'House calculator '!$C$13,0)),0)</f>
        <v>61799.421345002222</v>
      </c>
      <c r="F31" s="165">
        <f>IFERROR((IF(F4&lt;='House calculator '!$C$6,'House calculator '!$C$13,0)),0)</f>
        <v>61799.421345002222</v>
      </c>
      <c r="G31" s="165">
        <f>IFERROR((IF(G4&lt;='House calculator '!$C$6,'House calculator '!$C$13,0)),0)</f>
        <v>61799.421345002222</v>
      </c>
      <c r="H31" s="165">
        <f>IFERROR((IF(H4&lt;='House calculator '!$C$6,'House calculator '!$C$13,0)),0)</f>
        <v>61799.421345002222</v>
      </c>
      <c r="I31" s="165">
        <f>IFERROR((IF(I4&lt;='House calculator '!$C$6,'House calculator '!$C$13,0)),0)</f>
        <v>61799.421345002222</v>
      </c>
      <c r="J31" s="165">
        <f>IFERROR((IF(J4&lt;='House calculator '!$C$6,'House calculator '!$C$13,0)),0)</f>
        <v>61799.421345002222</v>
      </c>
      <c r="K31" s="165">
        <f>IFERROR((IF(K4&lt;='House calculator '!$C$6,'House calculator '!$C$13,0)),0)</f>
        <v>61799.421345002222</v>
      </c>
      <c r="L31" s="165">
        <f>IFERROR((IF(L4&lt;='House calculator '!$C$6,'House calculator '!$C$13,0)),0)</f>
        <v>61799.421345002222</v>
      </c>
      <c r="M31" s="165">
        <f>IFERROR((IF(M4&lt;='House calculator '!$C$6,'House calculator '!$C$13,0)),0)</f>
        <v>61799.421345002222</v>
      </c>
      <c r="N31" s="165">
        <f>IFERROR((IF(N4&lt;='House calculator '!$C$6,'House calculator '!$C$13,0)),0)</f>
        <v>0</v>
      </c>
      <c r="O31" s="165">
        <f>IFERROR((IF(O4&lt;='House calculator '!$C$6,'House calculator '!$C$13,0)),0)</f>
        <v>0</v>
      </c>
      <c r="P31" s="165">
        <f>IFERROR((IF(P4&lt;='House calculator '!$C$6,'House calculator '!$C$13,0)),0)</f>
        <v>0</v>
      </c>
      <c r="Q31" s="165">
        <f>IFERROR((IF(Q4&lt;='House calculator '!$C$6,'House calculator '!$C$13,0)),0)</f>
        <v>0</v>
      </c>
      <c r="R31" s="165">
        <f>IFERROR((IF(R4&lt;='House calculator '!$C$6,'House calculator '!$C$13,0)),0)</f>
        <v>0</v>
      </c>
      <c r="S31" s="165">
        <f>IFERROR((IF(S4&lt;='House calculator '!$C$6,'House calculator '!$C$13,0)),0)</f>
        <v>0</v>
      </c>
      <c r="T31" s="165">
        <f>IFERROR((IF(T4&lt;='House calculator '!$C$6,'House calculator '!$C$13,0)),0)</f>
        <v>0</v>
      </c>
      <c r="U31" s="165">
        <f>IFERROR((IF(U4&lt;='House calculator '!$C$6,'House calculator '!$C$13,0)),0)</f>
        <v>0</v>
      </c>
      <c r="V31" s="165">
        <f>IFERROR((IF(V4&lt;='House calculator '!$C$6,'House calculator '!$C$13,0)),0)</f>
        <v>0</v>
      </c>
      <c r="W31" s="165">
        <f>IFERROR((IF(W4&lt;='House calculator '!$C$6,'House calculator '!$C$13,0)),0)</f>
        <v>0</v>
      </c>
      <c r="X31" s="165">
        <f>IFERROR((IF(X4&lt;='House calculator '!$C$6,'House calculator '!$C$13,0)),0)</f>
        <v>0</v>
      </c>
      <c r="Y31" s="165">
        <f>IFERROR((IF(Y4&lt;='House calculator '!$C$6,'House calculator '!$C$13,0)),0)</f>
        <v>0</v>
      </c>
      <c r="Z31" s="165">
        <f>IFERROR((IF(Z4&lt;='House calculator '!$C$6,'House calculator '!$C$13,0)),0)</f>
        <v>0</v>
      </c>
      <c r="AA31" s="165">
        <f>IFERROR((IF(AA4&lt;='House calculator '!$C$6,'House calculator '!$C$13,0)),0)</f>
        <v>0</v>
      </c>
      <c r="AB31" s="165">
        <f>IFERROR((IF(AB4&lt;='House calculator '!$C$6,'House calculator '!$C$13,0)),0)</f>
        <v>0</v>
      </c>
      <c r="AC31" s="165">
        <f>IFERROR((IF(AC4&lt;='House calculator '!$C$6,'House calculator '!$C$13,0)),0)</f>
        <v>0</v>
      </c>
      <c r="AD31" s="165">
        <f>IFERROR((IF(AD4&lt;='House calculator '!$C$6,'House calculator '!$C$13,0)),0)</f>
        <v>0</v>
      </c>
      <c r="AE31" s="165">
        <f>IFERROR((IF(AE4&lt;='House calculator '!$C$6,'House calculator '!$C$13,0)),0)</f>
        <v>0</v>
      </c>
      <c r="AF31" s="165">
        <f>IFERROR((IF(AF4&lt;='House calculator '!$C$6,'House calculator '!$C$13,0)),0)</f>
        <v>0</v>
      </c>
      <c r="AG31" s="165">
        <f>IFERROR((IF(AG4&lt;='House calculator '!$C$6,'House calculator '!$C$13,0)),0)</f>
        <v>0</v>
      </c>
      <c r="AH31" s="165">
        <f>IFERROR((IF(AH4&lt;='House calculator '!$C$6,'House calculator '!$C$13,0)),0)</f>
        <v>0</v>
      </c>
      <c r="AI31" s="165">
        <f>IFERROR((IF(AI4&lt;='House calculator '!$C$6,'House calculator '!$C$13,0)),0)</f>
        <v>0</v>
      </c>
      <c r="AJ31" s="165">
        <f>IFERROR((IF(AJ4&lt;='House calculator '!$C$6,'House calculator '!$C$13,0)),0)</f>
        <v>0</v>
      </c>
      <c r="AK31" s="165">
        <f>IFERROR((IF(AK4&lt;='House calculator '!$C$6,'House calculator '!$C$13,0)),0)</f>
        <v>0</v>
      </c>
      <c r="AL31" s="165">
        <f>IFERROR((IF(AL4&lt;='House calculator '!$C$6,'House calculator '!$C$13,0)),0)</f>
        <v>0</v>
      </c>
      <c r="AM31" s="165">
        <f>IFERROR((IF(AM4&lt;='House calculator '!$C$6,'House calculator '!$C$13,0)),0)</f>
        <v>0</v>
      </c>
      <c r="AN31" s="165">
        <f>IFERROR((IF(AN4&lt;='House calculator '!$C$6,'House calculator '!$C$13,0)),0)</f>
        <v>0</v>
      </c>
      <c r="AO31" s="165">
        <f>IFERROR((IF(AO4&lt;='House calculator '!$C$6,'House calculator '!$C$13,0)),0)</f>
        <v>0</v>
      </c>
      <c r="AP31" s="165">
        <f>IFERROR((IF(AP4&lt;='House calculator '!$C$6,'House calculator '!$C$13,0)),0)</f>
        <v>0</v>
      </c>
      <c r="AQ31" s="165">
        <f>IFERROR((IF(AQ4&lt;='House calculator '!$C$6,'House calculator '!$C$13,0)),0)</f>
        <v>0</v>
      </c>
      <c r="AR31" s="165">
        <f>IFERROR((IF(AR4&lt;='House calculator '!$C$6,'House calculator '!$C$13,0)),0)</f>
        <v>0</v>
      </c>
      <c r="AS31" s="165">
        <f>IFERROR((IF(AS4&lt;='House calculator '!$C$6,'House calculator '!$C$13,0)),0)</f>
        <v>0</v>
      </c>
      <c r="AT31" s="165">
        <f>IFERROR((IF(AT4&lt;='House calculator '!$C$6,'House calculator '!$C$13,0)),0)</f>
        <v>0</v>
      </c>
      <c r="AU31" s="165">
        <f>IFERROR((IF(AU4&lt;='House calculator '!$C$6,'House calculator '!$C$13,0)),0)</f>
        <v>0</v>
      </c>
      <c r="AV31" s="165">
        <f>IFERROR((IF(AV4&lt;='House calculator '!$C$6,'House calculator '!$C$13,0)),0)</f>
        <v>0</v>
      </c>
      <c r="AW31" s="165">
        <f>IFERROR((IF(AW4&lt;='House calculator '!$C$6,'House calculator '!$C$13,0)),0)</f>
        <v>0</v>
      </c>
      <c r="AX31" s="165">
        <f>IFERROR((IF(AX4&lt;='House calculator '!$C$6,'House calculator '!$C$13,0)),0)</f>
        <v>0</v>
      </c>
      <c r="AY31" s="165">
        <f>IFERROR((IF(AY4&lt;='House calculator '!$C$6,'House calculator '!$C$13,0)),0)</f>
        <v>0</v>
      </c>
      <c r="AZ31" s="165">
        <f>IFERROR((IF(AZ4&lt;='House calculator '!$C$6,'House calculator '!$C$13,0)),0)</f>
        <v>0</v>
      </c>
      <c r="BA31" s="165">
        <f>IFERROR((IF(BA4&lt;='House calculator '!$C$6,'House calculator '!$C$13,0)),0)</f>
        <v>0</v>
      </c>
      <c r="BB31" s="165">
        <f>IFERROR((IF(BB4&lt;='House calculator '!$C$6,'House calculator '!$C$13,0)),0)</f>
        <v>0</v>
      </c>
      <c r="BC31" s="165">
        <f>IFERROR((IF(BC4&lt;='House calculator '!$C$6,'House calculator '!$C$13,0)),0)</f>
        <v>0</v>
      </c>
    </row>
    <row r="32" spans="1:55">
      <c r="B32" s="156" t="s">
        <v>9</v>
      </c>
      <c r="C32" s="165">
        <f>IFERROR((IF(C4&lt;='Luxus '!$C$21,'Luxus '!$C$26,0)),0)</f>
        <v>2007.4042159234834</v>
      </c>
      <c r="D32" s="165">
        <f>IF(D4&lt;='Luxus '!$C$21,'Luxus '!$C$26,0)</f>
        <v>2007.4042159234834</v>
      </c>
      <c r="E32" s="165">
        <f>IF(E4&lt;='Luxus '!$C$21,'Luxus '!$C$26,0)</f>
        <v>2007.4042159234834</v>
      </c>
      <c r="F32" s="165">
        <f>IF(F4&lt;='Luxus '!$C$21,'Luxus '!$C$26,0)</f>
        <v>2007.4042159234834</v>
      </c>
      <c r="G32" s="165">
        <f>IF(G4&lt;='Luxus '!$C$21,'Luxus '!$C$26,0)</f>
        <v>2007.4042159234834</v>
      </c>
      <c r="H32" s="165">
        <f>IF(H4&lt;='Luxus '!$C$21,'Luxus '!$C$26,0)</f>
        <v>2007.4042159234834</v>
      </c>
      <c r="I32" s="165">
        <f>IF(I4&lt;='Luxus '!$C$21,'Luxus '!$C$26,0)</f>
        <v>2007.4042159234834</v>
      </c>
      <c r="J32" s="165">
        <f>IF(J4&lt;='Luxus '!$C$21,'Luxus '!$C$26,0)</f>
        <v>2007.4042159234834</v>
      </c>
      <c r="K32" s="165">
        <f>IF(K4&lt;='Luxus '!$C$21,'Luxus '!$C$26,0)</f>
        <v>2007.4042159234834</v>
      </c>
      <c r="L32" s="165">
        <f>IF(L4&lt;='Luxus '!$C$21,'Luxus '!$C$26,0)</f>
        <v>2007.4042159234834</v>
      </c>
      <c r="M32" s="165">
        <f>IF(M4&lt;='Luxus '!$C$21,'Luxus '!$C$26,0)</f>
        <v>2007.4042159234834</v>
      </c>
      <c r="N32" s="165">
        <f>IF(N4&lt;='Luxus '!$C$21,'Luxus '!$C$26,0)</f>
        <v>2007.4042159234834</v>
      </c>
      <c r="O32" s="165">
        <f>IF(O4&lt;='Luxus '!$C$21,'Luxus '!$C$26,0)</f>
        <v>2007.4042159234834</v>
      </c>
      <c r="P32" s="165">
        <f>IF(P4&lt;='Luxus '!$C$21,'Luxus '!$C$26,0)</f>
        <v>2007.4042159234834</v>
      </c>
      <c r="Q32" s="165">
        <f>IF(Q4&lt;='Luxus '!$C$21,'Luxus '!$C$26,0)</f>
        <v>2007.4042159234834</v>
      </c>
      <c r="R32" s="165">
        <f>IF(R4&lt;='Luxus '!$C$21,'Luxus '!$C$26,0)</f>
        <v>2007.4042159234834</v>
      </c>
      <c r="S32" s="165">
        <f>IF(S4&lt;='Luxus '!$C$21,'Luxus '!$C$26,0)</f>
        <v>2007.4042159234834</v>
      </c>
      <c r="T32" s="165">
        <f>IF(T4&lt;='Luxus '!$C$21,'Luxus '!$C$26,0)</f>
        <v>2007.4042159234834</v>
      </c>
      <c r="U32" s="165">
        <f>IF(U4&lt;='Luxus '!$C$21,'Luxus '!$C$26,0)</f>
        <v>2007.4042159234834</v>
      </c>
      <c r="V32" s="165">
        <f>IF(V4&lt;='Luxus '!$C$21,'Luxus '!$C$26,0)</f>
        <v>2007.4042159234834</v>
      </c>
      <c r="W32" s="165">
        <f>IF(W4&lt;='Luxus '!$C$21,'Luxus '!$C$26,0)</f>
        <v>2007.4042159234834</v>
      </c>
      <c r="X32" s="165">
        <f>IF(X4&lt;='Luxus '!$C$21,'Luxus '!$C$26,0)</f>
        <v>2007.4042159234834</v>
      </c>
      <c r="Y32" s="165">
        <f>IF(Y4&lt;='Luxus '!$C$21,'Luxus '!$C$26,0)</f>
        <v>2007.4042159234834</v>
      </c>
      <c r="Z32" s="165">
        <f>IF(Z4&lt;='Luxus '!$C$21,'Luxus '!$C$26,0)</f>
        <v>0</v>
      </c>
      <c r="AA32" s="165">
        <f>IF(AA4&lt;='Luxus '!$C$21,'Luxus '!$C$26,0)</f>
        <v>0</v>
      </c>
      <c r="AB32" s="165">
        <f>IF(AB4&lt;='Luxus '!$C$21,'Luxus '!$C$26,0)</f>
        <v>0</v>
      </c>
      <c r="AC32" s="165">
        <f>IF(AC4&lt;='Luxus '!$C$21,'Luxus '!$C$26,0)</f>
        <v>0</v>
      </c>
      <c r="AD32" s="165">
        <f>IF(AD4&lt;='Luxus '!$C$21,'Luxus '!$C$26,0)</f>
        <v>0</v>
      </c>
      <c r="AE32" s="165">
        <f>IF(AE4&lt;='Luxus '!$C$21,'Luxus '!$C$26,0)</f>
        <v>0</v>
      </c>
      <c r="AF32" s="165">
        <f>IF(AF4&lt;='Luxus '!$C$21,'Luxus '!$C$26,0)</f>
        <v>0</v>
      </c>
      <c r="AG32" s="165">
        <f>IF(AG4&lt;='Luxus '!$C$21,'Luxus '!$C$26,0)</f>
        <v>0</v>
      </c>
      <c r="AH32" s="165">
        <f>IF(AH4&lt;='Luxus '!$C$21,'Luxus '!$C$26,0)</f>
        <v>0</v>
      </c>
      <c r="AI32" s="165">
        <f>IF(AI4&lt;='Luxus '!$C$21,'Luxus '!$C$26,0)</f>
        <v>0</v>
      </c>
      <c r="AJ32" s="165">
        <f>IF(AJ4&lt;='Luxus '!$C$21,'Luxus '!$C$26,0)</f>
        <v>0</v>
      </c>
      <c r="AK32" s="165">
        <f>IF(AK4&lt;='Luxus '!$C$21,'Luxus '!$C$26,0)</f>
        <v>0</v>
      </c>
      <c r="AL32" s="165">
        <f>IF(AL4&lt;='Luxus '!$C$21,'Luxus '!$C$26,0)</f>
        <v>0</v>
      </c>
      <c r="AM32" s="165">
        <f>IF(AM4&lt;='Luxus '!$C$21,'Luxus '!$C$26,0)</f>
        <v>0</v>
      </c>
      <c r="AN32" s="165">
        <f>IF(AN4&lt;='Luxus '!$C$21,'Luxus '!$C$26,0)</f>
        <v>0</v>
      </c>
      <c r="AO32" s="165">
        <f>IF(AO4&lt;='Luxus '!$C$21,'Luxus '!$C$26,0)</f>
        <v>0</v>
      </c>
      <c r="AP32" s="165">
        <f>IF(AP4&lt;='Luxus '!$C$21,'Luxus '!$C$26,0)</f>
        <v>0</v>
      </c>
      <c r="AQ32" s="165">
        <f>IF(AQ4&lt;='Luxus '!$C$21,'Luxus '!$C$26,0)</f>
        <v>0</v>
      </c>
      <c r="AR32" s="165">
        <f>IF(AR4&lt;='Luxus '!$C$21,'Luxus '!$C$26,0)</f>
        <v>0</v>
      </c>
      <c r="AS32" s="165">
        <f>IF(AS4&lt;='Luxus '!$C$21,'Luxus '!$C$26,0)</f>
        <v>0</v>
      </c>
      <c r="AT32" s="165">
        <f>IF(AT4&lt;='Luxus '!$C$21,'Luxus '!$C$26,0)</f>
        <v>0</v>
      </c>
      <c r="AU32" s="165">
        <f>IF(AU4&lt;='Luxus '!$C$21,'Luxus '!$C$26,0)</f>
        <v>0</v>
      </c>
      <c r="AV32" s="165">
        <f>IF(AV4&lt;='Luxus '!$C$21,'Luxus '!$C$26,0)</f>
        <v>0</v>
      </c>
      <c r="AW32" s="165">
        <f>IF(AW4&lt;='Luxus '!$C$21,'Luxus '!$C$26,0)</f>
        <v>0</v>
      </c>
      <c r="AX32" s="165">
        <f>IF(AX4&lt;='Luxus '!$C$21,'Luxus '!$C$26,0)</f>
        <v>0</v>
      </c>
      <c r="AY32" s="165">
        <f>IF(AY4&lt;='Luxus '!$C$21,'Luxus '!$C$26,0)</f>
        <v>0</v>
      </c>
      <c r="AZ32" s="165">
        <f>IF(AZ4&lt;='Luxus '!$C$21,'Luxus '!$C$26,0)</f>
        <v>0</v>
      </c>
      <c r="BA32" s="165">
        <f>IF(BA4&lt;='Luxus '!$C$21,'Luxus '!$C$26,0)</f>
        <v>0</v>
      </c>
      <c r="BB32" s="165">
        <f>IF(BB4&lt;='Luxus '!$C$21,'Luxus '!$C$26,0)</f>
        <v>0</v>
      </c>
      <c r="BC32" s="165">
        <f>IF(BC4&lt;='Luxus '!$C$21,'Luxus '!$C$26,0)</f>
        <v>0</v>
      </c>
    </row>
    <row r="33" spans="2:55">
      <c r="B33" s="156" t="s">
        <v>35</v>
      </c>
      <c r="C33" s="165">
        <f>IFERROR(IF(C4&lt;='Luxus '!$P$21,'Luxus '!$P$26,0),0)</f>
        <v>1498.8709058495983</v>
      </c>
      <c r="D33" s="165">
        <f>IF(D4&lt;='Luxus '!$P$21,'Luxus '!$P$26,0)</f>
        <v>1498.8709058495983</v>
      </c>
      <c r="E33" s="165">
        <f>IF(E4&lt;='Luxus '!$P$21,'Luxus '!$P$26,0)</f>
        <v>1498.8709058495983</v>
      </c>
      <c r="F33" s="165">
        <f>IF(F4&lt;='Luxus '!$P$21,'Luxus '!$P$26,0)</f>
        <v>1498.8709058495983</v>
      </c>
      <c r="G33" s="165">
        <f>IF(G4&lt;='Luxus '!$P$21,'Luxus '!$P$26,0)</f>
        <v>1498.8709058495983</v>
      </c>
      <c r="H33" s="165">
        <f>IF(H4&lt;='Luxus '!$P$21,'Luxus '!$P$26,0)</f>
        <v>1498.8709058495983</v>
      </c>
      <c r="I33" s="165">
        <f>IF(I4&lt;='Luxus '!$P$21,'Luxus '!$P$26,0)</f>
        <v>1498.8709058495983</v>
      </c>
      <c r="J33" s="165">
        <f>IF(J4&lt;='Luxus '!$P$21,'Luxus '!$P$26,0)</f>
        <v>1498.8709058495983</v>
      </c>
      <c r="K33" s="165">
        <f>IF(K4&lt;='Luxus '!$P$21,'Luxus '!$P$26,0)</f>
        <v>1498.8709058495983</v>
      </c>
      <c r="L33" s="165">
        <f>IF(L4&lt;='Luxus '!$P$21,'Luxus '!$P$26,0)</f>
        <v>1498.8709058495983</v>
      </c>
      <c r="M33" s="165">
        <f>IF(M4&lt;='Luxus '!$P$21,'Luxus '!$P$26,0)</f>
        <v>1498.8709058495983</v>
      </c>
      <c r="N33" s="165">
        <f>IF(N4&lt;='Luxus '!$P$21,'Luxus '!$P$26,0)</f>
        <v>1498.8709058495983</v>
      </c>
      <c r="O33" s="165">
        <f>IF(O4&lt;='Luxus '!$P$21,'Luxus '!$P$26,0)</f>
        <v>1498.8709058495983</v>
      </c>
      <c r="P33" s="165">
        <f>IF(P4&lt;='Luxus '!$P$21,'Luxus '!$P$26,0)</f>
        <v>0</v>
      </c>
      <c r="Q33" s="165">
        <f>IF(Q4&lt;='Luxus '!$P$21,'Luxus '!$P$26,0)</f>
        <v>0</v>
      </c>
      <c r="R33" s="165">
        <f>IF(R4&lt;='Luxus '!$P$21,'Luxus '!$P$26,0)</f>
        <v>0</v>
      </c>
      <c r="S33" s="165">
        <f>IF(S4&lt;='Luxus '!$P$21,'Luxus '!$P$26,0)</f>
        <v>0</v>
      </c>
      <c r="T33" s="165">
        <f>IF(T4&lt;='Luxus '!$P$21,'Luxus '!$P$26,0)</f>
        <v>0</v>
      </c>
      <c r="U33" s="165">
        <f>IF(U4&lt;='Luxus '!$P$21,'Luxus '!$P$26,0)</f>
        <v>0</v>
      </c>
      <c r="V33" s="165">
        <f>IF(V4&lt;='Luxus '!$P$21,'Luxus '!$P$26,0)</f>
        <v>0</v>
      </c>
      <c r="W33" s="165">
        <f>IF(W4&lt;='Luxus '!$P$21,'Luxus '!$P$26,0)</f>
        <v>0</v>
      </c>
      <c r="X33" s="165">
        <f>IF(X4&lt;='Luxus '!$P$21,'Luxus '!$P$26,0)</f>
        <v>0</v>
      </c>
      <c r="Y33" s="165">
        <f>IF(Y4&lt;='Luxus '!$P$21,'Luxus '!$P$26,0)</f>
        <v>0</v>
      </c>
      <c r="Z33" s="165">
        <f>IF(Z4&lt;='Luxus '!$P$21,'Luxus '!$P$26,0)</f>
        <v>0</v>
      </c>
      <c r="AA33" s="165">
        <f>IF(AA4&lt;='Luxus '!$P$21,'Luxus '!$P$26,0)</f>
        <v>0</v>
      </c>
      <c r="AB33" s="165">
        <f>IF(AB4&lt;='Luxus '!$P$21,'Luxus '!$P$26,0)</f>
        <v>0</v>
      </c>
      <c r="AC33" s="165">
        <f>IF(AC4&lt;='Luxus '!$P$21,'Luxus '!$P$26,0)</f>
        <v>0</v>
      </c>
      <c r="AD33" s="165">
        <f>IF(AD4&lt;='Luxus '!$P$21,'Luxus '!$P$26,0)</f>
        <v>0</v>
      </c>
      <c r="AE33" s="165">
        <f>IF(AE4&lt;='Luxus '!$P$21,'Luxus '!$P$26,0)</f>
        <v>0</v>
      </c>
      <c r="AF33" s="165">
        <f>IF(AF4&lt;='Luxus '!$P$21,'Luxus '!$P$26,0)</f>
        <v>0</v>
      </c>
      <c r="AG33" s="165">
        <f>IF(AG4&lt;='Luxus '!$P$21,'Luxus '!$P$26,0)</f>
        <v>0</v>
      </c>
      <c r="AH33" s="165">
        <f>IF(AH4&lt;='Luxus '!$P$21,'Luxus '!$P$26,0)</f>
        <v>0</v>
      </c>
      <c r="AI33" s="165">
        <f>IF(AI4&lt;='Luxus '!$P$21,'Luxus '!$P$26,0)</f>
        <v>0</v>
      </c>
      <c r="AJ33" s="165">
        <f>IF(AJ4&lt;='Luxus '!$P$21,'Luxus '!$P$26,0)</f>
        <v>0</v>
      </c>
      <c r="AK33" s="165">
        <f>IF(AK4&lt;='Luxus '!$P$21,'Luxus '!$P$26,0)</f>
        <v>0</v>
      </c>
      <c r="AL33" s="165">
        <f>IF(AL4&lt;='Luxus '!$P$21,'Luxus '!$P$26,0)</f>
        <v>0</v>
      </c>
      <c r="AM33" s="165">
        <f>IF(AM4&lt;='Luxus '!$P$21,'Luxus '!$P$26,0)</f>
        <v>0</v>
      </c>
      <c r="AN33" s="165">
        <f>IF(AN4&lt;='Luxus '!$P$21,'Luxus '!$P$26,0)</f>
        <v>0</v>
      </c>
      <c r="AO33" s="165">
        <f>IF(AO4&lt;='Luxus '!$P$21,'Luxus '!$P$26,0)</f>
        <v>0</v>
      </c>
      <c r="AP33" s="165">
        <f>IF(AP4&lt;='Luxus '!$P$21,'Luxus '!$P$26,0)</f>
        <v>0</v>
      </c>
      <c r="AQ33" s="165">
        <f>IF(AQ4&lt;='Luxus '!$P$21,'Luxus '!$P$26,0)</f>
        <v>0</v>
      </c>
      <c r="AR33" s="165">
        <f>IF(AR4&lt;='Luxus '!$P$21,'Luxus '!$P$26,0)</f>
        <v>0</v>
      </c>
      <c r="AS33" s="165">
        <f>IF(AS4&lt;='Luxus '!$P$21,'Luxus '!$P$26,0)</f>
        <v>0</v>
      </c>
      <c r="AT33" s="165">
        <f>IF(AT4&lt;='Luxus '!$P$21,'Luxus '!$P$26,0)</f>
        <v>0</v>
      </c>
      <c r="AU33" s="165">
        <f>IF(AU4&lt;='Luxus '!$P$21,'Luxus '!$P$26,0)</f>
        <v>0</v>
      </c>
      <c r="AV33" s="165">
        <f>IF(AV4&lt;='Luxus '!$P$21,'Luxus '!$P$26,0)</f>
        <v>0</v>
      </c>
      <c r="AW33" s="165">
        <f>IF(AW4&lt;='Luxus '!$P$21,'Luxus '!$P$26,0)</f>
        <v>0</v>
      </c>
      <c r="AX33" s="165">
        <f>IF(AX4&lt;='Luxus '!$P$21,'Luxus '!$P$26,0)</f>
        <v>0</v>
      </c>
      <c r="AY33" s="165">
        <f>IF(AY4&lt;='Luxus '!$P$21,'Luxus '!$P$26,0)</f>
        <v>0</v>
      </c>
      <c r="AZ33" s="165">
        <f>IF(AZ4&lt;='Luxus '!$P$21,'Luxus '!$P$26,0)</f>
        <v>0</v>
      </c>
      <c r="BA33" s="165">
        <f>IF(BA4&lt;='Luxus '!$P$21,'Luxus '!$P$26,0)</f>
        <v>0</v>
      </c>
      <c r="BB33" s="165">
        <f>IF(BB4&lt;='Luxus '!$P$21,'Luxus '!$P$26,0)</f>
        <v>0</v>
      </c>
      <c r="BC33" s="165">
        <f>IF(BC4&lt;='Luxus '!$P$21,'Luxus '!$P$26,0)</f>
        <v>0</v>
      </c>
    </row>
    <row r="34" spans="2:55">
      <c r="B34" s="156" t="s">
        <v>32</v>
      </c>
      <c r="C34" s="165">
        <f>IFERROR(IF(C4&lt;='Luxus '!$AB$21,'Luxus '!$AB$26,0),0)</f>
        <v>3567.9963628130517</v>
      </c>
      <c r="D34" s="165">
        <f>IF(D4&lt;='Luxus '!$AB$21,'Luxus '!$AB$26,0)</f>
        <v>3567.9963628130517</v>
      </c>
      <c r="E34" s="165">
        <f>IF(E4&lt;='Luxus '!$AB$21,'Luxus '!$AB$26,0)</f>
        <v>3567.9963628130517</v>
      </c>
      <c r="F34" s="165">
        <f>IF(F4&lt;='Luxus '!$AB$21,'Luxus '!$AB$26,0)</f>
        <v>3567.9963628130517</v>
      </c>
      <c r="G34" s="165">
        <f>IF(G4&lt;='Luxus '!$AB$21,'Luxus '!$AB$26,0)</f>
        <v>0</v>
      </c>
      <c r="H34" s="165">
        <f>IF(H4&lt;='Luxus '!$AB$21,'Luxus '!$AB$26,0)</f>
        <v>0</v>
      </c>
      <c r="I34" s="165">
        <f>IF(I4&lt;='Luxus '!$AB$21,'Luxus '!$AB$26,0)</f>
        <v>0</v>
      </c>
      <c r="J34" s="165">
        <f>IF(J4&lt;='Luxus '!$AB$21,'Luxus '!$AB$26,0)</f>
        <v>0</v>
      </c>
      <c r="K34" s="165">
        <f>IF(K4&lt;='Luxus '!$AB$21,'Luxus '!$AB$26,0)</f>
        <v>0</v>
      </c>
      <c r="L34" s="165">
        <f>IF(L4&lt;='Luxus '!$AB$21,'Luxus '!$AB$26,0)</f>
        <v>0</v>
      </c>
      <c r="M34" s="165">
        <f>IF(M4&lt;='Luxus '!$AB$21,'Luxus '!$AB$26,0)</f>
        <v>0</v>
      </c>
      <c r="N34" s="165">
        <f>IF(N4&lt;='Luxus '!$AB$21,'Luxus '!$AB$26,0)</f>
        <v>0</v>
      </c>
      <c r="O34" s="165">
        <f>IF(O4&lt;='Luxus '!$AB$21,'Luxus '!$AB$26,0)</f>
        <v>0</v>
      </c>
      <c r="P34" s="165">
        <f>IF(P4&lt;='Luxus '!$AB$21,'Luxus '!$AB$26,0)</f>
        <v>0</v>
      </c>
      <c r="Q34" s="165">
        <f>IF(Q4&lt;='Luxus '!$AB$21,'Luxus '!$AB$26,0)</f>
        <v>0</v>
      </c>
      <c r="R34" s="165">
        <f>IF(R4&lt;='Luxus '!$AB$21,'Luxus '!$AB$26,0)</f>
        <v>0</v>
      </c>
      <c r="S34" s="165">
        <f>IF(S4&lt;='Luxus '!$AB$21,'Luxus '!$AB$26,0)</f>
        <v>0</v>
      </c>
      <c r="T34" s="165">
        <f>IF(T4&lt;='Luxus '!$AB$21,'Luxus '!$AB$26,0)</f>
        <v>0</v>
      </c>
      <c r="U34" s="165">
        <f>IF(U4&lt;='Luxus '!$AB$21,'Luxus '!$AB$26,0)</f>
        <v>0</v>
      </c>
      <c r="V34" s="165">
        <f>IF(V4&lt;='Luxus '!$AB$21,'Luxus '!$AB$26,0)</f>
        <v>0</v>
      </c>
      <c r="W34" s="165">
        <f>IF(W4&lt;='Luxus '!$AB$21,'Luxus '!$AB$26,0)</f>
        <v>0</v>
      </c>
      <c r="X34" s="165">
        <f>IF(X4&lt;='Luxus '!$AB$21,'Luxus '!$AB$26,0)</f>
        <v>0</v>
      </c>
      <c r="Y34" s="165">
        <f>IF(Y4&lt;='Luxus '!$AB$21,'Luxus '!$AB$26,0)</f>
        <v>0</v>
      </c>
      <c r="Z34" s="165">
        <f>IF(Z4&lt;='Luxus '!$AB$21,'Luxus '!$AB$26,0)</f>
        <v>0</v>
      </c>
      <c r="AA34" s="165">
        <f>IF(AA4&lt;='Luxus '!$AB$21,'Luxus '!$AB$26,0)</f>
        <v>0</v>
      </c>
      <c r="AB34" s="165">
        <f>IF(AB4&lt;='Luxus '!$AB$21,'Luxus '!$AB$26,0)</f>
        <v>0</v>
      </c>
      <c r="AC34" s="165">
        <f>IF(AC4&lt;='Luxus '!$AB$21,'Luxus '!$AB$26,0)</f>
        <v>0</v>
      </c>
      <c r="AD34" s="165">
        <f>IF(AD4&lt;='Luxus '!$AB$21,'Luxus '!$AB$26,0)</f>
        <v>0</v>
      </c>
      <c r="AE34" s="165">
        <f>IF(AE4&lt;='Luxus '!$AB$21,'Luxus '!$AB$26,0)</f>
        <v>0</v>
      </c>
      <c r="AF34" s="165">
        <f>IF(AF4&lt;='Luxus '!$AB$21,'Luxus '!$AB$26,0)</f>
        <v>0</v>
      </c>
      <c r="AG34" s="165">
        <f>IF(AG4&lt;='Luxus '!$AB$21,'Luxus '!$AB$26,0)</f>
        <v>0</v>
      </c>
      <c r="AH34" s="165">
        <f>IF(AH4&lt;='Luxus '!$AB$21,'Luxus '!$AB$26,0)</f>
        <v>0</v>
      </c>
      <c r="AI34" s="165">
        <f>IF(AI4&lt;='Luxus '!$AB$21,'Luxus '!$AB$26,0)</f>
        <v>0</v>
      </c>
      <c r="AJ34" s="165">
        <f>IF(AJ4&lt;='Luxus '!$AB$21,'Luxus '!$AB$26,0)</f>
        <v>0</v>
      </c>
      <c r="AK34" s="165">
        <f>IF(AK4&lt;='Luxus '!$AB$21,'Luxus '!$AB$26,0)</f>
        <v>0</v>
      </c>
      <c r="AL34" s="165">
        <f>IF(AL4&lt;='Luxus '!$AB$21,'Luxus '!$AB$26,0)</f>
        <v>0</v>
      </c>
      <c r="AM34" s="165">
        <f>IF(AM4&lt;='Luxus '!$AB$21,'Luxus '!$AB$26,0)</f>
        <v>0</v>
      </c>
      <c r="AN34" s="165">
        <f>IF(AN4&lt;='Luxus '!$AB$21,'Luxus '!$AB$26,0)</f>
        <v>0</v>
      </c>
      <c r="AO34" s="165">
        <f>IF(AO4&lt;='Luxus '!$AB$21,'Luxus '!$AB$26,0)</f>
        <v>0</v>
      </c>
      <c r="AP34" s="165">
        <f>IF(AP4&lt;='Luxus '!$AB$21,'Luxus '!$AB$26,0)</f>
        <v>0</v>
      </c>
      <c r="AQ34" s="165">
        <f>IF(AQ4&lt;='Luxus '!$AB$21,'Luxus '!$AB$26,0)</f>
        <v>0</v>
      </c>
      <c r="AR34" s="165">
        <f>IF(AR4&lt;='Luxus '!$AB$21,'Luxus '!$AB$26,0)</f>
        <v>0</v>
      </c>
      <c r="AS34" s="165">
        <f>IF(AS4&lt;='Luxus '!$AB$21,'Luxus '!$AB$26,0)</f>
        <v>0</v>
      </c>
      <c r="AT34" s="165">
        <f>IF(AT4&lt;='Luxus '!$AB$21,'Luxus '!$AB$26,0)</f>
        <v>0</v>
      </c>
      <c r="AU34" s="165">
        <f>IF(AU4&lt;='Luxus '!$AB$21,'Luxus '!$AB$26,0)</f>
        <v>0</v>
      </c>
      <c r="AV34" s="165">
        <f>IF(AV4&lt;='Luxus '!$AB$21,'Luxus '!$AB$26,0)</f>
        <v>0</v>
      </c>
      <c r="AW34" s="165">
        <f>IF(AW4&lt;='Luxus '!$AB$21,'Luxus '!$AB$26,0)</f>
        <v>0</v>
      </c>
      <c r="AX34" s="165">
        <f>IF(AX4&lt;='Luxus '!$AB$21,'Luxus '!$AB$26,0)</f>
        <v>0</v>
      </c>
      <c r="AY34" s="165">
        <f>IF(AY4&lt;='Luxus '!$AB$21,'Luxus '!$AB$26,0)</f>
        <v>0</v>
      </c>
      <c r="AZ34" s="165">
        <f>IF(AZ4&lt;='Luxus '!$AB$21,'Luxus '!$AB$26,0)</f>
        <v>0</v>
      </c>
      <c r="BA34" s="165">
        <f>IF(BA4&lt;='Luxus '!$AB$21,'Luxus '!$AB$26,0)</f>
        <v>0</v>
      </c>
      <c r="BB34" s="165">
        <f>IF(BB4&lt;='Luxus '!$AB$21,'Luxus '!$AB$26,0)</f>
        <v>0</v>
      </c>
      <c r="BC34" s="165">
        <f>IF(BC4&lt;='Luxus '!$AB$21,'Luxus '!$AB$26,0)</f>
        <v>0</v>
      </c>
    </row>
    <row r="35" spans="2:55">
      <c r="B35" s="156" t="s">
        <v>60</v>
      </c>
      <c r="C35" s="165">
        <f>IFERROR(IF(C4&lt;='Luxus '!$AN$21,'Luxus '!$AN$26,0),0)</f>
        <v>3203.4771822727257</v>
      </c>
      <c r="D35" s="165">
        <f>IF(D4&lt;='Luxus '!$AN$21,'Luxus '!$AN$26,0)</f>
        <v>3203.4771822727257</v>
      </c>
      <c r="E35" s="165">
        <f>IF(E4&lt;='Luxus '!$AN$21,'Luxus '!$AN$26,0)</f>
        <v>3203.4771822727257</v>
      </c>
      <c r="F35" s="165">
        <f>IF(F4&lt;='Luxus '!$AN$21,'Luxus '!$AN$26,0)</f>
        <v>0</v>
      </c>
      <c r="G35" s="165">
        <f>IF(G4&lt;='Luxus '!$AN$21,'Luxus '!$AN$26,0)</f>
        <v>0</v>
      </c>
      <c r="H35" s="165">
        <f>IF(H4&lt;='Luxus '!$AN$21,'Luxus '!$AN$26,0)</f>
        <v>0</v>
      </c>
      <c r="I35" s="165">
        <f>IF(I4&lt;='Luxus '!$AN$21,'Luxus '!$AN$26,0)</f>
        <v>0</v>
      </c>
      <c r="J35" s="165">
        <f>IF(J4&lt;='Luxus '!$AN$21,'Luxus '!$AN$26,0)</f>
        <v>0</v>
      </c>
      <c r="K35" s="165">
        <f>IF(K4&lt;='Luxus '!$AN$21,'Luxus '!$AN$26,0)</f>
        <v>0</v>
      </c>
      <c r="L35" s="165">
        <f>IF(L4&lt;='Luxus '!$AN$21,'Luxus '!$AN$26,0)</f>
        <v>0</v>
      </c>
      <c r="M35" s="165">
        <f>IF(M4&lt;='Luxus '!$AN$21,'Luxus '!$AN$26,0)</f>
        <v>0</v>
      </c>
      <c r="N35" s="165">
        <f>IF(N4&lt;='Luxus '!$AN$21,'Luxus '!$AN$26,0)</f>
        <v>0</v>
      </c>
      <c r="O35" s="165">
        <f>IF(O4&lt;='Luxus '!$AN$21,'Luxus '!$AN$26,0)</f>
        <v>0</v>
      </c>
      <c r="P35" s="165">
        <f>IF(P4&lt;='Luxus '!$AN$21,'Luxus '!$AN$26,0)</f>
        <v>0</v>
      </c>
      <c r="Q35" s="165">
        <f>IF(Q4&lt;='Luxus '!$AN$21,'Luxus '!$AN$26,0)</f>
        <v>0</v>
      </c>
      <c r="R35" s="165">
        <f>IF(R4&lt;='Luxus '!$AN$21,'Luxus '!$AN$26,0)</f>
        <v>0</v>
      </c>
      <c r="S35" s="165">
        <f>IF(S4&lt;='Luxus '!$AN$21,'Luxus '!$AN$26,0)</f>
        <v>0</v>
      </c>
      <c r="T35" s="165">
        <f>IF(T4&lt;='Luxus '!$AN$21,'Luxus '!$AN$26,0)</f>
        <v>0</v>
      </c>
      <c r="U35" s="165">
        <f>IF(U4&lt;='Luxus '!$AN$21,'Luxus '!$AN$26,0)</f>
        <v>0</v>
      </c>
      <c r="V35" s="165">
        <f>IF(V4&lt;='Luxus '!$AN$21,'Luxus '!$AN$26,0)</f>
        <v>0</v>
      </c>
      <c r="W35" s="165">
        <f>IF(W4&lt;='Luxus '!$AN$21,'Luxus '!$AN$26,0)</f>
        <v>0</v>
      </c>
      <c r="X35" s="165">
        <f>IF(X4&lt;='Luxus '!$AN$21,'Luxus '!$AN$26,0)</f>
        <v>0</v>
      </c>
      <c r="Y35" s="165">
        <f>IF(Y4&lt;='Luxus '!$AN$21,'Luxus '!$AN$26,0)</f>
        <v>0</v>
      </c>
      <c r="Z35" s="165">
        <f>IF(Z4&lt;='Luxus '!$AN$21,'Luxus '!$AN$26,0)</f>
        <v>0</v>
      </c>
      <c r="AA35" s="165">
        <f>IF(AA4&lt;='Luxus '!$AN$21,'Luxus '!$AN$26,0)</f>
        <v>0</v>
      </c>
      <c r="AB35" s="165">
        <f>IF(AB4&lt;='Luxus '!$AN$21,'Luxus '!$AN$26,0)</f>
        <v>0</v>
      </c>
      <c r="AC35" s="165">
        <f>IF(AC4&lt;='Luxus '!$AN$21,'Luxus '!$AN$26,0)</f>
        <v>0</v>
      </c>
      <c r="AD35" s="165">
        <f>IF(AD4&lt;='Luxus '!$AN$21,'Luxus '!$AN$26,0)</f>
        <v>0</v>
      </c>
      <c r="AE35" s="165">
        <f>IF(AE4&lt;='Luxus '!$AN$21,'Luxus '!$AN$26,0)</f>
        <v>0</v>
      </c>
      <c r="AF35" s="165">
        <f>IF(AF4&lt;='Luxus '!$AN$21,'Luxus '!$AN$26,0)</f>
        <v>0</v>
      </c>
      <c r="AG35" s="165">
        <f>IF(AG4&lt;='Luxus '!$AN$21,'Luxus '!$AN$26,0)</f>
        <v>0</v>
      </c>
      <c r="AH35" s="165">
        <f>IF(AH4&lt;='Luxus '!$AN$21,'Luxus '!$AN$26,0)</f>
        <v>0</v>
      </c>
      <c r="AI35" s="165">
        <f>IF(AI4&lt;='Luxus '!$AN$21,'Luxus '!$AN$26,0)</f>
        <v>0</v>
      </c>
      <c r="AJ35" s="165">
        <f>IF(AJ4&lt;='Luxus '!$AN$21,'Luxus '!$AN$26,0)</f>
        <v>0</v>
      </c>
      <c r="AK35" s="165">
        <f>IF(AK4&lt;='Luxus '!$AN$21,'Luxus '!$AN$26,0)</f>
        <v>0</v>
      </c>
      <c r="AL35" s="165">
        <f>IF(AL4&lt;='Luxus '!$AN$21,'Luxus '!$AN$26,0)</f>
        <v>0</v>
      </c>
      <c r="AM35" s="165">
        <f>IF(AM4&lt;='Luxus '!$AN$21,'Luxus '!$AN$26,0)</f>
        <v>0</v>
      </c>
      <c r="AN35" s="165">
        <f>IF(AN4&lt;='Luxus '!$AN$21,'Luxus '!$AN$26,0)</f>
        <v>0</v>
      </c>
      <c r="AO35" s="165">
        <f>IF(AO4&lt;='Luxus '!$AN$21,'Luxus '!$AN$26,0)</f>
        <v>0</v>
      </c>
      <c r="AP35" s="165">
        <f>IF(AP4&lt;='Luxus '!$AN$21,'Luxus '!$AN$26,0)</f>
        <v>0</v>
      </c>
      <c r="AQ35" s="165">
        <f>IF(AQ4&lt;='Luxus '!$AN$21,'Luxus '!$AN$26,0)</f>
        <v>0</v>
      </c>
      <c r="AR35" s="165">
        <f>IF(AR4&lt;='Luxus '!$AN$21,'Luxus '!$AN$26,0)</f>
        <v>0</v>
      </c>
      <c r="AS35" s="165">
        <f>IF(AS4&lt;='Luxus '!$AN$21,'Luxus '!$AN$26,0)</f>
        <v>0</v>
      </c>
      <c r="AT35" s="165">
        <f>IF(AT4&lt;='Luxus '!$AN$21,'Luxus '!$AN$26,0)</f>
        <v>0</v>
      </c>
      <c r="AU35" s="165">
        <f>IF(AU4&lt;='Luxus '!$AN$21,'Luxus '!$AN$26,0)</f>
        <v>0</v>
      </c>
      <c r="AV35" s="165">
        <f>IF(AV4&lt;='Luxus '!$AN$21,'Luxus '!$AN$26,0)</f>
        <v>0</v>
      </c>
      <c r="AW35" s="165">
        <f>IF(AW4&lt;='Luxus '!$AN$21,'Luxus '!$AN$26,0)</f>
        <v>0</v>
      </c>
      <c r="AX35" s="165">
        <f>IF(AX4&lt;='Luxus '!$AN$21,'Luxus '!$AN$26,0)</f>
        <v>0</v>
      </c>
      <c r="AY35" s="165">
        <f>IF(AY4&lt;='Luxus '!$AN$21,'Luxus '!$AN$26,0)</f>
        <v>0</v>
      </c>
      <c r="AZ35" s="165">
        <f>IF(AZ4&lt;='Luxus '!$AN$21,'Luxus '!$AN$26,0)</f>
        <v>0</v>
      </c>
      <c r="BA35" s="165">
        <f>IF(BA4&lt;='Luxus '!$AN$21,'Luxus '!$AN$26,0)</f>
        <v>0</v>
      </c>
      <c r="BB35" s="165">
        <f>IF(BB4&lt;='Luxus '!$AN$21,'Luxus '!$AN$26,0)</f>
        <v>0</v>
      </c>
      <c r="BC35" s="165">
        <f>IF(BC4&lt;='Luxus '!$AN$21,'Luxus '!$AN$26,0)</f>
        <v>0</v>
      </c>
    </row>
    <row r="36" spans="2:55">
      <c r="B36" s="156" t="s">
        <v>19</v>
      </c>
      <c r="C36" s="165">
        <f>IFERROR(IF(C4&lt;='Pension calculator 3a'!$C$5,'Pension calculator 3a'!$C$12,0),0)</f>
        <v>0</v>
      </c>
      <c r="D36" s="165">
        <f>IF(D4&lt;='Pension calculator 3a'!$C$5,'Pension calculator 3a'!$C$12,0)</f>
        <v>0</v>
      </c>
      <c r="E36" s="165">
        <f>IF(E4&lt;='Pension calculator 3a'!$C$5,'Pension calculator 3a'!$C$12,0)</f>
        <v>0</v>
      </c>
      <c r="F36" s="165">
        <f>IF(F4&lt;='Pension calculator 3a'!$C$5,'Pension calculator 3a'!$C$12,0)</f>
        <v>0</v>
      </c>
      <c r="G36" s="165">
        <f>IF(G4&lt;='Pension calculator 3a'!$C$5,'Pension calculator 3a'!$C$12,0)</f>
        <v>0</v>
      </c>
      <c r="H36" s="165">
        <f>IF(H4&lt;='Pension calculator 3a'!$C$5,'Pension calculator 3a'!$C$12,0)</f>
        <v>0</v>
      </c>
      <c r="I36" s="165">
        <f>IF(I4&lt;='Pension calculator 3a'!$C$5,'Pension calculator 3a'!$C$12,0)</f>
        <v>0</v>
      </c>
      <c r="J36" s="165">
        <f>IF(J4&lt;='Pension calculator 3a'!$C$5,'Pension calculator 3a'!$C$12,0)</f>
        <v>0</v>
      </c>
      <c r="K36" s="165">
        <f>IF(K4&lt;='Pension calculator 3a'!$C$5,'Pension calculator 3a'!$C$12,0)</f>
        <v>0</v>
      </c>
      <c r="L36" s="165">
        <f>IF(L4&lt;='Pension calculator 3a'!$C$5,'Pension calculator 3a'!$C$12,0)</f>
        <v>0</v>
      </c>
      <c r="M36" s="165">
        <f>IF(M4&lt;='Pension calculator 3a'!$C$5,'Pension calculator 3a'!$C$12,0)</f>
        <v>0</v>
      </c>
      <c r="N36" s="165">
        <f>IF(N4&lt;='Pension calculator 3a'!$C$5,'Pension calculator 3a'!$C$12,0)</f>
        <v>0</v>
      </c>
      <c r="O36" s="165">
        <f>IF(O4&lt;='Pension calculator 3a'!$C$5,'Pension calculator 3a'!$C$12,0)</f>
        <v>0</v>
      </c>
      <c r="P36" s="165">
        <f>IF(P4&lt;='Pension calculator 3a'!$C$5,'Pension calculator 3a'!$C$12,0)</f>
        <v>0</v>
      </c>
      <c r="Q36" s="165">
        <f>IF(Q4&lt;='Pension calculator 3a'!$C$5,'Pension calculator 3a'!$C$12,0)</f>
        <v>0</v>
      </c>
      <c r="R36" s="165">
        <f>IF(R4&lt;='Pension calculator 3a'!$C$5,'Pension calculator 3a'!$C$12,0)</f>
        <v>0</v>
      </c>
      <c r="S36" s="165">
        <f>IF(S4&lt;='Pension calculator 3a'!$C$5,'Pension calculator 3a'!$C$12,0)</f>
        <v>0</v>
      </c>
      <c r="T36" s="165">
        <f>IF(T4&lt;='Pension calculator 3a'!$C$5,'Pension calculator 3a'!$C$12,0)</f>
        <v>0</v>
      </c>
      <c r="U36" s="165">
        <f>IF(U4&lt;='Pension calculator 3a'!$C$5,'Pension calculator 3a'!$C$12,0)</f>
        <v>0</v>
      </c>
      <c r="V36" s="165">
        <f>IF(V4&lt;='Pension calculator 3a'!$C$5,'Pension calculator 3a'!$C$12,0)</f>
        <v>0</v>
      </c>
      <c r="W36" s="165">
        <f>IF(W4&lt;='Pension calculator 3a'!$C$5,'Pension calculator 3a'!$C$12,0)</f>
        <v>0</v>
      </c>
      <c r="X36" s="165">
        <f>IF(X4&lt;='Pension calculator 3a'!$C$5,'Pension calculator 3a'!$C$12,0)</f>
        <v>0</v>
      </c>
      <c r="Y36" s="165">
        <f>IF(Y4&lt;='Pension calculator 3a'!$C$5,'Pension calculator 3a'!$C$12,0)</f>
        <v>0</v>
      </c>
      <c r="Z36" s="165">
        <f>IF(Z4&lt;='Pension calculator 3a'!$C$5,'Pension calculator 3a'!$C$12,0)</f>
        <v>0</v>
      </c>
      <c r="AA36" s="165">
        <f>IF(AA4&lt;='Pension calculator 3a'!$C$5,'Pension calculator 3a'!$C$12,0)</f>
        <v>0</v>
      </c>
      <c r="AB36" s="165">
        <f>IF(AB4&lt;='Pension calculator 3a'!$C$5,'Pension calculator 3a'!$C$12,0)</f>
        <v>0</v>
      </c>
      <c r="AC36" s="165">
        <f>IF(AC4&lt;='Pension calculator 3a'!$C$5,'Pension calculator 3a'!$C$12,0)</f>
        <v>0</v>
      </c>
      <c r="AD36" s="165">
        <f>IF(AD4&lt;='Pension calculator 3a'!$C$5,'Pension calculator 3a'!$C$12,0)</f>
        <v>0</v>
      </c>
      <c r="AE36" s="165">
        <f>IF(AE4&lt;='Pension calculator 3a'!$C$5,'Pension calculator 3a'!$C$12,0)</f>
        <v>0</v>
      </c>
      <c r="AF36" s="165">
        <f>IF(AF4&lt;='Pension calculator 3a'!$C$5,'Pension calculator 3a'!$C$12,0)</f>
        <v>0</v>
      </c>
      <c r="AG36" s="165">
        <f>IF(AG4&lt;='Pension calculator 3a'!$C$5,'Pension calculator 3a'!$C$12,0)</f>
        <v>0</v>
      </c>
      <c r="AH36" s="165">
        <f>IF(AH4&lt;='Pension calculator 3a'!$C$5,'Pension calculator 3a'!$C$12,0)</f>
        <v>0</v>
      </c>
      <c r="AI36" s="165">
        <f>IF(AI4&lt;='Pension calculator 3a'!$C$5,'Pension calculator 3a'!$C$12,0)</f>
        <v>0</v>
      </c>
      <c r="AJ36" s="165">
        <f>IF(AJ4&lt;='Pension calculator 3a'!$C$5,'Pension calculator 3a'!$C$12,0)</f>
        <v>0</v>
      </c>
      <c r="AK36" s="165">
        <f>IF(AK4&lt;='Pension calculator 3a'!$C$5,'Pension calculator 3a'!$C$12,0)</f>
        <v>0</v>
      </c>
      <c r="AL36" s="165">
        <f>IF(AL4&lt;='Pension calculator 3a'!$C$5,'Pension calculator 3a'!$C$12,0)</f>
        <v>0</v>
      </c>
      <c r="AM36" s="165">
        <f>IF(AM4&lt;='Pension calculator 3a'!$C$5,'Pension calculator 3a'!$C$12,0)</f>
        <v>0</v>
      </c>
      <c r="AN36" s="165">
        <f>IF(AN4&lt;='Pension calculator 3a'!$C$5,'Pension calculator 3a'!$C$12,0)</f>
        <v>0</v>
      </c>
      <c r="AO36" s="165">
        <f>IF(AO4&lt;='Pension calculator 3a'!$C$5,'Pension calculator 3a'!$C$12,0)</f>
        <v>0</v>
      </c>
      <c r="AP36" s="165">
        <f>IF(AP4&lt;='Pension calculator 3a'!$C$5,'Pension calculator 3a'!$C$12,0)</f>
        <v>0</v>
      </c>
      <c r="AQ36" s="165">
        <f>IF(AQ4&lt;='Pension calculator 3a'!$C$5,'Pension calculator 3a'!$C$12,0)</f>
        <v>0</v>
      </c>
      <c r="AR36" s="165">
        <f>IF(AR4&lt;='Pension calculator 3a'!$C$5,'Pension calculator 3a'!$C$12,0)</f>
        <v>0</v>
      </c>
      <c r="AS36" s="165">
        <f>IF(AS4&lt;='Pension calculator 3a'!$C$5,'Pension calculator 3a'!$C$12,0)</f>
        <v>0</v>
      </c>
      <c r="AT36" s="165">
        <f>IF(AT4&lt;='Pension calculator 3a'!$C$5,'Pension calculator 3a'!$C$12,0)</f>
        <v>0</v>
      </c>
      <c r="AU36" s="165">
        <f>IF(AU4&lt;='Pension calculator 3a'!$C$5,'Pension calculator 3a'!$C$12,0)</f>
        <v>0</v>
      </c>
      <c r="AV36" s="165">
        <f>IF(AV4&lt;='Pension calculator 3a'!$C$5,'Pension calculator 3a'!$C$12,0)</f>
        <v>0</v>
      </c>
      <c r="AW36" s="165">
        <f>IF(AW4&lt;='Pension calculator 3a'!$C$5,'Pension calculator 3a'!$C$12,0)</f>
        <v>0</v>
      </c>
      <c r="AX36" s="165">
        <f>IF(AX4&lt;='Pension calculator 3a'!$C$5,'Pension calculator 3a'!$C$12,0)</f>
        <v>0</v>
      </c>
      <c r="AY36" s="165">
        <f>IF(AY4&lt;='Pension calculator 3a'!$C$5,'Pension calculator 3a'!$C$12,0)</f>
        <v>0</v>
      </c>
      <c r="AZ36" s="165">
        <f>IF(AZ4&lt;='Pension calculator 3a'!$C$5,'Pension calculator 3a'!$C$12,0)</f>
        <v>0</v>
      </c>
      <c r="BA36" s="165">
        <f>IF(BA4&lt;='Pension calculator 3a'!$C$5,'Pension calculator 3a'!$C$12,0)</f>
        <v>0</v>
      </c>
      <c r="BB36" s="165">
        <f>IF(BB4&lt;='Pension calculator 3a'!$C$5,'Pension calculator 3a'!$C$12,0)</f>
        <v>0</v>
      </c>
      <c r="BC36" s="165">
        <f>IF(BC4&lt;='Pension calculator 3a'!$C$5,'Pension calculator 3a'!$C$12,0)</f>
        <v>0</v>
      </c>
    </row>
    <row r="37" spans="2:55">
      <c r="B37" s="166" t="s">
        <v>61</v>
      </c>
      <c r="C37" s="167">
        <f>SUM(C31:C36)</f>
        <v>72077.170011861075</v>
      </c>
      <c r="D37" s="167">
        <f t="shared" ref="D37:BC37" si="67">SUM(D31:D36)</f>
        <v>72077.170011861075</v>
      </c>
      <c r="E37" s="167">
        <f t="shared" si="67"/>
        <v>72077.170011861075</v>
      </c>
      <c r="F37" s="167">
        <f t="shared" si="67"/>
        <v>68873.692829588355</v>
      </c>
      <c r="G37" s="167">
        <f t="shared" si="67"/>
        <v>65305.696466775298</v>
      </c>
      <c r="H37" s="167">
        <f t="shared" si="67"/>
        <v>65305.696466775298</v>
      </c>
      <c r="I37" s="167">
        <f t="shared" si="67"/>
        <v>65305.696466775298</v>
      </c>
      <c r="J37" s="167">
        <f t="shared" si="67"/>
        <v>65305.696466775298</v>
      </c>
      <c r="K37" s="167">
        <f t="shared" si="67"/>
        <v>65305.696466775298</v>
      </c>
      <c r="L37" s="167">
        <f t="shared" si="67"/>
        <v>65305.696466775298</v>
      </c>
      <c r="M37" s="167">
        <f t="shared" si="67"/>
        <v>65305.696466775298</v>
      </c>
      <c r="N37" s="167">
        <f t="shared" si="67"/>
        <v>3506.275121773082</v>
      </c>
      <c r="O37" s="167">
        <f t="shared" si="67"/>
        <v>3506.275121773082</v>
      </c>
      <c r="P37" s="167">
        <f t="shared" si="67"/>
        <v>2007.4042159234834</v>
      </c>
      <c r="Q37" s="167">
        <f t="shared" si="67"/>
        <v>2007.4042159234834</v>
      </c>
      <c r="R37" s="167">
        <f t="shared" si="67"/>
        <v>2007.4042159234834</v>
      </c>
      <c r="S37" s="167">
        <f t="shared" si="67"/>
        <v>2007.4042159234834</v>
      </c>
      <c r="T37" s="167">
        <f t="shared" si="67"/>
        <v>2007.4042159234834</v>
      </c>
      <c r="U37" s="167">
        <f t="shared" si="67"/>
        <v>2007.4042159234834</v>
      </c>
      <c r="V37" s="167">
        <f t="shared" si="67"/>
        <v>2007.4042159234834</v>
      </c>
      <c r="W37" s="167">
        <f t="shared" si="67"/>
        <v>2007.4042159234834</v>
      </c>
      <c r="X37" s="167">
        <f t="shared" si="67"/>
        <v>2007.4042159234834</v>
      </c>
      <c r="Y37" s="167">
        <f t="shared" si="67"/>
        <v>2007.4042159234834</v>
      </c>
      <c r="Z37" s="167">
        <f t="shared" si="67"/>
        <v>0</v>
      </c>
      <c r="AA37" s="167">
        <f t="shared" si="67"/>
        <v>0</v>
      </c>
      <c r="AB37" s="167">
        <f t="shared" si="67"/>
        <v>0</v>
      </c>
      <c r="AC37" s="167">
        <f t="shared" si="67"/>
        <v>0</v>
      </c>
      <c r="AD37" s="167">
        <f t="shared" si="67"/>
        <v>0</v>
      </c>
      <c r="AE37" s="167">
        <f t="shared" si="67"/>
        <v>0</v>
      </c>
      <c r="AF37" s="167">
        <f t="shared" si="67"/>
        <v>0</v>
      </c>
      <c r="AG37" s="167">
        <f t="shared" si="67"/>
        <v>0</v>
      </c>
      <c r="AH37" s="167">
        <f t="shared" si="67"/>
        <v>0</v>
      </c>
      <c r="AI37" s="167">
        <f t="shared" si="67"/>
        <v>0</v>
      </c>
      <c r="AJ37" s="167">
        <f t="shared" si="67"/>
        <v>0</v>
      </c>
      <c r="AK37" s="167">
        <f t="shared" si="67"/>
        <v>0</v>
      </c>
      <c r="AL37" s="167">
        <f t="shared" si="67"/>
        <v>0</v>
      </c>
      <c r="AM37" s="167">
        <f t="shared" si="67"/>
        <v>0</v>
      </c>
      <c r="AN37" s="167">
        <f t="shared" si="67"/>
        <v>0</v>
      </c>
      <c r="AO37" s="167">
        <f t="shared" si="67"/>
        <v>0</v>
      </c>
      <c r="AP37" s="167">
        <f t="shared" si="67"/>
        <v>0</v>
      </c>
      <c r="AQ37" s="167">
        <f t="shared" si="67"/>
        <v>0</v>
      </c>
      <c r="AR37" s="167">
        <f t="shared" si="67"/>
        <v>0</v>
      </c>
      <c r="AS37" s="167">
        <f t="shared" si="67"/>
        <v>0</v>
      </c>
      <c r="AT37" s="167">
        <f t="shared" si="67"/>
        <v>0</v>
      </c>
      <c r="AU37" s="167">
        <f t="shared" si="67"/>
        <v>0</v>
      </c>
      <c r="AV37" s="167">
        <f t="shared" si="67"/>
        <v>0</v>
      </c>
      <c r="AW37" s="167">
        <f t="shared" si="67"/>
        <v>0</v>
      </c>
      <c r="AX37" s="167">
        <f t="shared" si="67"/>
        <v>0</v>
      </c>
      <c r="AY37" s="167">
        <f t="shared" si="67"/>
        <v>0</v>
      </c>
      <c r="AZ37" s="167">
        <f t="shared" si="67"/>
        <v>0</v>
      </c>
      <c r="BA37" s="167">
        <f t="shared" si="67"/>
        <v>0</v>
      </c>
      <c r="BB37" s="167">
        <f t="shared" si="67"/>
        <v>0</v>
      </c>
      <c r="BC37" s="167">
        <f t="shared" si="67"/>
        <v>0</v>
      </c>
    </row>
    <row r="38" spans="2:55" ht="17" thickBot="1">
      <c r="B38" s="522" t="s">
        <v>63</v>
      </c>
      <c r="C38" s="523">
        <f ca="1">C25+C37</f>
        <v>135229.78884359368</v>
      </c>
      <c r="D38" s="523">
        <f t="shared" ref="D38:AH38" ca="1" si="68">D25+D37</f>
        <v>137009.41526129091</v>
      </c>
      <c r="E38" s="523">
        <f t="shared" ca="1" si="68"/>
        <v>138831.67773338448</v>
      </c>
      <c r="F38" s="523">
        <f t="shared" ca="1" si="68"/>
        <v>136735.00627242512</v>
      </c>
      <c r="G38" s="523">
        <f t="shared" ca="1" si="68"/>
        <v>149472.39395078612</v>
      </c>
      <c r="H38" s="523">
        <f t="shared" ca="1" si="68"/>
        <v>151804.10992678275</v>
      </c>
      <c r="I38" s="523">
        <f t="shared" ca="1" si="68"/>
        <v>165877.08075612722</v>
      </c>
      <c r="J38" s="523">
        <f t="shared" ca="1" si="68"/>
        <v>168705.50635115834</v>
      </c>
      <c r="K38" s="523">
        <f t="shared" ca="1" si="68"/>
        <v>182974.14098818009</v>
      </c>
      <c r="L38" s="523">
        <f t="shared" ca="1" si="68"/>
        <v>188956.02628932527</v>
      </c>
      <c r="M38" s="523">
        <f t="shared" ca="1" si="68"/>
        <v>220693.54041230952</v>
      </c>
      <c r="N38" s="523">
        <f t="shared" ca="1" si="68"/>
        <v>166209.06387686273</v>
      </c>
      <c r="O38" s="523">
        <f t="shared" ca="1" si="68"/>
        <v>169192.26910668798</v>
      </c>
      <c r="P38" s="523">
        <f t="shared" ca="1" si="68"/>
        <v>175371.01057019533</v>
      </c>
      <c r="Q38" s="523">
        <f t="shared" ca="1" si="68"/>
        <v>178618.08262091517</v>
      </c>
      <c r="R38" s="523">
        <f t="shared" ca="1" si="68"/>
        <v>181946.09454891967</v>
      </c>
      <c r="S38" s="523">
        <f t="shared" ca="1" si="68"/>
        <v>185357.26398752377</v>
      </c>
      <c r="T38" s="523">
        <f t="shared" ca="1" si="68"/>
        <v>198124.48140953787</v>
      </c>
      <c r="U38" s="523">
        <f t="shared" ca="1" si="68"/>
        <v>201951.10099854073</v>
      </c>
      <c r="V38" s="523">
        <f t="shared" ca="1" si="68"/>
        <v>215481.24100670408</v>
      </c>
      <c r="W38" s="523">
        <f t="shared" ca="1" si="68"/>
        <v>219754.62187357162</v>
      </c>
      <c r="X38" s="523">
        <f t="shared" ca="1" si="68"/>
        <v>234823.113560089</v>
      </c>
      <c r="Y38" s="523">
        <f t="shared" ca="1" si="68"/>
        <v>240969.00465286223</v>
      </c>
      <c r="Z38" s="523">
        <f t="shared" ca="1" si="68"/>
        <v>203584.37989394984</v>
      </c>
      <c r="AA38" s="523">
        <f t="shared" ca="1" si="68"/>
        <v>207462.52188665178</v>
      </c>
      <c r="AB38" s="523">
        <f t="shared" ca="1" si="68"/>
        <v>174848.36494448845</v>
      </c>
      <c r="AC38" s="523">
        <f t="shared" ca="1" si="68"/>
        <v>178000.36801085103</v>
      </c>
      <c r="AD38" s="523">
        <f t="shared" ca="1" si="68"/>
        <v>142976.18752252616</v>
      </c>
      <c r="AE38" s="523">
        <f t="shared" ca="1" si="68"/>
        <v>145321.0032779717</v>
      </c>
      <c r="AF38" s="523">
        <f t="shared" ca="1" si="68"/>
        <v>147725.2690696471</v>
      </c>
      <c r="AG38" s="523">
        <f t="shared" ca="1" si="68"/>
        <v>150190.60892864573</v>
      </c>
      <c r="AH38" s="523">
        <f t="shared" ca="1" si="68"/>
        <v>152718.69251035998</v>
      </c>
      <c r="AI38" s="523">
        <f t="shared" ref="AI38:BC38" ca="1" si="69">AI25+AI37</f>
        <v>155311.23639530427</v>
      </c>
      <c r="AJ38" s="523">
        <f t="shared" ca="1" si="69"/>
        <v>151875.39476633992</v>
      </c>
      <c r="AK38" s="523">
        <f t="shared" ca="1" si="69"/>
        <v>154429.98244126077</v>
      </c>
      <c r="AL38" s="523">
        <f t="shared" ca="1" si="69"/>
        <v>157050.43661518098</v>
      </c>
      <c r="AM38" s="523">
        <f t="shared" ca="1" si="69"/>
        <v>159738.57518415889</v>
      </c>
      <c r="AN38" s="523">
        <f t="shared" ca="1" si="69"/>
        <v>162496.26754459128</v>
      </c>
      <c r="AO38" s="523">
        <f t="shared" ca="1" si="69"/>
        <v>111757.87776561966</v>
      </c>
      <c r="AP38" s="523">
        <f t="shared" ca="1" si="69"/>
        <v>100277.53024998933</v>
      </c>
      <c r="AQ38" s="523">
        <f t="shared" ca="1" si="69"/>
        <v>100605.0033252311</v>
      </c>
      <c r="AR38" s="523">
        <f t="shared" ca="1" si="69"/>
        <v>100939.0583705324</v>
      </c>
      <c r="AS38" s="523">
        <f t="shared" ca="1" si="69"/>
        <v>101279.82767869267</v>
      </c>
      <c r="AT38" s="523">
        <f t="shared" ca="1" si="69"/>
        <v>101627.44620150018</v>
      </c>
      <c r="AU38" s="523">
        <f t="shared" ca="1" si="69"/>
        <v>101982.05160317571</v>
      </c>
      <c r="AV38" s="523">
        <f t="shared" ca="1" si="69"/>
        <v>102343.78431489057</v>
      </c>
      <c r="AW38" s="523">
        <f t="shared" ca="1" si="69"/>
        <v>102712.78759038018</v>
      </c>
      <c r="AX38" s="523">
        <f t="shared" ca="1" si="69"/>
        <v>103089.20756267561</v>
      </c>
      <c r="AY38" s="523">
        <f t="shared" ca="1" si="69"/>
        <v>103473.19330197535</v>
      </c>
      <c r="AZ38" s="523">
        <f t="shared" ca="1" si="69"/>
        <v>103864.89687468014</v>
      </c>
      <c r="BA38" s="523">
        <f t="shared" ca="1" si="69"/>
        <v>104264.47340361455</v>
      </c>
      <c r="BB38" s="523">
        <f t="shared" ca="1" si="69"/>
        <v>104672.08112945879</v>
      </c>
      <c r="BC38" s="523">
        <f t="shared" ca="1" si="69"/>
        <v>105087.88147341541</v>
      </c>
    </row>
    <row r="39" spans="2:55">
      <c r="B39" s="154" t="s">
        <v>64</v>
      </c>
      <c r="C39" s="155">
        <f ca="1">C26-C37</f>
        <v>-6871.9942998277329</v>
      </c>
      <c r="D39" s="155">
        <f t="shared" ref="D39:AH39" ca="1" si="70">D26-D37</f>
        <v>-4899.7900657855935</v>
      </c>
      <c r="E39" s="155">
        <f t="shared" ca="1" si="70"/>
        <v>-2879.0747817567753</v>
      </c>
      <c r="F39" s="155">
        <f t="shared" ca="1" si="70"/>
        <v>1403.7241129368922</v>
      </c>
      <c r="G39" s="155">
        <f t="shared" ca="1" si="70"/>
        <v>-7583.1005718657179</v>
      </c>
      <c r="H39" s="155">
        <f t="shared" ca="1" si="70"/>
        <v>-5873.0061573817875</v>
      </c>
      <c r="I39" s="155">
        <f t="shared" ca="1" si="70"/>
        <v>-15804.597302251575</v>
      </c>
      <c r="J39" s="155">
        <f t="shared" ca="1" si="70"/>
        <v>-14305.787484447683</v>
      </c>
      <c r="K39" s="155">
        <f t="shared" ca="1" si="70"/>
        <v>-24250.722045722963</v>
      </c>
      <c r="L39" s="155">
        <f t="shared" ca="1" si="70"/>
        <v>-25902.864835303953</v>
      </c>
      <c r="M39" s="155">
        <f t="shared" ca="1" si="70"/>
        <v>-53210.747811665067</v>
      </c>
      <c r="N39" s="155">
        <f t="shared" ca="1" si="70"/>
        <v>5715.7427843554342</v>
      </c>
      <c r="O39" s="155">
        <f t="shared" ca="1" si="70"/>
        <v>7285.6883809640294</v>
      </c>
      <c r="P39" s="155">
        <f t="shared" ca="1" si="70"/>
        <v>4650.3938470837875</v>
      </c>
      <c r="Q39" s="155">
        <f t="shared" ca="1" si="70"/>
        <v>6145.958333517452</v>
      </c>
      <c r="R39" s="155">
        <f t="shared" ca="1" si="70"/>
        <v>7680.2672465579508</v>
      </c>
      <c r="S39" s="155">
        <f t="shared" ca="1" si="70"/>
        <v>9254.4266288450144</v>
      </c>
      <c r="T39" s="155">
        <f t="shared" ca="1" si="70"/>
        <v>2228.4279421319061</v>
      </c>
      <c r="U39" s="155">
        <f t="shared" ca="1" si="70"/>
        <v>3658.4630997499025</v>
      </c>
      <c r="V39" s="155">
        <f t="shared" ca="1" si="70"/>
        <v>-4481.3043595432264</v>
      </c>
      <c r="W39" s="155">
        <f t="shared" ca="1" si="70"/>
        <v>-3226.8765062552138</v>
      </c>
      <c r="X39" s="155">
        <f t="shared" ca="1" si="70"/>
        <v>-12626.298774403434</v>
      </c>
      <c r="Y39" s="155">
        <f t="shared" ca="1" si="70"/>
        <v>-11199.650099410619</v>
      </c>
      <c r="Z39" s="155">
        <f t="shared" ca="1" si="70"/>
        <v>29363.449223130825</v>
      </c>
      <c r="AA39" s="155">
        <f t="shared" ca="1" si="70"/>
        <v>31376.692390556651</v>
      </c>
      <c r="AB39" s="155">
        <f t="shared" ca="1" si="70"/>
        <v>70034.346502229106</v>
      </c>
      <c r="AC39" s="155">
        <f t="shared" ca="1" si="70"/>
        <v>73082.206308252527</v>
      </c>
      <c r="AD39" s="155">
        <f t="shared" ca="1" si="70"/>
        <v>115129.77609375142</v>
      </c>
      <c r="AE39" s="155">
        <f t="shared" ca="1" si="70"/>
        <v>119326.98805550952</v>
      </c>
      <c r="AF39" s="155">
        <f t="shared" ca="1" si="70"/>
        <v>123634.86363339066</v>
      </c>
      <c r="AG39" s="155">
        <f t="shared" ca="1" si="70"/>
        <v>128056.54318774998</v>
      </c>
      <c r="AH39" s="155">
        <f t="shared" ca="1" si="70"/>
        <v>132595.25791279878</v>
      </c>
      <c r="AI39" s="155">
        <f t="shared" ref="AI39:BC39" ca="1" si="71">AI26-AI37</f>
        <v>137254.33248165046</v>
      </c>
      <c r="AJ39" s="155">
        <f t="shared" ca="1" si="71"/>
        <v>129026.43585589202</v>
      </c>
      <c r="AK39" s="155">
        <f t="shared" ca="1" si="71"/>
        <v>133568.93502035207</v>
      </c>
      <c r="AL39" s="155">
        <f t="shared" ca="1" si="71"/>
        <v>138233.73480092495</v>
      </c>
      <c r="AM39" s="155">
        <f t="shared" ca="1" si="71"/>
        <v>143024.34799877039</v>
      </c>
      <c r="AN39" s="155">
        <f t="shared" ca="1" si="71"/>
        <v>147944.38996051095</v>
      </c>
      <c r="AO39" s="155">
        <f t="shared" ca="1" si="71"/>
        <v>83371.295923177619</v>
      </c>
      <c r="AP39" s="155">
        <f t="shared" ca="1" si="71"/>
        <v>44263.553130275512</v>
      </c>
      <c r="AQ39" s="155">
        <f t="shared" ca="1" si="71"/>
        <v>43936.080055033744</v>
      </c>
      <c r="AR39" s="155">
        <f t="shared" ca="1" si="71"/>
        <v>43602.025009732446</v>
      </c>
      <c r="AS39" s="155">
        <f t="shared" ca="1" si="71"/>
        <v>43261.255701572169</v>
      </c>
      <c r="AT39" s="155">
        <f t="shared" ca="1" si="71"/>
        <v>42913.637178764664</v>
      </c>
      <c r="AU39" s="155">
        <f t="shared" ca="1" si="71"/>
        <v>42559.031777089127</v>
      </c>
      <c r="AV39" s="155">
        <f t="shared" ca="1" si="71"/>
        <v>42197.299065374275</v>
      </c>
      <c r="AW39" s="155">
        <f t="shared" ca="1" si="71"/>
        <v>41828.295789884665</v>
      </c>
      <c r="AX39" s="155">
        <f t="shared" ca="1" si="71"/>
        <v>41451.875817589229</v>
      </c>
      <c r="AY39" s="155">
        <f t="shared" ca="1" si="71"/>
        <v>41067.890078289493</v>
      </c>
      <c r="AZ39" s="155">
        <f t="shared" ca="1" si="71"/>
        <v>40676.186505584701</v>
      </c>
      <c r="BA39" s="155">
        <f t="shared" ca="1" si="71"/>
        <v>40276.609976650288</v>
      </c>
      <c r="BB39" s="155">
        <f t="shared" ca="1" si="71"/>
        <v>39869.00225080605</v>
      </c>
      <c r="BC39" s="155">
        <f t="shared" ca="1" si="71"/>
        <v>39453.201906849426</v>
      </c>
    </row>
    <row r="40" spans="2:55">
      <c r="B40" s="111" t="s">
        <v>4982</v>
      </c>
      <c r="C40" t="str">
        <f t="shared" ref="C40:AH40" ca="1" si="72">IF(C39&lt;0, "Adjust Goals","You are fine")</f>
        <v>Adjust Goals</v>
      </c>
      <c r="D40" t="str">
        <f t="shared" ca="1" si="72"/>
        <v>Adjust Goals</v>
      </c>
      <c r="E40" t="str">
        <f t="shared" ca="1" si="72"/>
        <v>Adjust Goals</v>
      </c>
      <c r="F40" t="str">
        <f t="shared" ca="1" si="72"/>
        <v>You are fine</v>
      </c>
      <c r="G40" t="str">
        <f t="shared" ca="1" si="72"/>
        <v>Adjust Goals</v>
      </c>
      <c r="H40" t="str">
        <f t="shared" ca="1" si="72"/>
        <v>Adjust Goals</v>
      </c>
      <c r="I40" t="str">
        <f t="shared" ca="1" si="72"/>
        <v>Adjust Goals</v>
      </c>
      <c r="J40" t="str">
        <f t="shared" ca="1" si="72"/>
        <v>Adjust Goals</v>
      </c>
      <c r="K40" t="str">
        <f t="shared" ca="1" si="72"/>
        <v>Adjust Goals</v>
      </c>
      <c r="L40" t="str">
        <f t="shared" ca="1" si="72"/>
        <v>Adjust Goals</v>
      </c>
      <c r="M40" t="str">
        <f t="shared" ca="1" si="72"/>
        <v>Adjust Goals</v>
      </c>
      <c r="N40" t="str">
        <f t="shared" ca="1" si="72"/>
        <v>You are fine</v>
      </c>
      <c r="O40" t="str">
        <f t="shared" ca="1" si="72"/>
        <v>You are fine</v>
      </c>
      <c r="P40" t="str">
        <f t="shared" ca="1" si="72"/>
        <v>You are fine</v>
      </c>
      <c r="Q40" t="str">
        <f t="shared" ca="1" si="72"/>
        <v>You are fine</v>
      </c>
      <c r="R40" t="str">
        <f t="shared" ca="1" si="72"/>
        <v>You are fine</v>
      </c>
      <c r="S40" t="str">
        <f t="shared" ca="1" si="72"/>
        <v>You are fine</v>
      </c>
      <c r="T40" t="str">
        <f t="shared" ca="1" si="72"/>
        <v>You are fine</v>
      </c>
      <c r="U40" t="str">
        <f t="shared" ca="1" si="72"/>
        <v>You are fine</v>
      </c>
      <c r="V40" t="str">
        <f t="shared" ca="1" si="72"/>
        <v>Adjust Goals</v>
      </c>
      <c r="W40" t="str">
        <f t="shared" ca="1" si="72"/>
        <v>Adjust Goals</v>
      </c>
      <c r="X40" t="str">
        <f t="shared" ca="1" si="72"/>
        <v>Adjust Goals</v>
      </c>
      <c r="Y40" t="str">
        <f t="shared" ca="1" si="72"/>
        <v>Adjust Goals</v>
      </c>
      <c r="Z40" t="str">
        <f t="shared" ca="1" si="72"/>
        <v>You are fine</v>
      </c>
      <c r="AA40" t="str">
        <f t="shared" ca="1" si="72"/>
        <v>You are fine</v>
      </c>
      <c r="AB40" t="str">
        <f t="shared" ca="1" si="72"/>
        <v>You are fine</v>
      </c>
      <c r="AC40" t="str">
        <f t="shared" ca="1" si="72"/>
        <v>You are fine</v>
      </c>
      <c r="AD40" t="str">
        <f t="shared" ca="1" si="72"/>
        <v>You are fine</v>
      </c>
      <c r="AE40" t="str">
        <f t="shared" ca="1" si="72"/>
        <v>You are fine</v>
      </c>
      <c r="AF40" t="str">
        <f t="shared" ca="1" si="72"/>
        <v>You are fine</v>
      </c>
      <c r="AG40" t="str">
        <f t="shared" ca="1" si="72"/>
        <v>You are fine</v>
      </c>
      <c r="AH40" t="str">
        <f t="shared" ca="1" si="72"/>
        <v>You are fine</v>
      </c>
      <c r="AI40" t="str">
        <f t="shared" ref="AI40:BN40" ca="1" si="73">IF(AI39&lt;0, "Adjust Goals","You are fine")</f>
        <v>You are fine</v>
      </c>
      <c r="AJ40" t="str">
        <f t="shared" ca="1" si="73"/>
        <v>You are fine</v>
      </c>
      <c r="AK40" t="str">
        <f t="shared" ca="1" si="73"/>
        <v>You are fine</v>
      </c>
      <c r="AL40" t="str">
        <f t="shared" ca="1" si="73"/>
        <v>You are fine</v>
      </c>
      <c r="AM40" t="str">
        <f t="shared" ca="1" si="73"/>
        <v>You are fine</v>
      </c>
      <c r="AN40" t="str">
        <f t="shared" ca="1" si="73"/>
        <v>You are fine</v>
      </c>
      <c r="AO40" t="str">
        <f t="shared" ca="1" si="73"/>
        <v>You are fine</v>
      </c>
      <c r="AP40" t="str">
        <f t="shared" ca="1" si="73"/>
        <v>You are fine</v>
      </c>
      <c r="AQ40" t="str">
        <f t="shared" ca="1" si="73"/>
        <v>You are fine</v>
      </c>
      <c r="AR40" t="str">
        <f t="shared" ca="1" si="73"/>
        <v>You are fine</v>
      </c>
      <c r="AS40" t="str">
        <f t="shared" ca="1" si="73"/>
        <v>You are fine</v>
      </c>
      <c r="AT40" t="str">
        <f t="shared" ca="1" si="73"/>
        <v>You are fine</v>
      </c>
      <c r="AU40" t="str">
        <f t="shared" ca="1" si="73"/>
        <v>You are fine</v>
      </c>
      <c r="AV40" t="str">
        <f t="shared" ca="1" si="73"/>
        <v>You are fine</v>
      </c>
      <c r="AW40" t="str">
        <f t="shared" ca="1" si="73"/>
        <v>You are fine</v>
      </c>
      <c r="AX40" t="str">
        <f t="shared" ca="1" si="73"/>
        <v>You are fine</v>
      </c>
      <c r="AY40" t="str">
        <f t="shared" ca="1" si="73"/>
        <v>You are fine</v>
      </c>
      <c r="AZ40" t="str">
        <f t="shared" ca="1" si="73"/>
        <v>You are fine</v>
      </c>
      <c r="BA40" t="str">
        <f t="shared" ca="1" si="73"/>
        <v>You are fine</v>
      </c>
      <c r="BB40" t="str">
        <f t="shared" ca="1" si="73"/>
        <v>You are fine</v>
      </c>
      <c r="BC40" t="str">
        <f t="shared" ca="1" si="73"/>
        <v>You are fine</v>
      </c>
    </row>
    <row r="42" spans="2:55">
      <c r="B42" s="183" t="s">
        <v>4852</v>
      </c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</row>
    <row r="43" spans="2:55">
      <c r="B43" s="207" t="s">
        <v>4855</v>
      </c>
      <c r="C43" s="178">
        <f>IF(C36&gt;7056,7056,C36)</f>
        <v>0</v>
      </c>
      <c r="D43" s="178">
        <f>IF(D36&gt;7056,7056,D36)</f>
        <v>0</v>
      </c>
      <c r="E43" s="178">
        <f t="shared" ref="E43:BC43" si="74">IF(E36&gt;7056,7056,E36)</f>
        <v>0</v>
      </c>
      <c r="F43" s="178">
        <f t="shared" si="74"/>
        <v>0</v>
      </c>
      <c r="G43" s="178">
        <f t="shared" si="74"/>
        <v>0</v>
      </c>
      <c r="H43" s="178">
        <f t="shared" si="74"/>
        <v>0</v>
      </c>
      <c r="I43" s="178">
        <f t="shared" si="74"/>
        <v>0</v>
      </c>
      <c r="J43" s="178">
        <f t="shared" si="74"/>
        <v>0</v>
      </c>
      <c r="K43" s="178">
        <f t="shared" si="74"/>
        <v>0</v>
      </c>
      <c r="L43" s="178">
        <f t="shared" si="74"/>
        <v>0</v>
      </c>
      <c r="M43" s="178">
        <f t="shared" si="74"/>
        <v>0</v>
      </c>
      <c r="N43" s="178">
        <f t="shared" si="74"/>
        <v>0</v>
      </c>
      <c r="O43" s="178">
        <f t="shared" si="74"/>
        <v>0</v>
      </c>
      <c r="P43" s="178">
        <f t="shared" si="74"/>
        <v>0</v>
      </c>
      <c r="Q43" s="178">
        <f t="shared" si="74"/>
        <v>0</v>
      </c>
      <c r="R43" s="178">
        <f t="shared" si="74"/>
        <v>0</v>
      </c>
      <c r="S43" s="178">
        <f t="shared" si="74"/>
        <v>0</v>
      </c>
      <c r="T43" s="178">
        <f t="shared" si="74"/>
        <v>0</v>
      </c>
      <c r="U43" s="178">
        <f t="shared" si="74"/>
        <v>0</v>
      </c>
      <c r="V43" s="178">
        <f t="shared" si="74"/>
        <v>0</v>
      </c>
      <c r="W43" s="178">
        <f t="shared" si="74"/>
        <v>0</v>
      </c>
      <c r="X43" s="178">
        <f t="shared" si="74"/>
        <v>0</v>
      </c>
      <c r="Y43" s="178">
        <f t="shared" si="74"/>
        <v>0</v>
      </c>
      <c r="Z43" s="178">
        <f t="shared" si="74"/>
        <v>0</v>
      </c>
      <c r="AA43" s="178">
        <f t="shared" si="74"/>
        <v>0</v>
      </c>
      <c r="AB43" s="178">
        <f t="shared" si="74"/>
        <v>0</v>
      </c>
      <c r="AC43" s="178">
        <f t="shared" si="74"/>
        <v>0</v>
      </c>
      <c r="AD43" s="178">
        <f t="shared" si="74"/>
        <v>0</v>
      </c>
      <c r="AE43" s="178">
        <f t="shared" si="74"/>
        <v>0</v>
      </c>
      <c r="AF43" s="178">
        <f t="shared" si="74"/>
        <v>0</v>
      </c>
      <c r="AG43" s="178">
        <f t="shared" si="74"/>
        <v>0</v>
      </c>
      <c r="AH43" s="178">
        <f t="shared" si="74"/>
        <v>0</v>
      </c>
      <c r="AI43" s="178">
        <f t="shared" si="74"/>
        <v>0</v>
      </c>
      <c r="AJ43" s="178">
        <f t="shared" si="74"/>
        <v>0</v>
      </c>
      <c r="AK43" s="178">
        <f t="shared" si="74"/>
        <v>0</v>
      </c>
      <c r="AL43" s="178">
        <f t="shared" si="74"/>
        <v>0</v>
      </c>
      <c r="AM43" s="178">
        <f t="shared" si="74"/>
        <v>0</v>
      </c>
      <c r="AN43" s="178">
        <f t="shared" si="74"/>
        <v>0</v>
      </c>
      <c r="AO43" s="178">
        <f t="shared" si="74"/>
        <v>0</v>
      </c>
      <c r="AP43" s="178">
        <f t="shared" si="74"/>
        <v>0</v>
      </c>
      <c r="AQ43" s="178">
        <f t="shared" si="74"/>
        <v>0</v>
      </c>
      <c r="AR43" s="178">
        <f t="shared" si="74"/>
        <v>0</v>
      </c>
      <c r="AS43" s="178">
        <f t="shared" si="74"/>
        <v>0</v>
      </c>
      <c r="AT43" s="178">
        <f t="shared" si="74"/>
        <v>0</v>
      </c>
      <c r="AU43" s="178">
        <f t="shared" si="74"/>
        <v>0</v>
      </c>
      <c r="AV43" s="178">
        <f t="shared" si="74"/>
        <v>0</v>
      </c>
      <c r="AW43" s="178">
        <f t="shared" si="74"/>
        <v>0</v>
      </c>
      <c r="AX43" s="178">
        <f t="shared" si="74"/>
        <v>0</v>
      </c>
      <c r="AY43" s="178">
        <f t="shared" si="74"/>
        <v>0</v>
      </c>
      <c r="AZ43" s="178">
        <f t="shared" si="74"/>
        <v>0</v>
      </c>
      <c r="BA43" s="178">
        <f t="shared" si="74"/>
        <v>0</v>
      </c>
      <c r="BB43" s="178">
        <f t="shared" si="74"/>
        <v>0</v>
      </c>
      <c r="BC43" s="178">
        <f t="shared" si="74"/>
        <v>0</v>
      </c>
    </row>
    <row r="44" spans="2:55">
      <c r="B44" s="208" t="s">
        <v>4856</v>
      </c>
      <c r="C44" s="201">
        <f>SUM(C31:C35)+IF(C36&gt;7056,C36-7056)</f>
        <v>72077.170011861075</v>
      </c>
      <c r="D44" s="201">
        <f t="shared" ref="D44:BC44" si="75">SUM(D31:D35)+IF(D36&gt;7056,D36-7056)</f>
        <v>72077.170011861075</v>
      </c>
      <c r="E44" s="201">
        <f t="shared" si="75"/>
        <v>72077.170011861075</v>
      </c>
      <c r="F44" s="201">
        <f t="shared" si="75"/>
        <v>68873.692829588355</v>
      </c>
      <c r="G44" s="201">
        <f t="shared" si="75"/>
        <v>65305.696466775298</v>
      </c>
      <c r="H44" s="201">
        <f t="shared" si="75"/>
        <v>65305.696466775298</v>
      </c>
      <c r="I44" s="201">
        <f t="shared" si="75"/>
        <v>65305.696466775298</v>
      </c>
      <c r="J44" s="201">
        <f t="shared" si="75"/>
        <v>65305.696466775298</v>
      </c>
      <c r="K44" s="201">
        <f t="shared" si="75"/>
        <v>65305.696466775298</v>
      </c>
      <c r="L44" s="201">
        <f t="shared" si="75"/>
        <v>65305.696466775298</v>
      </c>
      <c r="M44" s="201">
        <f t="shared" si="75"/>
        <v>65305.696466775298</v>
      </c>
      <c r="N44" s="201">
        <f t="shared" si="75"/>
        <v>3506.275121773082</v>
      </c>
      <c r="O44" s="201">
        <f t="shared" si="75"/>
        <v>3506.275121773082</v>
      </c>
      <c r="P44" s="201">
        <f t="shared" si="75"/>
        <v>2007.4042159234834</v>
      </c>
      <c r="Q44" s="201">
        <f t="shared" si="75"/>
        <v>2007.4042159234834</v>
      </c>
      <c r="R44" s="201">
        <f t="shared" si="75"/>
        <v>2007.4042159234834</v>
      </c>
      <c r="S44" s="201">
        <f t="shared" si="75"/>
        <v>2007.4042159234834</v>
      </c>
      <c r="T44" s="201">
        <f t="shared" si="75"/>
        <v>2007.4042159234834</v>
      </c>
      <c r="U44" s="201">
        <f t="shared" si="75"/>
        <v>2007.4042159234834</v>
      </c>
      <c r="V44" s="201">
        <f t="shared" si="75"/>
        <v>2007.4042159234834</v>
      </c>
      <c r="W44" s="201">
        <f t="shared" si="75"/>
        <v>2007.4042159234834</v>
      </c>
      <c r="X44" s="201">
        <f t="shared" si="75"/>
        <v>2007.4042159234834</v>
      </c>
      <c r="Y44" s="201">
        <f t="shared" si="75"/>
        <v>2007.4042159234834</v>
      </c>
      <c r="Z44" s="201">
        <f t="shared" si="75"/>
        <v>0</v>
      </c>
      <c r="AA44" s="201">
        <f t="shared" si="75"/>
        <v>0</v>
      </c>
      <c r="AB44" s="201">
        <f t="shared" si="75"/>
        <v>0</v>
      </c>
      <c r="AC44" s="201">
        <f t="shared" si="75"/>
        <v>0</v>
      </c>
      <c r="AD44" s="201">
        <f t="shared" si="75"/>
        <v>0</v>
      </c>
      <c r="AE44" s="201">
        <f t="shared" si="75"/>
        <v>0</v>
      </c>
      <c r="AF44" s="201">
        <f t="shared" si="75"/>
        <v>0</v>
      </c>
      <c r="AG44" s="201">
        <f t="shared" si="75"/>
        <v>0</v>
      </c>
      <c r="AH44" s="201">
        <f t="shared" si="75"/>
        <v>0</v>
      </c>
      <c r="AI44" s="201">
        <f t="shared" si="75"/>
        <v>0</v>
      </c>
      <c r="AJ44" s="201">
        <f t="shared" si="75"/>
        <v>0</v>
      </c>
      <c r="AK44" s="201">
        <f t="shared" si="75"/>
        <v>0</v>
      </c>
      <c r="AL44" s="201">
        <f t="shared" si="75"/>
        <v>0</v>
      </c>
      <c r="AM44" s="201">
        <f t="shared" si="75"/>
        <v>0</v>
      </c>
      <c r="AN44" s="201">
        <f t="shared" si="75"/>
        <v>0</v>
      </c>
      <c r="AO44" s="201">
        <f t="shared" si="75"/>
        <v>0</v>
      </c>
      <c r="AP44" s="201">
        <f t="shared" si="75"/>
        <v>0</v>
      </c>
      <c r="AQ44" s="201">
        <f t="shared" si="75"/>
        <v>0</v>
      </c>
      <c r="AR44" s="201">
        <f t="shared" si="75"/>
        <v>0</v>
      </c>
      <c r="AS44" s="201">
        <f t="shared" si="75"/>
        <v>0</v>
      </c>
      <c r="AT44" s="201">
        <f t="shared" si="75"/>
        <v>0</v>
      </c>
      <c r="AU44" s="201">
        <f t="shared" si="75"/>
        <v>0</v>
      </c>
      <c r="AV44" s="201">
        <f t="shared" si="75"/>
        <v>0</v>
      </c>
      <c r="AW44" s="201">
        <f t="shared" si="75"/>
        <v>0</v>
      </c>
      <c r="AX44" s="201">
        <f t="shared" si="75"/>
        <v>0</v>
      </c>
      <c r="AY44" s="201">
        <f t="shared" si="75"/>
        <v>0</v>
      </c>
      <c r="AZ44" s="201">
        <f t="shared" si="75"/>
        <v>0</v>
      </c>
      <c r="BA44" s="201">
        <f t="shared" si="75"/>
        <v>0</v>
      </c>
      <c r="BB44" s="201">
        <f t="shared" si="75"/>
        <v>0</v>
      </c>
      <c r="BC44" s="201">
        <f t="shared" si="75"/>
        <v>0</v>
      </c>
    </row>
    <row r="45" spans="2:55">
      <c r="B45" s="209" t="s">
        <v>4854</v>
      </c>
      <c r="C45" s="178">
        <f>C43</f>
        <v>0</v>
      </c>
      <c r="D45" s="178">
        <f t="shared" ref="D45:AI45" si="76">C$45+D$43</f>
        <v>0</v>
      </c>
      <c r="E45" s="178">
        <f t="shared" si="76"/>
        <v>0</v>
      </c>
      <c r="F45" s="178">
        <f t="shared" si="76"/>
        <v>0</v>
      </c>
      <c r="G45" s="178">
        <f t="shared" si="76"/>
        <v>0</v>
      </c>
      <c r="H45" s="178">
        <f t="shared" si="76"/>
        <v>0</v>
      </c>
      <c r="I45" s="178">
        <f t="shared" si="76"/>
        <v>0</v>
      </c>
      <c r="J45" s="178">
        <f t="shared" si="76"/>
        <v>0</v>
      </c>
      <c r="K45" s="178">
        <f t="shared" si="76"/>
        <v>0</v>
      </c>
      <c r="L45" s="178">
        <f t="shared" si="76"/>
        <v>0</v>
      </c>
      <c r="M45" s="178">
        <f t="shared" si="76"/>
        <v>0</v>
      </c>
      <c r="N45" s="178">
        <f t="shared" si="76"/>
        <v>0</v>
      </c>
      <c r="O45" s="178">
        <f t="shared" si="76"/>
        <v>0</v>
      </c>
      <c r="P45" s="178">
        <f t="shared" si="76"/>
        <v>0</v>
      </c>
      <c r="Q45" s="178">
        <f t="shared" si="76"/>
        <v>0</v>
      </c>
      <c r="R45" s="178">
        <f t="shared" si="76"/>
        <v>0</v>
      </c>
      <c r="S45" s="178">
        <f t="shared" si="76"/>
        <v>0</v>
      </c>
      <c r="T45" s="178">
        <f t="shared" si="76"/>
        <v>0</v>
      </c>
      <c r="U45" s="178">
        <f t="shared" si="76"/>
        <v>0</v>
      </c>
      <c r="V45" s="178">
        <f t="shared" si="76"/>
        <v>0</v>
      </c>
      <c r="W45" s="178">
        <f t="shared" si="76"/>
        <v>0</v>
      </c>
      <c r="X45" s="178">
        <f t="shared" si="76"/>
        <v>0</v>
      </c>
      <c r="Y45" s="178">
        <f t="shared" si="76"/>
        <v>0</v>
      </c>
      <c r="Z45" s="178">
        <f t="shared" si="76"/>
        <v>0</v>
      </c>
      <c r="AA45" s="178">
        <f t="shared" si="76"/>
        <v>0</v>
      </c>
      <c r="AB45" s="178">
        <f t="shared" si="76"/>
        <v>0</v>
      </c>
      <c r="AC45" s="178">
        <f t="shared" si="76"/>
        <v>0</v>
      </c>
      <c r="AD45" s="178">
        <f t="shared" si="76"/>
        <v>0</v>
      </c>
      <c r="AE45" s="178">
        <f t="shared" si="76"/>
        <v>0</v>
      </c>
      <c r="AF45" s="178">
        <f t="shared" si="76"/>
        <v>0</v>
      </c>
      <c r="AG45" s="178">
        <f t="shared" si="76"/>
        <v>0</v>
      </c>
      <c r="AH45" s="178">
        <f t="shared" si="76"/>
        <v>0</v>
      </c>
      <c r="AI45" s="178">
        <f t="shared" si="76"/>
        <v>0</v>
      </c>
      <c r="AJ45" s="178">
        <f t="shared" ref="AJ45:BC45" si="77">AI$45+AJ$43</f>
        <v>0</v>
      </c>
      <c r="AK45" s="178">
        <f t="shared" si="77"/>
        <v>0</v>
      </c>
      <c r="AL45" s="178">
        <f t="shared" si="77"/>
        <v>0</v>
      </c>
      <c r="AM45" s="178">
        <f t="shared" si="77"/>
        <v>0</v>
      </c>
      <c r="AN45" s="178">
        <f t="shared" si="77"/>
        <v>0</v>
      </c>
      <c r="AO45" s="178">
        <f t="shared" si="77"/>
        <v>0</v>
      </c>
      <c r="AP45" s="178">
        <f t="shared" si="77"/>
        <v>0</v>
      </c>
      <c r="AQ45" s="178">
        <f t="shared" si="77"/>
        <v>0</v>
      </c>
      <c r="AR45" s="178">
        <f t="shared" si="77"/>
        <v>0</v>
      </c>
      <c r="AS45" s="178">
        <f t="shared" si="77"/>
        <v>0</v>
      </c>
      <c r="AT45" s="178">
        <f t="shared" si="77"/>
        <v>0</v>
      </c>
      <c r="AU45" s="178">
        <f t="shared" si="77"/>
        <v>0</v>
      </c>
      <c r="AV45" s="178">
        <f t="shared" si="77"/>
        <v>0</v>
      </c>
      <c r="AW45" s="178">
        <f t="shared" si="77"/>
        <v>0</v>
      </c>
      <c r="AX45" s="178">
        <f t="shared" si="77"/>
        <v>0</v>
      </c>
      <c r="AY45" s="178">
        <f t="shared" si="77"/>
        <v>0</v>
      </c>
      <c r="AZ45" s="178">
        <f t="shared" si="77"/>
        <v>0</v>
      </c>
      <c r="BA45" s="178">
        <f t="shared" si="77"/>
        <v>0</v>
      </c>
      <c r="BB45" s="178">
        <f t="shared" si="77"/>
        <v>0</v>
      </c>
      <c r="BC45" s="178">
        <f t="shared" si="77"/>
        <v>0</v>
      </c>
    </row>
    <row r="46" spans="2:55">
      <c r="B46" s="209" t="s">
        <v>4858</v>
      </c>
      <c r="C46" s="178">
        <f>C44</f>
        <v>72077.170011861075</v>
      </c>
      <c r="D46" s="178">
        <f t="shared" ref="D46:AI46" si="78">C$46+D$44</f>
        <v>144154.34002372215</v>
      </c>
      <c r="E46" s="178">
        <f t="shared" si="78"/>
        <v>216231.51003558323</v>
      </c>
      <c r="F46" s="178">
        <f t="shared" si="78"/>
        <v>285105.2028651716</v>
      </c>
      <c r="G46" s="178">
        <f t="shared" si="78"/>
        <v>350410.89933194692</v>
      </c>
      <c r="H46" s="178">
        <f t="shared" si="78"/>
        <v>415716.59579872224</v>
      </c>
      <c r="I46" s="178">
        <f t="shared" si="78"/>
        <v>481022.29226549756</v>
      </c>
      <c r="J46" s="178">
        <f t="shared" si="78"/>
        <v>546327.98873227288</v>
      </c>
      <c r="K46" s="178">
        <f t="shared" si="78"/>
        <v>611633.68519904814</v>
      </c>
      <c r="L46" s="178">
        <f t="shared" si="78"/>
        <v>676939.3816658234</v>
      </c>
      <c r="M46" s="178">
        <f t="shared" si="78"/>
        <v>742245.07813259866</v>
      </c>
      <c r="N46" s="178">
        <f t="shared" si="78"/>
        <v>745751.35325437179</v>
      </c>
      <c r="O46" s="178">
        <f t="shared" si="78"/>
        <v>749257.62837614492</v>
      </c>
      <c r="P46" s="178">
        <f t="shared" si="78"/>
        <v>751265.03259206843</v>
      </c>
      <c r="Q46" s="178">
        <f t="shared" si="78"/>
        <v>753272.43680799194</v>
      </c>
      <c r="R46" s="178">
        <f t="shared" si="78"/>
        <v>755279.84102391545</v>
      </c>
      <c r="S46" s="178">
        <f t="shared" si="78"/>
        <v>757287.24523983896</v>
      </c>
      <c r="T46" s="178">
        <f t="shared" si="78"/>
        <v>759294.64945576247</v>
      </c>
      <c r="U46" s="178">
        <f t="shared" si="78"/>
        <v>761302.05367168598</v>
      </c>
      <c r="V46" s="178">
        <f t="shared" si="78"/>
        <v>763309.45788760949</v>
      </c>
      <c r="W46" s="178">
        <f t="shared" si="78"/>
        <v>765316.862103533</v>
      </c>
      <c r="X46" s="178">
        <f t="shared" si="78"/>
        <v>767324.26631945651</v>
      </c>
      <c r="Y46" s="178">
        <f t="shared" si="78"/>
        <v>769331.67053538002</v>
      </c>
      <c r="Z46" s="178">
        <f t="shared" si="78"/>
        <v>769331.67053538002</v>
      </c>
      <c r="AA46" s="178">
        <f t="shared" si="78"/>
        <v>769331.67053538002</v>
      </c>
      <c r="AB46" s="178">
        <f t="shared" si="78"/>
        <v>769331.67053538002</v>
      </c>
      <c r="AC46" s="178">
        <f t="shared" si="78"/>
        <v>769331.67053538002</v>
      </c>
      <c r="AD46" s="178">
        <f t="shared" si="78"/>
        <v>769331.67053538002</v>
      </c>
      <c r="AE46" s="178">
        <f t="shared" si="78"/>
        <v>769331.67053538002</v>
      </c>
      <c r="AF46" s="178">
        <f t="shared" si="78"/>
        <v>769331.67053538002</v>
      </c>
      <c r="AG46" s="178">
        <f t="shared" si="78"/>
        <v>769331.67053538002</v>
      </c>
      <c r="AH46" s="178">
        <f t="shared" si="78"/>
        <v>769331.67053538002</v>
      </c>
      <c r="AI46" s="178">
        <f t="shared" si="78"/>
        <v>769331.67053538002</v>
      </c>
      <c r="AJ46" s="178">
        <f t="shared" ref="AJ46:BC46" si="79">AI$46+AJ$44</f>
        <v>769331.67053538002</v>
      </c>
      <c r="AK46" s="178">
        <f t="shared" si="79"/>
        <v>769331.67053538002</v>
      </c>
      <c r="AL46" s="178">
        <f t="shared" si="79"/>
        <v>769331.67053538002</v>
      </c>
      <c r="AM46" s="178">
        <f t="shared" si="79"/>
        <v>769331.67053538002</v>
      </c>
      <c r="AN46" s="178">
        <f t="shared" si="79"/>
        <v>769331.67053538002</v>
      </c>
      <c r="AO46" s="178">
        <f t="shared" si="79"/>
        <v>769331.67053538002</v>
      </c>
      <c r="AP46" s="178">
        <f t="shared" si="79"/>
        <v>769331.67053538002</v>
      </c>
      <c r="AQ46" s="178">
        <f t="shared" si="79"/>
        <v>769331.67053538002</v>
      </c>
      <c r="AR46" s="178">
        <f t="shared" si="79"/>
        <v>769331.67053538002</v>
      </c>
      <c r="AS46" s="178">
        <f t="shared" si="79"/>
        <v>769331.67053538002</v>
      </c>
      <c r="AT46" s="178">
        <f t="shared" si="79"/>
        <v>769331.67053538002</v>
      </c>
      <c r="AU46" s="178">
        <f t="shared" si="79"/>
        <v>769331.67053538002</v>
      </c>
      <c r="AV46" s="178">
        <f t="shared" si="79"/>
        <v>769331.67053538002</v>
      </c>
      <c r="AW46" s="178">
        <f t="shared" si="79"/>
        <v>769331.67053538002</v>
      </c>
      <c r="AX46" s="178">
        <f t="shared" si="79"/>
        <v>769331.67053538002</v>
      </c>
      <c r="AY46" s="178">
        <f t="shared" si="79"/>
        <v>769331.67053538002</v>
      </c>
      <c r="AZ46" s="178">
        <f t="shared" si="79"/>
        <v>769331.67053538002</v>
      </c>
      <c r="BA46" s="178">
        <f t="shared" si="79"/>
        <v>769331.67053538002</v>
      </c>
      <c r="BB46" s="178">
        <f t="shared" si="79"/>
        <v>769331.67053538002</v>
      </c>
      <c r="BC46" s="178">
        <f t="shared" si="79"/>
        <v>769331.67053538002</v>
      </c>
    </row>
    <row r="47" spans="2:55">
      <c r="B47" s="209" t="s">
        <v>4853</v>
      </c>
      <c r="C47" s="178">
        <f ca="1">C48-C44-C43</f>
        <v>93128.005700172274</v>
      </c>
      <c r="D47" s="178">
        <f t="shared" ref="D47:K47" ca="1" si="80">D48-D44-D43</f>
        <v>160305.38564624777</v>
      </c>
      <c r="E47" s="178">
        <f t="shared" ca="1" si="80"/>
        <v>219503.48087635206</v>
      </c>
      <c r="F47" s="178">
        <f t="shared" ca="1" si="80"/>
        <v>277984.37500115001</v>
      </c>
      <c r="G47" s="178">
        <f t="shared" ca="1" si="80"/>
        <v>339274.96725887264</v>
      </c>
      <c r="H47" s="178">
        <f t="shared" ca="1" si="80"/>
        <v>398707.65756826615</v>
      </c>
      <c r="I47" s="178">
        <f t="shared" ca="1" si="80"/>
        <v>448208.75673278986</v>
      </c>
      <c r="J47" s="178">
        <f t="shared" ca="1" si="80"/>
        <v>499208.66571511753</v>
      </c>
      <c r="K47" s="178">
        <f t="shared" ca="1" si="80"/>
        <v>540263.64013616985</v>
      </c>
      <c r="L47" s="178">
        <f t="shared" ref="L47" ca="1" si="81">L48-L44-L43</f>
        <v>579666.47176764125</v>
      </c>
      <c r="M47" s="178">
        <f t="shared" ref="M47" ca="1" si="82">M48-M44-M43</f>
        <v>-796096.85708172293</v>
      </c>
      <c r="N47" s="178">
        <f t="shared" ref="N47" ca="1" si="83">N48-N44-N43</f>
        <v>-725075.41783059225</v>
      </c>
      <c r="O47" s="178">
        <f t="shared" ref="O47" ca="1" si="84">O48-O44-O43</f>
        <v>-744283.45432785514</v>
      </c>
      <c r="P47" s="178">
        <f t="shared" ref="P47" ca="1" si="85">P48-P44-P43</f>
        <v>-736126.78535899823</v>
      </c>
      <c r="Q47" s="178">
        <f t="shared" ref="Q47" ca="1" si="86">Q48-Q44-Q43</f>
        <v>-727973.42280955729</v>
      </c>
      <c r="R47" s="178">
        <f t="shared" ref="R47:S47" ca="1" si="87">R48-R44-R43</f>
        <v>-718285.75134707591</v>
      </c>
      <c r="S47" s="178">
        <f t="shared" ca="1" si="87"/>
        <v>-707023.92050230736</v>
      </c>
      <c r="T47" s="178">
        <f t="shared" ref="T47" ca="1" si="88">T48-T44-T43</f>
        <v>-702788.08834425197</v>
      </c>
      <c r="U47" s="178">
        <f t="shared" ref="U47" ca="1" si="89">U48-U44-U43</f>
        <v>-697122.22102857858</v>
      </c>
      <c r="V47" s="178">
        <f t="shared" ref="V47" ca="1" si="90">V48-V44-V43</f>
        <v>-699596.12117219833</v>
      </c>
      <c r="W47" s="178">
        <f t="shared" ref="W47" ca="1" si="91">W48-W44-W43</f>
        <v>-700815.59346253006</v>
      </c>
      <c r="X47" s="178">
        <f t="shared" ref="X47" ca="1" si="92">X48-X44-X43</f>
        <v>-711434.48802101007</v>
      </c>
      <c r="Y47" s="178">
        <f t="shared" ref="Y47" ca="1" si="93">Y48-Y44-Y43</f>
        <v>-820626.73390449723</v>
      </c>
      <c r="Z47" s="178">
        <f t="shared" ref="Z47:AA47" ca="1" si="94">Z48-Z44-Z43</f>
        <v>-789255.8804654429</v>
      </c>
      <c r="AA47" s="178">
        <f t="shared" ca="1" si="94"/>
        <v>-757879.18807488622</v>
      </c>
      <c r="AB47" s="178">
        <f t="shared" ref="AB47" ca="1" si="95">AB48-AB44-AB43</f>
        <v>-687844.84157265711</v>
      </c>
      <c r="AC47" s="178">
        <f t="shared" ref="AC47" ca="1" si="96">AC48-AC44-AC43</f>
        <v>-614762.63526440458</v>
      </c>
      <c r="AD47" s="178">
        <f t="shared" ref="AD47" ca="1" si="97">AD48-AD44-AD43</f>
        <v>-499632.85917065316</v>
      </c>
      <c r="AE47" s="178">
        <f t="shared" ref="AE47" ca="1" si="98">AE48-AE44-AE43</f>
        <v>-380305.87111514364</v>
      </c>
      <c r="AF47" s="178">
        <f t="shared" ref="AF47" ca="1" si="99">AF48-AF44-AF43</f>
        <v>-256671.00748175301</v>
      </c>
      <c r="AG47" s="178">
        <f t="shared" ref="AG47" ca="1" si="100">AG48-AG44-AG43</f>
        <v>-128614.46429400303</v>
      </c>
      <c r="AH47" s="178">
        <f t="shared" ref="AH47:AI47" ca="1" si="101">AH48-AH44-AH43</f>
        <v>3980.793618795753</v>
      </c>
      <c r="AI47" s="178">
        <f t="shared" ca="1" si="101"/>
        <v>141235.12610044621</v>
      </c>
      <c r="AJ47" s="178">
        <f t="shared" ref="AJ47" ca="1" si="102">AJ48-AJ44-AJ43</f>
        <v>270261.56195633824</v>
      </c>
      <c r="AK47" s="178">
        <f t="shared" ref="AK47" ca="1" si="103">AK48-AK44-AK43</f>
        <v>403830.49697669031</v>
      </c>
      <c r="AL47" s="178">
        <f t="shared" ref="AL47" ca="1" si="104">AL48-AL44-AL43</f>
        <v>542064.23177761526</v>
      </c>
      <c r="AM47" s="178">
        <f t="shared" ref="AM47" ca="1" si="105">AM48-AM44-AM43</f>
        <v>685088.57977638568</v>
      </c>
      <c r="AN47" s="178">
        <f t="shared" ref="AN47" ca="1" si="106">AN48-AN44-AN43</f>
        <v>833032.96973689669</v>
      </c>
      <c r="AO47" s="178">
        <f t="shared" ref="AO47" ca="1" si="107">AO48-AO44-AO43</f>
        <v>916404.26566007431</v>
      </c>
      <c r="AP47" s="178">
        <f t="shared" ref="AP47:AQ47" ca="1" si="108">AP48-AP44-AP43</f>
        <v>960667.81879034988</v>
      </c>
      <c r="AQ47" s="178">
        <f t="shared" ca="1" si="108"/>
        <v>1004603.8988453837</v>
      </c>
      <c r="AR47" s="178">
        <f t="shared" ref="AR47" ca="1" si="109">AR48-AR44-AR43</f>
        <v>1048205.9238551161</v>
      </c>
      <c r="AS47" s="178">
        <f t="shared" ref="AS47" ca="1" si="110">AS48-AS44-AS43</f>
        <v>1091467.1795566883</v>
      </c>
      <c r="AT47" s="178">
        <f t="shared" ref="AT47" ca="1" si="111">AT48-AT44-AT43</f>
        <v>1134380.816735453</v>
      </c>
      <c r="AU47" s="178">
        <f t="shared" ref="AU47" ca="1" si="112">AU48-AU44-AU43</f>
        <v>1176939.8485125422</v>
      </c>
      <c r="AV47" s="178">
        <f t="shared" ref="AV47" ca="1" si="113">AV48-AV44-AV43</f>
        <v>1219137.1475779165</v>
      </c>
      <c r="AW47" s="178">
        <f t="shared" ref="AW47" ca="1" si="114">AW48-AW44-AW43</f>
        <v>1260965.4433678011</v>
      </c>
      <c r="AX47" s="178">
        <f t="shared" ref="AX47:AY47" ca="1" si="115">AX48-AX44-AX43</f>
        <v>1302417.3191853904</v>
      </c>
      <c r="AY47" s="178">
        <f t="shared" ca="1" si="115"/>
        <v>1343485.2092636798</v>
      </c>
      <c r="AZ47" s="178">
        <f t="shared" ref="AZ47" ca="1" si="116">AZ48-AZ44-AZ43</f>
        <v>1384161.3957692645</v>
      </c>
      <c r="BA47" s="178">
        <f t="shared" ref="BA47" ca="1" si="117">BA48-BA44-BA43</f>
        <v>1424438.0057459148</v>
      </c>
      <c r="BB47" s="178">
        <f t="shared" ref="BB47" ca="1" si="118">BB48-BB44-BB43</f>
        <v>1464307.0079967207</v>
      </c>
      <c r="BC47" s="178">
        <f t="shared" ref="BC47" ca="1" si="119">BC48-BC44-BC43</f>
        <v>1503760.2099035701</v>
      </c>
    </row>
    <row r="48" spans="2:55">
      <c r="B48" s="199" t="s">
        <v>4957</v>
      </c>
      <c r="C48" s="200">
        <f ca="1">'General overview'!$C$15+C29</f>
        <v>165205.17571203335</v>
      </c>
      <c r="D48" s="200">
        <f ca="1">'General overview'!$C$15+D29</f>
        <v>232382.55565810885</v>
      </c>
      <c r="E48" s="200">
        <f ca="1">'General overview'!$C$15+E29</f>
        <v>291580.65088821313</v>
      </c>
      <c r="F48" s="200">
        <f ca="1">'General overview'!$C$15+F29</f>
        <v>346858.06783073838</v>
      </c>
      <c r="G48" s="200">
        <f ca="1">'General overview'!$C$15+G29</f>
        <v>404580.66372564796</v>
      </c>
      <c r="H48" s="200">
        <f ca="1">'General overview'!$C$15+H29</f>
        <v>464013.35403504147</v>
      </c>
      <c r="I48" s="200">
        <f ca="1">'General overview'!$C$15+I29</f>
        <v>513514.45319956518</v>
      </c>
      <c r="J48" s="200">
        <f ca="1">'General overview'!$C$15+J29</f>
        <v>564514.36218189285</v>
      </c>
      <c r="K48" s="200">
        <f ca="1">'General overview'!$C$15+K29</f>
        <v>605569.33660294511</v>
      </c>
      <c r="L48" s="200">
        <f ca="1">'General overview'!$C$15+L29</f>
        <v>644972.16823441652</v>
      </c>
      <c r="M48" s="200">
        <f ca="1">'General overview'!$C$15+M29</f>
        <v>-730791.16061494767</v>
      </c>
      <c r="N48" s="200">
        <f ca="1">'General overview'!$C$15+N29</f>
        <v>-721569.14270881913</v>
      </c>
      <c r="O48" s="200">
        <f ca="1">'General overview'!$C$15+O29</f>
        <v>-740777.17920608202</v>
      </c>
      <c r="P48" s="200">
        <f ca="1">'General overview'!$C$15+P29</f>
        <v>-734119.38114307472</v>
      </c>
      <c r="Q48" s="200">
        <f ca="1">'General overview'!$C$15+Q29</f>
        <v>-725966.01859363378</v>
      </c>
      <c r="R48" s="200">
        <f ca="1">'General overview'!$C$15+R29</f>
        <v>-716278.3471311524</v>
      </c>
      <c r="S48" s="200">
        <f ca="1">'General overview'!$C$15+S29</f>
        <v>-705016.51628638385</v>
      </c>
      <c r="T48" s="200">
        <f ca="1">'General overview'!$C$15+T29</f>
        <v>-700780.68412832846</v>
      </c>
      <c r="U48" s="200">
        <f ca="1">'General overview'!$C$15+U29</f>
        <v>-695114.81681265507</v>
      </c>
      <c r="V48" s="200">
        <f ca="1">'General overview'!$C$15+V29</f>
        <v>-697588.71695627482</v>
      </c>
      <c r="W48" s="200">
        <f ca="1">'General overview'!$C$15+W29</f>
        <v>-698808.18924660655</v>
      </c>
      <c r="X48" s="200">
        <f ca="1">'General overview'!$C$15+X29</f>
        <v>-709427.08380508656</v>
      </c>
      <c r="Y48" s="200">
        <f ca="1">'General overview'!$C$15+Y29</f>
        <v>-818619.32968857372</v>
      </c>
      <c r="Z48" s="200">
        <f ca="1">'General overview'!$C$15+Z29</f>
        <v>-789255.8804654429</v>
      </c>
      <c r="AA48" s="200">
        <f ca="1">'General overview'!$C$15+AA29</f>
        <v>-757879.18807488622</v>
      </c>
      <c r="AB48" s="200">
        <f ca="1">'General overview'!$C$15+AB29</f>
        <v>-687844.84157265711</v>
      </c>
      <c r="AC48" s="200">
        <f ca="1">'General overview'!$C$15+AC29</f>
        <v>-614762.63526440458</v>
      </c>
      <c r="AD48" s="200">
        <f ca="1">'General overview'!$C$15+AD29</f>
        <v>-499632.85917065316</v>
      </c>
      <c r="AE48" s="200">
        <f ca="1">'General overview'!$C$15+AE29</f>
        <v>-380305.87111514364</v>
      </c>
      <c r="AF48" s="200">
        <f ca="1">'General overview'!$C$15+AF29</f>
        <v>-256671.00748175301</v>
      </c>
      <c r="AG48" s="200">
        <f ca="1">'General overview'!$C$15+AG29</f>
        <v>-128614.46429400303</v>
      </c>
      <c r="AH48" s="200">
        <f ca="1">'General overview'!$C$15+AH29</f>
        <v>3980.793618795753</v>
      </c>
      <c r="AI48" s="200">
        <f ca="1">'General overview'!$C$15+AI29</f>
        <v>141235.12610044621</v>
      </c>
      <c r="AJ48" s="200">
        <f ca="1">'General overview'!$C$15+AJ29</f>
        <v>270261.56195633824</v>
      </c>
      <c r="AK48" s="200">
        <f ca="1">'General overview'!$C$15+AK29</f>
        <v>403830.49697669031</v>
      </c>
      <c r="AL48" s="200">
        <f ca="1">'General overview'!$C$15+AL29</f>
        <v>542064.23177761526</v>
      </c>
      <c r="AM48" s="200">
        <f ca="1">'General overview'!$C$15+AM29</f>
        <v>685088.57977638568</v>
      </c>
      <c r="AN48" s="200">
        <f ca="1">'General overview'!$C$15+AN29</f>
        <v>833032.96973689669</v>
      </c>
      <c r="AO48" s="200">
        <f ca="1">'General overview'!$C$15+AO29</f>
        <v>916404.26566007431</v>
      </c>
      <c r="AP48" s="200">
        <f ca="1">'General overview'!$C$15+AP29</f>
        <v>960667.81879034988</v>
      </c>
      <c r="AQ48" s="200">
        <f ca="1">'General overview'!$C$15+AQ29</f>
        <v>1004603.8988453837</v>
      </c>
      <c r="AR48" s="200">
        <f ca="1">'General overview'!$C$15+AR29</f>
        <v>1048205.9238551161</v>
      </c>
      <c r="AS48" s="200">
        <f ca="1">'General overview'!$C$15+AS29</f>
        <v>1091467.1795566883</v>
      </c>
      <c r="AT48" s="200">
        <f ca="1">'General overview'!$C$15+AT29</f>
        <v>1134380.816735453</v>
      </c>
      <c r="AU48" s="200">
        <f ca="1">'General overview'!$C$15+AU29</f>
        <v>1176939.8485125422</v>
      </c>
      <c r="AV48" s="200">
        <f ca="1">'General overview'!$C$15+AV29</f>
        <v>1219137.1475779165</v>
      </c>
      <c r="AW48" s="200">
        <f ca="1">'General overview'!$C$15+AW29</f>
        <v>1260965.4433678011</v>
      </c>
      <c r="AX48" s="200">
        <f ca="1">'General overview'!$C$15+AX29</f>
        <v>1302417.3191853904</v>
      </c>
      <c r="AY48" s="200">
        <f ca="1">'General overview'!$C$15+AY29</f>
        <v>1343485.2092636798</v>
      </c>
      <c r="AZ48" s="200">
        <f ca="1">'General overview'!$C$15+AZ29</f>
        <v>1384161.3957692645</v>
      </c>
      <c r="BA48" s="200">
        <f ca="1">'General overview'!$C$15+BA29</f>
        <v>1424438.0057459148</v>
      </c>
      <c r="BB48" s="200">
        <f ca="1">'General overview'!$C$15+BB29</f>
        <v>1464307.0079967207</v>
      </c>
      <c r="BC48" s="200">
        <f ca="1">'General overview'!$C$15+BC29</f>
        <v>1503760.2099035701</v>
      </c>
    </row>
    <row r="49" spans="2:55">
      <c r="B49" s="209" t="s">
        <v>4966</v>
      </c>
      <c r="C49" s="175">
        <f>IF('General overview'!$C$27="Rent",0,IF(C4&gt;='General overview'!$C$29,IF('General overview'!$C$34&gt;0,(1-'General overview'!$C$34),0.2)*'General overview'!$C$81,0)*IF(C4-'General overview'!$C$29&gt;0,(1+0.015)^(C4-'General overview'!$C$29),1))</f>
        <v>0</v>
      </c>
      <c r="D49" s="175">
        <f>IF('General overview'!$C$27="Rent",0,IF(D4&gt;='General overview'!$C$29,IF('General overview'!$C$34&gt;0,(1-'General overview'!$C$34),0.2)*'General overview'!$C$81,0)*IF(D4-'General overview'!$C$29&gt;0,(1+0.015)^(D4-'General overview'!$C$29),1))</f>
        <v>0</v>
      </c>
      <c r="E49" s="175">
        <f>IF('General overview'!$C$27="Rent",0,IF(E4&gt;='General overview'!$C$29,IF('General overview'!$C$34&gt;0,(1-'General overview'!$C$34),0.2)*'General overview'!$C$81,0)*IF(E4-'General overview'!$C$29&gt;0,(1+0.015)^(E4-'General overview'!$C$29),1))</f>
        <v>0</v>
      </c>
      <c r="F49" s="175">
        <f>IF('General overview'!$C$27="Rent",0,IF(F4&gt;='General overview'!$C$29,IF('General overview'!$C$34&gt;0,(1-'General overview'!$C$34),0.2)*'General overview'!$C$81,0)*IF(F4-'General overview'!$C$29&gt;0,(1+0.015)^(F4-'General overview'!$C$29),1))</f>
        <v>0</v>
      </c>
      <c r="G49" s="175">
        <f>IF('General overview'!$C$27="Rent",0,IF(G4&gt;='General overview'!$C$29,IF('General overview'!$C$34&gt;0,(1-'General overview'!$C$34),0.2)*'General overview'!$C$81,0)*IF(G4-'General overview'!$C$29&gt;0,(1+0.015)^(G4-'General overview'!$C$29),1))</f>
        <v>0</v>
      </c>
      <c r="H49" s="175">
        <f>IF('General overview'!$C$27="Rent",0,IF(H4&gt;='General overview'!$C$29,IF('General overview'!$C$34&gt;0,(1-'General overview'!$C$34),0.2)*'General overview'!$C$81,0)*IF(H4-'General overview'!$C$29&gt;0,(1+0.015)^(H4-'General overview'!$C$29),1))</f>
        <v>0</v>
      </c>
      <c r="I49" s="175">
        <f>IF('General overview'!$C$27="Rent",0,IF(I4&gt;='General overview'!$C$29,IF('General overview'!$C$34&gt;0,(1-'General overview'!$C$34),0.2)*'General overview'!$C$81,0)*IF(I4-'General overview'!$C$29&gt;0,(1+0.015)^(I4-'General overview'!$C$29),1))</f>
        <v>0</v>
      </c>
      <c r="J49" s="175">
        <f>IF('General overview'!$C$27="Rent",0,IF(J4&gt;='General overview'!$C$29,IF('General overview'!$C$34&gt;0,(1-'General overview'!$C$34),0.2)*'General overview'!$C$81,0)*IF(J4-'General overview'!$C$29&gt;0,(1+0.015)^(J4-'General overview'!$C$29),1))</f>
        <v>0</v>
      </c>
      <c r="K49" s="175">
        <f>IF('General overview'!$C$27="Rent",0,IF(K4&gt;='General overview'!$C$29,IF('General overview'!$C$34&gt;0,(1-'General overview'!$C$34),0.2)*'General overview'!$C$81,0)*IF(K4-'General overview'!$C$29&gt;0,(1+0.015)^(K4-'General overview'!$C$29),1))</f>
        <v>0</v>
      </c>
      <c r="L49" s="175">
        <f>IF('General overview'!$C$27="Rent",0,IF(L4&gt;='General overview'!$C$29,IF('General overview'!$C$34&gt;0,(1-'General overview'!$C$34),0.2)*'General overview'!$C$81,0)*IF(L4-'General overview'!$C$29&gt;0,(1+0.015)^(L4-'General overview'!$C$29),1))</f>
        <v>0</v>
      </c>
      <c r="M49" s="175">
        <f>IF('General overview'!$C$27="Rent",0,IF(M4&gt;='General overview'!$C$29,IF('General overview'!$C$34&gt;0,(1-'General overview'!$C$34),0.2)*'General overview'!$C$81,0)*IF(M4-'General overview'!$C$29&gt;0,(1+0.015)^(M4-'General overview'!$C$29),1))</f>
        <v>925238.85166964959</v>
      </c>
      <c r="N49" s="175">
        <f>IF('General overview'!$C$27="Rent",0,IF(N4&gt;='General overview'!$C$29,IF('General overview'!$C$34&gt;0,(1-'General overview'!$C$34),0.2)*'General overview'!$C$81,0)*IF(N4-'General overview'!$C$29&gt;0,(1+0.015)^(N4-'General overview'!$C$29),1))</f>
        <v>939117.4344446942</v>
      </c>
      <c r="O49" s="175">
        <f>IF('General overview'!$C$27="Rent",0,IF(O4&gt;='General overview'!$C$29,IF('General overview'!$C$34&gt;0,(1-'General overview'!$C$34),0.2)*'General overview'!$C$81,0)*IF(O4-'General overview'!$C$29&gt;0,(1+0.015)^(O4-'General overview'!$C$29),1))</f>
        <v>953204.19596136454</v>
      </c>
      <c r="P49" s="175">
        <f>IF('General overview'!$C$27="Rent",0,IF(P4&gt;='General overview'!$C$29,IF('General overview'!$C$34&gt;0,(1-'General overview'!$C$34),0.2)*'General overview'!$C$81,0)*IF(P4-'General overview'!$C$29&gt;0,(1+0.015)^(P4-'General overview'!$C$29),1))</f>
        <v>967502.25890078489</v>
      </c>
      <c r="Q49" s="175">
        <f>IF('General overview'!$C$27="Rent",0,IF(Q4&gt;='General overview'!$C$29,IF('General overview'!$C$34&gt;0,(1-'General overview'!$C$34),0.2)*'General overview'!$C$81,0)*IF(Q4-'General overview'!$C$29&gt;0,(1+0.015)^(Q4-'General overview'!$C$29),1))</f>
        <v>982014.79278429644</v>
      </c>
      <c r="R49" s="175">
        <f>IF('General overview'!$C$27="Rent",0,IF(R4&gt;='General overview'!$C$29,IF('General overview'!$C$34&gt;0,(1-'General overview'!$C$34),0.2)*'General overview'!$C$81,0)*IF(R4-'General overview'!$C$29&gt;0,(1+0.015)^(R4-'General overview'!$C$29),1))</f>
        <v>996745.01467606076</v>
      </c>
      <c r="S49" s="175">
        <f>IF('General overview'!$C$27="Rent",0,IF(S4&gt;='General overview'!$C$29,IF('General overview'!$C$34&gt;0,(1-'General overview'!$C$34),0.2)*'General overview'!$C$81,0)*IF(S4-'General overview'!$C$29&gt;0,(1+0.015)^(S4-'General overview'!$C$29),1))</f>
        <v>1011696.1898962015</v>
      </c>
      <c r="T49" s="175">
        <f>IF('General overview'!$C$27="Rent",0,IF(T4&gt;='General overview'!$C$29,IF('General overview'!$C$34&gt;0,(1-'General overview'!$C$34),0.2)*'General overview'!$C$81,0)*IF(T4-'General overview'!$C$29&gt;0,(1+0.015)^(T4-'General overview'!$C$29),1))</f>
        <v>1026871.6327446444</v>
      </c>
      <c r="U49" s="175">
        <f>IF('General overview'!$C$27="Rent",0,IF(U4&gt;='General overview'!$C$29,IF('General overview'!$C$34&gt;0,(1-'General overview'!$C$34),0.2)*'General overview'!$C$81,0)*IF(U4-'General overview'!$C$29&gt;0,(1+0.015)^(U4-'General overview'!$C$29),1))</f>
        <v>1042274.707235814</v>
      </c>
      <c r="V49" s="175">
        <f>IF('General overview'!$C$27="Rent",0,IF(V4&gt;='General overview'!$C$29,IF('General overview'!$C$34&gt;0,(1-'General overview'!$C$34),0.2)*'General overview'!$C$81,0)*IF(V4-'General overview'!$C$29&gt;0,(1+0.015)^(V4-'General overview'!$C$29),1))</f>
        <v>1057908.8278443511</v>
      </c>
      <c r="W49" s="175">
        <f>IF('General overview'!$C$27="Rent",0,IF(W4&gt;='General overview'!$C$29,IF('General overview'!$C$34&gt;0,(1-'General overview'!$C$34),0.2)*'General overview'!$C$81,0)*IF(W4-'General overview'!$C$29&gt;0,(1+0.015)^(W4-'General overview'!$C$29),1))</f>
        <v>1073777.4602620162</v>
      </c>
      <c r="X49" s="175">
        <f>IF('General overview'!$C$27="Rent",0,IF(X4&gt;='General overview'!$C$29,IF('General overview'!$C$34&gt;0,(1-'General overview'!$C$34),0.2)*'General overview'!$C$81,0)*IF(X4-'General overview'!$C$29&gt;0,(1+0.015)^(X4-'General overview'!$C$29),1))</f>
        <v>1089884.1221659463</v>
      </c>
      <c r="Y49" s="175">
        <f>IF('General overview'!$C$27="Rent",0,IF(Y4&gt;='General overview'!$C$29,IF('General overview'!$C$34&gt;0,(1-'General overview'!$C$34),0.2)*'General overview'!$C$81,0)*IF(Y4-'General overview'!$C$29&gt;0,(1+0.015)^(Y4-'General overview'!$C$29),1))</f>
        <v>1106232.3839984352</v>
      </c>
      <c r="Z49" s="175">
        <f>IF('General overview'!$C$27="Rent",0,IF(Z4&gt;='General overview'!$C$29,IF('General overview'!$C$34&gt;0,(1-'General overview'!$C$34),0.2)*'General overview'!$C$81,0)*IF(Z4-'General overview'!$C$29&gt;0,(1+0.015)^(Z4-'General overview'!$C$29),1))</f>
        <v>1122825.8697584118</v>
      </c>
      <c r="AA49" s="175">
        <f>IF('General overview'!$C$27="Rent",0,IF(AA4&gt;='General overview'!$C$29,IF('General overview'!$C$34&gt;0,(1-'General overview'!$C$34),0.2)*'General overview'!$C$81,0)*IF(AA4-'General overview'!$C$29&gt;0,(1+0.015)^(AA4-'General overview'!$C$29),1))</f>
        <v>1139668.2578047875</v>
      </c>
      <c r="AB49" s="175">
        <f>IF('General overview'!$C$27="Rent",0,IF(AB4&gt;='General overview'!$C$29,IF('General overview'!$C$34&gt;0,(1-'General overview'!$C$34),0.2)*'General overview'!$C$81,0)*IF(AB4-'General overview'!$C$29&gt;0,(1+0.015)^(AB4-'General overview'!$C$29),1))</f>
        <v>1156763.2816718593</v>
      </c>
      <c r="AC49" s="175">
        <f>IF('General overview'!$C$27="Rent",0,IF(AC4&gt;='General overview'!$C$29,IF('General overview'!$C$34&gt;0,(1-'General overview'!$C$34),0.2)*'General overview'!$C$81,0)*IF(AC4-'General overview'!$C$29&gt;0,(1+0.015)^(AC4-'General overview'!$C$29),1))</f>
        <v>1174114.730896937</v>
      </c>
      <c r="AD49" s="175">
        <f>IF('General overview'!$C$27="Rent",0,IF(AD4&gt;='General overview'!$C$29,IF('General overview'!$C$34&gt;0,(1-'General overview'!$C$34),0.2)*'General overview'!$C$81,0)*IF(AD4-'General overview'!$C$29&gt;0,(1+0.015)^(AD4-'General overview'!$C$29),1))</f>
        <v>1191726.4518603908</v>
      </c>
      <c r="AE49" s="175">
        <f>IF('General overview'!$C$27="Rent",0,IF(AE4&gt;='General overview'!$C$29,IF('General overview'!$C$34&gt;0,(1-'General overview'!$C$34),0.2)*'General overview'!$C$81,0)*IF(AE4-'General overview'!$C$29&gt;0,(1+0.015)^(AE4-'General overview'!$C$29),1))</f>
        <v>1209602.3486382966</v>
      </c>
      <c r="AF49" s="175">
        <f>IF('General overview'!$C$27="Rent",0,IF(AF4&gt;='General overview'!$C$29,IF('General overview'!$C$34&gt;0,(1-'General overview'!$C$34),0.2)*'General overview'!$C$81,0)*IF(AF4-'General overview'!$C$29&gt;0,(1+0.015)^(AF4-'General overview'!$C$29),1))</f>
        <v>1227746.383867871</v>
      </c>
      <c r="AG49" s="175">
        <f>IF('General overview'!$C$27="Rent",0,IF(AG4&gt;='General overview'!$C$29,IF('General overview'!$C$34&gt;0,(1-'General overview'!$C$34),0.2)*'General overview'!$C$81,0)*IF(AG4-'General overview'!$C$29&gt;0,(1+0.015)^(AG4-'General overview'!$C$29),1))</f>
        <v>1246162.5796258887</v>
      </c>
      <c r="AH49" s="175">
        <f>IF('General overview'!$C$27="Rent",0,IF(AH4&gt;='General overview'!$C$29,IF('General overview'!$C$34&gt;0,(1-'General overview'!$C$34),0.2)*'General overview'!$C$81,0)*IF(AH4-'General overview'!$C$29&gt;0,(1+0.015)^(AH4-'General overview'!$C$29),1))</f>
        <v>1264855.0183202769</v>
      </c>
      <c r="AI49" s="175">
        <f>IF('General overview'!$C$27="Rent",0,IF(AI4&gt;='General overview'!$C$29,IF('General overview'!$C$34&gt;0,(1-'General overview'!$C$34),0.2)*'General overview'!$C$81,0)*IF(AI4-'General overview'!$C$29&gt;0,(1+0.015)^(AI4-'General overview'!$C$29),1))</f>
        <v>1283827.8435950808</v>
      </c>
      <c r="AJ49" s="175">
        <f>IF('General overview'!$C$27="Rent",0,IF(AJ4&gt;='General overview'!$C$29,IF('General overview'!$C$34&gt;0,(1-'General overview'!$C$34),0.2)*'General overview'!$C$81,0)*IF(AJ4-'General overview'!$C$29&gt;0,(1+0.015)^(AJ4-'General overview'!$C$29),1))</f>
        <v>1303085.261249007</v>
      </c>
      <c r="AK49" s="175">
        <f>IF('General overview'!$C$27="Rent",0,IF(AK4&gt;='General overview'!$C$29,IF('General overview'!$C$34&gt;0,(1-'General overview'!$C$34),0.2)*'General overview'!$C$81,0)*IF(AK4-'General overview'!$C$29&gt;0,(1+0.015)^(AK4-'General overview'!$C$29),1))</f>
        <v>1322631.5401677417</v>
      </c>
      <c r="AL49" s="175">
        <f>IF('General overview'!$C$27="Rent",0,IF(AL4&gt;='General overview'!$C$29,IF('General overview'!$C$34&gt;0,(1-'General overview'!$C$34),0.2)*'General overview'!$C$81,0)*IF(AL4-'General overview'!$C$29&gt;0,(1+0.015)^(AL4-'General overview'!$C$29),1))</f>
        <v>1342471.013270258</v>
      </c>
      <c r="AM49" s="175">
        <f>IF('General overview'!$C$27="Rent",0,IF(AM4&gt;='General overview'!$C$29,IF('General overview'!$C$34&gt;0,(1-'General overview'!$C$34),0.2)*'General overview'!$C$81,0)*IF(AM4-'General overview'!$C$29&gt;0,(1+0.015)^(AM4-'General overview'!$C$29),1))</f>
        <v>1362608.0784693116</v>
      </c>
      <c r="AN49" s="175">
        <f>IF('General overview'!$C$27="Rent",0,IF(AN4&gt;='General overview'!$C$29,IF('General overview'!$C$34&gt;0,(1-'General overview'!$C$34),0.2)*'General overview'!$C$81,0)*IF(AN4-'General overview'!$C$29&gt;0,(1+0.015)^(AN4-'General overview'!$C$29),1))</f>
        <v>1383047.1996463512</v>
      </c>
      <c r="AO49" s="175">
        <f>IF('General overview'!$C$27="Rent",0,IF(AO4&gt;='General overview'!$C$29,IF('General overview'!$C$34&gt;0,(1-'General overview'!$C$34),0.2)*'General overview'!$C$81,0)*IF(AO4-'General overview'!$C$29&gt;0,(1+0.015)^(AO4-'General overview'!$C$29),1))</f>
        <v>1403792.907641046</v>
      </c>
      <c r="AP49" s="175">
        <f>IF('General overview'!$C$27="Rent",0,IF(AP4&gt;='General overview'!$C$29,IF('General overview'!$C$34&gt;0,(1-'General overview'!$C$34),0.2)*'General overview'!$C$81,0)*IF(AP4-'General overview'!$C$29&gt;0,(1+0.015)^(AP4-'General overview'!$C$29),1))</f>
        <v>1424849.8012556618</v>
      </c>
      <c r="AQ49" s="175">
        <f>IF('General overview'!$C$27="Rent",0,IF(AQ4&gt;='General overview'!$C$29,IF('General overview'!$C$34&gt;0,(1-'General overview'!$C$34),0.2)*'General overview'!$C$81,0)*IF(AQ4-'General overview'!$C$29&gt;0,(1+0.015)^(AQ4-'General overview'!$C$29),1))</f>
        <v>1446222.5482744961</v>
      </c>
      <c r="AR49" s="175">
        <f>IF('General overview'!$C$27="Rent",0,IF(AR4&gt;='General overview'!$C$29,IF('General overview'!$C$34&gt;0,(1-'General overview'!$C$34),0.2)*'General overview'!$C$81,0)*IF(AR4-'General overview'!$C$29&gt;0,(1+0.015)^(AR4-'General overview'!$C$29),1))</f>
        <v>1467915.8864986135</v>
      </c>
      <c r="AS49" s="175">
        <f>IF('General overview'!$C$27="Rent",0,IF(AS4&gt;='General overview'!$C$29,IF('General overview'!$C$34&gt;0,(1-'General overview'!$C$34),0.2)*'General overview'!$C$81,0)*IF(AS4-'General overview'!$C$29&gt;0,(1+0.015)^(AS4-'General overview'!$C$29),1))</f>
        <v>1489934.6247960925</v>
      </c>
      <c r="AT49" s="175">
        <f>IF('General overview'!$C$27="Rent",0,IF(AT4&gt;='General overview'!$C$29,IF('General overview'!$C$34&gt;0,(1-'General overview'!$C$34),0.2)*'General overview'!$C$81,0)*IF(AT4-'General overview'!$C$29&gt;0,(1+0.015)^(AT4-'General overview'!$C$29),1))</f>
        <v>1512283.6441680335</v>
      </c>
      <c r="AU49" s="175">
        <f>IF('General overview'!$C$27="Rent",0,IF(AU4&gt;='General overview'!$C$29,IF('General overview'!$C$34&gt;0,(1-'General overview'!$C$34),0.2)*'General overview'!$C$81,0)*IF(AU4-'General overview'!$C$29&gt;0,(1+0.015)^(AU4-'General overview'!$C$29),1))</f>
        <v>1534967.8988305537</v>
      </c>
      <c r="AV49" s="175">
        <f>IF('General overview'!$C$27="Rent",0,IF(AV4&gt;='General overview'!$C$29,IF('General overview'!$C$34&gt;0,(1-'General overview'!$C$34),0.2)*'General overview'!$C$81,0)*IF(AV4-'General overview'!$C$29&gt;0,(1+0.015)^(AV4-'General overview'!$C$29),1))</f>
        <v>1557992.4173130121</v>
      </c>
      <c r="AW49" s="175">
        <f>IF('General overview'!$C$27="Rent",0,IF(AW4&gt;='General overview'!$C$29,IF('General overview'!$C$34&gt;0,(1-'General overview'!$C$34),0.2)*'General overview'!$C$81,0)*IF(AW4-'General overview'!$C$29&gt;0,(1+0.015)^(AW4-'General overview'!$C$29),1))</f>
        <v>1581362.3035727071</v>
      </c>
      <c r="AX49" s="175">
        <f>IF('General overview'!$C$27="Rent",0,IF(AX4&gt;='General overview'!$C$29,IF('General overview'!$C$34&gt;0,(1-'General overview'!$C$34),0.2)*'General overview'!$C$81,0)*IF(AX4-'General overview'!$C$29&gt;0,(1+0.015)^(AX4-'General overview'!$C$29),1))</f>
        <v>1605082.7381262975</v>
      </c>
      <c r="AY49" s="175">
        <f>IF('General overview'!$C$27="Rent",0,IF(AY4&gt;='General overview'!$C$29,IF('General overview'!$C$34&gt;0,(1-'General overview'!$C$34),0.2)*'General overview'!$C$81,0)*IF(AY4-'General overview'!$C$29&gt;0,(1+0.015)^(AY4-'General overview'!$C$29),1))</f>
        <v>1629158.9791981915</v>
      </c>
      <c r="AZ49" s="175">
        <f>IF('General overview'!$C$27="Rent",0,IF(AZ4&gt;='General overview'!$C$29,IF('General overview'!$C$34&gt;0,(1-'General overview'!$C$34),0.2)*'General overview'!$C$81,0)*IF(AZ4-'General overview'!$C$29&gt;0,(1+0.015)^(AZ4-'General overview'!$C$29),1))</f>
        <v>1653596.3638861643</v>
      </c>
      <c r="BA49" s="175">
        <f>IF('General overview'!$C$27="Rent",0,IF(BA4&gt;='General overview'!$C$29,IF('General overview'!$C$34&gt;0,(1-'General overview'!$C$34),0.2)*'General overview'!$C$81,0)*IF(BA4-'General overview'!$C$29&gt;0,(1+0.015)^(BA4-'General overview'!$C$29),1))</f>
        <v>1678400.3093444565</v>
      </c>
      <c r="BB49" s="175">
        <f>IF('General overview'!$C$27="Rent",0,IF(BB4&gt;='General overview'!$C$29,IF('General overview'!$C$34&gt;0,(1-'General overview'!$C$34),0.2)*'General overview'!$C$81,0)*IF(BB4-'General overview'!$C$29&gt;0,(1+0.015)^(BB4-'General overview'!$C$29),1))</f>
        <v>1703576.3139846232</v>
      </c>
      <c r="BC49" s="175">
        <f>IF('General overview'!$C$27="Rent",0,IF(BC4&gt;='General overview'!$C$29,IF('General overview'!$C$34&gt;0,(1-'General overview'!$C$34),0.2)*'General overview'!$C$81,0)*IF(BC4-'General overview'!$C$29&gt;0,(1+0.015)^(BC4-'General overview'!$C$29),1))</f>
        <v>1729129.9586943923</v>
      </c>
    </row>
    <row r="50" spans="2:55">
      <c r="B50" s="209" t="s">
        <v>4967</v>
      </c>
      <c r="C50" s="175">
        <f>VLOOKUP(C4,'General overview'!$B$201:$H$300,6,FALSE)</f>
        <v>0</v>
      </c>
      <c r="D50" s="175">
        <f>VLOOKUP(D4,'General overview'!$B$201:$H$300,6,FALSE)</f>
        <v>0</v>
      </c>
      <c r="E50" s="175">
        <f>VLOOKUP(E4,'General overview'!$B$201:$H$300,6,FALSE)</f>
        <v>0</v>
      </c>
      <c r="F50" s="175">
        <f>VLOOKUP(F4,'General overview'!$B$201:$H$300,6,FALSE)</f>
        <v>0</v>
      </c>
      <c r="G50" s="175">
        <f>VLOOKUP(G4,'General overview'!$B$201:$H$300,6,FALSE)</f>
        <v>0</v>
      </c>
      <c r="H50" s="175">
        <f>VLOOKUP(H4,'General overview'!$B$201:$H$300,6,FALSE)</f>
        <v>0</v>
      </c>
      <c r="I50" s="175">
        <f>VLOOKUP(I4,'General overview'!$B$201:$H$300,6,FALSE)</f>
        <v>0</v>
      </c>
      <c r="J50" s="175">
        <f>VLOOKUP(J4,'General overview'!$B$201:$H$300,6,FALSE)</f>
        <v>0</v>
      </c>
      <c r="K50" s="175">
        <f>VLOOKUP(K4,'General overview'!$B$201:$H$300,6,FALSE)</f>
        <v>0</v>
      </c>
      <c r="L50" s="175">
        <f>VLOOKUP(L4,'General overview'!$B$201:$H$300,6,FALSE)</f>
        <v>0</v>
      </c>
      <c r="M50" s="175">
        <f>VLOOKUP(M4,'General overview'!$B$201:$H$300,6,FALSE)</f>
        <v>10799.076386296232</v>
      </c>
      <c r="N50" s="175">
        <f>VLOOKUP(N4,'General overview'!$B$201:$H$300,6,FALSE)</f>
        <v>10907.067150159193</v>
      </c>
      <c r="O50" s="175">
        <f>VLOOKUP(O4,'General overview'!$B$201:$H$300,6,FALSE)</f>
        <v>11016.137821660786</v>
      </c>
      <c r="P50" s="175">
        <f>VLOOKUP(P4,'General overview'!$B$201:$H$300,6,FALSE)</f>
        <v>11126.299199877396</v>
      </c>
      <c r="Q50" s="175">
        <f>VLOOKUP(Q4,'General overview'!$B$201:$H$300,6,FALSE)</f>
        <v>11237.562191876168</v>
      </c>
      <c r="R50" s="175">
        <f>VLOOKUP(R4,'General overview'!$B$201:$H$300,6,FALSE)</f>
        <v>11349.93781379493</v>
      </c>
      <c r="S50" s="175">
        <f>VLOOKUP(S4,'General overview'!$B$201:$H$300,6,FALSE)</f>
        <v>11463.437191932879</v>
      </c>
      <c r="T50" s="175">
        <f>VLOOKUP(T4,'General overview'!$B$201:$H$300,6,FALSE)</f>
        <v>11578.071563852209</v>
      </c>
      <c r="U50" s="175">
        <f>VLOOKUP(U4,'General overview'!$B$201:$H$300,6,FALSE)</f>
        <v>11693.852279490731</v>
      </c>
      <c r="V50" s="175">
        <f>VLOOKUP(V4,'General overview'!$B$201:$H$300,6,FALSE)</f>
        <v>11810.790802285639</v>
      </c>
      <c r="W50" s="175">
        <f>VLOOKUP(W4,'General overview'!$B$201:$H$300,6,FALSE)</f>
        <v>11928.898710308495</v>
      </c>
      <c r="X50" s="175">
        <f>VLOOKUP(X4,'General overview'!$B$201:$H$300,6,FALSE)</f>
        <v>12048.18769741158</v>
      </c>
      <c r="Y50" s="175">
        <f>VLOOKUP(Y4,'General overview'!$B$201:$H$300,6,FALSE)</f>
        <v>12168.669574385694</v>
      </c>
      <c r="Z50" s="175">
        <f>VLOOKUP(Z4,'General overview'!$B$201:$H$300,6,FALSE)</f>
        <v>12290.356270129552</v>
      </c>
      <c r="AA50" s="175">
        <f>VLOOKUP(AA4,'General overview'!$B$201:$H$300,6,FALSE)</f>
        <v>12413.259832830849</v>
      </c>
      <c r="AB50" s="175">
        <f>VLOOKUP(AB4,'General overview'!$B$201:$H$300,6,FALSE)</f>
        <v>12537.392431159156</v>
      </c>
      <c r="AC50" s="175">
        <f>VLOOKUP(AC4,'General overview'!$B$201:$H$300,6,FALSE)</f>
        <v>12662.766355470749</v>
      </c>
      <c r="AD50" s="175">
        <f>VLOOKUP(AD4,'General overview'!$B$201:$H$300,6,FALSE)</f>
        <v>12789.394019025458</v>
      </c>
      <c r="AE50" s="175">
        <f>VLOOKUP(AE4,'General overview'!$B$201:$H$300,6,FALSE)</f>
        <v>12917.287959215711</v>
      </c>
      <c r="AF50" s="175">
        <f>VLOOKUP(AF4,'General overview'!$B$201:$H$300,6,FALSE)</f>
        <v>13046.460838807869</v>
      </c>
      <c r="AG50" s="175">
        <f>VLOOKUP(AG4,'General overview'!$B$201:$H$300,6,FALSE)</f>
        <v>13176.925447195948</v>
      </c>
      <c r="AH50" s="175">
        <f>VLOOKUP(AH4,'General overview'!$B$201:$H$300,6,FALSE)</f>
        <v>13308.694701667908</v>
      </c>
      <c r="AI50" s="175">
        <f>VLOOKUP(AI4,'General overview'!$B$201:$H$300,6,FALSE)</f>
        <v>13441.781648684586</v>
      </c>
      <c r="AJ50" s="175">
        <f>VLOOKUP(AJ4,'General overview'!$B$201:$H$300,6,FALSE)</f>
        <v>13576.199465171432</v>
      </c>
      <c r="AK50" s="175">
        <f>VLOOKUP(AK4,'General overview'!$B$201:$H$300,6,FALSE)</f>
        <v>13711.961459823146</v>
      </c>
      <c r="AL50" s="175">
        <f>VLOOKUP(AL4,'General overview'!$B$201:$H$300,6,FALSE)</f>
        <v>13849.081074421378</v>
      </c>
      <c r="AM50" s="175">
        <f>VLOOKUP(AM4,'General overview'!$B$201:$H$300,6,FALSE)</f>
        <v>13987.571885165591</v>
      </c>
      <c r="AN50" s="175">
        <f>VLOOKUP(AN4,'General overview'!$B$201:$H$300,6,FALSE)</f>
        <v>14127.447604017247</v>
      </c>
      <c r="AO50" s="175">
        <f>VLOOKUP(AO4,'General overview'!$B$201:$H$300,6,FALSE)</f>
        <v>0</v>
      </c>
      <c r="AP50" s="175">
        <f>VLOOKUP(AP4,'General overview'!$B$201:$H$300,6,FALSE)</f>
        <v>0</v>
      </c>
      <c r="AQ50" s="175">
        <f>VLOOKUP(AQ4,'General overview'!$B$201:$H$300,6,FALSE)</f>
        <v>0</v>
      </c>
      <c r="AR50" s="175">
        <f>VLOOKUP(AR4,'General overview'!$B$201:$H$300,6,FALSE)</f>
        <v>0</v>
      </c>
      <c r="AS50" s="175">
        <f>VLOOKUP(AS4,'General overview'!$B$201:$H$300,6,FALSE)</f>
        <v>0</v>
      </c>
      <c r="AT50" s="175">
        <f>VLOOKUP(AT4,'General overview'!$B$201:$H$300,6,FALSE)</f>
        <v>0</v>
      </c>
      <c r="AU50" s="175">
        <f>VLOOKUP(AU4,'General overview'!$B$201:$H$300,6,FALSE)</f>
        <v>0</v>
      </c>
      <c r="AV50" s="175">
        <f>VLOOKUP(AV4,'General overview'!$B$201:$H$300,6,FALSE)</f>
        <v>0</v>
      </c>
      <c r="AW50" s="175">
        <f>VLOOKUP(AW4,'General overview'!$B$201:$H$300,6,FALSE)</f>
        <v>0</v>
      </c>
      <c r="AX50" s="175">
        <f>VLOOKUP(AX4,'General overview'!$B$201:$H$300,6,FALSE)</f>
        <v>0</v>
      </c>
      <c r="AY50" s="175">
        <f>VLOOKUP(AY4,'General overview'!$B$201:$H$300,6,FALSE)</f>
        <v>0</v>
      </c>
      <c r="AZ50" s="175">
        <f>VLOOKUP(AZ4,'General overview'!$B$201:$H$300,6,FALSE)</f>
        <v>0</v>
      </c>
      <c r="BA50" s="175">
        <f>VLOOKUP(BA4,'General overview'!$B$201:$H$300,6,FALSE)</f>
        <v>0</v>
      </c>
      <c r="BB50" s="175">
        <f>VLOOKUP(BB4,'General overview'!$B$201:$H$300,6,FALSE)</f>
        <v>0</v>
      </c>
      <c r="BC50" s="175">
        <f>VLOOKUP(BC4,'General overview'!$B$201:$H$300,6,FALSE)</f>
        <v>0</v>
      </c>
    </row>
    <row r="51" spans="2:55">
      <c r="B51" s="199" t="s">
        <v>62</v>
      </c>
      <c r="C51" s="152">
        <f ca="1">SUM(C48:C50)</f>
        <v>165205.17571203335</v>
      </c>
      <c r="D51" s="152">
        <f t="shared" ref="D51:BC51" ca="1" si="120">SUM(D48:D50)</f>
        <v>232382.55565810885</v>
      </c>
      <c r="E51" s="152">
        <f t="shared" ca="1" si="120"/>
        <v>291580.65088821313</v>
      </c>
      <c r="F51" s="152">
        <f t="shared" ca="1" si="120"/>
        <v>346858.06783073838</v>
      </c>
      <c r="G51" s="152">
        <f t="shared" ca="1" si="120"/>
        <v>404580.66372564796</v>
      </c>
      <c r="H51" s="152">
        <f t="shared" ca="1" si="120"/>
        <v>464013.35403504147</v>
      </c>
      <c r="I51" s="152">
        <f t="shared" ca="1" si="120"/>
        <v>513514.45319956518</v>
      </c>
      <c r="J51" s="152">
        <f t="shared" ca="1" si="120"/>
        <v>564514.36218189285</v>
      </c>
      <c r="K51" s="152">
        <f t="shared" ca="1" si="120"/>
        <v>605569.33660294511</v>
      </c>
      <c r="L51" s="152">
        <f t="shared" ca="1" si="120"/>
        <v>644972.16823441652</v>
      </c>
      <c r="M51" s="152">
        <f t="shared" ca="1" si="120"/>
        <v>205246.76744099814</v>
      </c>
      <c r="N51" s="152">
        <f t="shared" ca="1" si="120"/>
        <v>228455.35888603426</v>
      </c>
      <c r="O51" s="152">
        <f t="shared" ca="1" si="120"/>
        <v>223443.15457694331</v>
      </c>
      <c r="P51" s="152">
        <f t="shared" ca="1" si="120"/>
        <v>244509.17695758757</v>
      </c>
      <c r="Q51" s="152">
        <f t="shared" ca="1" si="120"/>
        <v>267286.33638253884</v>
      </c>
      <c r="R51" s="152">
        <f t="shared" ca="1" si="120"/>
        <v>291816.60535870329</v>
      </c>
      <c r="S51" s="152">
        <f t="shared" ca="1" si="120"/>
        <v>318143.1108017505</v>
      </c>
      <c r="T51" s="152">
        <f t="shared" ca="1" si="120"/>
        <v>337669.02018016815</v>
      </c>
      <c r="U51" s="152">
        <f t="shared" ca="1" si="120"/>
        <v>358853.74270264962</v>
      </c>
      <c r="V51" s="152">
        <f t="shared" ca="1" si="120"/>
        <v>372130.9016903619</v>
      </c>
      <c r="W51" s="152">
        <f t="shared" ca="1" si="120"/>
        <v>386898.16972571809</v>
      </c>
      <c r="X51" s="152">
        <f t="shared" ca="1" si="120"/>
        <v>392505.22605827131</v>
      </c>
      <c r="Y51" s="152">
        <f t="shared" ca="1" si="120"/>
        <v>299781.72388424719</v>
      </c>
      <c r="Z51" s="152">
        <f t="shared" ca="1" si="120"/>
        <v>345860.34556309844</v>
      </c>
      <c r="AA51" s="152">
        <f t="shared" ca="1" si="120"/>
        <v>394202.32956273213</v>
      </c>
      <c r="AB51" s="152">
        <f t="shared" ca="1" si="120"/>
        <v>481455.83253036137</v>
      </c>
      <c r="AC51" s="152">
        <f t="shared" ca="1" si="120"/>
        <v>572014.86198800313</v>
      </c>
      <c r="AD51" s="152">
        <f t="shared" ca="1" si="120"/>
        <v>704882.98670876317</v>
      </c>
      <c r="AE51" s="152">
        <f t="shared" ca="1" si="120"/>
        <v>842213.76548236865</v>
      </c>
      <c r="AF51" s="152">
        <f t="shared" ca="1" si="120"/>
        <v>984121.83722492587</v>
      </c>
      <c r="AG51" s="152">
        <f t="shared" ca="1" si="120"/>
        <v>1130725.0407790816</v>
      </c>
      <c r="AH51" s="152">
        <f t="shared" ca="1" si="120"/>
        <v>1282144.5066407404</v>
      </c>
      <c r="AI51" s="152">
        <f t="shared" ca="1" si="120"/>
        <v>1438504.7513442116</v>
      </c>
      <c r="AJ51" s="152">
        <f t="shared" ca="1" si="120"/>
        <v>1586923.0226705167</v>
      </c>
      <c r="AK51" s="152">
        <f t="shared" ca="1" si="120"/>
        <v>1740173.9986042553</v>
      </c>
      <c r="AL51" s="152">
        <f t="shared" ca="1" si="120"/>
        <v>1898384.3261222946</v>
      </c>
      <c r="AM51" s="152">
        <f t="shared" ca="1" si="120"/>
        <v>2061684.2301308627</v>
      </c>
      <c r="AN51" s="152">
        <f t="shared" ca="1" si="120"/>
        <v>2230207.6169872652</v>
      </c>
      <c r="AO51" s="152">
        <f t="shared" ca="1" si="120"/>
        <v>2320197.1733011203</v>
      </c>
      <c r="AP51" s="152">
        <f t="shared" ca="1" si="120"/>
        <v>2385517.6200460116</v>
      </c>
      <c r="AQ51" s="152">
        <f t="shared" ca="1" si="120"/>
        <v>2450826.4471198795</v>
      </c>
      <c r="AR51" s="152">
        <f t="shared" ca="1" si="120"/>
        <v>2516121.8103537299</v>
      </c>
      <c r="AS51" s="152">
        <f t="shared" ca="1" si="120"/>
        <v>2581401.8043527808</v>
      </c>
      <c r="AT51" s="152">
        <f t="shared" ca="1" si="120"/>
        <v>2646664.4609034862</v>
      </c>
      <c r="AU51" s="152">
        <f t="shared" ca="1" si="120"/>
        <v>2711907.747343096</v>
      </c>
      <c r="AV51" s="152">
        <f t="shared" ca="1" si="120"/>
        <v>2777129.5648909286</v>
      </c>
      <c r="AW51" s="152">
        <f t="shared" ca="1" si="120"/>
        <v>2842327.7469405085</v>
      </c>
      <c r="AX51" s="152">
        <f t="shared" ca="1" si="120"/>
        <v>2907500.0573116876</v>
      </c>
      <c r="AY51" s="152">
        <f t="shared" ca="1" si="120"/>
        <v>2972644.1884618714</v>
      </c>
      <c r="AZ51" s="152">
        <f t="shared" ca="1" si="120"/>
        <v>3037757.7596554291</v>
      </c>
      <c r="BA51" s="152">
        <f t="shared" ca="1" si="120"/>
        <v>3102838.3150903713</v>
      </c>
      <c r="BB51" s="152">
        <f t="shared" ca="1" si="120"/>
        <v>3167883.3219813439</v>
      </c>
      <c r="BC51" s="152">
        <f t="shared" ca="1" si="120"/>
        <v>3232890.1685979627</v>
      </c>
    </row>
    <row r="53" spans="2:55">
      <c r="B53" s="225" t="s">
        <v>58</v>
      </c>
      <c r="C53" s="215">
        <f ca="1">IF(C4&lt;'General overview'!$C$60,C26,0)</f>
        <v>65205.175712033342</v>
      </c>
      <c r="D53" s="215">
        <f ca="1">IF(D4&lt;'General overview'!$C$60,D26,0)</f>
        <v>67177.379946075482</v>
      </c>
      <c r="E53" s="215">
        <f ca="1">IF(E4&lt;'General overview'!$C$60,E26,0)</f>
        <v>69198.0952301043</v>
      </c>
      <c r="F53" s="215">
        <f ca="1">IF(F4&lt;'General overview'!$C$60,F26,0)</f>
        <v>70277.416942525248</v>
      </c>
      <c r="G53" s="215">
        <f ca="1">IF(G4&lt;'General overview'!$C$60,G26,0)</f>
        <v>57722.59589490958</v>
      </c>
      <c r="H53" s="215">
        <f ca="1">IF(H4&lt;'General overview'!$C$60,H26,0)</f>
        <v>59432.690309393511</v>
      </c>
      <c r="I53" s="215">
        <f ca="1">IF(I4&lt;'General overview'!$C$60,I26,0)</f>
        <v>49501.099164523723</v>
      </c>
      <c r="J53" s="215">
        <f ca="1">IF(J4&lt;'General overview'!$C$60,J26,0)</f>
        <v>50999.908982327615</v>
      </c>
      <c r="K53" s="215">
        <f ca="1">IF(K4&lt;'General overview'!$C$60,K26,0)</f>
        <v>41054.974421052335</v>
      </c>
      <c r="L53" s="215">
        <f ca="1">IF(L4&lt;'General overview'!$C$60,L26,0)</f>
        <v>39402.831631471345</v>
      </c>
      <c r="M53" s="215">
        <f ca="1">IF(M4&lt;'General overview'!$C$60,M26,0)</f>
        <v>12094.948655110231</v>
      </c>
      <c r="N53" s="215">
        <f ca="1">IF(N4&lt;'General overview'!$C$60,N26,0)</f>
        <v>9222.0179061285162</v>
      </c>
      <c r="O53" s="215">
        <f ca="1">IF(O4&lt;'General overview'!$C$60,O26,0)</f>
        <v>10791.963502737111</v>
      </c>
      <c r="P53" s="215">
        <f ca="1">IF(P4&lt;'General overview'!$C$60,P26,0)</f>
        <v>6657.7980630072707</v>
      </c>
      <c r="Q53" s="215">
        <f ca="1">IF(Q4&lt;'General overview'!$C$60,Q26,0)</f>
        <v>8153.3625494409353</v>
      </c>
      <c r="R53" s="215">
        <f ca="1">IF(R4&lt;'General overview'!$C$60,R26,0)</f>
        <v>9687.671462481434</v>
      </c>
      <c r="S53" s="215">
        <f ca="1">IF(S4&lt;'General overview'!$C$60,S26,0)</f>
        <v>11261.830844768498</v>
      </c>
      <c r="T53" s="215">
        <f ca="1">IF(T4&lt;'General overview'!$C$60,T26,0)</f>
        <v>4235.8321580553893</v>
      </c>
      <c r="U53" s="215">
        <f ca="1">IF(U4&lt;'General overview'!$C$60,U26,0)</f>
        <v>5665.8673156733857</v>
      </c>
      <c r="V53" s="215">
        <f ca="1">IF(V4&lt;'General overview'!$C$60,V26,0)</f>
        <v>-2473.9001436197432</v>
      </c>
      <c r="W53" s="215">
        <f ca="1">IF(W4&lt;'General overview'!$C$60,W26,0)</f>
        <v>-1219.4722903317306</v>
      </c>
      <c r="X53" s="215">
        <f ca="1">IF(X4&lt;'General overview'!$C$60,X26,0)</f>
        <v>-10618.894558479951</v>
      </c>
      <c r="Y53" s="215">
        <f ca="1">IF(Y4&lt;'General overview'!$C$60,Y26,0)</f>
        <v>-9192.2458834871359</v>
      </c>
      <c r="Z53" s="215">
        <f ca="1">IF(Z4&lt;'General overview'!$C$60,Z26,0)</f>
        <v>29363.449223130825</v>
      </c>
      <c r="AA53" s="215">
        <f ca="1">IF(AA4&lt;'General overview'!$C$60,AA26,0)</f>
        <v>31376.692390556651</v>
      </c>
      <c r="AB53" s="215">
        <f ca="1">IF(AB4&lt;'General overview'!$C$60,AB26,0)</f>
        <v>70034.346502229106</v>
      </c>
      <c r="AC53" s="215">
        <f ca="1">IF(AC4&lt;'General overview'!$C$60,AC26,0)</f>
        <v>73082.206308252527</v>
      </c>
      <c r="AD53" s="215">
        <f ca="1">IF(AD4&lt;'General overview'!$C$60,AD26,0)</f>
        <v>115129.77609375142</v>
      </c>
      <c r="AE53" s="215">
        <f ca="1">IF(AE4&lt;'General overview'!$C$60,AE26,0)</f>
        <v>119326.98805550952</v>
      </c>
      <c r="AF53" s="215">
        <f ca="1">IF(AF4&lt;'General overview'!$C$60,AF26,0)</f>
        <v>123634.86363339066</v>
      </c>
      <c r="AG53" s="215">
        <f ca="1">IF(AG4&lt;'General overview'!$C$60,AG26,0)</f>
        <v>128056.54318774998</v>
      </c>
      <c r="AH53" s="215">
        <f ca="1">IF(AH4&lt;'General overview'!$C$60,AH26,0)</f>
        <v>132595.25791279878</v>
      </c>
      <c r="AI53" s="215">
        <f ca="1">IF(AI4&lt;'General overview'!$C$60,AI26,0)</f>
        <v>137254.33248165046</v>
      </c>
      <c r="AJ53" s="215">
        <f ca="1">IF(AJ4&lt;'General overview'!$C$60,AJ26,0)</f>
        <v>129026.43585589202</v>
      </c>
      <c r="AK53" s="215">
        <f ca="1">IF(AK4&lt;'General overview'!$C$60,AK26,0)</f>
        <v>133568.93502035207</v>
      </c>
      <c r="AL53" s="215">
        <f ca="1">IF(AL4&lt;'General overview'!$C$60,AL26,0)</f>
        <v>138233.73480092495</v>
      </c>
      <c r="AM53" s="215">
        <f ca="1">IF(AM4&lt;'General overview'!$C$60,AM26,0)</f>
        <v>143024.34799877039</v>
      </c>
      <c r="AN53" s="215">
        <f>IF(AN4&lt;'General overview'!$C$60,AN26,0)</f>
        <v>0</v>
      </c>
      <c r="AO53" s="215">
        <f>IF(AO4&lt;'General overview'!$C$60,AO26,0)</f>
        <v>0</v>
      </c>
      <c r="AP53" s="215">
        <f>IF(AP4&lt;'General overview'!$C$60,AP26,0)</f>
        <v>0</v>
      </c>
      <c r="AQ53" s="215">
        <f>IF(AQ4&lt;'General overview'!$C$60,AQ26,0)</f>
        <v>0</v>
      </c>
      <c r="AR53" s="215">
        <f>IF(AR4&lt;'General overview'!$C$60,AR26,0)</f>
        <v>0</v>
      </c>
      <c r="AS53" s="215">
        <f>IF(AS4&lt;'General overview'!$C$60,AS26,0)</f>
        <v>0</v>
      </c>
      <c r="AT53" s="215">
        <f>IF(AT4&lt;'General overview'!$C$60,AT26,0)</f>
        <v>0</v>
      </c>
      <c r="AU53" s="215">
        <f>IF(AU4&lt;'General overview'!$C$60,AU26,0)</f>
        <v>0</v>
      </c>
      <c r="AV53" s="215">
        <f>IF(AV4&lt;'General overview'!$C$60,AV26,0)</f>
        <v>0</v>
      </c>
      <c r="AW53" s="215">
        <f>IF(AW4&lt;'General overview'!$C$60,AW26,0)</f>
        <v>0</v>
      </c>
      <c r="AX53" s="215">
        <f>IF(AX4&lt;'General overview'!$C$60,AX26,0)</f>
        <v>0</v>
      </c>
      <c r="AY53" s="215">
        <f>IF(AY4&lt;'General overview'!$C$60,AY26,0)</f>
        <v>0</v>
      </c>
      <c r="AZ53" s="215">
        <f>IF(AZ4&lt;'General overview'!$C$60,AZ26,0)</f>
        <v>0</v>
      </c>
      <c r="BA53" s="215">
        <f>IF(BA4&lt;'General overview'!$C$60,BA26,0)</f>
        <v>0</v>
      </c>
      <c r="BB53" s="215">
        <f>IF(BB4&lt;'General overview'!$C$60,BB26,0)</f>
        <v>0</v>
      </c>
      <c r="BC53" s="215">
        <f>IF(BC4&lt;'General overview'!$C$60,BC26,0)</f>
        <v>0</v>
      </c>
    </row>
    <row r="54" spans="2:55">
      <c r="C54" s="145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45"/>
      <c r="AR54" s="145"/>
      <c r="AS54" s="145"/>
      <c r="AT54" s="145"/>
      <c r="AU54" s="145"/>
      <c r="AV54" s="145"/>
      <c r="AW54" s="145"/>
      <c r="AX54" s="145"/>
      <c r="AY54" s="145"/>
      <c r="AZ54" s="145"/>
      <c r="BA54" s="145"/>
      <c r="BB54" s="145"/>
      <c r="BC54" s="145"/>
    </row>
    <row r="55" spans="2:55">
      <c r="B55" s="224" t="s">
        <v>4876</v>
      </c>
      <c r="C55" s="216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  <c r="O55" s="216"/>
      <c r="P55" s="216"/>
      <c r="Q55" s="216"/>
      <c r="R55" s="216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  <c r="AG55" s="216"/>
      <c r="AH55" s="216"/>
      <c r="AI55" s="216"/>
      <c r="AJ55" s="216"/>
      <c r="AK55" s="216"/>
      <c r="AL55" s="216"/>
      <c r="AM55" s="216"/>
      <c r="AN55" s="216"/>
      <c r="AO55" s="216"/>
      <c r="AP55" s="216"/>
      <c r="AQ55" s="216"/>
      <c r="AR55" s="216"/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</row>
    <row r="56" spans="2:55">
      <c r="B56" t="s">
        <v>7</v>
      </c>
      <c r="C56" s="145">
        <f t="shared" ref="C56:AH56" ca="1" si="121">IF(C105=1,C$53*C118,0)</f>
        <v>57792.98842355673</v>
      </c>
      <c r="D56" s="145" t="e">
        <f t="shared" ca="1" si="121"/>
        <v>#REF!</v>
      </c>
      <c r="E56" s="145" t="e">
        <f t="shared" ca="1" si="121"/>
        <v>#REF!</v>
      </c>
      <c r="F56" s="145" t="e">
        <f t="shared" ca="1" si="121"/>
        <v>#REF!</v>
      </c>
      <c r="G56" s="145" t="e">
        <f t="shared" ca="1" si="121"/>
        <v>#REF!</v>
      </c>
      <c r="H56" s="145" t="e">
        <f t="shared" ca="1" si="121"/>
        <v>#REF!</v>
      </c>
      <c r="I56" s="145" t="e">
        <f t="shared" ca="1" si="121"/>
        <v>#REF!</v>
      </c>
      <c r="J56" s="145" t="e">
        <f t="shared" ca="1" si="121"/>
        <v>#REF!</v>
      </c>
      <c r="K56" s="145" t="e">
        <f t="shared" ca="1" si="121"/>
        <v>#REF!</v>
      </c>
      <c r="L56" s="145">
        <f t="shared" ca="1" si="121"/>
        <v>36067.488522771528</v>
      </c>
      <c r="M56" s="145">
        <f t="shared" si="121"/>
        <v>0</v>
      </c>
      <c r="N56" s="145">
        <f t="shared" si="121"/>
        <v>0</v>
      </c>
      <c r="O56" s="145">
        <f t="shared" si="121"/>
        <v>0</v>
      </c>
      <c r="P56" s="145">
        <f t="shared" si="121"/>
        <v>0</v>
      </c>
      <c r="Q56" s="145">
        <f t="shared" si="121"/>
        <v>0</v>
      </c>
      <c r="R56" s="145">
        <f t="shared" si="121"/>
        <v>0</v>
      </c>
      <c r="S56" s="145">
        <f t="shared" si="121"/>
        <v>0</v>
      </c>
      <c r="T56" s="145">
        <f t="shared" si="121"/>
        <v>0</v>
      </c>
      <c r="U56" s="145">
        <f t="shared" si="121"/>
        <v>0</v>
      </c>
      <c r="V56" s="145">
        <f t="shared" si="121"/>
        <v>0</v>
      </c>
      <c r="W56" s="145">
        <f t="shared" si="121"/>
        <v>0</v>
      </c>
      <c r="X56" s="145">
        <f t="shared" si="121"/>
        <v>0</v>
      </c>
      <c r="Y56" s="145">
        <f t="shared" si="121"/>
        <v>0</v>
      </c>
      <c r="Z56" s="145">
        <f t="shared" si="121"/>
        <v>0</v>
      </c>
      <c r="AA56" s="145">
        <f t="shared" si="121"/>
        <v>0</v>
      </c>
      <c r="AB56" s="145">
        <f t="shared" si="121"/>
        <v>0</v>
      </c>
      <c r="AC56" s="145">
        <f t="shared" si="121"/>
        <v>0</v>
      </c>
      <c r="AD56" s="145">
        <f t="shared" si="121"/>
        <v>0</v>
      </c>
      <c r="AE56" s="145">
        <f t="shared" si="121"/>
        <v>0</v>
      </c>
      <c r="AF56" s="145">
        <f t="shared" si="121"/>
        <v>0</v>
      </c>
      <c r="AG56" s="145">
        <f t="shared" si="121"/>
        <v>0</v>
      </c>
      <c r="AH56" s="145">
        <f t="shared" si="121"/>
        <v>0</v>
      </c>
      <c r="AI56" s="145">
        <f t="shared" ref="AI56:BC56" si="122">IF(AI105=1,AI$53*AI118,0)</f>
        <v>0</v>
      </c>
      <c r="AJ56" s="145">
        <f t="shared" si="122"/>
        <v>0</v>
      </c>
      <c r="AK56" s="145">
        <f t="shared" si="122"/>
        <v>0</v>
      </c>
      <c r="AL56" s="145">
        <f t="shared" si="122"/>
        <v>0</v>
      </c>
      <c r="AM56" s="145">
        <f t="shared" si="122"/>
        <v>0</v>
      </c>
      <c r="AN56" s="145">
        <f t="shared" si="122"/>
        <v>0</v>
      </c>
      <c r="AO56" s="145">
        <f t="shared" si="122"/>
        <v>0</v>
      </c>
      <c r="AP56" s="145">
        <f t="shared" si="122"/>
        <v>0</v>
      </c>
      <c r="AQ56" s="145">
        <f t="shared" si="122"/>
        <v>0</v>
      </c>
      <c r="AR56" s="145">
        <f t="shared" si="122"/>
        <v>0</v>
      </c>
      <c r="AS56" s="145">
        <f t="shared" si="122"/>
        <v>0</v>
      </c>
      <c r="AT56" s="145">
        <f t="shared" si="122"/>
        <v>0</v>
      </c>
      <c r="AU56" s="145">
        <f t="shared" si="122"/>
        <v>0</v>
      </c>
      <c r="AV56" s="145">
        <f t="shared" si="122"/>
        <v>0</v>
      </c>
      <c r="AW56" s="145">
        <f t="shared" si="122"/>
        <v>0</v>
      </c>
      <c r="AX56" s="145">
        <f t="shared" si="122"/>
        <v>0</v>
      </c>
      <c r="AY56" s="145">
        <f t="shared" si="122"/>
        <v>0</v>
      </c>
      <c r="AZ56" s="145">
        <f t="shared" si="122"/>
        <v>0</v>
      </c>
      <c r="BA56" s="145">
        <f t="shared" si="122"/>
        <v>0</v>
      </c>
      <c r="BB56" s="145">
        <f t="shared" si="122"/>
        <v>0</v>
      </c>
      <c r="BC56" s="145">
        <f t="shared" si="122"/>
        <v>0</v>
      </c>
    </row>
    <row r="57" spans="2:55">
      <c r="B57" t="s">
        <v>9</v>
      </c>
      <c r="C57" s="145">
        <f t="shared" ref="C57:AH57" ca="1" si="123">IF(C106=1,C$53*C119,0)</f>
        <v>4129.9829252790141</v>
      </c>
      <c r="D57" s="145" t="e">
        <f t="shared" ca="1" si="123"/>
        <v>#REF!</v>
      </c>
      <c r="E57" s="145" t="e">
        <f t="shared" ca="1" si="123"/>
        <v>#REF!</v>
      </c>
      <c r="F57" s="145" t="e">
        <f t="shared" ca="1" si="123"/>
        <v>#REF!</v>
      </c>
      <c r="G57" s="145" t="e">
        <f t="shared" ca="1" si="123"/>
        <v>#REF!</v>
      </c>
      <c r="H57" s="145" t="e">
        <f t="shared" ca="1" si="123"/>
        <v>#REF!</v>
      </c>
      <c r="I57" s="145" t="e">
        <f t="shared" ca="1" si="123"/>
        <v>#REF!</v>
      </c>
      <c r="J57" s="145" t="e">
        <f t="shared" ca="1" si="123"/>
        <v>#REF!</v>
      </c>
      <c r="K57" s="145" t="e">
        <f t="shared" ca="1" si="123"/>
        <v>#REF!</v>
      </c>
      <c r="L57" s="145">
        <f t="shared" ca="1" si="123"/>
        <v>2311.5528466739665</v>
      </c>
      <c r="M57" s="145">
        <f t="shared" ca="1" si="123"/>
        <v>8382.3798880452086</v>
      </c>
      <c r="N57" s="145">
        <f t="shared" ca="1" si="123"/>
        <v>6391.3009991045665</v>
      </c>
      <c r="O57" s="145">
        <f t="shared" ca="1" si="123"/>
        <v>10791.963502737111</v>
      </c>
      <c r="P57" s="145">
        <f t="shared" ca="1" si="123"/>
        <v>6657.7980630072707</v>
      </c>
      <c r="Q57" s="145">
        <f t="shared" ca="1" si="123"/>
        <v>8153.3625494409353</v>
      </c>
      <c r="R57" s="145">
        <f t="shared" ca="1" si="123"/>
        <v>9687.671462481434</v>
      </c>
      <c r="S57" s="145">
        <f t="shared" ca="1" si="123"/>
        <v>11261.830844768498</v>
      </c>
      <c r="T57" s="145">
        <f t="shared" ca="1" si="123"/>
        <v>4235.8321580553893</v>
      </c>
      <c r="U57" s="145">
        <f t="shared" ca="1" si="123"/>
        <v>5665.8673156733857</v>
      </c>
      <c r="V57" s="145">
        <f t="shared" ca="1" si="123"/>
        <v>-2473.9001436197432</v>
      </c>
      <c r="W57" s="145">
        <f t="shared" ca="1" si="123"/>
        <v>-1219.4722903317306</v>
      </c>
      <c r="X57" s="145">
        <f t="shared" ca="1" si="123"/>
        <v>-10618.894558479951</v>
      </c>
      <c r="Y57" s="145">
        <f t="shared" si="123"/>
        <v>0</v>
      </c>
      <c r="Z57" s="145">
        <f t="shared" si="123"/>
        <v>0</v>
      </c>
      <c r="AA57" s="145">
        <f t="shared" si="123"/>
        <v>0</v>
      </c>
      <c r="AB57" s="145">
        <f t="shared" si="123"/>
        <v>0</v>
      </c>
      <c r="AC57" s="145">
        <f t="shared" si="123"/>
        <v>0</v>
      </c>
      <c r="AD57" s="145">
        <f t="shared" si="123"/>
        <v>0</v>
      </c>
      <c r="AE57" s="145">
        <f t="shared" si="123"/>
        <v>0</v>
      </c>
      <c r="AF57" s="145">
        <f t="shared" si="123"/>
        <v>0</v>
      </c>
      <c r="AG57" s="145">
        <f t="shared" si="123"/>
        <v>0</v>
      </c>
      <c r="AH57" s="145">
        <f t="shared" si="123"/>
        <v>0</v>
      </c>
      <c r="AI57" s="145">
        <f t="shared" ref="AI57:BC57" si="124">IF(AI106=1,AI$53*AI119,0)</f>
        <v>0</v>
      </c>
      <c r="AJ57" s="145">
        <f t="shared" si="124"/>
        <v>0</v>
      </c>
      <c r="AK57" s="145">
        <f t="shared" si="124"/>
        <v>0</v>
      </c>
      <c r="AL57" s="145">
        <f t="shared" si="124"/>
        <v>0</v>
      </c>
      <c r="AM57" s="145">
        <f t="shared" si="124"/>
        <v>0</v>
      </c>
      <c r="AN57" s="145">
        <f t="shared" si="124"/>
        <v>0</v>
      </c>
      <c r="AO57" s="145">
        <f t="shared" si="124"/>
        <v>0</v>
      </c>
      <c r="AP57" s="145">
        <f t="shared" si="124"/>
        <v>0</v>
      </c>
      <c r="AQ57" s="145">
        <f t="shared" si="124"/>
        <v>0</v>
      </c>
      <c r="AR57" s="145">
        <f t="shared" si="124"/>
        <v>0</v>
      </c>
      <c r="AS57" s="145">
        <f t="shared" si="124"/>
        <v>0</v>
      </c>
      <c r="AT57" s="145">
        <f t="shared" si="124"/>
        <v>0</v>
      </c>
      <c r="AU57" s="145">
        <f t="shared" si="124"/>
        <v>0</v>
      </c>
      <c r="AV57" s="145">
        <f t="shared" si="124"/>
        <v>0</v>
      </c>
      <c r="AW57" s="145">
        <f t="shared" si="124"/>
        <v>0</v>
      </c>
      <c r="AX57" s="145">
        <f t="shared" si="124"/>
        <v>0</v>
      </c>
      <c r="AY57" s="145">
        <f t="shared" si="124"/>
        <v>0</v>
      </c>
      <c r="AZ57" s="145">
        <f t="shared" si="124"/>
        <v>0</v>
      </c>
      <c r="BA57" s="145">
        <f t="shared" si="124"/>
        <v>0</v>
      </c>
      <c r="BB57" s="145">
        <f t="shared" si="124"/>
        <v>0</v>
      </c>
      <c r="BC57" s="145">
        <f t="shared" si="124"/>
        <v>0</v>
      </c>
    </row>
    <row r="58" spans="2:55">
      <c r="B58" t="s">
        <v>35</v>
      </c>
      <c r="C58" s="145">
        <f t="shared" ref="C58:AH58" ca="1" si="125">IF(C107=1,C$53*C120,0)</f>
        <v>1682.0396118581559</v>
      </c>
      <c r="D58" s="145" t="e">
        <f t="shared" ca="1" si="125"/>
        <v>#REF!</v>
      </c>
      <c r="E58" s="145" t="e">
        <f t="shared" ca="1" si="125"/>
        <v>#REF!</v>
      </c>
      <c r="F58" s="145" t="e">
        <f t="shared" ca="1" si="125"/>
        <v>#REF!</v>
      </c>
      <c r="G58" s="145" t="e">
        <f t="shared" ca="1" si="125"/>
        <v>#REF!</v>
      </c>
      <c r="H58" s="145" t="e">
        <f t="shared" ca="1" si="125"/>
        <v>#REF!</v>
      </c>
      <c r="I58" s="145" t="e">
        <f t="shared" ca="1" si="125"/>
        <v>#REF!</v>
      </c>
      <c r="J58" s="145" t="e">
        <f t="shared" ca="1" si="125"/>
        <v>#REF!</v>
      </c>
      <c r="K58" s="145" t="e">
        <f t="shared" ca="1" si="125"/>
        <v>#REF!</v>
      </c>
      <c r="L58" s="145">
        <f t="shared" ca="1" si="125"/>
        <v>1023.7902620258492</v>
      </c>
      <c r="M58" s="145">
        <f t="shared" ca="1" si="125"/>
        <v>3712.5687670650232</v>
      </c>
      <c r="N58" s="145">
        <f t="shared" ca="1" si="125"/>
        <v>2830.7169070239493</v>
      </c>
      <c r="O58" s="145">
        <f t="shared" si="125"/>
        <v>0</v>
      </c>
      <c r="P58" s="145">
        <f t="shared" si="125"/>
        <v>0</v>
      </c>
      <c r="Q58" s="145">
        <f t="shared" si="125"/>
        <v>0</v>
      </c>
      <c r="R58" s="145">
        <f t="shared" si="125"/>
        <v>0</v>
      </c>
      <c r="S58" s="145">
        <f t="shared" si="125"/>
        <v>0</v>
      </c>
      <c r="T58" s="145">
        <f t="shared" si="125"/>
        <v>0</v>
      </c>
      <c r="U58" s="145">
        <f t="shared" si="125"/>
        <v>0</v>
      </c>
      <c r="V58" s="145">
        <f t="shared" si="125"/>
        <v>0</v>
      </c>
      <c r="W58" s="145">
        <f t="shared" si="125"/>
        <v>0</v>
      </c>
      <c r="X58" s="145">
        <f t="shared" si="125"/>
        <v>0</v>
      </c>
      <c r="Y58" s="145">
        <f t="shared" si="125"/>
        <v>0</v>
      </c>
      <c r="Z58" s="145">
        <f t="shared" si="125"/>
        <v>0</v>
      </c>
      <c r="AA58" s="145">
        <f t="shared" si="125"/>
        <v>0</v>
      </c>
      <c r="AB58" s="145">
        <f t="shared" si="125"/>
        <v>0</v>
      </c>
      <c r="AC58" s="145">
        <f t="shared" si="125"/>
        <v>0</v>
      </c>
      <c r="AD58" s="145">
        <f t="shared" si="125"/>
        <v>0</v>
      </c>
      <c r="AE58" s="145">
        <f t="shared" si="125"/>
        <v>0</v>
      </c>
      <c r="AF58" s="145">
        <f t="shared" si="125"/>
        <v>0</v>
      </c>
      <c r="AG58" s="145">
        <f t="shared" si="125"/>
        <v>0</v>
      </c>
      <c r="AH58" s="145">
        <f t="shared" si="125"/>
        <v>0</v>
      </c>
      <c r="AI58" s="145">
        <f t="shared" ref="AI58:BC58" si="126">IF(AI107=1,AI$53*AI120,0)</f>
        <v>0</v>
      </c>
      <c r="AJ58" s="145">
        <f t="shared" si="126"/>
        <v>0</v>
      </c>
      <c r="AK58" s="145">
        <f t="shared" si="126"/>
        <v>0</v>
      </c>
      <c r="AL58" s="145">
        <f t="shared" si="126"/>
        <v>0</v>
      </c>
      <c r="AM58" s="145">
        <f t="shared" si="126"/>
        <v>0</v>
      </c>
      <c r="AN58" s="145">
        <f t="shared" si="126"/>
        <v>0</v>
      </c>
      <c r="AO58" s="145">
        <f t="shared" si="126"/>
        <v>0</v>
      </c>
      <c r="AP58" s="145">
        <f t="shared" si="126"/>
        <v>0</v>
      </c>
      <c r="AQ58" s="145">
        <f t="shared" si="126"/>
        <v>0</v>
      </c>
      <c r="AR58" s="145">
        <f t="shared" si="126"/>
        <v>0</v>
      </c>
      <c r="AS58" s="145">
        <f t="shared" si="126"/>
        <v>0</v>
      </c>
      <c r="AT58" s="145">
        <f t="shared" si="126"/>
        <v>0</v>
      </c>
      <c r="AU58" s="145">
        <f t="shared" si="126"/>
        <v>0</v>
      </c>
      <c r="AV58" s="145">
        <f t="shared" si="126"/>
        <v>0</v>
      </c>
      <c r="AW58" s="145">
        <f t="shared" si="126"/>
        <v>0</v>
      </c>
      <c r="AX58" s="145">
        <f t="shared" si="126"/>
        <v>0</v>
      </c>
      <c r="AY58" s="145">
        <f t="shared" si="126"/>
        <v>0</v>
      </c>
      <c r="AZ58" s="145">
        <f t="shared" si="126"/>
        <v>0</v>
      </c>
      <c r="BA58" s="145">
        <f t="shared" si="126"/>
        <v>0</v>
      </c>
      <c r="BB58" s="145">
        <f t="shared" si="126"/>
        <v>0</v>
      </c>
      <c r="BC58" s="145">
        <f t="shared" si="126"/>
        <v>0</v>
      </c>
    </row>
    <row r="59" spans="2:55">
      <c r="B59" t="s">
        <v>32</v>
      </c>
      <c r="C59" s="145">
        <f t="shared" ref="C59:AH59" ca="1" si="127">IF(C108=1,C$53*C121,0)</f>
        <v>1001.0053557306802</v>
      </c>
      <c r="D59" s="145" t="e">
        <f t="shared" ca="1" si="127"/>
        <v>#REF!</v>
      </c>
      <c r="E59" s="145" t="e">
        <f t="shared" ca="1" si="127"/>
        <v>#REF!</v>
      </c>
      <c r="F59" s="145">
        <f t="shared" si="127"/>
        <v>0</v>
      </c>
      <c r="G59" s="145">
        <f t="shared" si="127"/>
        <v>0</v>
      </c>
      <c r="H59" s="145">
        <f t="shared" si="127"/>
        <v>0</v>
      </c>
      <c r="I59" s="145">
        <f t="shared" si="127"/>
        <v>0</v>
      </c>
      <c r="J59" s="145">
        <f t="shared" si="127"/>
        <v>0</v>
      </c>
      <c r="K59" s="145">
        <f t="shared" si="127"/>
        <v>0</v>
      </c>
      <c r="L59" s="145">
        <f t="shared" si="127"/>
        <v>0</v>
      </c>
      <c r="M59" s="145">
        <f t="shared" si="127"/>
        <v>0</v>
      </c>
      <c r="N59" s="145">
        <f t="shared" si="127"/>
        <v>0</v>
      </c>
      <c r="O59" s="145">
        <f t="shared" si="127"/>
        <v>0</v>
      </c>
      <c r="P59" s="145">
        <f t="shared" si="127"/>
        <v>0</v>
      </c>
      <c r="Q59" s="145">
        <f t="shared" si="127"/>
        <v>0</v>
      </c>
      <c r="R59" s="145">
        <f t="shared" si="127"/>
        <v>0</v>
      </c>
      <c r="S59" s="145">
        <f t="shared" si="127"/>
        <v>0</v>
      </c>
      <c r="T59" s="145">
        <f t="shared" si="127"/>
        <v>0</v>
      </c>
      <c r="U59" s="145">
        <f t="shared" si="127"/>
        <v>0</v>
      </c>
      <c r="V59" s="145">
        <f t="shared" si="127"/>
        <v>0</v>
      </c>
      <c r="W59" s="145">
        <f t="shared" si="127"/>
        <v>0</v>
      </c>
      <c r="X59" s="145">
        <f t="shared" si="127"/>
        <v>0</v>
      </c>
      <c r="Y59" s="145">
        <f t="shared" si="127"/>
        <v>0</v>
      </c>
      <c r="Z59" s="145">
        <f t="shared" si="127"/>
        <v>0</v>
      </c>
      <c r="AA59" s="145">
        <f t="shared" si="127"/>
        <v>0</v>
      </c>
      <c r="AB59" s="145">
        <f t="shared" si="127"/>
        <v>0</v>
      </c>
      <c r="AC59" s="145">
        <f t="shared" si="127"/>
        <v>0</v>
      </c>
      <c r="AD59" s="145">
        <f t="shared" si="127"/>
        <v>0</v>
      </c>
      <c r="AE59" s="145">
        <f t="shared" si="127"/>
        <v>0</v>
      </c>
      <c r="AF59" s="145">
        <f t="shared" si="127"/>
        <v>0</v>
      </c>
      <c r="AG59" s="145">
        <f t="shared" si="127"/>
        <v>0</v>
      </c>
      <c r="AH59" s="145">
        <f t="shared" si="127"/>
        <v>0</v>
      </c>
      <c r="AI59" s="145">
        <f t="shared" ref="AI59:BC59" si="128">IF(AI108=1,AI$53*AI121,0)</f>
        <v>0</v>
      </c>
      <c r="AJ59" s="145">
        <f t="shared" si="128"/>
        <v>0</v>
      </c>
      <c r="AK59" s="145">
        <f t="shared" si="128"/>
        <v>0</v>
      </c>
      <c r="AL59" s="145">
        <f t="shared" si="128"/>
        <v>0</v>
      </c>
      <c r="AM59" s="145">
        <f t="shared" si="128"/>
        <v>0</v>
      </c>
      <c r="AN59" s="145">
        <f t="shared" si="128"/>
        <v>0</v>
      </c>
      <c r="AO59" s="145">
        <f t="shared" si="128"/>
        <v>0</v>
      </c>
      <c r="AP59" s="145">
        <f t="shared" si="128"/>
        <v>0</v>
      </c>
      <c r="AQ59" s="145">
        <f t="shared" si="128"/>
        <v>0</v>
      </c>
      <c r="AR59" s="145">
        <f t="shared" si="128"/>
        <v>0</v>
      </c>
      <c r="AS59" s="145">
        <f t="shared" si="128"/>
        <v>0</v>
      </c>
      <c r="AT59" s="145">
        <f t="shared" si="128"/>
        <v>0</v>
      </c>
      <c r="AU59" s="145">
        <f t="shared" si="128"/>
        <v>0</v>
      </c>
      <c r="AV59" s="145">
        <f t="shared" si="128"/>
        <v>0</v>
      </c>
      <c r="AW59" s="145">
        <f t="shared" si="128"/>
        <v>0</v>
      </c>
      <c r="AX59" s="145">
        <f t="shared" si="128"/>
        <v>0</v>
      </c>
      <c r="AY59" s="145">
        <f t="shared" si="128"/>
        <v>0</v>
      </c>
      <c r="AZ59" s="145">
        <f t="shared" si="128"/>
        <v>0</v>
      </c>
      <c r="BA59" s="145">
        <f t="shared" si="128"/>
        <v>0</v>
      </c>
      <c r="BB59" s="145">
        <f t="shared" si="128"/>
        <v>0</v>
      </c>
      <c r="BC59" s="145">
        <f t="shared" si="128"/>
        <v>0</v>
      </c>
    </row>
    <row r="60" spans="2:55">
      <c r="B60" t="s">
        <v>17</v>
      </c>
      <c r="C60" s="145">
        <f t="shared" ref="C60:AH60" ca="1" si="129">IF(C109=1,C$53*C122,0)</f>
        <v>599.15939560876825</v>
      </c>
      <c r="D60" s="145" t="e">
        <f t="shared" ca="1" si="129"/>
        <v>#REF!</v>
      </c>
      <c r="E60" s="145">
        <f t="shared" si="129"/>
        <v>0</v>
      </c>
      <c r="F60" s="145">
        <f t="shared" si="129"/>
        <v>0</v>
      </c>
      <c r="G60" s="145">
        <f t="shared" si="129"/>
        <v>0</v>
      </c>
      <c r="H60" s="145">
        <f t="shared" si="129"/>
        <v>0</v>
      </c>
      <c r="I60" s="145">
        <f t="shared" si="129"/>
        <v>0</v>
      </c>
      <c r="J60" s="145">
        <f t="shared" si="129"/>
        <v>0</v>
      </c>
      <c r="K60" s="145">
        <f t="shared" si="129"/>
        <v>0</v>
      </c>
      <c r="L60" s="145">
        <f t="shared" si="129"/>
        <v>0</v>
      </c>
      <c r="M60" s="145">
        <f t="shared" si="129"/>
        <v>0</v>
      </c>
      <c r="N60" s="145">
        <f t="shared" si="129"/>
        <v>0</v>
      </c>
      <c r="O60" s="145">
        <f t="shared" si="129"/>
        <v>0</v>
      </c>
      <c r="P60" s="145">
        <f t="shared" si="129"/>
        <v>0</v>
      </c>
      <c r="Q60" s="145">
        <f t="shared" si="129"/>
        <v>0</v>
      </c>
      <c r="R60" s="145">
        <f t="shared" si="129"/>
        <v>0</v>
      </c>
      <c r="S60" s="145">
        <f t="shared" si="129"/>
        <v>0</v>
      </c>
      <c r="T60" s="145">
        <f t="shared" si="129"/>
        <v>0</v>
      </c>
      <c r="U60" s="145">
        <f t="shared" si="129"/>
        <v>0</v>
      </c>
      <c r="V60" s="145">
        <f t="shared" si="129"/>
        <v>0</v>
      </c>
      <c r="W60" s="145">
        <f t="shared" si="129"/>
        <v>0</v>
      </c>
      <c r="X60" s="145">
        <f t="shared" si="129"/>
        <v>0</v>
      </c>
      <c r="Y60" s="145">
        <f t="shared" si="129"/>
        <v>0</v>
      </c>
      <c r="Z60" s="145">
        <f t="shared" si="129"/>
        <v>0</v>
      </c>
      <c r="AA60" s="145">
        <f t="shared" si="129"/>
        <v>0</v>
      </c>
      <c r="AB60" s="145">
        <f t="shared" si="129"/>
        <v>0</v>
      </c>
      <c r="AC60" s="145">
        <f t="shared" si="129"/>
        <v>0</v>
      </c>
      <c r="AD60" s="145">
        <f t="shared" si="129"/>
        <v>0</v>
      </c>
      <c r="AE60" s="145">
        <f t="shared" si="129"/>
        <v>0</v>
      </c>
      <c r="AF60" s="145">
        <f t="shared" si="129"/>
        <v>0</v>
      </c>
      <c r="AG60" s="145">
        <f t="shared" si="129"/>
        <v>0</v>
      </c>
      <c r="AH60" s="145">
        <f t="shared" si="129"/>
        <v>0</v>
      </c>
      <c r="AI60" s="145">
        <f t="shared" ref="AI60:BC60" si="130">IF(AI109=1,AI$53*AI122,0)</f>
        <v>0</v>
      </c>
      <c r="AJ60" s="145">
        <f t="shared" si="130"/>
        <v>0</v>
      </c>
      <c r="AK60" s="145">
        <f t="shared" si="130"/>
        <v>0</v>
      </c>
      <c r="AL60" s="145">
        <f t="shared" si="130"/>
        <v>0</v>
      </c>
      <c r="AM60" s="145">
        <f t="shared" si="130"/>
        <v>0</v>
      </c>
      <c r="AN60" s="145">
        <f t="shared" si="130"/>
        <v>0</v>
      </c>
      <c r="AO60" s="145">
        <f t="shared" si="130"/>
        <v>0</v>
      </c>
      <c r="AP60" s="145">
        <f t="shared" si="130"/>
        <v>0</v>
      </c>
      <c r="AQ60" s="145">
        <f t="shared" si="130"/>
        <v>0</v>
      </c>
      <c r="AR60" s="145">
        <f t="shared" si="130"/>
        <v>0</v>
      </c>
      <c r="AS60" s="145">
        <f t="shared" si="130"/>
        <v>0</v>
      </c>
      <c r="AT60" s="145">
        <f t="shared" si="130"/>
        <v>0</v>
      </c>
      <c r="AU60" s="145">
        <f t="shared" si="130"/>
        <v>0</v>
      </c>
      <c r="AV60" s="145">
        <f t="shared" si="130"/>
        <v>0</v>
      </c>
      <c r="AW60" s="145">
        <f t="shared" si="130"/>
        <v>0</v>
      </c>
      <c r="AX60" s="145">
        <f t="shared" si="130"/>
        <v>0</v>
      </c>
      <c r="AY60" s="145">
        <f t="shared" si="130"/>
        <v>0</v>
      </c>
      <c r="AZ60" s="145">
        <f t="shared" si="130"/>
        <v>0</v>
      </c>
      <c r="BA60" s="145">
        <f t="shared" si="130"/>
        <v>0</v>
      </c>
      <c r="BB60" s="145">
        <f t="shared" si="130"/>
        <v>0</v>
      </c>
      <c r="BC60" s="145">
        <f t="shared" si="130"/>
        <v>0</v>
      </c>
    </row>
    <row r="61" spans="2:55">
      <c r="B61" t="s">
        <v>19</v>
      </c>
      <c r="C61" s="145">
        <f t="shared" ref="C61:AH61" ca="1" si="131">IF(C110=1,C$53*C123,0)</f>
        <v>0</v>
      </c>
      <c r="D61" s="145" t="e">
        <f t="shared" ca="1" si="131"/>
        <v>#REF!</v>
      </c>
      <c r="E61" s="145" t="e">
        <f t="shared" ca="1" si="131"/>
        <v>#REF!</v>
      </c>
      <c r="F61" s="145" t="e">
        <f t="shared" ca="1" si="131"/>
        <v>#REF!</v>
      </c>
      <c r="G61" s="145" t="e">
        <f t="shared" ca="1" si="131"/>
        <v>#REF!</v>
      </c>
      <c r="H61" s="145" t="e">
        <f t="shared" ca="1" si="131"/>
        <v>#REF!</v>
      </c>
      <c r="I61" s="145" t="e">
        <f t="shared" ca="1" si="131"/>
        <v>#REF!</v>
      </c>
      <c r="J61" s="145" t="e">
        <f t="shared" ca="1" si="131"/>
        <v>#REF!</v>
      </c>
      <c r="K61" s="145" t="e">
        <f t="shared" ca="1" si="131"/>
        <v>#REF!</v>
      </c>
      <c r="L61" s="145">
        <f t="shared" ca="1" si="131"/>
        <v>0</v>
      </c>
      <c r="M61" s="145">
        <f t="shared" ca="1" si="131"/>
        <v>0</v>
      </c>
      <c r="N61" s="145">
        <f t="shared" ca="1" si="131"/>
        <v>0</v>
      </c>
      <c r="O61" s="145">
        <f t="shared" ca="1" si="131"/>
        <v>0</v>
      </c>
      <c r="P61" s="145">
        <f t="shared" ca="1" si="131"/>
        <v>0</v>
      </c>
      <c r="Q61" s="145">
        <f t="shared" ca="1" si="131"/>
        <v>0</v>
      </c>
      <c r="R61" s="145">
        <f t="shared" ca="1" si="131"/>
        <v>0</v>
      </c>
      <c r="S61" s="145">
        <f t="shared" ca="1" si="131"/>
        <v>0</v>
      </c>
      <c r="T61" s="145">
        <f t="shared" ca="1" si="131"/>
        <v>0</v>
      </c>
      <c r="U61" s="145">
        <f t="shared" ca="1" si="131"/>
        <v>0</v>
      </c>
      <c r="V61" s="145">
        <f t="shared" ca="1" si="131"/>
        <v>0</v>
      </c>
      <c r="W61" s="145">
        <f t="shared" ca="1" si="131"/>
        <v>0</v>
      </c>
      <c r="X61" s="145">
        <f t="shared" ca="1" si="131"/>
        <v>0</v>
      </c>
      <c r="Y61" s="145" t="e">
        <f t="shared" ca="1" si="131"/>
        <v>#DIV/0!</v>
      </c>
      <c r="Z61" s="145" t="e">
        <f t="shared" ca="1" si="131"/>
        <v>#DIV/0!</v>
      </c>
      <c r="AA61" s="145" t="e">
        <f t="shared" ca="1" si="131"/>
        <v>#DIV/0!</v>
      </c>
      <c r="AB61" s="145" t="e">
        <f t="shared" ca="1" si="131"/>
        <v>#DIV/0!</v>
      </c>
      <c r="AC61" s="145" t="e">
        <f t="shared" ca="1" si="131"/>
        <v>#DIV/0!</v>
      </c>
      <c r="AD61" s="145" t="e">
        <f t="shared" ca="1" si="131"/>
        <v>#DIV/0!</v>
      </c>
      <c r="AE61" s="145" t="e">
        <f t="shared" ca="1" si="131"/>
        <v>#DIV/0!</v>
      </c>
      <c r="AF61" s="145" t="e">
        <f t="shared" ca="1" si="131"/>
        <v>#DIV/0!</v>
      </c>
      <c r="AG61" s="145" t="e">
        <f t="shared" ca="1" si="131"/>
        <v>#DIV/0!</v>
      </c>
      <c r="AH61" s="145" t="e">
        <f t="shared" ca="1" si="131"/>
        <v>#DIV/0!</v>
      </c>
      <c r="AI61" s="145" t="e">
        <f t="shared" ref="AI61:BC61" ca="1" si="132">IF(AI110=1,AI$53*AI123,0)</f>
        <v>#DIV/0!</v>
      </c>
      <c r="AJ61" s="145" t="e">
        <f t="shared" ca="1" si="132"/>
        <v>#DIV/0!</v>
      </c>
      <c r="AK61" s="145" t="e">
        <f t="shared" ca="1" si="132"/>
        <v>#DIV/0!</v>
      </c>
      <c r="AL61" s="145" t="e">
        <f t="shared" ca="1" si="132"/>
        <v>#DIV/0!</v>
      </c>
      <c r="AM61" s="145" t="e">
        <f t="shared" ca="1" si="132"/>
        <v>#DIV/0!</v>
      </c>
      <c r="AN61" s="145">
        <f t="shared" si="132"/>
        <v>0</v>
      </c>
      <c r="AO61" s="145">
        <f t="shared" si="132"/>
        <v>0</v>
      </c>
      <c r="AP61" s="145">
        <f t="shared" si="132"/>
        <v>0</v>
      </c>
      <c r="AQ61" s="145">
        <f t="shared" si="132"/>
        <v>0</v>
      </c>
      <c r="AR61" s="145">
        <f t="shared" si="132"/>
        <v>0</v>
      </c>
      <c r="AS61" s="145">
        <f t="shared" si="132"/>
        <v>0</v>
      </c>
      <c r="AT61" s="145">
        <f t="shared" si="132"/>
        <v>0</v>
      </c>
      <c r="AU61" s="145">
        <f t="shared" si="132"/>
        <v>0</v>
      </c>
      <c r="AV61" s="145">
        <f t="shared" si="132"/>
        <v>0</v>
      </c>
      <c r="AW61" s="145">
        <f t="shared" si="132"/>
        <v>0</v>
      </c>
      <c r="AX61" s="145">
        <f t="shared" si="132"/>
        <v>0</v>
      </c>
      <c r="AY61" s="145">
        <f t="shared" si="132"/>
        <v>0</v>
      </c>
      <c r="AZ61" s="145">
        <f t="shared" si="132"/>
        <v>0</v>
      </c>
      <c r="BA61" s="145">
        <f t="shared" si="132"/>
        <v>0</v>
      </c>
      <c r="BB61" s="145">
        <f t="shared" si="132"/>
        <v>0</v>
      </c>
      <c r="BC61" s="145">
        <f t="shared" si="132"/>
        <v>0</v>
      </c>
    </row>
    <row r="62" spans="2:55">
      <c r="B62" t="s">
        <v>4878</v>
      </c>
      <c r="C62" s="145">
        <f ca="1">SUM(C56:C61)</f>
        <v>65205.17571203335</v>
      </c>
      <c r="D62" s="145" t="e">
        <f t="shared" ref="D62:BC62" ca="1" si="133">SUM(D56:D61)</f>
        <v>#REF!</v>
      </c>
      <c r="E62" s="145" t="e">
        <f t="shared" ca="1" si="133"/>
        <v>#REF!</v>
      </c>
      <c r="F62" s="145" t="e">
        <f t="shared" ca="1" si="133"/>
        <v>#REF!</v>
      </c>
      <c r="G62" s="145" t="e">
        <f t="shared" ca="1" si="133"/>
        <v>#REF!</v>
      </c>
      <c r="H62" s="145" t="e">
        <f t="shared" ca="1" si="133"/>
        <v>#REF!</v>
      </c>
      <c r="I62" s="145" t="e">
        <f t="shared" ca="1" si="133"/>
        <v>#REF!</v>
      </c>
      <c r="J62" s="145" t="e">
        <f t="shared" ca="1" si="133"/>
        <v>#REF!</v>
      </c>
      <c r="K62" s="145" t="e">
        <f t="shared" ca="1" si="133"/>
        <v>#REF!</v>
      </c>
      <c r="L62" s="145">
        <f t="shared" ca="1" si="133"/>
        <v>39402.831631471337</v>
      </c>
      <c r="M62" s="145">
        <f t="shared" ca="1" si="133"/>
        <v>12094.948655110231</v>
      </c>
      <c r="N62" s="145">
        <f t="shared" ca="1" si="133"/>
        <v>9222.0179061285162</v>
      </c>
      <c r="O62" s="145">
        <f t="shared" ca="1" si="133"/>
        <v>10791.963502737111</v>
      </c>
      <c r="P62" s="145">
        <f t="shared" ca="1" si="133"/>
        <v>6657.7980630072707</v>
      </c>
      <c r="Q62" s="145">
        <f t="shared" ca="1" si="133"/>
        <v>8153.3625494409353</v>
      </c>
      <c r="R62" s="145">
        <f t="shared" ca="1" si="133"/>
        <v>9687.671462481434</v>
      </c>
      <c r="S62" s="145">
        <f t="shared" ca="1" si="133"/>
        <v>11261.830844768498</v>
      </c>
      <c r="T62" s="145">
        <f t="shared" ca="1" si="133"/>
        <v>4235.8321580553893</v>
      </c>
      <c r="U62" s="145">
        <f t="shared" ca="1" si="133"/>
        <v>5665.8673156733857</v>
      </c>
      <c r="V62" s="145">
        <f t="shared" ca="1" si="133"/>
        <v>-2473.9001436197432</v>
      </c>
      <c r="W62" s="145">
        <f t="shared" ca="1" si="133"/>
        <v>-1219.4722903317306</v>
      </c>
      <c r="X62" s="145">
        <f t="shared" ca="1" si="133"/>
        <v>-10618.894558479951</v>
      </c>
      <c r="Y62" s="145" t="e">
        <f t="shared" ca="1" si="133"/>
        <v>#DIV/0!</v>
      </c>
      <c r="Z62" s="145" t="e">
        <f t="shared" ca="1" si="133"/>
        <v>#DIV/0!</v>
      </c>
      <c r="AA62" s="145" t="e">
        <f t="shared" ca="1" si="133"/>
        <v>#DIV/0!</v>
      </c>
      <c r="AB62" s="145" t="e">
        <f t="shared" ca="1" si="133"/>
        <v>#DIV/0!</v>
      </c>
      <c r="AC62" s="145" t="e">
        <f t="shared" ca="1" si="133"/>
        <v>#DIV/0!</v>
      </c>
      <c r="AD62" s="145" t="e">
        <f t="shared" ca="1" si="133"/>
        <v>#DIV/0!</v>
      </c>
      <c r="AE62" s="145" t="e">
        <f t="shared" ca="1" si="133"/>
        <v>#DIV/0!</v>
      </c>
      <c r="AF62" s="145" t="e">
        <f t="shared" ca="1" si="133"/>
        <v>#DIV/0!</v>
      </c>
      <c r="AG62" s="145" t="e">
        <f t="shared" ca="1" si="133"/>
        <v>#DIV/0!</v>
      </c>
      <c r="AH62" s="145" t="e">
        <f t="shared" ca="1" si="133"/>
        <v>#DIV/0!</v>
      </c>
      <c r="AI62" s="145" t="e">
        <f t="shared" ca="1" si="133"/>
        <v>#DIV/0!</v>
      </c>
      <c r="AJ62" s="145" t="e">
        <f t="shared" ca="1" si="133"/>
        <v>#DIV/0!</v>
      </c>
      <c r="AK62" s="145" t="e">
        <f t="shared" ca="1" si="133"/>
        <v>#DIV/0!</v>
      </c>
      <c r="AL62" s="145" t="e">
        <f t="shared" ca="1" si="133"/>
        <v>#DIV/0!</v>
      </c>
      <c r="AM62" s="145" t="e">
        <f t="shared" ca="1" si="133"/>
        <v>#DIV/0!</v>
      </c>
      <c r="AN62" s="145">
        <f t="shared" si="133"/>
        <v>0</v>
      </c>
      <c r="AO62" s="145">
        <f t="shared" si="133"/>
        <v>0</v>
      </c>
      <c r="AP62" s="145">
        <f t="shared" si="133"/>
        <v>0</v>
      </c>
      <c r="AQ62" s="145">
        <f t="shared" si="133"/>
        <v>0</v>
      </c>
      <c r="AR62" s="145">
        <f t="shared" si="133"/>
        <v>0</v>
      </c>
      <c r="AS62" s="145">
        <f t="shared" si="133"/>
        <v>0</v>
      </c>
      <c r="AT62" s="145">
        <f t="shared" si="133"/>
        <v>0</v>
      </c>
      <c r="AU62" s="145">
        <f t="shared" si="133"/>
        <v>0</v>
      </c>
      <c r="AV62" s="145">
        <f t="shared" si="133"/>
        <v>0</v>
      </c>
      <c r="AW62" s="145">
        <f t="shared" si="133"/>
        <v>0</v>
      </c>
      <c r="AX62" s="145">
        <f t="shared" si="133"/>
        <v>0</v>
      </c>
      <c r="AY62" s="145">
        <f t="shared" si="133"/>
        <v>0</v>
      </c>
      <c r="AZ62" s="145">
        <f t="shared" si="133"/>
        <v>0</v>
      </c>
      <c r="BA62" s="145">
        <f t="shared" si="133"/>
        <v>0</v>
      </c>
      <c r="BB62" s="145">
        <f t="shared" si="133"/>
        <v>0</v>
      </c>
      <c r="BC62" s="145">
        <f t="shared" si="133"/>
        <v>0</v>
      </c>
    </row>
    <row r="63" spans="2:55"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</row>
    <row r="64" spans="2:55">
      <c r="B64" s="223" t="s">
        <v>4877</v>
      </c>
      <c r="C64" s="227">
        <f ca="1">C53-C62</f>
        <v>0</v>
      </c>
      <c r="D64" s="227" t="e">
        <f t="shared" ref="D64:BC64" ca="1" si="134">D53-D62</f>
        <v>#REF!</v>
      </c>
      <c r="E64" s="227" t="e">
        <f t="shared" ca="1" si="134"/>
        <v>#REF!</v>
      </c>
      <c r="F64" s="227" t="e">
        <f t="shared" ca="1" si="134"/>
        <v>#REF!</v>
      </c>
      <c r="G64" s="227" t="e">
        <f t="shared" ca="1" si="134"/>
        <v>#REF!</v>
      </c>
      <c r="H64" s="227" t="e">
        <f t="shared" ca="1" si="134"/>
        <v>#REF!</v>
      </c>
      <c r="I64" s="227" t="e">
        <f t="shared" ca="1" si="134"/>
        <v>#REF!</v>
      </c>
      <c r="J64" s="227" t="e">
        <f t="shared" ca="1" si="134"/>
        <v>#REF!</v>
      </c>
      <c r="K64" s="227" t="e">
        <f t="shared" ca="1" si="134"/>
        <v>#REF!</v>
      </c>
      <c r="L64" s="227">
        <f t="shared" ca="1" si="134"/>
        <v>0</v>
      </c>
      <c r="M64" s="227">
        <f t="shared" ca="1" si="134"/>
        <v>0</v>
      </c>
      <c r="N64" s="227">
        <f t="shared" ca="1" si="134"/>
        <v>0</v>
      </c>
      <c r="O64" s="227">
        <f t="shared" ca="1" si="134"/>
        <v>0</v>
      </c>
      <c r="P64" s="227">
        <f t="shared" ca="1" si="134"/>
        <v>0</v>
      </c>
      <c r="Q64" s="227">
        <f t="shared" ca="1" si="134"/>
        <v>0</v>
      </c>
      <c r="R64" s="227">
        <f t="shared" ca="1" si="134"/>
        <v>0</v>
      </c>
      <c r="S64" s="227">
        <f t="shared" ca="1" si="134"/>
        <v>0</v>
      </c>
      <c r="T64" s="227">
        <f t="shared" ca="1" si="134"/>
        <v>0</v>
      </c>
      <c r="U64" s="227">
        <f t="shared" ca="1" si="134"/>
        <v>0</v>
      </c>
      <c r="V64" s="227">
        <f t="shared" ca="1" si="134"/>
        <v>0</v>
      </c>
      <c r="W64" s="227">
        <f t="shared" ca="1" si="134"/>
        <v>0</v>
      </c>
      <c r="X64" s="227">
        <f t="shared" ca="1" si="134"/>
        <v>0</v>
      </c>
      <c r="Y64" s="227" t="e">
        <f t="shared" ca="1" si="134"/>
        <v>#DIV/0!</v>
      </c>
      <c r="Z64" s="227" t="e">
        <f t="shared" ca="1" si="134"/>
        <v>#DIV/0!</v>
      </c>
      <c r="AA64" s="227" t="e">
        <f t="shared" ca="1" si="134"/>
        <v>#DIV/0!</v>
      </c>
      <c r="AB64" s="227" t="e">
        <f t="shared" ca="1" si="134"/>
        <v>#DIV/0!</v>
      </c>
      <c r="AC64" s="227" t="e">
        <f t="shared" ca="1" si="134"/>
        <v>#DIV/0!</v>
      </c>
      <c r="AD64" s="227" t="e">
        <f t="shared" ca="1" si="134"/>
        <v>#DIV/0!</v>
      </c>
      <c r="AE64" s="227" t="e">
        <f t="shared" ca="1" si="134"/>
        <v>#DIV/0!</v>
      </c>
      <c r="AF64" s="227" t="e">
        <f t="shared" ca="1" si="134"/>
        <v>#DIV/0!</v>
      </c>
      <c r="AG64" s="227" t="e">
        <f t="shared" ca="1" si="134"/>
        <v>#DIV/0!</v>
      </c>
      <c r="AH64" s="227" t="e">
        <f t="shared" ca="1" si="134"/>
        <v>#DIV/0!</v>
      </c>
      <c r="AI64" s="227" t="e">
        <f t="shared" ca="1" si="134"/>
        <v>#DIV/0!</v>
      </c>
      <c r="AJ64" s="227" t="e">
        <f t="shared" ca="1" si="134"/>
        <v>#DIV/0!</v>
      </c>
      <c r="AK64" s="227" t="e">
        <f t="shared" ca="1" si="134"/>
        <v>#DIV/0!</v>
      </c>
      <c r="AL64" s="227" t="e">
        <f t="shared" ca="1" si="134"/>
        <v>#DIV/0!</v>
      </c>
      <c r="AM64" s="227" t="e">
        <f t="shared" ca="1" si="134"/>
        <v>#DIV/0!</v>
      </c>
      <c r="AN64" s="227">
        <f t="shared" si="134"/>
        <v>0</v>
      </c>
      <c r="AO64" s="227">
        <f t="shared" si="134"/>
        <v>0</v>
      </c>
      <c r="AP64" s="227">
        <f t="shared" si="134"/>
        <v>0</v>
      </c>
      <c r="AQ64" s="227">
        <f t="shared" si="134"/>
        <v>0</v>
      </c>
      <c r="AR64" s="227">
        <f t="shared" si="134"/>
        <v>0</v>
      </c>
      <c r="AS64" s="227">
        <f t="shared" si="134"/>
        <v>0</v>
      </c>
      <c r="AT64" s="227">
        <f t="shared" si="134"/>
        <v>0</v>
      </c>
      <c r="AU64" s="227">
        <f t="shared" si="134"/>
        <v>0</v>
      </c>
      <c r="AV64" s="227">
        <f t="shared" si="134"/>
        <v>0</v>
      </c>
      <c r="AW64" s="227">
        <f t="shared" si="134"/>
        <v>0</v>
      </c>
      <c r="AX64" s="227">
        <f t="shared" si="134"/>
        <v>0</v>
      </c>
      <c r="AY64" s="227">
        <f t="shared" si="134"/>
        <v>0</v>
      </c>
      <c r="AZ64" s="227">
        <f t="shared" si="134"/>
        <v>0</v>
      </c>
      <c r="BA64" s="227">
        <f t="shared" si="134"/>
        <v>0</v>
      </c>
      <c r="BB64" s="227">
        <f t="shared" si="134"/>
        <v>0</v>
      </c>
      <c r="BC64" s="227">
        <f t="shared" si="134"/>
        <v>0</v>
      </c>
    </row>
    <row r="65" spans="2:55">
      <c r="D65" s="145"/>
      <c r="E65" s="145"/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  <c r="AA65" s="145"/>
      <c r="AB65" s="145"/>
      <c r="AC65" s="145"/>
      <c r="AD65" s="145"/>
      <c r="AE65" s="145"/>
      <c r="AF65" s="145"/>
      <c r="AG65" s="145"/>
      <c r="AH65" s="145"/>
      <c r="AI65" s="145"/>
      <c r="AJ65" s="145"/>
      <c r="AK65" s="145"/>
      <c r="AL65" s="145"/>
      <c r="AM65" s="145"/>
      <c r="AN65" s="145"/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145"/>
    </row>
    <row r="66" spans="2:55">
      <c r="B66" s="13" t="s">
        <v>4909</v>
      </c>
      <c r="C66" s="11"/>
      <c r="D66" s="152"/>
      <c r="E66" s="152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  <c r="Z66" s="152"/>
      <c r="AA66" s="152"/>
      <c r="AB66" s="152"/>
      <c r="AC66" s="152"/>
      <c r="AD66" s="152"/>
      <c r="AE66" s="152"/>
      <c r="AF66" s="152"/>
      <c r="AG66" s="152"/>
      <c r="AH66" s="152"/>
      <c r="AI66" s="152"/>
      <c r="AJ66" s="152"/>
      <c r="AK66" s="152"/>
      <c r="AL66" s="152"/>
      <c r="AM66" s="152"/>
      <c r="AN66" s="152"/>
      <c r="AO66" s="152"/>
      <c r="AP66" s="152"/>
      <c r="AQ66" s="152"/>
      <c r="AR66" s="152"/>
      <c r="AS66" s="152"/>
      <c r="AT66" s="152"/>
      <c r="AU66" s="152"/>
      <c r="AV66" s="152"/>
      <c r="AW66" s="152"/>
      <c r="AX66" s="152"/>
      <c r="AY66" s="152"/>
      <c r="AZ66" s="152"/>
      <c r="BA66" s="152"/>
      <c r="BB66" s="152"/>
      <c r="BC66" s="152"/>
    </row>
    <row r="67" spans="2:55">
      <c r="B67" t="s">
        <v>7</v>
      </c>
      <c r="C67" s="145">
        <f ca="1">C56</f>
        <v>57792.98842355673</v>
      </c>
      <c r="D67" s="145" t="e">
        <f t="shared" ref="D67:AI67" ca="1" si="135">IF(C67+D56=C67,0,C67+D56)</f>
        <v>#REF!</v>
      </c>
      <c r="E67" s="145" t="e">
        <f t="shared" ca="1" si="135"/>
        <v>#REF!</v>
      </c>
      <c r="F67" s="145" t="e">
        <f t="shared" ca="1" si="135"/>
        <v>#REF!</v>
      </c>
      <c r="G67" s="145" t="e">
        <f t="shared" ca="1" si="135"/>
        <v>#REF!</v>
      </c>
      <c r="H67" s="145" t="e">
        <f t="shared" ca="1" si="135"/>
        <v>#REF!</v>
      </c>
      <c r="I67" s="145" t="e">
        <f t="shared" ca="1" si="135"/>
        <v>#REF!</v>
      </c>
      <c r="J67" s="145" t="e">
        <f t="shared" ca="1" si="135"/>
        <v>#REF!</v>
      </c>
      <c r="K67" s="145" t="e">
        <f t="shared" ca="1" si="135"/>
        <v>#REF!</v>
      </c>
      <c r="L67" s="145" t="e">
        <f t="shared" ca="1" si="135"/>
        <v>#REF!</v>
      </c>
      <c r="M67" s="145" t="e">
        <f t="shared" ca="1" si="135"/>
        <v>#REF!</v>
      </c>
      <c r="N67" s="145" t="e">
        <f t="shared" ca="1" si="135"/>
        <v>#REF!</v>
      </c>
      <c r="O67" s="145" t="e">
        <f t="shared" ca="1" si="135"/>
        <v>#REF!</v>
      </c>
      <c r="P67" s="145" t="e">
        <f t="shared" ca="1" si="135"/>
        <v>#REF!</v>
      </c>
      <c r="Q67" s="145" t="e">
        <f t="shared" ca="1" si="135"/>
        <v>#REF!</v>
      </c>
      <c r="R67" s="145" t="e">
        <f t="shared" ca="1" si="135"/>
        <v>#REF!</v>
      </c>
      <c r="S67" s="145" t="e">
        <f t="shared" ca="1" si="135"/>
        <v>#REF!</v>
      </c>
      <c r="T67" s="145" t="e">
        <f t="shared" ca="1" si="135"/>
        <v>#REF!</v>
      </c>
      <c r="U67" s="145" t="e">
        <f t="shared" ca="1" si="135"/>
        <v>#REF!</v>
      </c>
      <c r="V67" s="145" t="e">
        <f t="shared" ca="1" si="135"/>
        <v>#REF!</v>
      </c>
      <c r="W67" s="145" t="e">
        <f t="shared" ca="1" si="135"/>
        <v>#REF!</v>
      </c>
      <c r="X67" s="145" t="e">
        <f t="shared" ca="1" si="135"/>
        <v>#REF!</v>
      </c>
      <c r="Y67" s="145" t="e">
        <f t="shared" ca="1" si="135"/>
        <v>#REF!</v>
      </c>
      <c r="Z67" s="145" t="e">
        <f t="shared" ca="1" si="135"/>
        <v>#REF!</v>
      </c>
      <c r="AA67" s="145" t="e">
        <f t="shared" ca="1" si="135"/>
        <v>#REF!</v>
      </c>
      <c r="AB67" s="145" t="e">
        <f t="shared" ca="1" si="135"/>
        <v>#REF!</v>
      </c>
      <c r="AC67" s="145" t="e">
        <f t="shared" ca="1" si="135"/>
        <v>#REF!</v>
      </c>
      <c r="AD67" s="145" t="e">
        <f t="shared" ca="1" si="135"/>
        <v>#REF!</v>
      </c>
      <c r="AE67" s="145" t="e">
        <f t="shared" ca="1" si="135"/>
        <v>#REF!</v>
      </c>
      <c r="AF67" s="145" t="e">
        <f t="shared" ca="1" si="135"/>
        <v>#REF!</v>
      </c>
      <c r="AG67" s="145" t="e">
        <f t="shared" ca="1" si="135"/>
        <v>#REF!</v>
      </c>
      <c r="AH67" s="145" t="e">
        <f t="shared" ca="1" si="135"/>
        <v>#REF!</v>
      </c>
      <c r="AI67" s="145" t="e">
        <f t="shared" ca="1" si="135"/>
        <v>#REF!</v>
      </c>
      <c r="AJ67" s="145" t="e">
        <f t="shared" ref="AJ67:BC67" ca="1" si="136">IF(AI67+AJ56=AI67,0,AI67+AJ56)</f>
        <v>#REF!</v>
      </c>
      <c r="AK67" s="145" t="e">
        <f t="shared" ca="1" si="136"/>
        <v>#REF!</v>
      </c>
      <c r="AL67" s="145" t="e">
        <f t="shared" ca="1" si="136"/>
        <v>#REF!</v>
      </c>
      <c r="AM67" s="145" t="e">
        <f t="shared" ca="1" si="136"/>
        <v>#REF!</v>
      </c>
      <c r="AN67" s="145" t="e">
        <f t="shared" ca="1" si="136"/>
        <v>#REF!</v>
      </c>
      <c r="AO67" s="145" t="e">
        <f t="shared" ca="1" si="136"/>
        <v>#REF!</v>
      </c>
      <c r="AP67" s="145" t="e">
        <f t="shared" ca="1" si="136"/>
        <v>#REF!</v>
      </c>
      <c r="AQ67" s="145" t="e">
        <f t="shared" ca="1" si="136"/>
        <v>#REF!</v>
      </c>
      <c r="AR67" s="145" t="e">
        <f t="shared" ca="1" si="136"/>
        <v>#REF!</v>
      </c>
      <c r="AS67" s="145" t="e">
        <f t="shared" ca="1" si="136"/>
        <v>#REF!</v>
      </c>
      <c r="AT67" s="145" t="e">
        <f t="shared" ca="1" si="136"/>
        <v>#REF!</v>
      </c>
      <c r="AU67" s="145" t="e">
        <f t="shared" ca="1" si="136"/>
        <v>#REF!</v>
      </c>
      <c r="AV67" s="145" t="e">
        <f t="shared" ca="1" si="136"/>
        <v>#REF!</v>
      </c>
      <c r="AW67" s="145" t="e">
        <f t="shared" ca="1" si="136"/>
        <v>#REF!</v>
      </c>
      <c r="AX67" s="145" t="e">
        <f t="shared" ca="1" si="136"/>
        <v>#REF!</v>
      </c>
      <c r="AY67" s="145" t="e">
        <f t="shared" ca="1" si="136"/>
        <v>#REF!</v>
      </c>
      <c r="AZ67" s="145" t="e">
        <f t="shared" ca="1" si="136"/>
        <v>#REF!</v>
      </c>
      <c r="BA67" s="145" t="e">
        <f t="shared" ca="1" si="136"/>
        <v>#REF!</v>
      </c>
      <c r="BB67" s="145" t="e">
        <f t="shared" ca="1" si="136"/>
        <v>#REF!</v>
      </c>
      <c r="BC67" s="145" t="e">
        <f t="shared" ca="1" si="136"/>
        <v>#REF!</v>
      </c>
    </row>
    <row r="68" spans="2:55">
      <c r="B68" t="s">
        <v>9</v>
      </c>
      <c r="C68" s="145">
        <f t="shared" ref="C68:C72" ca="1" si="137">C57</f>
        <v>4129.9829252790141</v>
      </c>
      <c r="D68" s="145" t="e">
        <f t="shared" ref="D68:AI68" ca="1" si="138">IF(C68+D57=C68,0,C68+D57)</f>
        <v>#REF!</v>
      </c>
      <c r="E68" s="145" t="e">
        <f t="shared" ca="1" si="138"/>
        <v>#REF!</v>
      </c>
      <c r="F68" s="145" t="e">
        <f t="shared" ca="1" si="138"/>
        <v>#REF!</v>
      </c>
      <c r="G68" s="145" t="e">
        <f t="shared" ca="1" si="138"/>
        <v>#REF!</v>
      </c>
      <c r="H68" s="145" t="e">
        <f t="shared" ca="1" si="138"/>
        <v>#REF!</v>
      </c>
      <c r="I68" s="145" t="e">
        <f t="shared" ca="1" si="138"/>
        <v>#REF!</v>
      </c>
      <c r="J68" s="145" t="e">
        <f t="shared" ca="1" si="138"/>
        <v>#REF!</v>
      </c>
      <c r="K68" s="145" t="e">
        <f t="shared" ca="1" si="138"/>
        <v>#REF!</v>
      </c>
      <c r="L68" s="145" t="e">
        <f t="shared" ca="1" si="138"/>
        <v>#REF!</v>
      </c>
      <c r="M68" s="145" t="e">
        <f t="shared" ca="1" si="138"/>
        <v>#REF!</v>
      </c>
      <c r="N68" s="145" t="e">
        <f t="shared" ca="1" si="138"/>
        <v>#REF!</v>
      </c>
      <c r="O68" s="145" t="e">
        <f t="shared" ca="1" si="138"/>
        <v>#REF!</v>
      </c>
      <c r="P68" s="145" t="e">
        <f t="shared" ca="1" si="138"/>
        <v>#REF!</v>
      </c>
      <c r="Q68" s="145" t="e">
        <f t="shared" ca="1" si="138"/>
        <v>#REF!</v>
      </c>
      <c r="R68" s="145" t="e">
        <f t="shared" ca="1" si="138"/>
        <v>#REF!</v>
      </c>
      <c r="S68" s="145" t="e">
        <f t="shared" ca="1" si="138"/>
        <v>#REF!</v>
      </c>
      <c r="T68" s="145" t="e">
        <f t="shared" ca="1" si="138"/>
        <v>#REF!</v>
      </c>
      <c r="U68" s="145" t="e">
        <f t="shared" ca="1" si="138"/>
        <v>#REF!</v>
      </c>
      <c r="V68" s="145" t="e">
        <f t="shared" ca="1" si="138"/>
        <v>#REF!</v>
      </c>
      <c r="W68" s="145" t="e">
        <f t="shared" ca="1" si="138"/>
        <v>#REF!</v>
      </c>
      <c r="X68" s="145" t="e">
        <f t="shared" ca="1" si="138"/>
        <v>#REF!</v>
      </c>
      <c r="Y68" s="145" t="e">
        <f t="shared" ca="1" si="138"/>
        <v>#REF!</v>
      </c>
      <c r="Z68" s="145" t="e">
        <f t="shared" ca="1" si="138"/>
        <v>#REF!</v>
      </c>
      <c r="AA68" s="145" t="e">
        <f t="shared" ca="1" si="138"/>
        <v>#REF!</v>
      </c>
      <c r="AB68" s="145" t="e">
        <f t="shared" ca="1" si="138"/>
        <v>#REF!</v>
      </c>
      <c r="AC68" s="145" t="e">
        <f t="shared" ca="1" si="138"/>
        <v>#REF!</v>
      </c>
      <c r="AD68" s="145" t="e">
        <f t="shared" ca="1" si="138"/>
        <v>#REF!</v>
      </c>
      <c r="AE68" s="145" t="e">
        <f t="shared" ca="1" si="138"/>
        <v>#REF!</v>
      </c>
      <c r="AF68" s="145" t="e">
        <f t="shared" ca="1" si="138"/>
        <v>#REF!</v>
      </c>
      <c r="AG68" s="145" t="e">
        <f t="shared" ca="1" si="138"/>
        <v>#REF!</v>
      </c>
      <c r="AH68" s="145" t="e">
        <f t="shared" ca="1" si="138"/>
        <v>#REF!</v>
      </c>
      <c r="AI68" s="145" t="e">
        <f t="shared" ca="1" si="138"/>
        <v>#REF!</v>
      </c>
      <c r="AJ68" s="145" t="e">
        <f t="shared" ref="AJ68:BC68" ca="1" si="139">IF(AI68+AJ57=AI68,0,AI68+AJ57)</f>
        <v>#REF!</v>
      </c>
      <c r="AK68" s="145" t="e">
        <f t="shared" ca="1" si="139"/>
        <v>#REF!</v>
      </c>
      <c r="AL68" s="145" t="e">
        <f t="shared" ca="1" si="139"/>
        <v>#REF!</v>
      </c>
      <c r="AM68" s="145" t="e">
        <f t="shared" ca="1" si="139"/>
        <v>#REF!</v>
      </c>
      <c r="AN68" s="145" t="e">
        <f t="shared" ca="1" si="139"/>
        <v>#REF!</v>
      </c>
      <c r="AO68" s="145" t="e">
        <f t="shared" ca="1" si="139"/>
        <v>#REF!</v>
      </c>
      <c r="AP68" s="145" t="e">
        <f t="shared" ca="1" si="139"/>
        <v>#REF!</v>
      </c>
      <c r="AQ68" s="145" t="e">
        <f t="shared" ca="1" si="139"/>
        <v>#REF!</v>
      </c>
      <c r="AR68" s="145" t="e">
        <f t="shared" ca="1" si="139"/>
        <v>#REF!</v>
      </c>
      <c r="AS68" s="145" t="e">
        <f t="shared" ca="1" si="139"/>
        <v>#REF!</v>
      </c>
      <c r="AT68" s="145" t="e">
        <f t="shared" ca="1" si="139"/>
        <v>#REF!</v>
      </c>
      <c r="AU68" s="145" t="e">
        <f t="shared" ca="1" si="139"/>
        <v>#REF!</v>
      </c>
      <c r="AV68" s="145" t="e">
        <f t="shared" ca="1" si="139"/>
        <v>#REF!</v>
      </c>
      <c r="AW68" s="145" t="e">
        <f t="shared" ca="1" si="139"/>
        <v>#REF!</v>
      </c>
      <c r="AX68" s="145" t="e">
        <f t="shared" ca="1" si="139"/>
        <v>#REF!</v>
      </c>
      <c r="AY68" s="145" t="e">
        <f t="shared" ca="1" si="139"/>
        <v>#REF!</v>
      </c>
      <c r="AZ68" s="145" t="e">
        <f t="shared" ca="1" si="139"/>
        <v>#REF!</v>
      </c>
      <c r="BA68" s="145" t="e">
        <f t="shared" ca="1" si="139"/>
        <v>#REF!</v>
      </c>
      <c r="BB68" s="145" t="e">
        <f t="shared" ca="1" si="139"/>
        <v>#REF!</v>
      </c>
      <c r="BC68" s="145" t="e">
        <f t="shared" ca="1" si="139"/>
        <v>#REF!</v>
      </c>
    </row>
    <row r="69" spans="2:55">
      <c r="B69" t="s">
        <v>35</v>
      </c>
      <c r="C69" s="145">
        <f t="shared" ca="1" si="137"/>
        <v>1682.0396118581559</v>
      </c>
      <c r="D69" s="145" t="e">
        <f t="shared" ref="D69:AI69" ca="1" si="140">IF(C69+D58=C69,0,C69+D58)</f>
        <v>#REF!</v>
      </c>
      <c r="E69" s="145" t="e">
        <f t="shared" ca="1" si="140"/>
        <v>#REF!</v>
      </c>
      <c r="F69" s="145" t="e">
        <f t="shared" ca="1" si="140"/>
        <v>#REF!</v>
      </c>
      <c r="G69" s="145" t="e">
        <f t="shared" ca="1" si="140"/>
        <v>#REF!</v>
      </c>
      <c r="H69" s="145" t="e">
        <f t="shared" ca="1" si="140"/>
        <v>#REF!</v>
      </c>
      <c r="I69" s="145" t="e">
        <f t="shared" ca="1" si="140"/>
        <v>#REF!</v>
      </c>
      <c r="J69" s="145" t="e">
        <f t="shared" ca="1" si="140"/>
        <v>#REF!</v>
      </c>
      <c r="K69" s="145" t="e">
        <f t="shared" ca="1" si="140"/>
        <v>#REF!</v>
      </c>
      <c r="L69" s="145" t="e">
        <f t="shared" ca="1" si="140"/>
        <v>#REF!</v>
      </c>
      <c r="M69" s="145" t="e">
        <f t="shared" ca="1" si="140"/>
        <v>#REF!</v>
      </c>
      <c r="N69" s="145" t="e">
        <f t="shared" ca="1" si="140"/>
        <v>#REF!</v>
      </c>
      <c r="O69" s="145" t="e">
        <f t="shared" ca="1" si="140"/>
        <v>#REF!</v>
      </c>
      <c r="P69" s="145" t="e">
        <f t="shared" ca="1" si="140"/>
        <v>#REF!</v>
      </c>
      <c r="Q69" s="145" t="e">
        <f t="shared" ca="1" si="140"/>
        <v>#REF!</v>
      </c>
      <c r="R69" s="145" t="e">
        <f t="shared" ca="1" si="140"/>
        <v>#REF!</v>
      </c>
      <c r="S69" s="145" t="e">
        <f t="shared" ca="1" si="140"/>
        <v>#REF!</v>
      </c>
      <c r="T69" s="145" t="e">
        <f t="shared" ca="1" si="140"/>
        <v>#REF!</v>
      </c>
      <c r="U69" s="145" t="e">
        <f t="shared" ca="1" si="140"/>
        <v>#REF!</v>
      </c>
      <c r="V69" s="145" t="e">
        <f t="shared" ca="1" si="140"/>
        <v>#REF!</v>
      </c>
      <c r="W69" s="145" t="e">
        <f t="shared" ca="1" si="140"/>
        <v>#REF!</v>
      </c>
      <c r="X69" s="145" t="e">
        <f t="shared" ca="1" si="140"/>
        <v>#REF!</v>
      </c>
      <c r="Y69" s="145" t="e">
        <f t="shared" ca="1" si="140"/>
        <v>#REF!</v>
      </c>
      <c r="Z69" s="145" t="e">
        <f t="shared" ca="1" si="140"/>
        <v>#REF!</v>
      </c>
      <c r="AA69" s="145" t="e">
        <f t="shared" ca="1" si="140"/>
        <v>#REF!</v>
      </c>
      <c r="AB69" s="145" t="e">
        <f t="shared" ca="1" si="140"/>
        <v>#REF!</v>
      </c>
      <c r="AC69" s="145" t="e">
        <f t="shared" ca="1" si="140"/>
        <v>#REF!</v>
      </c>
      <c r="AD69" s="145" t="e">
        <f t="shared" ca="1" si="140"/>
        <v>#REF!</v>
      </c>
      <c r="AE69" s="145" t="e">
        <f t="shared" ca="1" si="140"/>
        <v>#REF!</v>
      </c>
      <c r="AF69" s="145" t="e">
        <f t="shared" ca="1" si="140"/>
        <v>#REF!</v>
      </c>
      <c r="AG69" s="145" t="e">
        <f t="shared" ca="1" si="140"/>
        <v>#REF!</v>
      </c>
      <c r="AH69" s="145" t="e">
        <f t="shared" ca="1" si="140"/>
        <v>#REF!</v>
      </c>
      <c r="AI69" s="145" t="e">
        <f t="shared" ca="1" si="140"/>
        <v>#REF!</v>
      </c>
      <c r="AJ69" s="145" t="e">
        <f t="shared" ref="AJ69:BC69" ca="1" si="141">IF(AI69+AJ58=AI69,0,AI69+AJ58)</f>
        <v>#REF!</v>
      </c>
      <c r="AK69" s="145" t="e">
        <f t="shared" ca="1" si="141"/>
        <v>#REF!</v>
      </c>
      <c r="AL69" s="145" t="e">
        <f t="shared" ca="1" si="141"/>
        <v>#REF!</v>
      </c>
      <c r="AM69" s="145" t="e">
        <f t="shared" ca="1" si="141"/>
        <v>#REF!</v>
      </c>
      <c r="AN69" s="145" t="e">
        <f t="shared" ca="1" si="141"/>
        <v>#REF!</v>
      </c>
      <c r="AO69" s="145" t="e">
        <f t="shared" ca="1" si="141"/>
        <v>#REF!</v>
      </c>
      <c r="AP69" s="145" t="e">
        <f t="shared" ca="1" si="141"/>
        <v>#REF!</v>
      </c>
      <c r="AQ69" s="145" t="e">
        <f t="shared" ca="1" si="141"/>
        <v>#REF!</v>
      </c>
      <c r="AR69" s="145" t="e">
        <f t="shared" ca="1" si="141"/>
        <v>#REF!</v>
      </c>
      <c r="AS69" s="145" t="e">
        <f t="shared" ca="1" si="141"/>
        <v>#REF!</v>
      </c>
      <c r="AT69" s="145" t="e">
        <f t="shared" ca="1" si="141"/>
        <v>#REF!</v>
      </c>
      <c r="AU69" s="145" t="e">
        <f t="shared" ca="1" si="141"/>
        <v>#REF!</v>
      </c>
      <c r="AV69" s="145" t="e">
        <f t="shared" ca="1" si="141"/>
        <v>#REF!</v>
      </c>
      <c r="AW69" s="145" t="e">
        <f t="shared" ca="1" si="141"/>
        <v>#REF!</v>
      </c>
      <c r="AX69" s="145" t="e">
        <f t="shared" ca="1" si="141"/>
        <v>#REF!</v>
      </c>
      <c r="AY69" s="145" t="e">
        <f t="shared" ca="1" si="141"/>
        <v>#REF!</v>
      </c>
      <c r="AZ69" s="145" t="e">
        <f t="shared" ca="1" si="141"/>
        <v>#REF!</v>
      </c>
      <c r="BA69" s="145" t="e">
        <f t="shared" ca="1" si="141"/>
        <v>#REF!</v>
      </c>
      <c r="BB69" s="145" t="e">
        <f t="shared" ca="1" si="141"/>
        <v>#REF!</v>
      </c>
      <c r="BC69" s="145" t="e">
        <f t="shared" ca="1" si="141"/>
        <v>#REF!</v>
      </c>
    </row>
    <row r="70" spans="2:55">
      <c r="B70" t="s">
        <v>32</v>
      </c>
      <c r="C70" s="145">
        <f t="shared" ca="1" si="137"/>
        <v>1001.0053557306802</v>
      </c>
      <c r="D70" s="145" t="e">
        <f t="shared" ref="D70:AI70" ca="1" si="142">IF(C70+D59=C70,0,C70+D59)</f>
        <v>#REF!</v>
      </c>
      <c r="E70" s="145" t="e">
        <f t="shared" ca="1" si="142"/>
        <v>#REF!</v>
      </c>
      <c r="F70" s="145" t="e">
        <f t="shared" ca="1" si="142"/>
        <v>#REF!</v>
      </c>
      <c r="G70" s="145" t="e">
        <f t="shared" ca="1" si="142"/>
        <v>#REF!</v>
      </c>
      <c r="H70" s="145" t="e">
        <f t="shared" ca="1" si="142"/>
        <v>#REF!</v>
      </c>
      <c r="I70" s="145" t="e">
        <f t="shared" ca="1" si="142"/>
        <v>#REF!</v>
      </c>
      <c r="J70" s="145" t="e">
        <f t="shared" ca="1" si="142"/>
        <v>#REF!</v>
      </c>
      <c r="K70" s="145" t="e">
        <f t="shared" ca="1" si="142"/>
        <v>#REF!</v>
      </c>
      <c r="L70" s="145" t="e">
        <f t="shared" ca="1" si="142"/>
        <v>#REF!</v>
      </c>
      <c r="M70" s="145" t="e">
        <f t="shared" ca="1" si="142"/>
        <v>#REF!</v>
      </c>
      <c r="N70" s="145" t="e">
        <f t="shared" ca="1" si="142"/>
        <v>#REF!</v>
      </c>
      <c r="O70" s="145" t="e">
        <f t="shared" ca="1" si="142"/>
        <v>#REF!</v>
      </c>
      <c r="P70" s="145" t="e">
        <f t="shared" ca="1" si="142"/>
        <v>#REF!</v>
      </c>
      <c r="Q70" s="145" t="e">
        <f t="shared" ca="1" si="142"/>
        <v>#REF!</v>
      </c>
      <c r="R70" s="145" t="e">
        <f t="shared" ca="1" si="142"/>
        <v>#REF!</v>
      </c>
      <c r="S70" s="145" t="e">
        <f t="shared" ca="1" si="142"/>
        <v>#REF!</v>
      </c>
      <c r="T70" s="145" t="e">
        <f t="shared" ca="1" si="142"/>
        <v>#REF!</v>
      </c>
      <c r="U70" s="145" t="e">
        <f t="shared" ca="1" si="142"/>
        <v>#REF!</v>
      </c>
      <c r="V70" s="145" t="e">
        <f t="shared" ca="1" si="142"/>
        <v>#REF!</v>
      </c>
      <c r="W70" s="145" t="e">
        <f t="shared" ca="1" si="142"/>
        <v>#REF!</v>
      </c>
      <c r="X70" s="145" t="e">
        <f t="shared" ca="1" si="142"/>
        <v>#REF!</v>
      </c>
      <c r="Y70" s="145" t="e">
        <f t="shared" ca="1" si="142"/>
        <v>#REF!</v>
      </c>
      <c r="Z70" s="145" t="e">
        <f t="shared" ca="1" si="142"/>
        <v>#REF!</v>
      </c>
      <c r="AA70" s="145" t="e">
        <f t="shared" ca="1" si="142"/>
        <v>#REF!</v>
      </c>
      <c r="AB70" s="145" t="e">
        <f t="shared" ca="1" si="142"/>
        <v>#REF!</v>
      </c>
      <c r="AC70" s="145" t="e">
        <f t="shared" ca="1" si="142"/>
        <v>#REF!</v>
      </c>
      <c r="AD70" s="145" t="e">
        <f t="shared" ca="1" si="142"/>
        <v>#REF!</v>
      </c>
      <c r="AE70" s="145" t="e">
        <f t="shared" ca="1" si="142"/>
        <v>#REF!</v>
      </c>
      <c r="AF70" s="145" t="e">
        <f t="shared" ca="1" si="142"/>
        <v>#REF!</v>
      </c>
      <c r="AG70" s="145" t="e">
        <f t="shared" ca="1" si="142"/>
        <v>#REF!</v>
      </c>
      <c r="AH70" s="145" t="e">
        <f t="shared" ca="1" si="142"/>
        <v>#REF!</v>
      </c>
      <c r="AI70" s="145" t="e">
        <f t="shared" ca="1" si="142"/>
        <v>#REF!</v>
      </c>
      <c r="AJ70" s="145" t="e">
        <f t="shared" ref="AJ70:BC70" ca="1" si="143">IF(AI70+AJ59=AI70,0,AI70+AJ59)</f>
        <v>#REF!</v>
      </c>
      <c r="AK70" s="145" t="e">
        <f t="shared" ca="1" si="143"/>
        <v>#REF!</v>
      </c>
      <c r="AL70" s="145" t="e">
        <f t="shared" ca="1" si="143"/>
        <v>#REF!</v>
      </c>
      <c r="AM70" s="145" t="e">
        <f t="shared" ca="1" si="143"/>
        <v>#REF!</v>
      </c>
      <c r="AN70" s="145" t="e">
        <f t="shared" ca="1" si="143"/>
        <v>#REF!</v>
      </c>
      <c r="AO70" s="145" t="e">
        <f t="shared" ca="1" si="143"/>
        <v>#REF!</v>
      </c>
      <c r="AP70" s="145" t="e">
        <f t="shared" ca="1" si="143"/>
        <v>#REF!</v>
      </c>
      <c r="AQ70" s="145" t="e">
        <f t="shared" ca="1" si="143"/>
        <v>#REF!</v>
      </c>
      <c r="AR70" s="145" t="e">
        <f t="shared" ca="1" si="143"/>
        <v>#REF!</v>
      </c>
      <c r="AS70" s="145" t="e">
        <f t="shared" ca="1" si="143"/>
        <v>#REF!</v>
      </c>
      <c r="AT70" s="145" t="e">
        <f t="shared" ca="1" si="143"/>
        <v>#REF!</v>
      </c>
      <c r="AU70" s="145" t="e">
        <f t="shared" ca="1" si="143"/>
        <v>#REF!</v>
      </c>
      <c r="AV70" s="145" t="e">
        <f t="shared" ca="1" si="143"/>
        <v>#REF!</v>
      </c>
      <c r="AW70" s="145" t="e">
        <f t="shared" ca="1" si="143"/>
        <v>#REF!</v>
      </c>
      <c r="AX70" s="145" t="e">
        <f t="shared" ca="1" si="143"/>
        <v>#REF!</v>
      </c>
      <c r="AY70" s="145" t="e">
        <f t="shared" ca="1" si="143"/>
        <v>#REF!</v>
      </c>
      <c r="AZ70" s="145" t="e">
        <f t="shared" ca="1" si="143"/>
        <v>#REF!</v>
      </c>
      <c r="BA70" s="145" t="e">
        <f t="shared" ca="1" si="143"/>
        <v>#REF!</v>
      </c>
      <c r="BB70" s="145" t="e">
        <f t="shared" ca="1" si="143"/>
        <v>#REF!</v>
      </c>
      <c r="BC70" s="145" t="e">
        <f t="shared" ca="1" si="143"/>
        <v>#REF!</v>
      </c>
    </row>
    <row r="71" spans="2:55">
      <c r="B71" t="s">
        <v>60</v>
      </c>
      <c r="C71" s="145">
        <f t="shared" ca="1" si="137"/>
        <v>599.15939560876825</v>
      </c>
      <c r="D71" s="145" t="e">
        <f t="shared" ref="D71:AI71" ca="1" si="144">IF(C71+D60=C71,0,C71+D60)</f>
        <v>#REF!</v>
      </c>
      <c r="E71" s="145" t="e">
        <f t="shared" ca="1" si="144"/>
        <v>#REF!</v>
      </c>
      <c r="F71" s="145" t="e">
        <f t="shared" ca="1" si="144"/>
        <v>#REF!</v>
      </c>
      <c r="G71" s="145" t="e">
        <f t="shared" ca="1" si="144"/>
        <v>#REF!</v>
      </c>
      <c r="H71" s="145" t="e">
        <f t="shared" ca="1" si="144"/>
        <v>#REF!</v>
      </c>
      <c r="I71" s="145" t="e">
        <f t="shared" ca="1" si="144"/>
        <v>#REF!</v>
      </c>
      <c r="J71" s="145" t="e">
        <f t="shared" ca="1" si="144"/>
        <v>#REF!</v>
      </c>
      <c r="K71" s="145" t="e">
        <f t="shared" ca="1" si="144"/>
        <v>#REF!</v>
      </c>
      <c r="L71" s="145" t="e">
        <f t="shared" ca="1" si="144"/>
        <v>#REF!</v>
      </c>
      <c r="M71" s="145" t="e">
        <f t="shared" ca="1" si="144"/>
        <v>#REF!</v>
      </c>
      <c r="N71" s="145" t="e">
        <f t="shared" ca="1" si="144"/>
        <v>#REF!</v>
      </c>
      <c r="O71" s="145" t="e">
        <f t="shared" ca="1" si="144"/>
        <v>#REF!</v>
      </c>
      <c r="P71" s="145" t="e">
        <f t="shared" ca="1" si="144"/>
        <v>#REF!</v>
      </c>
      <c r="Q71" s="145" t="e">
        <f t="shared" ca="1" si="144"/>
        <v>#REF!</v>
      </c>
      <c r="R71" s="145" t="e">
        <f t="shared" ca="1" si="144"/>
        <v>#REF!</v>
      </c>
      <c r="S71" s="145" t="e">
        <f t="shared" ca="1" si="144"/>
        <v>#REF!</v>
      </c>
      <c r="T71" s="145" t="e">
        <f t="shared" ca="1" si="144"/>
        <v>#REF!</v>
      </c>
      <c r="U71" s="145" t="e">
        <f t="shared" ca="1" si="144"/>
        <v>#REF!</v>
      </c>
      <c r="V71" s="145" t="e">
        <f t="shared" ca="1" si="144"/>
        <v>#REF!</v>
      </c>
      <c r="W71" s="145" t="e">
        <f t="shared" ca="1" si="144"/>
        <v>#REF!</v>
      </c>
      <c r="X71" s="145" t="e">
        <f t="shared" ca="1" si="144"/>
        <v>#REF!</v>
      </c>
      <c r="Y71" s="145" t="e">
        <f t="shared" ca="1" si="144"/>
        <v>#REF!</v>
      </c>
      <c r="Z71" s="145" t="e">
        <f t="shared" ca="1" si="144"/>
        <v>#REF!</v>
      </c>
      <c r="AA71" s="145" t="e">
        <f t="shared" ca="1" si="144"/>
        <v>#REF!</v>
      </c>
      <c r="AB71" s="145" t="e">
        <f t="shared" ca="1" si="144"/>
        <v>#REF!</v>
      </c>
      <c r="AC71" s="145" t="e">
        <f t="shared" ca="1" si="144"/>
        <v>#REF!</v>
      </c>
      <c r="AD71" s="145" t="e">
        <f t="shared" ca="1" si="144"/>
        <v>#REF!</v>
      </c>
      <c r="AE71" s="145" t="e">
        <f t="shared" ca="1" si="144"/>
        <v>#REF!</v>
      </c>
      <c r="AF71" s="145" t="e">
        <f t="shared" ca="1" si="144"/>
        <v>#REF!</v>
      </c>
      <c r="AG71" s="145" t="e">
        <f t="shared" ca="1" si="144"/>
        <v>#REF!</v>
      </c>
      <c r="AH71" s="145" t="e">
        <f t="shared" ca="1" si="144"/>
        <v>#REF!</v>
      </c>
      <c r="AI71" s="145" t="e">
        <f t="shared" ca="1" si="144"/>
        <v>#REF!</v>
      </c>
      <c r="AJ71" s="145" t="e">
        <f t="shared" ref="AJ71:BC71" ca="1" si="145">IF(AI71+AJ60=AI71,0,AI71+AJ60)</f>
        <v>#REF!</v>
      </c>
      <c r="AK71" s="145" t="e">
        <f t="shared" ca="1" si="145"/>
        <v>#REF!</v>
      </c>
      <c r="AL71" s="145" t="e">
        <f t="shared" ca="1" si="145"/>
        <v>#REF!</v>
      </c>
      <c r="AM71" s="145" t="e">
        <f t="shared" ca="1" si="145"/>
        <v>#REF!</v>
      </c>
      <c r="AN71" s="145" t="e">
        <f t="shared" ca="1" si="145"/>
        <v>#REF!</v>
      </c>
      <c r="AO71" s="145" t="e">
        <f t="shared" ca="1" si="145"/>
        <v>#REF!</v>
      </c>
      <c r="AP71" s="145" t="e">
        <f t="shared" ca="1" si="145"/>
        <v>#REF!</v>
      </c>
      <c r="AQ71" s="145" t="e">
        <f t="shared" ca="1" si="145"/>
        <v>#REF!</v>
      </c>
      <c r="AR71" s="145" t="e">
        <f t="shared" ca="1" si="145"/>
        <v>#REF!</v>
      </c>
      <c r="AS71" s="145" t="e">
        <f t="shared" ca="1" si="145"/>
        <v>#REF!</v>
      </c>
      <c r="AT71" s="145" t="e">
        <f t="shared" ca="1" si="145"/>
        <v>#REF!</v>
      </c>
      <c r="AU71" s="145" t="e">
        <f t="shared" ca="1" si="145"/>
        <v>#REF!</v>
      </c>
      <c r="AV71" s="145" t="e">
        <f t="shared" ca="1" si="145"/>
        <v>#REF!</v>
      </c>
      <c r="AW71" s="145" t="e">
        <f t="shared" ca="1" si="145"/>
        <v>#REF!</v>
      </c>
      <c r="AX71" s="145" t="e">
        <f t="shared" ca="1" si="145"/>
        <v>#REF!</v>
      </c>
      <c r="AY71" s="145" t="e">
        <f t="shared" ca="1" si="145"/>
        <v>#REF!</v>
      </c>
      <c r="AZ71" s="145" t="e">
        <f t="shared" ca="1" si="145"/>
        <v>#REF!</v>
      </c>
      <c r="BA71" s="145" t="e">
        <f t="shared" ca="1" si="145"/>
        <v>#REF!</v>
      </c>
      <c r="BB71" s="145" t="e">
        <f t="shared" ca="1" si="145"/>
        <v>#REF!</v>
      </c>
      <c r="BC71" s="145" t="e">
        <f t="shared" ca="1" si="145"/>
        <v>#REF!</v>
      </c>
    </row>
    <row r="72" spans="2:55">
      <c r="B72" t="s">
        <v>19</v>
      </c>
      <c r="C72" s="145">
        <f t="shared" ca="1" si="137"/>
        <v>0</v>
      </c>
      <c r="D72" s="145" t="e">
        <f t="shared" ref="D72:AI72" ca="1" si="146">IF(C72+D61=C72,0,C72+D61)</f>
        <v>#REF!</v>
      </c>
      <c r="E72" s="145" t="e">
        <f t="shared" ca="1" si="146"/>
        <v>#REF!</v>
      </c>
      <c r="F72" s="145" t="e">
        <f t="shared" ca="1" si="146"/>
        <v>#REF!</v>
      </c>
      <c r="G72" s="145" t="e">
        <f t="shared" ca="1" si="146"/>
        <v>#REF!</v>
      </c>
      <c r="H72" s="145" t="e">
        <f t="shared" ca="1" si="146"/>
        <v>#REF!</v>
      </c>
      <c r="I72" s="145" t="e">
        <f t="shared" ca="1" si="146"/>
        <v>#REF!</v>
      </c>
      <c r="J72" s="145" t="e">
        <f t="shared" ca="1" si="146"/>
        <v>#REF!</v>
      </c>
      <c r="K72" s="145" t="e">
        <f t="shared" ca="1" si="146"/>
        <v>#REF!</v>
      </c>
      <c r="L72" s="145" t="e">
        <f t="shared" ca="1" si="146"/>
        <v>#REF!</v>
      </c>
      <c r="M72" s="145" t="e">
        <f t="shared" ca="1" si="146"/>
        <v>#REF!</v>
      </c>
      <c r="N72" s="145" t="e">
        <f t="shared" ca="1" si="146"/>
        <v>#REF!</v>
      </c>
      <c r="O72" s="145" t="e">
        <f t="shared" ca="1" si="146"/>
        <v>#REF!</v>
      </c>
      <c r="P72" s="145" t="e">
        <f t="shared" ca="1" si="146"/>
        <v>#REF!</v>
      </c>
      <c r="Q72" s="145" t="e">
        <f t="shared" ca="1" si="146"/>
        <v>#REF!</v>
      </c>
      <c r="R72" s="145" t="e">
        <f t="shared" ca="1" si="146"/>
        <v>#REF!</v>
      </c>
      <c r="S72" s="145" t="e">
        <f t="shared" ca="1" si="146"/>
        <v>#REF!</v>
      </c>
      <c r="T72" s="145" t="e">
        <f t="shared" ca="1" si="146"/>
        <v>#REF!</v>
      </c>
      <c r="U72" s="145" t="e">
        <f t="shared" ca="1" si="146"/>
        <v>#REF!</v>
      </c>
      <c r="V72" s="145" t="e">
        <f t="shared" ca="1" si="146"/>
        <v>#REF!</v>
      </c>
      <c r="W72" s="145" t="e">
        <f t="shared" ca="1" si="146"/>
        <v>#REF!</v>
      </c>
      <c r="X72" s="145" t="e">
        <f t="shared" ca="1" si="146"/>
        <v>#REF!</v>
      </c>
      <c r="Y72" s="145" t="e">
        <f t="shared" ca="1" si="146"/>
        <v>#REF!</v>
      </c>
      <c r="Z72" s="145" t="e">
        <f t="shared" ca="1" si="146"/>
        <v>#REF!</v>
      </c>
      <c r="AA72" s="145" t="e">
        <f t="shared" ca="1" si="146"/>
        <v>#REF!</v>
      </c>
      <c r="AB72" s="145" t="e">
        <f t="shared" ca="1" si="146"/>
        <v>#REF!</v>
      </c>
      <c r="AC72" s="145" t="e">
        <f t="shared" ca="1" si="146"/>
        <v>#REF!</v>
      </c>
      <c r="AD72" s="145" t="e">
        <f t="shared" ca="1" si="146"/>
        <v>#REF!</v>
      </c>
      <c r="AE72" s="145" t="e">
        <f t="shared" ca="1" si="146"/>
        <v>#REF!</v>
      </c>
      <c r="AF72" s="145" t="e">
        <f t="shared" ca="1" si="146"/>
        <v>#REF!</v>
      </c>
      <c r="AG72" s="145" t="e">
        <f t="shared" ca="1" si="146"/>
        <v>#REF!</v>
      </c>
      <c r="AH72" s="145" t="e">
        <f t="shared" ca="1" si="146"/>
        <v>#REF!</v>
      </c>
      <c r="AI72" s="145" t="e">
        <f t="shared" ca="1" si="146"/>
        <v>#REF!</v>
      </c>
      <c r="AJ72" s="145" t="e">
        <f t="shared" ref="AJ72:BC72" ca="1" si="147">IF(AI72+AJ61=AI72,0,AI72+AJ61)</f>
        <v>#REF!</v>
      </c>
      <c r="AK72" s="145" t="e">
        <f t="shared" ca="1" si="147"/>
        <v>#REF!</v>
      </c>
      <c r="AL72" s="145" t="e">
        <f t="shared" ca="1" si="147"/>
        <v>#REF!</v>
      </c>
      <c r="AM72" s="145" t="e">
        <f t="shared" ca="1" si="147"/>
        <v>#REF!</v>
      </c>
      <c r="AN72" s="145" t="e">
        <f t="shared" ca="1" si="147"/>
        <v>#REF!</v>
      </c>
      <c r="AO72" s="145" t="e">
        <f t="shared" ca="1" si="147"/>
        <v>#REF!</v>
      </c>
      <c r="AP72" s="145" t="e">
        <f t="shared" ca="1" si="147"/>
        <v>#REF!</v>
      </c>
      <c r="AQ72" s="145" t="e">
        <f t="shared" ca="1" si="147"/>
        <v>#REF!</v>
      </c>
      <c r="AR72" s="145" t="e">
        <f t="shared" ca="1" si="147"/>
        <v>#REF!</v>
      </c>
      <c r="AS72" s="145" t="e">
        <f t="shared" ca="1" si="147"/>
        <v>#REF!</v>
      </c>
      <c r="AT72" s="145" t="e">
        <f t="shared" ca="1" si="147"/>
        <v>#REF!</v>
      </c>
      <c r="AU72" s="145" t="e">
        <f t="shared" ca="1" si="147"/>
        <v>#REF!</v>
      </c>
      <c r="AV72" s="145" t="e">
        <f t="shared" ca="1" si="147"/>
        <v>#REF!</v>
      </c>
      <c r="AW72" s="145" t="e">
        <f t="shared" ca="1" si="147"/>
        <v>#REF!</v>
      </c>
      <c r="AX72" s="145" t="e">
        <f t="shared" ca="1" si="147"/>
        <v>#REF!</v>
      </c>
      <c r="AY72" s="145" t="e">
        <f t="shared" ca="1" si="147"/>
        <v>#REF!</v>
      </c>
      <c r="AZ72" s="145" t="e">
        <f t="shared" ca="1" si="147"/>
        <v>#REF!</v>
      </c>
      <c r="BA72" s="145" t="e">
        <f t="shared" ca="1" si="147"/>
        <v>#REF!</v>
      </c>
      <c r="BB72" s="145" t="e">
        <f t="shared" ca="1" si="147"/>
        <v>#REF!</v>
      </c>
      <c r="BC72" s="145" t="e">
        <f t="shared" ca="1" si="147"/>
        <v>#REF!</v>
      </c>
    </row>
    <row r="73" spans="2:55">
      <c r="B73" t="s">
        <v>4878</v>
      </c>
      <c r="C73" s="145">
        <f ca="1">SUM(C67:C72)</f>
        <v>65205.17571203335</v>
      </c>
      <c r="D73" s="145" t="e">
        <f t="shared" ref="D73:AI73" ca="1" si="148">IF(C73+D62=C73,0,C73+D62)</f>
        <v>#REF!</v>
      </c>
      <c r="E73" s="145" t="e">
        <f t="shared" ca="1" si="148"/>
        <v>#REF!</v>
      </c>
      <c r="F73" s="145" t="e">
        <f t="shared" ca="1" si="148"/>
        <v>#REF!</v>
      </c>
      <c r="G73" s="145" t="e">
        <f t="shared" ca="1" si="148"/>
        <v>#REF!</v>
      </c>
      <c r="H73" s="145" t="e">
        <f t="shared" ca="1" si="148"/>
        <v>#REF!</v>
      </c>
      <c r="I73" s="145" t="e">
        <f t="shared" ca="1" si="148"/>
        <v>#REF!</v>
      </c>
      <c r="J73" s="145" t="e">
        <f t="shared" ca="1" si="148"/>
        <v>#REF!</v>
      </c>
      <c r="K73" s="145" t="e">
        <f t="shared" ca="1" si="148"/>
        <v>#REF!</v>
      </c>
      <c r="L73" s="145" t="e">
        <f t="shared" ca="1" si="148"/>
        <v>#REF!</v>
      </c>
      <c r="M73" s="145" t="e">
        <f t="shared" ca="1" si="148"/>
        <v>#REF!</v>
      </c>
      <c r="N73" s="145" t="e">
        <f t="shared" ca="1" si="148"/>
        <v>#REF!</v>
      </c>
      <c r="O73" s="145" t="e">
        <f t="shared" ca="1" si="148"/>
        <v>#REF!</v>
      </c>
      <c r="P73" s="145" t="e">
        <f t="shared" ca="1" si="148"/>
        <v>#REF!</v>
      </c>
      <c r="Q73" s="145" t="e">
        <f t="shared" ca="1" si="148"/>
        <v>#REF!</v>
      </c>
      <c r="R73" s="145" t="e">
        <f t="shared" ca="1" si="148"/>
        <v>#REF!</v>
      </c>
      <c r="S73" s="145" t="e">
        <f t="shared" ca="1" si="148"/>
        <v>#REF!</v>
      </c>
      <c r="T73" s="145" t="e">
        <f t="shared" ca="1" si="148"/>
        <v>#REF!</v>
      </c>
      <c r="U73" s="145" t="e">
        <f t="shared" ca="1" si="148"/>
        <v>#REF!</v>
      </c>
      <c r="V73" s="145" t="e">
        <f t="shared" ca="1" si="148"/>
        <v>#REF!</v>
      </c>
      <c r="W73" s="145" t="e">
        <f t="shared" ca="1" si="148"/>
        <v>#REF!</v>
      </c>
      <c r="X73" s="145" t="e">
        <f t="shared" ca="1" si="148"/>
        <v>#REF!</v>
      </c>
      <c r="Y73" s="145" t="e">
        <f t="shared" ca="1" si="148"/>
        <v>#REF!</v>
      </c>
      <c r="Z73" s="145" t="e">
        <f t="shared" ca="1" si="148"/>
        <v>#REF!</v>
      </c>
      <c r="AA73" s="145" t="e">
        <f t="shared" ca="1" si="148"/>
        <v>#REF!</v>
      </c>
      <c r="AB73" s="145" t="e">
        <f t="shared" ca="1" si="148"/>
        <v>#REF!</v>
      </c>
      <c r="AC73" s="145" t="e">
        <f t="shared" ca="1" si="148"/>
        <v>#REF!</v>
      </c>
      <c r="AD73" s="145" t="e">
        <f t="shared" ca="1" si="148"/>
        <v>#REF!</v>
      </c>
      <c r="AE73" s="145" t="e">
        <f t="shared" ca="1" si="148"/>
        <v>#REF!</v>
      </c>
      <c r="AF73" s="145" t="e">
        <f t="shared" ca="1" si="148"/>
        <v>#REF!</v>
      </c>
      <c r="AG73" s="145" t="e">
        <f t="shared" ca="1" si="148"/>
        <v>#REF!</v>
      </c>
      <c r="AH73" s="145" t="e">
        <f t="shared" ca="1" si="148"/>
        <v>#REF!</v>
      </c>
      <c r="AI73" s="145" t="e">
        <f t="shared" ca="1" si="148"/>
        <v>#REF!</v>
      </c>
      <c r="AJ73" s="145" t="e">
        <f t="shared" ref="AJ73:BC73" ca="1" si="149">IF(AI73+AJ62=AI73,0,AI73+AJ62)</f>
        <v>#REF!</v>
      </c>
      <c r="AK73" s="145" t="e">
        <f t="shared" ca="1" si="149"/>
        <v>#REF!</v>
      </c>
      <c r="AL73" s="145" t="e">
        <f t="shared" ca="1" si="149"/>
        <v>#REF!</v>
      </c>
      <c r="AM73" s="145" t="e">
        <f t="shared" ca="1" si="149"/>
        <v>#REF!</v>
      </c>
      <c r="AN73" s="145" t="e">
        <f t="shared" ca="1" si="149"/>
        <v>#REF!</v>
      </c>
      <c r="AO73" s="145" t="e">
        <f t="shared" ca="1" si="149"/>
        <v>#REF!</v>
      </c>
      <c r="AP73" s="145" t="e">
        <f t="shared" ca="1" si="149"/>
        <v>#REF!</v>
      </c>
      <c r="AQ73" s="145" t="e">
        <f t="shared" ca="1" si="149"/>
        <v>#REF!</v>
      </c>
      <c r="AR73" s="145" t="e">
        <f t="shared" ca="1" si="149"/>
        <v>#REF!</v>
      </c>
      <c r="AS73" s="145" t="e">
        <f t="shared" ca="1" si="149"/>
        <v>#REF!</v>
      </c>
      <c r="AT73" s="145" t="e">
        <f t="shared" ca="1" si="149"/>
        <v>#REF!</v>
      </c>
      <c r="AU73" s="145" t="e">
        <f t="shared" ca="1" si="149"/>
        <v>#REF!</v>
      </c>
      <c r="AV73" s="145" t="e">
        <f t="shared" ca="1" si="149"/>
        <v>#REF!</v>
      </c>
      <c r="AW73" s="145" t="e">
        <f t="shared" ca="1" si="149"/>
        <v>#REF!</v>
      </c>
      <c r="AX73" s="145" t="e">
        <f t="shared" ca="1" si="149"/>
        <v>#REF!</v>
      </c>
      <c r="AY73" s="145" t="e">
        <f t="shared" ca="1" si="149"/>
        <v>#REF!</v>
      </c>
      <c r="AZ73" s="145" t="e">
        <f t="shared" ca="1" si="149"/>
        <v>#REF!</v>
      </c>
      <c r="BA73" s="145" t="e">
        <f t="shared" ca="1" si="149"/>
        <v>#REF!</v>
      </c>
      <c r="BB73" s="145" t="e">
        <f t="shared" ca="1" si="149"/>
        <v>#REF!</v>
      </c>
      <c r="BC73" s="145" t="e">
        <f t="shared" ca="1" si="149"/>
        <v>#REF!</v>
      </c>
    </row>
    <row r="75" spans="2:55">
      <c r="B75" s="124">
        <f>NPV(0.01,C92)</f>
        <v>394677.22772277228</v>
      </c>
      <c r="C75" s="219"/>
      <c r="D75" s="145"/>
      <c r="E75" s="145"/>
      <c r="F75" s="145"/>
      <c r="G75" s="145"/>
      <c r="H75" s="145"/>
      <c r="I75" s="124">
        <f>NPV(0.01,C32:I32)</f>
        <v>13506.206063642961</v>
      </c>
      <c r="J75" s="219">
        <f>I75/$I$79</f>
        <v>0.28776725241754048</v>
      </c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</row>
    <row r="76" spans="2:55">
      <c r="C76" s="219"/>
      <c r="D76" s="145"/>
      <c r="E76" s="145"/>
      <c r="F76" s="145"/>
      <c r="G76" s="145"/>
      <c r="H76" s="145"/>
      <c r="I76" s="124">
        <f>NPV(0.01,C33:I33)</f>
        <v>10084.695028843911</v>
      </c>
      <c r="J76" s="219">
        <f>I76/$I$79</f>
        <v>0.21486751840186918</v>
      </c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</row>
    <row r="77" spans="2:55">
      <c r="C77" s="219"/>
      <c r="D77" s="145"/>
      <c r="E77" s="145"/>
      <c r="F77" s="145"/>
      <c r="G77" s="145"/>
      <c r="H77" s="145"/>
      <c r="I77" s="124">
        <f>NPV(0.01,C34:I34)</f>
        <v>13922.198896352971</v>
      </c>
      <c r="J77" s="219">
        <f>I77/$I$79</f>
        <v>0.29663051971334986</v>
      </c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</row>
    <row r="78" spans="2:55">
      <c r="C78" s="219"/>
      <c r="D78" s="145"/>
      <c r="E78" s="145"/>
      <c r="F78" s="145"/>
      <c r="G78" s="145"/>
      <c r="H78" s="145"/>
      <c r="I78" s="124">
        <f>NPV(0.01,C35:I35)</f>
        <v>9421.3790047807252</v>
      </c>
      <c r="J78" s="219">
        <f>I78/$I$79</f>
        <v>0.20073470946724045</v>
      </c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</row>
    <row r="79" spans="2:55">
      <c r="C79" s="219"/>
      <c r="D79" s="145"/>
      <c r="E79" s="145"/>
      <c r="F79" s="145"/>
      <c r="G79" s="145"/>
      <c r="H79" s="145"/>
      <c r="I79" s="124">
        <f>SUM(I75:I78)</f>
        <v>46934.478993620571</v>
      </c>
      <c r="J79" s="219">
        <f t="shared" ref="J79" si="150">I79/$I$79</f>
        <v>1</v>
      </c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45"/>
      <c r="AB79" s="145"/>
      <c r="AC79" s="145"/>
      <c r="AD79" s="145"/>
      <c r="AE79" s="145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</row>
    <row r="81" spans="2:55">
      <c r="B81" s="124"/>
      <c r="C81" s="219"/>
      <c r="D81" s="145"/>
      <c r="E81" s="145"/>
      <c r="F81" s="145"/>
      <c r="G81" s="145"/>
      <c r="H81" s="145"/>
      <c r="I81" s="124"/>
      <c r="J81" s="219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</row>
    <row r="82" spans="2:55">
      <c r="B82" s="124"/>
      <c r="C82" s="219"/>
      <c r="D82" s="145"/>
      <c r="E82" s="145"/>
      <c r="F82" s="145"/>
      <c r="G82" s="145"/>
      <c r="H82" s="145"/>
      <c r="I82" s="124"/>
      <c r="J82" s="219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  <c r="AA82" s="145"/>
      <c r="AB82" s="145"/>
      <c r="AC82" s="145"/>
      <c r="AD82" s="145"/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45"/>
      <c r="AR82" s="145"/>
      <c r="AS82" s="145"/>
      <c r="AT82" s="145"/>
      <c r="AU82" s="145"/>
      <c r="AV82" s="145"/>
      <c r="AW82" s="145"/>
      <c r="AX82" s="145"/>
      <c r="AY82" s="145"/>
      <c r="AZ82" s="145"/>
      <c r="BA82" s="145"/>
      <c r="BB82" s="145"/>
      <c r="BC82" s="145"/>
    </row>
    <row r="83" spans="2:55">
      <c r="B83" s="124"/>
      <c r="C83" s="219"/>
      <c r="D83" s="145"/>
      <c r="E83" s="145"/>
      <c r="F83" s="145"/>
      <c r="G83" s="145"/>
      <c r="H83" s="145"/>
      <c r="I83" s="124"/>
      <c r="J83" s="219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</row>
    <row r="84" spans="2:55">
      <c r="B84" s="124"/>
      <c r="C84" s="219"/>
      <c r="D84" s="145"/>
      <c r="E84" s="145"/>
      <c r="F84" s="145"/>
      <c r="G84" s="145"/>
      <c r="H84" s="145"/>
      <c r="I84" s="124"/>
      <c r="J84" s="219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45"/>
      <c r="AR84" s="145"/>
      <c r="AS84" s="145"/>
      <c r="AT84" s="145"/>
      <c r="AU84" s="145"/>
      <c r="AV84" s="145"/>
      <c r="AW84" s="145"/>
      <c r="AX84" s="145"/>
      <c r="AY84" s="145"/>
      <c r="AZ84" s="145"/>
      <c r="BA84" s="145"/>
      <c r="BB84" s="145"/>
      <c r="BC84" s="145"/>
    </row>
    <row r="85" spans="2:55">
      <c r="B85" s="124"/>
      <c r="C85" s="219"/>
      <c r="D85" s="145"/>
      <c r="E85" s="145"/>
      <c r="F85" s="145"/>
      <c r="G85" s="145"/>
      <c r="H85" s="145"/>
      <c r="I85" s="124"/>
      <c r="J85" s="219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5"/>
      <c r="AI85" s="145"/>
      <c r="AJ85" s="145"/>
      <c r="AK85" s="145"/>
      <c r="AL85" s="145"/>
      <c r="AM85" s="145"/>
      <c r="AN85" s="145"/>
      <c r="AO85" s="145"/>
      <c r="AP85" s="145"/>
      <c r="AQ85" s="145"/>
      <c r="AR85" s="145"/>
      <c r="AS85" s="145"/>
      <c r="AT85" s="145"/>
      <c r="AU85" s="145"/>
      <c r="AV85" s="145"/>
      <c r="AW85" s="145"/>
      <c r="AX85" s="145"/>
      <c r="AY85" s="145"/>
      <c r="AZ85" s="145"/>
      <c r="BA85" s="145"/>
      <c r="BB85" s="145"/>
      <c r="BC85" s="145"/>
    </row>
    <row r="86" spans="2:55">
      <c r="B86" s="124"/>
      <c r="C86" s="219"/>
      <c r="D86" s="145"/>
      <c r="E86" s="145"/>
      <c r="F86" s="145"/>
      <c r="G86" s="145"/>
      <c r="H86" s="145"/>
      <c r="I86" s="124"/>
      <c r="J86" s="219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  <c r="AE86" s="145"/>
      <c r="AF86" s="145"/>
      <c r="AG86" s="145"/>
      <c r="AH86" s="145"/>
      <c r="AI86" s="145"/>
      <c r="AJ86" s="145"/>
      <c r="AK86" s="145"/>
      <c r="AL86" s="145"/>
      <c r="AM86" s="145"/>
      <c r="AN86" s="145"/>
      <c r="AO86" s="145"/>
      <c r="AP86" s="145"/>
      <c r="AQ86" s="145"/>
      <c r="AR86" s="145"/>
      <c r="AS86" s="145"/>
      <c r="AT86" s="145"/>
      <c r="AU86" s="145"/>
      <c r="AV86" s="145"/>
      <c r="AW86" s="145"/>
      <c r="AX86" s="145"/>
      <c r="AY86" s="145"/>
      <c r="AZ86" s="145"/>
      <c r="BA86" s="145"/>
      <c r="BB86" s="145"/>
      <c r="BC86" s="145"/>
    </row>
    <row r="87" spans="2:55"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  <c r="AE87" s="145"/>
      <c r="AF87" s="145"/>
      <c r="AG87" s="145"/>
      <c r="AH87" s="145"/>
      <c r="AI87" s="145"/>
      <c r="AJ87" s="145"/>
      <c r="AK87" s="145"/>
      <c r="AL87" s="145"/>
      <c r="AM87" s="145"/>
      <c r="AN87" s="145"/>
      <c r="AO87" s="145"/>
      <c r="AP87" s="145"/>
      <c r="AQ87" s="145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</row>
    <row r="88" spans="2:55">
      <c r="B88" s="2" t="s">
        <v>4875</v>
      </c>
      <c r="C88" s="115" cm="1">
        <f t="array" aca="1" ref="C88" ca="1">MIN(IF(C53:BC53&gt;0,C53:BC53))</f>
        <v>4235.8321580553893</v>
      </c>
    </row>
    <row r="89" spans="2:55">
      <c r="B89" s="2" t="s">
        <v>4871</v>
      </c>
      <c r="C89" s="2">
        <f ca="1">INDEX(C4:BC4, MATCH(C88,C53:BC53,0))</f>
        <v>45</v>
      </c>
    </row>
    <row r="91" spans="2:55">
      <c r="B91" s="214" t="s">
        <v>4872</v>
      </c>
      <c r="C91" s="214"/>
      <c r="D91" s="250" t="s">
        <v>4917</v>
      </c>
      <c r="E91" s="214" t="s">
        <v>4918</v>
      </c>
      <c r="F91" s="214" t="s">
        <v>4910</v>
      </c>
      <c r="G91" s="222" t="s">
        <v>4874</v>
      </c>
      <c r="H91" s="222" t="s">
        <v>4798</v>
      </c>
      <c r="I91" s="222" t="s">
        <v>4795</v>
      </c>
      <c r="J91" s="222" t="s">
        <v>4881</v>
      </c>
      <c r="K91" s="233" t="s">
        <v>4880</v>
      </c>
      <c r="L91" s="232" t="s">
        <v>4888</v>
      </c>
    </row>
    <row r="92" spans="2:55">
      <c r="B92" t="s">
        <v>7</v>
      </c>
      <c r="C92" s="24">
        <f>'General overview'!C80/100*20</f>
        <v>398624</v>
      </c>
      <c r="D92" s="124">
        <f t="shared" ref="D92:D97" si="151">NPV(0.01,C31:BC31)</f>
        <v>640713.42646006285</v>
      </c>
      <c r="E92" s="219">
        <f t="shared" ref="E92:E97" si="152">D92/$D$98</f>
        <v>0.88581115952801903</v>
      </c>
      <c r="F92" s="24">
        <f t="shared" ref="F92:F97" si="153">-PMT(I92,J92,0,C92,1)</f>
        <v>25118.177505840074</v>
      </c>
      <c r="G92" s="145">
        <f t="shared" ref="G92:G97" ca="1" si="154">E92*$C$88</f>
        <v>3752.1473954931157</v>
      </c>
      <c r="H92" s="145">
        <f ca="1">G92/12</f>
        <v>312.67894962442631</v>
      </c>
      <c r="I92" s="228">
        <f>'House calculator '!C12</f>
        <v>0.06</v>
      </c>
      <c r="J92" s="229">
        <f>'House calculator '!C11</f>
        <v>11</v>
      </c>
      <c r="K92" s="62" t="e">
        <f ca="1">Tabella4281[[#Totals],[Total]]</f>
        <v>#REF!</v>
      </c>
      <c r="L92" s="219" t="e">
        <f t="shared" ref="L92:L98" ca="1" si="155">K92/C92-1</f>
        <v>#REF!</v>
      </c>
    </row>
    <row r="93" spans="2:55">
      <c r="B93" t="s">
        <v>9</v>
      </c>
      <c r="C93" s="24">
        <f>IF(VALUE('General overview'!C45)&gt;0,'General overview'!C45,'General overview'!C44)</f>
        <v>100000</v>
      </c>
      <c r="D93" s="124">
        <f t="shared" si="151"/>
        <v>41063.101576948437</v>
      </c>
      <c r="E93" s="219">
        <f t="shared" si="152"/>
        <v>5.6771330394401846E-2</v>
      </c>
      <c r="F93" s="24">
        <f t="shared" si="153"/>
        <v>2007.4042159234834</v>
      </c>
      <c r="G93" s="145">
        <f t="shared" ca="1" si="154"/>
        <v>240.4738269401947</v>
      </c>
      <c r="H93" s="145">
        <f t="shared" ref="H93:H97" ca="1" si="156">G93/12</f>
        <v>20.039485578349559</v>
      </c>
      <c r="I93" s="228">
        <f>'Luxus '!C25</f>
        <v>0.06</v>
      </c>
      <c r="J93" s="229">
        <f>'Luxus '!C24</f>
        <v>23</v>
      </c>
      <c r="K93" s="62" t="e">
        <f ca="1">Tabella428183[[#Totals],[Total]]</f>
        <v>#REF!</v>
      </c>
      <c r="L93" s="219" t="e">
        <f t="shared" ca="1" si="155"/>
        <v>#REF!</v>
      </c>
    </row>
    <row r="94" spans="2:55">
      <c r="B94" t="s">
        <v>35</v>
      </c>
      <c r="C94" s="24">
        <f>IF(VALUE('General overview'!C49)&gt;0,'General overview'!C49,'General overview'!C48)</f>
        <v>30000</v>
      </c>
      <c r="D94" s="124">
        <f t="shared" si="151"/>
        <v>18186.909974196944</v>
      </c>
      <c r="E94" s="219">
        <f t="shared" si="152"/>
        <v>2.5144108344168237E-2</v>
      </c>
      <c r="F94" s="24">
        <f t="shared" si="153"/>
        <v>1498.8709058495983</v>
      </c>
      <c r="G94" s="145">
        <f t="shared" ca="1" si="154"/>
        <v>106.50622270985667</v>
      </c>
      <c r="H94" s="145">
        <f t="shared" ca="1" si="156"/>
        <v>8.8755185591547221</v>
      </c>
      <c r="I94" s="228">
        <f>'Luxus '!P25</f>
        <v>0.06</v>
      </c>
      <c r="J94" s="229">
        <f>'Luxus '!P24</f>
        <v>13</v>
      </c>
      <c r="K94" s="62" t="e">
        <f ca="1">Tabella42818384[[#Totals],[Total]]</f>
        <v>#REF!</v>
      </c>
      <c r="L94" s="219" t="e">
        <f t="shared" ca="1" si="155"/>
        <v>#REF!</v>
      </c>
    </row>
    <row r="95" spans="2:55">
      <c r="B95" t="s">
        <v>32</v>
      </c>
      <c r="C95" s="24">
        <f>IF(VALUE('General overview'!C53)&gt;0,'General overview'!C53,'General overview'!C52)</f>
        <v>15000</v>
      </c>
      <c r="D95" s="124">
        <f t="shared" si="151"/>
        <v>13922.198896352971</v>
      </c>
      <c r="E95" s="219">
        <f t="shared" si="152"/>
        <v>1.9247979889690733E-2</v>
      </c>
      <c r="F95" s="24">
        <f t="shared" si="153"/>
        <v>3567.9963628130517</v>
      </c>
      <c r="G95" s="145">
        <f t="shared" ca="1" si="154"/>
        <v>81.531212194355433</v>
      </c>
      <c r="H95" s="145">
        <f t="shared" ca="1" si="156"/>
        <v>6.7942676828629525</v>
      </c>
      <c r="I95" s="228">
        <f>'Luxus '!AB25</f>
        <v>0.02</v>
      </c>
      <c r="J95" s="229">
        <f>'Luxus '!AB24</f>
        <v>4</v>
      </c>
      <c r="K95" s="62" t="e">
        <f ca="1">Tabella4281838485[[#Totals],[Total]]</f>
        <v>#REF!</v>
      </c>
      <c r="L95" s="219" t="e">
        <f t="shared" ca="1" si="155"/>
        <v>#REF!</v>
      </c>
    </row>
    <row r="96" spans="2:55">
      <c r="B96" t="s">
        <v>17</v>
      </c>
      <c r="C96" s="24">
        <f>IF(VALUE('General overview'!C57)&gt;0,'General overview'!C57,'General overview'!C56)</f>
        <v>10000</v>
      </c>
      <c r="D96" s="124">
        <f t="shared" si="151"/>
        <v>9421.3790047807252</v>
      </c>
      <c r="E96" s="219">
        <f t="shared" si="152"/>
        <v>1.3025421843720245E-2</v>
      </c>
      <c r="F96" s="24">
        <f t="shared" si="153"/>
        <v>3203.4771822727257</v>
      </c>
      <c r="G96" s="145">
        <f t="shared" ca="1" si="154"/>
        <v>55.173500717867334</v>
      </c>
      <c r="H96" s="145">
        <f t="shared" ca="1" si="156"/>
        <v>4.5977917264889445</v>
      </c>
      <c r="I96" s="228">
        <f>'Luxus '!AN25</f>
        <v>0.02</v>
      </c>
      <c r="J96" s="229">
        <f>'Luxus '!AN24</f>
        <v>3</v>
      </c>
      <c r="K96" s="62" t="e">
        <f ca="1">Tabella428183848586[[#Totals],[Total]]</f>
        <v>#REF!</v>
      </c>
      <c r="L96" s="219" t="e">
        <f t="shared" ca="1" si="155"/>
        <v>#REF!</v>
      </c>
    </row>
    <row r="97" spans="2:55">
      <c r="B97" s="213" t="s">
        <v>19</v>
      </c>
      <c r="C97" s="218">
        <f>IF('General overview'!C61="Yes",'General overview'!C75,'General overview'!C62)</f>
        <v>0</v>
      </c>
      <c r="D97" s="251">
        <f t="shared" si="151"/>
        <v>0</v>
      </c>
      <c r="E97" s="220">
        <f t="shared" si="152"/>
        <v>0</v>
      </c>
      <c r="F97" s="218">
        <f t="shared" si="153"/>
        <v>0</v>
      </c>
      <c r="G97" s="221">
        <f t="shared" ca="1" si="154"/>
        <v>0</v>
      </c>
      <c r="H97" s="221">
        <f t="shared" ca="1" si="156"/>
        <v>0</v>
      </c>
      <c r="I97" s="230">
        <f>'Pension calculator 3a'!C11</f>
        <v>0.06</v>
      </c>
      <c r="J97" s="231">
        <f>'Pension calculator 3a'!C10</f>
        <v>37</v>
      </c>
      <c r="K97" s="234" t="e">
        <f ca="1">Tabella428187[[#Totals],[Total]]</f>
        <v>#DIV/0!</v>
      </c>
      <c r="L97" s="220" t="e">
        <f t="shared" ca="1" si="155"/>
        <v>#DIV/0!</v>
      </c>
    </row>
    <row r="98" spans="2:55">
      <c r="C98" s="62">
        <f t="shared" ref="C98:H98" si="157">SUM(C92:C97)</f>
        <v>553624</v>
      </c>
      <c r="D98" s="124">
        <f t="shared" si="157"/>
        <v>723307.01591234189</v>
      </c>
      <c r="E98" s="252">
        <f t="shared" si="157"/>
        <v>1.0000000000000002</v>
      </c>
      <c r="F98" s="243">
        <f t="shared" si="157"/>
        <v>35395.926172698935</v>
      </c>
      <c r="G98" s="62">
        <f t="shared" ca="1" si="157"/>
        <v>4235.8321580553902</v>
      </c>
      <c r="H98" s="62">
        <f t="shared" ca="1" si="157"/>
        <v>352.98601317128248</v>
      </c>
      <c r="K98" s="62" t="e">
        <f ca="1">SUM(K92:K97)</f>
        <v>#REF!</v>
      </c>
      <c r="L98" s="212" t="e">
        <f t="shared" ca="1" si="155"/>
        <v>#REF!</v>
      </c>
    </row>
    <row r="99" spans="2:55">
      <c r="C99" s="62"/>
      <c r="D99" s="124"/>
      <c r="E99" s="252"/>
      <c r="F99" s="243"/>
      <c r="G99" s="62"/>
      <c r="H99" s="62"/>
      <c r="K99" s="62"/>
      <c r="L99" s="212"/>
    </row>
    <row r="100" spans="2:55">
      <c r="B100" t="s">
        <v>4920</v>
      </c>
      <c r="C100">
        <v>0.01</v>
      </c>
    </row>
    <row r="101" spans="2:55">
      <c r="B101" t="s">
        <v>4919</v>
      </c>
      <c r="C101" s="242">
        <f>IF(OR(C4='General overview'!$C$94, C4='General overview'!$C$96, C4='General overview'!$C$97, C4='General overview'!$C$98, C4='General overview'!$C$99, C4='General overview'!$C$100, C4='General overview'!$C$102), 1, 0)</f>
        <v>1</v>
      </c>
      <c r="D101" s="242">
        <f>IF(OR(D4='General overview'!$C$94, D4='General overview'!$C$96, D4='General overview'!$C$97, D4='General overview'!$C$98, D4='General overview'!$C$99, D4='General overview'!$C$100, D4='General overview'!$C$102), 1, 0)</f>
        <v>0</v>
      </c>
      <c r="E101" s="242">
        <f>IF(OR(E4='General overview'!$C$94, E4='General overview'!$C$96, E4='General overview'!$C$97, E4='General overview'!$C$98, E4='General overview'!$C$99, E4='General overview'!$C$100, E4='General overview'!$C$102), 1, 0)</f>
        <v>1</v>
      </c>
      <c r="F101" s="242">
        <f>IF(OR(F4='General overview'!$C$94, F4='General overview'!$C$96, F4='General overview'!$C$97, F4='General overview'!$C$98, F4='General overview'!$C$99, F4='General overview'!$C$100, F4='General overview'!$C$102), 1, 0)</f>
        <v>1</v>
      </c>
      <c r="G101" s="242">
        <f>IF(OR(G4='General overview'!$C$94, G4='General overview'!$C$96, G4='General overview'!$C$97, G4='General overview'!$C$98, G4='General overview'!$C$99, G4='General overview'!$C$100, G4='General overview'!$C$102), 1, 0)</f>
        <v>0</v>
      </c>
      <c r="H101" s="242">
        <f>IF(OR(H4='General overview'!$C$94, H4='General overview'!$C$96, H4='General overview'!$C$97, H4='General overview'!$C$98, H4='General overview'!$C$99, H4='General overview'!$C$100, H4='General overview'!$C$102), 1, 0)</f>
        <v>0</v>
      </c>
      <c r="I101" s="242">
        <f>IF(OR(I4='General overview'!$C$94, I4='General overview'!$C$96, I4='General overview'!$C$97, I4='General overview'!$C$98, I4='General overview'!$C$99, I4='General overview'!$C$100, I4='General overview'!$C$102), 1, 0)</f>
        <v>0</v>
      </c>
      <c r="J101" s="242">
        <f>IF(OR(J4='General overview'!$C$94, J4='General overview'!$C$96, J4='General overview'!$C$97, J4='General overview'!$C$98, J4='General overview'!$C$99, J4='General overview'!$C$100, J4='General overview'!$C$102), 1, 0)</f>
        <v>0</v>
      </c>
      <c r="K101" s="242">
        <f>IF(OR(K4='General overview'!$C$94, K4='General overview'!$C$96, K4='General overview'!$C$97, K4='General overview'!$C$98, K4='General overview'!$C$99, K4='General overview'!$C$100, K4='General overview'!$C$102), 1, 0)</f>
        <v>0</v>
      </c>
      <c r="L101" s="242">
        <f>IF(OR(L4='General overview'!$C$94, L4='General overview'!$C$96, L4='General overview'!$C$97, L4='General overview'!$C$98, L4='General overview'!$C$99, L4='General overview'!$C$100, L4='General overview'!$C$102), 1, 0)</f>
        <v>0</v>
      </c>
      <c r="M101" s="242">
        <f>IF(OR(M4='General overview'!$C$94, M4='General overview'!$C$96, M4='General overview'!$C$97, M4='General overview'!$C$98, M4='General overview'!$C$99, M4='General overview'!$C$100, M4='General overview'!$C$102), 1, 0)</f>
        <v>1</v>
      </c>
      <c r="N101" s="242">
        <f>IF(OR(N4='General overview'!$C$94, N4='General overview'!$C$96, N4='General overview'!$C$97, N4='General overview'!$C$98, N4='General overview'!$C$99, N4='General overview'!$C$100, N4='General overview'!$C$102), 1, 0)</f>
        <v>0</v>
      </c>
      <c r="O101" s="242">
        <f>IF(OR(O4='General overview'!$C$94, O4='General overview'!$C$96, O4='General overview'!$C$97, O4='General overview'!$C$98, O4='General overview'!$C$99, O4='General overview'!$C$100, O4='General overview'!$C$102), 1, 0)</f>
        <v>1</v>
      </c>
      <c r="P101" s="242">
        <f>IF(OR(P4='General overview'!$C$94, P4='General overview'!$C$96, P4='General overview'!$C$97, P4='General overview'!$C$98, P4='General overview'!$C$99, P4='General overview'!$C$100, P4='General overview'!$C$102), 1, 0)</f>
        <v>0</v>
      </c>
      <c r="Q101" s="242">
        <f>IF(OR(Q4='General overview'!$C$94, Q4='General overview'!$C$96, Q4='General overview'!$C$97, Q4='General overview'!$C$98, Q4='General overview'!$C$99, Q4='General overview'!$C$100, Q4='General overview'!$C$102), 1, 0)</f>
        <v>0</v>
      </c>
      <c r="R101" s="242">
        <f>IF(OR(R4='General overview'!$C$94, R4='General overview'!$C$96, R4='General overview'!$C$97, R4='General overview'!$C$98, R4='General overview'!$C$99, R4='General overview'!$C$100, R4='General overview'!$C$102), 1, 0)</f>
        <v>0</v>
      </c>
      <c r="S101" s="242">
        <f>IF(OR(S4='General overview'!$C$94, S4='General overview'!$C$96, S4='General overview'!$C$97, S4='General overview'!$C$98, S4='General overview'!$C$99, S4='General overview'!$C$100, S4='General overview'!$C$102), 1, 0)</f>
        <v>0</v>
      </c>
      <c r="T101" s="242">
        <f>IF(OR(T4='General overview'!$C$94, T4='General overview'!$C$96, T4='General overview'!$C$97, T4='General overview'!$C$98, T4='General overview'!$C$99, T4='General overview'!$C$100, T4='General overview'!$C$102), 1, 0)</f>
        <v>0</v>
      </c>
      <c r="U101" s="242">
        <f>IF(OR(U4='General overview'!$C$94, U4='General overview'!$C$96, U4='General overview'!$C$97, U4='General overview'!$C$98, U4='General overview'!$C$99, U4='General overview'!$C$100, U4='General overview'!$C$102), 1, 0)</f>
        <v>0</v>
      </c>
      <c r="V101" s="242">
        <f>IF(OR(V4='General overview'!$C$94, V4='General overview'!$C$96, V4='General overview'!$C$97, V4='General overview'!$C$98, V4='General overview'!$C$99, V4='General overview'!$C$100, V4='General overview'!$C$102), 1, 0)</f>
        <v>0</v>
      </c>
      <c r="W101" s="242">
        <f>IF(OR(W4='General overview'!$C$94, W4='General overview'!$C$96, W4='General overview'!$C$97, W4='General overview'!$C$98, W4='General overview'!$C$99, W4='General overview'!$C$100, W4='General overview'!$C$102), 1, 0)</f>
        <v>0</v>
      </c>
      <c r="X101" s="242">
        <f>IF(OR(X4='General overview'!$C$94, X4='General overview'!$C$96, X4='General overview'!$C$97, X4='General overview'!$C$98, X4='General overview'!$C$99, X4='General overview'!$C$100, X4='General overview'!$C$102), 1, 0)</f>
        <v>0</v>
      </c>
      <c r="Y101" s="242">
        <f>IF(OR(Y4='General overview'!$C$94, Y4='General overview'!$C$96, Y4='General overview'!$C$97, Y4='General overview'!$C$98, Y4='General overview'!$C$99, Y4='General overview'!$C$100, Y4='General overview'!$C$102), 1, 0)</f>
        <v>1</v>
      </c>
      <c r="Z101" s="242">
        <f>IF(OR(Z4='General overview'!$C$94, Z4='General overview'!$C$96, Z4='General overview'!$C$97, Z4='General overview'!$C$98, Z4='General overview'!$C$99, Z4='General overview'!$C$100, Z4='General overview'!$C$102), 1, 0)</f>
        <v>0</v>
      </c>
      <c r="AA101" s="242">
        <f>IF(OR(AA4='General overview'!$C$94, AA4='General overview'!$C$96, AA4='General overview'!$C$97, AA4='General overview'!$C$98, AA4='General overview'!$C$99, AA4='General overview'!$C$100, AA4='General overview'!$C$102), 1, 0)</f>
        <v>0</v>
      </c>
      <c r="AB101" s="242">
        <f>IF(OR(AB4='General overview'!$C$94, AB4='General overview'!$C$96, AB4='General overview'!$C$97, AB4='General overview'!$C$98, AB4='General overview'!$C$99, AB4='General overview'!$C$100, AB4='General overview'!$C$102), 1, 0)</f>
        <v>0</v>
      </c>
      <c r="AC101" s="242">
        <f>IF(OR(AC4='General overview'!$C$94, AC4='General overview'!$C$96, AC4='General overview'!$C$97, AC4='General overview'!$C$98, AC4='General overview'!$C$99, AC4='General overview'!$C$100, AC4='General overview'!$C$102), 1, 0)</f>
        <v>0</v>
      </c>
      <c r="AD101" s="242">
        <f>IF(OR(AD4='General overview'!$C$94, AD4='General overview'!$C$96, AD4='General overview'!$C$97, AD4='General overview'!$C$98, AD4='General overview'!$C$99, AD4='General overview'!$C$100, AD4='General overview'!$C$102), 1, 0)</f>
        <v>0</v>
      </c>
      <c r="AE101" s="242">
        <f>IF(OR(AE4='General overview'!$C$94, AE4='General overview'!$C$96, AE4='General overview'!$C$97, AE4='General overview'!$C$98, AE4='General overview'!$C$99, AE4='General overview'!$C$100, AE4='General overview'!$C$102), 1, 0)</f>
        <v>0</v>
      </c>
      <c r="AF101" s="242">
        <f>IF(OR(AF4='General overview'!$C$94, AF4='General overview'!$C$96, AF4='General overview'!$C$97, AF4='General overview'!$C$98, AF4='General overview'!$C$99, AF4='General overview'!$C$100, AF4='General overview'!$C$102), 1, 0)</f>
        <v>0</v>
      </c>
      <c r="AG101" s="242">
        <f>IF(OR(AG4='General overview'!$C$94, AG4='General overview'!$C$96, AG4='General overview'!$C$97, AG4='General overview'!$C$98, AG4='General overview'!$C$99, AG4='General overview'!$C$100, AG4='General overview'!$C$102), 1, 0)</f>
        <v>0</v>
      </c>
      <c r="AH101" s="242">
        <f>IF(OR(AH4='General overview'!$C$94, AH4='General overview'!$C$96, AH4='General overview'!$C$97, AH4='General overview'!$C$98, AH4='General overview'!$C$99, AH4='General overview'!$C$100, AH4='General overview'!$C$102), 1, 0)</f>
        <v>0</v>
      </c>
      <c r="AI101" s="242">
        <f>IF(OR(AI4='General overview'!$C$94, AI4='General overview'!$C$96, AI4='General overview'!$C$97, AI4='General overview'!$C$98, AI4='General overview'!$C$99, AI4='General overview'!$C$100, AI4='General overview'!$C$102), 1, 0)</f>
        <v>0</v>
      </c>
      <c r="AJ101" s="242">
        <f>IF(OR(AJ4='General overview'!$C$94, AJ4='General overview'!$C$96, AJ4='General overview'!$C$97, AJ4='General overview'!$C$98, AJ4='General overview'!$C$99, AJ4='General overview'!$C$100, AJ4='General overview'!$C$102), 1, 0)</f>
        <v>0</v>
      </c>
      <c r="AK101" s="242">
        <f>IF(OR(AK4='General overview'!$C$94, AK4='General overview'!$C$96, AK4='General overview'!$C$97, AK4='General overview'!$C$98, AK4='General overview'!$C$99, AK4='General overview'!$C$100, AK4='General overview'!$C$102), 1, 0)</f>
        <v>0</v>
      </c>
      <c r="AL101" s="242">
        <f>IF(OR(AL4='General overview'!$C$94, AL4='General overview'!$C$96, AL4='General overview'!$C$97, AL4='General overview'!$C$98, AL4='General overview'!$C$99, AL4='General overview'!$C$100, AL4='General overview'!$C$102), 1, 0)</f>
        <v>0</v>
      </c>
      <c r="AM101" s="242">
        <f>IF(OR(AM4='General overview'!$C$94, AM4='General overview'!$C$96, AM4='General overview'!$C$97, AM4='General overview'!$C$98, AM4='General overview'!$C$99, AM4='General overview'!$C$100, AM4='General overview'!$C$102), 1, 0)</f>
        <v>0</v>
      </c>
      <c r="AN101" s="242">
        <f>IF(OR(AN4='General overview'!$C$94, AN4='General overview'!$C$96, AN4='General overview'!$C$97, AN4='General overview'!$C$98, AN4='General overview'!$C$99, AN4='General overview'!$C$100, AN4='General overview'!$C$102), 1, 0)</f>
        <v>1</v>
      </c>
      <c r="AO101" s="242">
        <f>IF(OR(AO4='General overview'!$C$94, AO4='General overview'!$C$96, AO4='General overview'!$C$97, AO4='General overview'!$C$98, AO4='General overview'!$C$99, AO4='General overview'!$C$100, AO4='General overview'!$C$102), 1, 0)</f>
        <v>0</v>
      </c>
      <c r="AP101" s="242">
        <f>IF(OR(AP4='General overview'!$C$94, AP4='General overview'!$C$96, AP4='General overview'!$C$97, AP4='General overview'!$C$98, AP4='General overview'!$C$99, AP4='General overview'!$C$100, AP4='General overview'!$C$102), 1, 0)</f>
        <v>0</v>
      </c>
      <c r="AQ101" s="242">
        <f>IF(OR(AQ4='General overview'!$C$94, AQ4='General overview'!$C$96, AQ4='General overview'!$C$97, AQ4='General overview'!$C$98, AQ4='General overview'!$C$99, AQ4='General overview'!$C$100, AQ4='General overview'!$C$102), 1, 0)</f>
        <v>0</v>
      </c>
      <c r="AR101" s="242">
        <f>IF(OR(AR4='General overview'!$C$94, AR4='General overview'!$C$96, AR4='General overview'!$C$97, AR4='General overview'!$C$98, AR4='General overview'!$C$99, AR4='General overview'!$C$100, AR4='General overview'!$C$102), 1, 0)</f>
        <v>0</v>
      </c>
      <c r="AS101" s="242">
        <f>IF(OR(AS4='General overview'!$C$94, AS4='General overview'!$C$96, AS4='General overview'!$C$97, AS4='General overview'!$C$98, AS4='General overview'!$C$99, AS4='General overview'!$C$100, AS4='General overview'!$C$102), 1, 0)</f>
        <v>0</v>
      </c>
      <c r="AT101" s="242">
        <f>IF(OR(AT4='General overview'!$C$94, AT4='General overview'!$C$96, AT4='General overview'!$C$97, AT4='General overview'!$C$98, AT4='General overview'!$C$99, AT4='General overview'!$C$100, AT4='General overview'!$C$102), 1, 0)</f>
        <v>0</v>
      </c>
      <c r="AU101" s="242">
        <f>IF(OR(AU4='General overview'!$C$94, AU4='General overview'!$C$96, AU4='General overview'!$C$97, AU4='General overview'!$C$98, AU4='General overview'!$C$99, AU4='General overview'!$C$100, AU4='General overview'!$C$102), 1, 0)</f>
        <v>0</v>
      </c>
      <c r="AV101" s="242">
        <f>IF(OR(AV4='General overview'!$C$94, AV4='General overview'!$C$96, AV4='General overview'!$C$97, AV4='General overview'!$C$98, AV4='General overview'!$C$99, AV4='General overview'!$C$100, AV4='General overview'!$C$102), 1, 0)</f>
        <v>0</v>
      </c>
      <c r="AW101" s="242">
        <f>IF(OR(AW4='General overview'!$C$94, AW4='General overview'!$C$96, AW4='General overview'!$C$97, AW4='General overview'!$C$98, AW4='General overview'!$C$99, AW4='General overview'!$C$100, AW4='General overview'!$C$102), 1, 0)</f>
        <v>0</v>
      </c>
      <c r="AX101" s="242">
        <f>IF(OR(AX4='General overview'!$C$94, AX4='General overview'!$C$96, AX4='General overview'!$C$97, AX4='General overview'!$C$98, AX4='General overview'!$C$99, AX4='General overview'!$C$100, AX4='General overview'!$C$102), 1, 0)</f>
        <v>0</v>
      </c>
      <c r="AY101" s="242">
        <f>IF(OR(AY4='General overview'!$C$94, AY4='General overview'!$C$96, AY4='General overview'!$C$97, AY4='General overview'!$C$98, AY4='General overview'!$C$99, AY4='General overview'!$C$100, AY4='General overview'!$C$102), 1, 0)</f>
        <v>0</v>
      </c>
      <c r="AZ101" s="242">
        <f>IF(OR(AZ4='General overview'!$C$94, AZ4='General overview'!$C$96, AZ4='General overview'!$C$97, AZ4='General overview'!$C$98, AZ4='General overview'!$C$99, AZ4='General overview'!$C$100, AZ4='General overview'!$C$102), 1, 0)</f>
        <v>0</v>
      </c>
      <c r="BA101" s="242">
        <f>IF(OR(BA4='General overview'!$C$94, BA4='General overview'!$C$96, BA4='General overview'!$C$97, BA4='General overview'!$C$98, BA4='General overview'!$C$99, BA4='General overview'!$C$100, BA4='General overview'!$C$102), 1, 0)</f>
        <v>0</v>
      </c>
      <c r="BB101" s="242">
        <f>IF(OR(BB4='General overview'!$C$94, BB4='General overview'!$C$96, BB4='General overview'!$C$97, BB4='General overview'!$C$98, BB4='General overview'!$C$99, BB4='General overview'!$C$100, BB4='General overview'!$C$102), 1, 0)</f>
        <v>0</v>
      </c>
      <c r="BC101" s="242">
        <f>IF(OR(BC4='General overview'!$C$94, BC4='General overview'!$C$96, BC4='General overview'!$C$97, BC4='General overview'!$C$98, BC4='General overview'!$C$99, BC4='General overview'!$C$100, BC4='General overview'!$C$102), 1, 0)</f>
        <v>0</v>
      </c>
    </row>
    <row r="102" spans="2:55">
      <c r="C102" s="242" cm="1">
        <f t="array" ref="C102">IF(C101=1,COLUMN(C101),COLUMN(C101)-MAX(IF($C$101:C101=1,COLUMN($C$101:C101),0)))</f>
        <v>3</v>
      </c>
      <c r="D102" s="242" cm="1">
        <f t="array" ref="D102">IF(D101=1,COLUMN(D101),COLUMN(D101)-MAX(IF($C$101:D101=1,COLUMN($C$101:D101),0)))</f>
        <v>1</v>
      </c>
      <c r="E102" s="242" cm="1">
        <f t="array" ref="E102">IF(E101=1,COLUMN(E101),COLUMN(E101)-MAX(IF($C$101:E101=1,COLUMN($C$101:E101),0)))</f>
        <v>5</v>
      </c>
      <c r="F102" s="242" cm="1">
        <f t="array" ref="F102">IF(F101=1,COLUMN(F101),COLUMN(F101)-MAX(IF($C$101:F101=1,COLUMN($C$101:F101),0)))</f>
        <v>6</v>
      </c>
      <c r="G102" s="242" cm="1">
        <f t="array" ref="G102">IF(G101=1,COLUMN(G101),COLUMN(G101)-MAX(IF($C$101:G101=1,COLUMN($C$101:G101),0)))</f>
        <v>1</v>
      </c>
      <c r="H102" s="242" cm="1">
        <f t="array" ref="H102">IF(H101=1,COLUMN(H101),COLUMN(H101)-MAX(IF($C$101:H101=1,COLUMN($C$101:H101),0)))</f>
        <v>2</v>
      </c>
      <c r="I102" s="242" cm="1">
        <f t="array" ref="I102">IF(I101=1,COLUMN(I101),COLUMN(I101)-MAX(IF($C$101:I101=1,COLUMN($C$101:I101),0)))</f>
        <v>3</v>
      </c>
      <c r="J102" s="242" cm="1">
        <f t="array" ref="J102">IF(J101=1,COLUMN(J101),COLUMN(J101)-MAX(IF($C$101:J101=1,COLUMN($C$101:J101),0)))</f>
        <v>4</v>
      </c>
      <c r="K102" s="242" cm="1">
        <f t="array" ref="K102">IF(K101=1,COLUMN(K101),COLUMN(K101)-MAX(IF($C$101:K101=1,COLUMN($C$101:K101),0)))</f>
        <v>5</v>
      </c>
      <c r="L102" s="242" cm="1">
        <f t="array" ref="L102">IF(L101=1,COLUMN(L101),COLUMN(L101)-MAX(IF($C$101:L101=1,COLUMN($C$101:L101),0)))</f>
        <v>6</v>
      </c>
      <c r="M102" s="242" cm="1">
        <f t="array" ref="M102">IF(M101=1,COLUMN(M101),COLUMN(M101)-MAX(IF($C$101:M101=1,COLUMN($C$101:M101),0)))</f>
        <v>13</v>
      </c>
      <c r="N102" s="242" cm="1">
        <f t="array" ref="N102">IF(N101=1,COLUMN(N101),COLUMN(N101)-MAX(IF($C$101:N101=1,COLUMN($C$101:N101),0)))</f>
        <v>1</v>
      </c>
      <c r="O102" s="242" cm="1">
        <f t="array" ref="O102">IF(O101=1,COLUMN(O101),COLUMN(O101)-MAX(IF($C$101:O101=1,COLUMN($C$101:O101),0)))</f>
        <v>15</v>
      </c>
      <c r="P102" s="242" cm="1">
        <f t="array" ref="P102">IF(P101=1,COLUMN(P101),COLUMN(P101)-MAX(IF($C$101:P101=1,COLUMN($C$101:P101),0)))</f>
        <v>1</v>
      </c>
      <c r="Q102" s="242" cm="1">
        <f t="array" ref="Q102">IF(Q101=1,COLUMN(Q101),COLUMN(Q101)-MAX(IF($C$101:Q101=1,COLUMN($C$101:Q101),0)))</f>
        <v>2</v>
      </c>
      <c r="R102" s="242" cm="1">
        <f t="array" ref="R102">IF(R101=1,COLUMN(R101),COLUMN(R101)-MAX(IF($C$101:R101=1,COLUMN($C$101:R101),0)))</f>
        <v>3</v>
      </c>
      <c r="S102" s="242" cm="1">
        <f t="array" ref="S102">IF(S101=1,COLUMN(S101),COLUMN(S101)-MAX(IF($C$101:S101=1,COLUMN($C$101:S101),0)))</f>
        <v>4</v>
      </c>
      <c r="T102" s="242" cm="1">
        <f t="array" ref="T102">IF(T101=1,COLUMN(T101),COLUMN(T101)-MAX(IF($C$101:T101=1,COLUMN($C$101:T101),0)))</f>
        <v>5</v>
      </c>
      <c r="U102" s="242" cm="1">
        <f t="array" ref="U102">IF(U101=1,COLUMN(U101),COLUMN(U101)-MAX(IF($C$101:U101=1,COLUMN($C$101:U101),0)))</f>
        <v>6</v>
      </c>
      <c r="V102" s="242" cm="1">
        <f t="array" ref="V102">IF(V101=1,COLUMN(V101),COLUMN(V101)-MAX(IF($C$101:V101=1,COLUMN($C$101:V101),0)))</f>
        <v>7</v>
      </c>
      <c r="W102" s="242" cm="1">
        <f t="array" ref="W102">IF(W101=1,COLUMN(W101),COLUMN(W101)-MAX(IF($C$101:W101=1,COLUMN($C$101:W101),0)))</f>
        <v>8</v>
      </c>
      <c r="X102" s="242" cm="1">
        <f t="array" ref="X102">IF(X101=1,COLUMN(X101),COLUMN(X101)-MAX(IF($C$101:X101=1,COLUMN($C$101:X101),0)))</f>
        <v>9</v>
      </c>
      <c r="Y102" s="242" cm="1">
        <f t="array" ref="Y102">IF(Y101=1,COLUMN(Y101),COLUMN(Y101)-MAX(IF($C$101:Y101=1,COLUMN($C$101:Y101),0)))</f>
        <v>25</v>
      </c>
      <c r="Z102" s="242" cm="1">
        <f t="array" ref="Z102">IF(Z101=1,COLUMN(Z101),COLUMN(Z101)-MAX(IF($C$101:Z101=1,COLUMN($C$101:Z101),0)))</f>
        <v>1</v>
      </c>
      <c r="AA102" s="242" cm="1">
        <f t="array" ref="AA102">IF(AA101=1,COLUMN(AA101),COLUMN(AA101)-MAX(IF($C$101:AA101=1,COLUMN($C$101:AA101),0)))</f>
        <v>2</v>
      </c>
      <c r="AB102" s="242" cm="1">
        <f t="array" ref="AB102">IF(AB101=1,COLUMN(AB101),COLUMN(AB101)-MAX(IF($C$101:AB101=1,COLUMN($C$101:AB101),0)))</f>
        <v>3</v>
      </c>
      <c r="AC102" s="242" cm="1">
        <f t="array" ref="AC102">IF(AC101=1,COLUMN(AC101),COLUMN(AC101)-MAX(IF($C$101:AC101=1,COLUMN($C$101:AC101),0)))</f>
        <v>4</v>
      </c>
      <c r="AD102" s="242" cm="1">
        <f t="array" ref="AD102">IF(AD101=1,COLUMN(AD101),COLUMN(AD101)-MAX(IF($C$101:AD101=1,COLUMN($C$101:AD101),0)))</f>
        <v>5</v>
      </c>
      <c r="AE102" s="242" cm="1">
        <f t="array" ref="AE102">IF(AE101=1,COLUMN(AE101),COLUMN(AE101)-MAX(IF($C$101:AE101=1,COLUMN($C$101:AE101),0)))</f>
        <v>6</v>
      </c>
      <c r="AF102" s="242" cm="1">
        <f t="array" ref="AF102">IF(AF101=1,COLUMN(AF101),COLUMN(AF101)-MAX(IF($C$101:AF101=1,COLUMN($C$101:AF101),0)))</f>
        <v>7</v>
      </c>
      <c r="AG102" s="242" cm="1">
        <f t="array" ref="AG102">IF(AG101=1,COLUMN(AG101),COLUMN(AG101)-MAX(IF($C$101:AG101=1,COLUMN($C$101:AG101),0)))</f>
        <v>8</v>
      </c>
      <c r="AH102" s="242" cm="1">
        <f t="array" ref="AH102">IF(AH101=1,COLUMN(AH101),COLUMN(AH101)-MAX(IF($C$101:AH101=1,COLUMN($C$101:AH101),0)))</f>
        <v>9</v>
      </c>
      <c r="AI102" s="242" cm="1">
        <f t="array" ref="AI102">IF(AI101=1,COLUMN(AI101),COLUMN(AI101)-MAX(IF($C$101:AI101=1,COLUMN($C$101:AI101),0)))</f>
        <v>10</v>
      </c>
      <c r="AJ102" s="242" cm="1">
        <f t="array" ref="AJ102">IF(AJ101=1,COLUMN(AJ101),COLUMN(AJ101)-MAX(IF($C$101:AJ101=1,COLUMN($C$101:AJ101),0)))</f>
        <v>11</v>
      </c>
      <c r="AK102" s="242" cm="1">
        <f t="array" ref="AK102">IF(AK101=1,COLUMN(AK101),COLUMN(AK101)-MAX(IF($C$101:AK101=1,COLUMN($C$101:AK101),0)))</f>
        <v>12</v>
      </c>
      <c r="AL102" s="242" cm="1">
        <f t="array" ref="AL102">IF(AL101=1,COLUMN(AL101),COLUMN(AL101)-MAX(IF($C$101:AL101=1,COLUMN($C$101:AL101),0)))</f>
        <v>13</v>
      </c>
      <c r="AM102" s="242" cm="1">
        <f t="array" ref="AM102">IF(AM101=1,COLUMN(AM101),COLUMN(AM101)-MAX(IF($C$101:AM101=1,COLUMN($C$101:AM101),0)))</f>
        <v>14</v>
      </c>
      <c r="AN102" s="242" cm="1">
        <f t="array" ref="AN102">IF(AN101=1,COLUMN(AN101),COLUMN(AN101)-MAX(IF($C$101:AN101=1,COLUMN($C$101:AN101),0)))</f>
        <v>40</v>
      </c>
      <c r="AO102" s="242" cm="1">
        <f t="array" ref="AO102">IF(AO101=1,COLUMN(AO101),COLUMN(AO101)-MAX(IF($C$101:AO101=1,COLUMN($C$101:AO101),0)))</f>
        <v>1</v>
      </c>
      <c r="AP102" s="242" cm="1">
        <f t="array" ref="AP102">IF(AP101=1,COLUMN(AP101),COLUMN(AP101)-MAX(IF($C$101:AP101=1,COLUMN($C$101:AP101),0)))</f>
        <v>2</v>
      </c>
      <c r="AQ102" s="242" cm="1">
        <f t="array" ref="AQ102">IF(AQ101=1,COLUMN(AQ101),COLUMN(AQ101)-MAX(IF($C$101:AQ101=1,COLUMN($C$101:AQ101),0)))</f>
        <v>3</v>
      </c>
      <c r="AR102" s="242" cm="1">
        <f t="array" ref="AR102">IF(AR101=1,COLUMN(AR101),COLUMN(AR101)-MAX(IF($C$101:AR101=1,COLUMN($C$101:AR101),0)))</f>
        <v>4</v>
      </c>
      <c r="AS102" s="242" cm="1">
        <f t="array" ref="AS102">IF(AS101=1,COLUMN(AS101),COLUMN(AS101)-MAX(IF($C$101:AS101=1,COLUMN($C$101:AS101),0)))</f>
        <v>5</v>
      </c>
      <c r="AT102" s="242" cm="1">
        <f t="array" ref="AT102">IF(AT101=1,COLUMN(AT101),COLUMN(AT101)-MAX(IF($C$101:AT101=1,COLUMN($C$101:AT101),0)))</f>
        <v>6</v>
      </c>
      <c r="AU102" s="242" cm="1">
        <f t="array" ref="AU102">IF(AU101=1,COLUMN(AU101),COLUMN(AU101)-MAX(IF($C$101:AU101=1,COLUMN($C$101:AU101),0)))</f>
        <v>7</v>
      </c>
      <c r="AV102" s="242" cm="1">
        <f t="array" ref="AV102">IF(AV101=1,COLUMN(AV101),COLUMN(AV101)-MAX(IF($C$101:AV101=1,COLUMN($C$101:AV101),0)))</f>
        <v>8</v>
      </c>
      <c r="AW102" s="242" cm="1">
        <f t="array" ref="AW102">IF(AW101=1,COLUMN(AW101),COLUMN(AW101)-MAX(IF($C$101:AW101=1,COLUMN($C$101:AW101),0)))</f>
        <v>9</v>
      </c>
      <c r="AX102" s="242" cm="1">
        <f t="array" ref="AX102">IF(AX101=1,COLUMN(AX101),COLUMN(AX101)-MAX(IF($C$101:AX101=1,COLUMN($C$101:AX101),0)))</f>
        <v>10</v>
      </c>
      <c r="AY102" s="242" cm="1">
        <f t="array" ref="AY102">IF(AY101=1,COLUMN(AY101),COLUMN(AY101)-MAX(IF($C$101:AY101=1,COLUMN($C$101:AY101),0)))</f>
        <v>11</v>
      </c>
      <c r="AZ102" s="242" cm="1">
        <f t="array" ref="AZ102">IF(AZ101=1,COLUMN(AZ101),COLUMN(AZ101)-MAX(IF($C$101:AZ101=1,COLUMN($C$101:AZ101),0)))</f>
        <v>12</v>
      </c>
      <c r="BA102" s="242" cm="1">
        <f t="array" ref="BA102">IF(BA101=1,COLUMN(BA101),COLUMN(BA101)-MAX(IF($C$101:BA101=1,COLUMN($C$101:BA101),0)))</f>
        <v>13</v>
      </c>
      <c r="BB102" s="242" cm="1">
        <f t="array" ref="BB102">IF(BB101=1,COLUMN(BB101),COLUMN(BB101)-MAX(IF($C$101:BB101=1,COLUMN($C$101:BB101),0)))</f>
        <v>14</v>
      </c>
      <c r="BC102" s="242" cm="1">
        <f t="array" ref="BC102">IF(BC101=1,COLUMN(BC101),COLUMN(BC101)-MAX(IF($C$101:BC101=1,COLUMN($C$101:BC101),0)))</f>
        <v>15</v>
      </c>
    </row>
    <row r="103" spans="2:55">
      <c r="C103" s="242" cm="1">
        <f t="array" ref="C103">IFERROR(NPV($C$100,INDEX(C102:BC102,MATCH(1,C31:BC31,0)):INDEX(C102:BC102,MATCH(FALSE,(C101:BC101&gt;MATCH(1,C101:BC101,0)),0)-1)),0)</f>
        <v>0</v>
      </c>
      <c r="D103" s="242" cm="1">
        <f t="array" ref="D103">IFERROR(NPV($C$100,INDEX(D102:BD102,MATCH(1,D31:BD31,0)):INDEX(D102:BD102,MATCH(FALSE,(D101:BD101&gt;MATCH(1,D101:BD101,0)),0)-1)),0)</f>
        <v>0</v>
      </c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  <c r="AE103" s="242"/>
      <c r="AF103" s="242"/>
      <c r="AG103" s="242"/>
      <c r="AH103" s="242"/>
      <c r="AI103" s="242"/>
      <c r="AJ103" s="242"/>
      <c r="AK103" s="242"/>
      <c r="AL103" s="242"/>
      <c r="AM103" s="242"/>
      <c r="AN103" s="242"/>
      <c r="AO103" s="242"/>
      <c r="AP103" s="242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</row>
    <row r="104" spans="2:55">
      <c r="B104" t="s">
        <v>4879</v>
      </c>
    </row>
    <row r="105" spans="2:55">
      <c r="B105" t="s">
        <v>7</v>
      </c>
      <c r="C105">
        <f>IF(C4&lt;'General overview'!$C$29,1,0)</f>
        <v>1</v>
      </c>
      <c r="D105">
        <f>IF(D4&lt;'General overview'!$C$29,1,0)</f>
        <v>1</v>
      </c>
      <c r="E105">
        <f>IF(E4&lt;'General overview'!$C$29,1,0)</f>
        <v>1</v>
      </c>
      <c r="F105">
        <f>IF(F4&lt;'General overview'!$C$29,1,0)</f>
        <v>1</v>
      </c>
      <c r="G105">
        <f>IF(G4&lt;'General overview'!$C$29,1,0)</f>
        <v>1</v>
      </c>
      <c r="H105">
        <f>IF(H4&lt;'General overview'!$C$29,1,0)</f>
        <v>1</v>
      </c>
      <c r="I105">
        <f>IF(I4&lt;'General overview'!$C$29,1,0)</f>
        <v>1</v>
      </c>
      <c r="J105">
        <f>IF(J4&lt;'General overview'!$C$29,1,0)</f>
        <v>1</v>
      </c>
      <c r="K105">
        <f>IF(K4&lt;'General overview'!$C$29,1,0)</f>
        <v>1</v>
      </c>
      <c r="L105">
        <f>IF(L4&lt;'General overview'!$C$29,1,0)</f>
        <v>1</v>
      </c>
      <c r="M105">
        <f>IF(M4&lt;'General overview'!$C$29,1,0)</f>
        <v>0</v>
      </c>
      <c r="N105">
        <f>IF(N4&lt;'General overview'!$C$29,1,0)</f>
        <v>0</v>
      </c>
      <c r="O105">
        <f>IF(O4&lt;'General overview'!$C$29,1,0)</f>
        <v>0</v>
      </c>
      <c r="P105">
        <f>IF(P4&lt;'General overview'!$C$29,1,0)</f>
        <v>0</v>
      </c>
      <c r="Q105">
        <f>IF(Q4&lt;'General overview'!$C$29,1,0)</f>
        <v>0</v>
      </c>
      <c r="R105">
        <f>IF(R4&lt;'General overview'!$C$29,1,0)</f>
        <v>0</v>
      </c>
      <c r="S105">
        <f>IF(S4&lt;'General overview'!$C$29,1,0)</f>
        <v>0</v>
      </c>
      <c r="T105">
        <f>IF(T4&lt;'General overview'!$C$29,1,0)</f>
        <v>0</v>
      </c>
      <c r="U105">
        <f>IF(U4&lt;'General overview'!$C$29,1,0)</f>
        <v>0</v>
      </c>
      <c r="V105">
        <f>IF(V4&lt;'General overview'!$C$29,1,0)</f>
        <v>0</v>
      </c>
      <c r="W105">
        <f>IF(W4&lt;'General overview'!$C$29,1,0)</f>
        <v>0</v>
      </c>
      <c r="X105">
        <f>IF(X4&lt;'General overview'!$C$29,1,0)</f>
        <v>0</v>
      </c>
      <c r="Y105">
        <f>IF(Y4&lt;'General overview'!$C$29,1,0)</f>
        <v>0</v>
      </c>
      <c r="Z105">
        <f>IF(Z4&lt;'General overview'!$C$29,1,0)</f>
        <v>0</v>
      </c>
      <c r="AA105">
        <f>IF(AA4&lt;'General overview'!$C$29,1,0)</f>
        <v>0</v>
      </c>
      <c r="AB105">
        <f>IF(AB4&lt;'General overview'!$C$29,1,0)</f>
        <v>0</v>
      </c>
      <c r="AC105">
        <f>IF(AC4&lt;'General overview'!$C$29,1,0)</f>
        <v>0</v>
      </c>
      <c r="AD105">
        <f>IF(AD4&lt;'General overview'!$C$29,1,0)</f>
        <v>0</v>
      </c>
      <c r="AE105">
        <f>IF(AE4&lt;'General overview'!$C$29,1,0)</f>
        <v>0</v>
      </c>
      <c r="AF105">
        <f>IF(AF4&lt;'General overview'!$C$29,1,0)</f>
        <v>0</v>
      </c>
      <c r="AG105">
        <f>IF(AG4&lt;'General overview'!$C$29,1,0)</f>
        <v>0</v>
      </c>
      <c r="AH105">
        <f>IF(AH4&lt;'General overview'!$C$29,1,0)</f>
        <v>0</v>
      </c>
      <c r="AI105">
        <f>IF(AI4&lt;'General overview'!$C$29,1,0)</f>
        <v>0</v>
      </c>
      <c r="AJ105">
        <f>IF(AJ4&lt;'General overview'!$C$29,1,0)</f>
        <v>0</v>
      </c>
      <c r="AK105">
        <f>IF(AK4&lt;'General overview'!$C$29,1,0)</f>
        <v>0</v>
      </c>
      <c r="AL105">
        <f>IF(AL4&lt;'General overview'!$C$29,1,0)</f>
        <v>0</v>
      </c>
      <c r="AM105">
        <f>IF(AM4&lt;'General overview'!$C$29,1,0)</f>
        <v>0</v>
      </c>
      <c r="AN105">
        <f>IF(AN4&lt;'General overview'!$C$29,1,0)</f>
        <v>0</v>
      </c>
      <c r="AO105">
        <f>IF(AO4&lt;'General overview'!$C$29,1,0)</f>
        <v>0</v>
      </c>
      <c r="AP105">
        <f>IF(AP4&lt;'General overview'!$C$29,1,0)</f>
        <v>0</v>
      </c>
      <c r="AQ105">
        <f>IF(AQ4&lt;'General overview'!$C$29,1,0)</f>
        <v>0</v>
      </c>
      <c r="AR105">
        <f>IF(AR4&lt;'General overview'!$C$29,1,0)</f>
        <v>0</v>
      </c>
      <c r="AS105">
        <f>IF(AS4&lt;'General overview'!$C$29,1,0)</f>
        <v>0</v>
      </c>
      <c r="AT105">
        <f>IF(AT4&lt;'General overview'!$C$29,1,0)</f>
        <v>0</v>
      </c>
      <c r="AU105">
        <f>IF(AU4&lt;'General overview'!$C$29,1,0)</f>
        <v>0</v>
      </c>
      <c r="AV105">
        <f>IF(AV4&lt;'General overview'!$C$29,1,0)</f>
        <v>0</v>
      </c>
      <c r="AW105">
        <f>IF(AW4&lt;'General overview'!$C$29,1,0)</f>
        <v>0</v>
      </c>
      <c r="AX105">
        <f>IF(AX4&lt;'General overview'!$C$29,1,0)</f>
        <v>0</v>
      </c>
      <c r="AY105">
        <f>IF(AY4&lt;'General overview'!$C$29,1,0)</f>
        <v>0</v>
      </c>
      <c r="AZ105">
        <f>IF(AZ4&lt;'General overview'!$C$29,1,0)</f>
        <v>0</v>
      </c>
      <c r="BA105">
        <f>IF(BA4&lt;'General overview'!$C$29,1,0)</f>
        <v>0</v>
      </c>
      <c r="BB105">
        <f>IF(BB4&lt;'General overview'!$C$29,1,0)</f>
        <v>0</v>
      </c>
      <c r="BC105">
        <f>IF(BC4&lt;'General overview'!$C$29,1,0)</f>
        <v>0</v>
      </c>
    </row>
    <row r="106" spans="2:55">
      <c r="B106" t="s">
        <v>9</v>
      </c>
      <c r="C106">
        <f>IF(C4&lt;'General overview'!$C$46,1,0)</f>
        <v>1</v>
      </c>
      <c r="D106">
        <f>IF(D4&lt;'General overview'!$C$46,1,0)</f>
        <v>1</v>
      </c>
      <c r="E106">
        <f>IF(E4&lt;'General overview'!$C$46,1,0)</f>
        <v>1</v>
      </c>
      <c r="F106">
        <f>IF(F4&lt;'General overview'!$C$46,1,0)</f>
        <v>1</v>
      </c>
      <c r="G106">
        <f>IF(G4&lt;'General overview'!$C$46,1,0)</f>
        <v>1</v>
      </c>
      <c r="H106">
        <f>IF(H4&lt;'General overview'!$C$46,1,0)</f>
        <v>1</v>
      </c>
      <c r="I106">
        <f>IF(I4&lt;'General overview'!$C$46,1,0)</f>
        <v>1</v>
      </c>
      <c r="J106">
        <f>IF(J4&lt;'General overview'!$C$46,1,0)</f>
        <v>1</v>
      </c>
      <c r="K106">
        <f>IF(K4&lt;'General overview'!$C$46,1,0)</f>
        <v>1</v>
      </c>
      <c r="L106">
        <f>IF(L4&lt;'General overview'!$C$46,1,0)</f>
        <v>1</v>
      </c>
      <c r="M106">
        <f>IF(M4&lt;'General overview'!$C$46,1,0)</f>
        <v>1</v>
      </c>
      <c r="N106">
        <f>IF(N4&lt;'General overview'!$C$46,1,0)</f>
        <v>1</v>
      </c>
      <c r="O106">
        <f>IF(O4&lt;'General overview'!$C$46,1,0)</f>
        <v>1</v>
      </c>
      <c r="P106">
        <f>IF(P4&lt;'General overview'!$C$46,1,0)</f>
        <v>1</v>
      </c>
      <c r="Q106">
        <f>IF(Q4&lt;'General overview'!$C$46,1,0)</f>
        <v>1</v>
      </c>
      <c r="R106">
        <f>IF(R4&lt;'General overview'!$C$46,1,0)</f>
        <v>1</v>
      </c>
      <c r="S106">
        <f>IF(S4&lt;'General overview'!$C$46,1,0)</f>
        <v>1</v>
      </c>
      <c r="T106">
        <f>IF(T4&lt;'General overview'!$C$46,1,0)</f>
        <v>1</v>
      </c>
      <c r="U106">
        <f>IF(U4&lt;'General overview'!$C$46,1,0)</f>
        <v>1</v>
      </c>
      <c r="V106">
        <f>IF(V4&lt;'General overview'!$C$46,1,0)</f>
        <v>1</v>
      </c>
      <c r="W106">
        <f>IF(W4&lt;'General overview'!$C$46,1,0)</f>
        <v>1</v>
      </c>
      <c r="X106">
        <f>IF(X4&lt;'General overview'!$C$46,1,0)</f>
        <v>1</v>
      </c>
      <c r="Y106">
        <f>IF(Y4&lt;'General overview'!$C$46,1,0)</f>
        <v>0</v>
      </c>
      <c r="Z106">
        <f>IF(Z4&lt;'General overview'!$C$46,1,0)</f>
        <v>0</v>
      </c>
      <c r="AA106">
        <f>IF(AA4&lt;'General overview'!$C$46,1,0)</f>
        <v>0</v>
      </c>
      <c r="AB106">
        <f>IF(AB4&lt;'General overview'!$C$46,1,0)</f>
        <v>0</v>
      </c>
      <c r="AC106">
        <f>IF(AC4&lt;'General overview'!$C$46,1,0)</f>
        <v>0</v>
      </c>
      <c r="AD106">
        <f>IF(AD4&lt;'General overview'!$C$46,1,0)</f>
        <v>0</v>
      </c>
      <c r="AE106">
        <f>IF(AE4&lt;'General overview'!$C$46,1,0)</f>
        <v>0</v>
      </c>
      <c r="AF106">
        <f>IF(AF4&lt;'General overview'!$C$46,1,0)</f>
        <v>0</v>
      </c>
      <c r="AG106">
        <f>IF(AG4&lt;'General overview'!$C$46,1,0)</f>
        <v>0</v>
      </c>
      <c r="AH106">
        <f>IF(AH4&lt;'General overview'!$C$46,1,0)</f>
        <v>0</v>
      </c>
      <c r="AI106">
        <f>IF(AI4&lt;'General overview'!$C$46,1,0)</f>
        <v>0</v>
      </c>
      <c r="AJ106">
        <f>IF(AJ4&lt;'General overview'!$C$46,1,0)</f>
        <v>0</v>
      </c>
      <c r="AK106">
        <f>IF(AK4&lt;'General overview'!$C$46,1,0)</f>
        <v>0</v>
      </c>
      <c r="AL106">
        <f>IF(AL4&lt;'General overview'!$C$46,1,0)</f>
        <v>0</v>
      </c>
      <c r="AM106">
        <f>IF(AM4&lt;'General overview'!$C$46,1,0)</f>
        <v>0</v>
      </c>
      <c r="AN106">
        <f>IF(AN4&lt;'General overview'!$C$46,1,0)</f>
        <v>0</v>
      </c>
      <c r="AO106">
        <f>IF(AO4&lt;'General overview'!$C$46,1,0)</f>
        <v>0</v>
      </c>
      <c r="AP106">
        <f>IF(AP4&lt;'General overview'!$C$46,1,0)</f>
        <v>0</v>
      </c>
      <c r="AQ106">
        <f>IF(AQ4&lt;'General overview'!$C$46,1,0)</f>
        <v>0</v>
      </c>
      <c r="AR106">
        <f>IF(AR4&lt;'General overview'!$C$46,1,0)</f>
        <v>0</v>
      </c>
      <c r="AS106">
        <f>IF(AS4&lt;'General overview'!$C$46,1,0)</f>
        <v>0</v>
      </c>
      <c r="AT106">
        <f>IF(AT4&lt;'General overview'!$C$46,1,0)</f>
        <v>0</v>
      </c>
      <c r="AU106">
        <f>IF(AU4&lt;'General overview'!$C$46,1,0)</f>
        <v>0</v>
      </c>
      <c r="AV106">
        <f>IF(AV4&lt;'General overview'!$C$46,1,0)</f>
        <v>0</v>
      </c>
      <c r="AW106">
        <f>IF(AW4&lt;'General overview'!$C$46,1,0)</f>
        <v>0</v>
      </c>
      <c r="AX106">
        <f>IF(AX4&lt;'General overview'!$C$46,1,0)</f>
        <v>0</v>
      </c>
      <c r="AY106">
        <f>IF(AY4&lt;'General overview'!$C$46,1,0)</f>
        <v>0</v>
      </c>
      <c r="AZ106">
        <f>IF(AZ4&lt;'General overview'!$C$46,1,0)</f>
        <v>0</v>
      </c>
      <c r="BA106">
        <f>IF(BA4&lt;'General overview'!$C$46,1,0)</f>
        <v>0</v>
      </c>
      <c r="BB106">
        <f>IF(BB4&lt;'General overview'!$C$46,1,0)</f>
        <v>0</v>
      </c>
      <c r="BC106">
        <f>IF(BC4&lt;'General overview'!$C$46,1,0)</f>
        <v>0</v>
      </c>
    </row>
    <row r="107" spans="2:55">
      <c r="B107" t="s">
        <v>11</v>
      </c>
      <c r="C107">
        <f>IF('CF Timeline'!C4&lt;'General overview'!$C$50,1,0)</f>
        <v>1</v>
      </c>
      <c r="D107">
        <f>IF('CF Timeline'!D4&lt;'General overview'!$C$50,1,0)</f>
        <v>1</v>
      </c>
      <c r="E107">
        <f>IF('CF Timeline'!E4&lt;'General overview'!$C$50,1,0)</f>
        <v>1</v>
      </c>
      <c r="F107">
        <f>IF('CF Timeline'!F4&lt;'General overview'!$C$50,1,0)</f>
        <v>1</v>
      </c>
      <c r="G107">
        <f>IF('CF Timeline'!G4&lt;'General overview'!$C$50,1,0)</f>
        <v>1</v>
      </c>
      <c r="H107">
        <f>IF('CF Timeline'!H4&lt;'General overview'!$C$50,1,0)</f>
        <v>1</v>
      </c>
      <c r="I107">
        <f>IF('CF Timeline'!I4&lt;'General overview'!$C$50,1,0)</f>
        <v>1</v>
      </c>
      <c r="J107">
        <f>IF('CF Timeline'!J4&lt;'General overview'!$C$50,1,0)</f>
        <v>1</v>
      </c>
      <c r="K107">
        <f>IF('CF Timeline'!K4&lt;'General overview'!$C$50,1,0)</f>
        <v>1</v>
      </c>
      <c r="L107">
        <f>IF('CF Timeline'!L4&lt;'General overview'!$C$50,1,0)</f>
        <v>1</v>
      </c>
      <c r="M107">
        <f>IF('CF Timeline'!M4&lt;'General overview'!$C$50,1,0)</f>
        <v>1</v>
      </c>
      <c r="N107">
        <f>IF('CF Timeline'!N4&lt;'General overview'!$C$50,1,0)</f>
        <v>1</v>
      </c>
      <c r="O107">
        <f>IF('CF Timeline'!O4&lt;'General overview'!$C$50,1,0)</f>
        <v>0</v>
      </c>
      <c r="P107">
        <f>IF('CF Timeline'!P4&lt;'General overview'!$C$50,1,0)</f>
        <v>0</v>
      </c>
      <c r="Q107">
        <f>IF('CF Timeline'!Q4&lt;'General overview'!$C$50,1,0)</f>
        <v>0</v>
      </c>
      <c r="R107">
        <f>IF('CF Timeline'!R4&lt;'General overview'!$C$50,1,0)</f>
        <v>0</v>
      </c>
      <c r="S107">
        <f>IF('CF Timeline'!S4&lt;'General overview'!$C$50,1,0)</f>
        <v>0</v>
      </c>
      <c r="T107">
        <f>IF('CF Timeline'!T4&lt;'General overview'!$C$50,1,0)</f>
        <v>0</v>
      </c>
      <c r="U107">
        <f>IF('CF Timeline'!U4&lt;'General overview'!$C$50,1,0)</f>
        <v>0</v>
      </c>
      <c r="V107">
        <f>IF('CF Timeline'!V4&lt;'General overview'!$C$50,1,0)</f>
        <v>0</v>
      </c>
      <c r="W107">
        <f>IF('CF Timeline'!W4&lt;'General overview'!$C$50,1,0)</f>
        <v>0</v>
      </c>
      <c r="X107">
        <f>IF('CF Timeline'!X4&lt;'General overview'!$C$50,1,0)</f>
        <v>0</v>
      </c>
      <c r="Y107">
        <f>IF('CF Timeline'!Y4&lt;'General overview'!$C$50,1,0)</f>
        <v>0</v>
      </c>
      <c r="Z107">
        <f>IF('CF Timeline'!Z4&lt;'General overview'!$C$50,1,0)</f>
        <v>0</v>
      </c>
      <c r="AA107">
        <f>IF('CF Timeline'!AA4&lt;'General overview'!$C$50,1,0)</f>
        <v>0</v>
      </c>
      <c r="AB107">
        <f>IF('CF Timeline'!AB4&lt;'General overview'!$C$50,1,0)</f>
        <v>0</v>
      </c>
      <c r="AC107">
        <f>IF('CF Timeline'!AC4&lt;'General overview'!$C$50,1,0)</f>
        <v>0</v>
      </c>
      <c r="AD107">
        <f>IF('CF Timeline'!AD4&lt;'General overview'!$C$50,1,0)</f>
        <v>0</v>
      </c>
      <c r="AE107">
        <f>IF('CF Timeline'!AE4&lt;'General overview'!$C$50,1,0)</f>
        <v>0</v>
      </c>
      <c r="AF107">
        <f>IF('CF Timeline'!AF4&lt;'General overview'!$C$50,1,0)</f>
        <v>0</v>
      </c>
      <c r="AG107">
        <f>IF('CF Timeline'!AG4&lt;'General overview'!$C$50,1,0)</f>
        <v>0</v>
      </c>
      <c r="AH107">
        <f>IF('CF Timeline'!AH4&lt;'General overview'!$C$50,1,0)</f>
        <v>0</v>
      </c>
      <c r="AI107">
        <f>IF('CF Timeline'!AI4&lt;'General overview'!$C$50,1,0)</f>
        <v>0</v>
      </c>
      <c r="AJ107">
        <f>IF('CF Timeline'!AJ4&lt;'General overview'!$C$50,1,0)</f>
        <v>0</v>
      </c>
      <c r="AK107">
        <f>IF('CF Timeline'!AK4&lt;'General overview'!$C$50,1,0)</f>
        <v>0</v>
      </c>
      <c r="AL107">
        <f>IF('CF Timeline'!AL4&lt;'General overview'!$C$50,1,0)</f>
        <v>0</v>
      </c>
      <c r="AM107">
        <f>IF('CF Timeline'!AM4&lt;'General overview'!$C$50,1,0)</f>
        <v>0</v>
      </c>
      <c r="AN107">
        <f>IF('CF Timeline'!AN4&lt;'General overview'!$C$50,1,0)</f>
        <v>0</v>
      </c>
      <c r="AO107">
        <f>IF('CF Timeline'!AO4&lt;'General overview'!$C$50,1,0)</f>
        <v>0</v>
      </c>
      <c r="AP107">
        <f>IF('CF Timeline'!AP4&lt;'General overview'!$C$50,1,0)</f>
        <v>0</v>
      </c>
      <c r="AQ107">
        <f>IF('CF Timeline'!AQ4&lt;'General overview'!$C$50,1,0)</f>
        <v>0</v>
      </c>
      <c r="AR107">
        <f>IF('CF Timeline'!AR4&lt;'General overview'!$C$50,1,0)</f>
        <v>0</v>
      </c>
      <c r="AS107">
        <f>IF('CF Timeline'!AS4&lt;'General overview'!$C$50,1,0)</f>
        <v>0</v>
      </c>
      <c r="AT107">
        <f>IF('CF Timeline'!AT4&lt;'General overview'!$C$50,1,0)</f>
        <v>0</v>
      </c>
      <c r="AU107">
        <f>IF('CF Timeline'!AU4&lt;'General overview'!$C$50,1,0)</f>
        <v>0</v>
      </c>
      <c r="AV107">
        <f>IF('CF Timeline'!AV4&lt;'General overview'!$C$50,1,0)</f>
        <v>0</v>
      </c>
      <c r="AW107">
        <f>IF('CF Timeline'!AW4&lt;'General overview'!$C$50,1,0)</f>
        <v>0</v>
      </c>
      <c r="AX107">
        <f>IF('CF Timeline'!AX4&lt;'General overview'!$C$50,1,0)</f>
        <v>0</v>
      </c>
      <c r="AY107">
        <f>IF('CF Timeline'!AY4&lt;'General overview'!$C$50,1,0)</f>
        <v>0</v>
      </c>
      <c r="AZ107">
        <f>IF('CF Timeline'!AZ4&lt;'General overview'!$C$50,1,0)</f>
        <v>0</v>
      </c>
      <c r="BA107">
        <f>IF('CF Timeline'!BA4&lt;'General overview'!$C$50,1,0)</f>
        <v>0</v>
      </c>
      <c r="BB107">
        <f>IF('CF Timeline'!BB4&lt;'General overview'!$C$50,1,0)</f>
        <v>0</v>
      </c>
      <c r="BC107">
        <f>IF('CF Timeline'!BC4&lt;'General overview'!$C$50,1,0)</f>
        <v>0</v>
      </c>
    </row>
    <row r="108" spans="2:55">
      <c r="B108" t="s">
        <v>32</v>
      </c>
      <c r="C108">
        <f>IF(C4&lt;'General overview'!$C$54,1,0)</f>
        <v>1</v>
      </c>
      <c r="D108">
        <f>IF(D4&lt;'General overview'!$C$54,1,0)</f>
        <v>1</v>
      </c>
      <c r="E108">
        <f>IF(E4&lt;'General overview'!$C$54,1,0)</f>
        <v>1</v>
      </c>
      <c r="F108">
        <f>IF(F4&lt;'General overview'!$C$54,1,0)</f>
        <v>0</v>
      </c>
      <c r="G108">
        <f>IF(G4&lt;'General overview'!$C$54,1,0)</f>
        <v>0</v>
      </c>
      <c r="H108">
        <f>IF(H4&lt;'General overview'!$C$54,1,0)</f>
        <v>0</v>
      </c>
      <c r="I108">
        <f>IF(I4&lt;'General overview'!$C$54,1,0)</f>
        <v>0</v>
      </c>
      <c r="J108">
        <f>IF(J4&lt;'General overview'!$C$54,1,0)</f>
        <v>0</v>
      </c>
      <c r="K108">
        <f>IF(K4&lt;'General overview'!$C$54,1,0)</f>
        <v>0</v>
      </c>
      <c r="L108">
        <f>IF(L4&lt;'General overview'!$C$54,1,0)</f>
        <v>0</v>
      </c>
      <c r="M108">
        <f>IF(M4&lt;'General overview'!$C$54,1,0)</f>
        <v>0</v>
      </c>
      <c r="N108">
        <f>IF(N4&lt;'General overview'!$C$54,1,0)</f>
        <v>0</v>
      </c>
      <c r="O108">
        <f>IF(O4&lt;'General overview'!$C$54,1,0)</f>
        <v>0</v>
      </c>
      <c r="P108">
        <f>IF(P4&lt;'General overview'!$C$54,1,0)</f>
        <v>0</v>
      </c>
      <c r="Q108">
        <f>IF(Q4&lt;'General overview'!$C$54,1,0)</f>
        <v>0</v>
      </c>
      <c r="R108">
        <f>IF(R4&lt;'General overview'!$C$54,1,0)</f>
        <v>0</v>
      </c>
      <c r="S108">
        <f>IF(S4&lt;'General overview'!$C$54,1,0)</f>
        <v>0</v>
      </c>
      <c r="T108">
        <f>IF(T4&lt;'General overview'!$C$54,1,0)</f>
        <v>0</v>
      </c>
      <c r="U108">
        <f>IF(U4&lt;'General overview'!$C$54,1,0)</f>
        <v>0</v>
      </c>
      <c r="V108">
        <f>IF(V4&lt;'General overview'!$C$54,1,0)</f>
        <v>0</v>
      </c>
      <c r="W108">
        <f>IF(W4&lt;'General overview'!$C$54,1,0)</f>
        <v>0</v>
      </c>
      <c r="X108">
        <f>IF(X4&lt;'General overview'!$C$54,1,0)</f>
        <v>0</v>
      </c>
      <c r="Y108">
        <f>IF(Y4&lt;'General overview'!$C$54,1,0)</f>
        <v>0</v>
      </c>
      <c r="Z108">
        <f>IF(Z4&lt;'General overview'!$C$54,1,0)</f>
        <v>0</v>
      </c>
      <c r="AA108">
        <f>IF(AA4&lt;'General overview'!$C$54,1,0)</f>
        <v>0</v>
      </c>
      <c r="AB108">
        <f>IF(AB4&lt;'General overview'!$C$54,1,0)</f>
        <v>0</v>
      </c>
      <c r="AC108">
        <f>IF(AC4&lt;'General overview'!$C$54,1,0)</f>
        <v>0</v>
      </c>
      <c r="AD108">
        <f>IF(AD4&lt;'General overview'!$C$54,1,0)</f>
        <v>0</v>
      </c>
      <c r="AE108">
        <f>IF(AE4&lt;'General overview'!$C$54,1,0)</f>
        <v>0</v>
      </c>
      <c r="AF108">
        <f>IF(AF4&lt;'General overview'!$C$54,1,0)</f>
        <v>0</v>
      </c>
      <c r="AG108">
        <f>IF(AG4&lt;'General overview'!$C$54,1,0)</f>
        <v>0</v>
      </c>
      <c r="AH108">
        <f>IF(AH4&lt;'General overview'!$C$54,1,0)</f>
        <v>0</v>
      </c>
      <c r="AI108">
        <f>IF(AI4&lt;'General overview'!$C$54,1,0)</f>
        <v>0</v>
      </c>
      <c r="AJ108">
        <f>IF(AJ4&lt;'General overview'!$C$54,1,0)</f>
        <v>0</v>
      </c>
      <c r="AK108">
        <f>IF(AK4&lt;'General overview'!$C$54,1,0)</f>
        <v>0</v>
      </c>
      <c r="AL108">
        <f>IF(AL4&lt;'General overview'!$C$54,1,0)</f>
        <v>0</v>
      </c>
      <c r="AM108">
        <f>IF(AM4&lt;'General overview'!$C$54,1,0)</f>
        <v>0</v>
      </c>
      <c r="AN108">
        <f>IF(AN4&lt;'General overview'!$C$54,1,0)</f>
        <v>0</v>
      </c>
      <c r="AO108">
        <f>IF(AO4&lt;'General overview'!$C$54,1,0)</f>
        <v>0</v>
      </c>
      <c r="AP108">
        <f>IF(AP4&lt;'General overview'!$C$54,1,0)</f>
        <v>0</v>
      </c>
      <c r="AQ108">
        <f>IF(AQ4&lt;'General overview'!$C$54,1,0)</f>
        <v>0</v>
      </c>
      <c r="AR108">
        <f>IF(AR4&lt;'General overview'!$C$54,1,0)</f>
        <v>0</v>
      </c>
      <c r="AS108">
        <f>IF(AS4&lt;'General overview'!$C$54,1,0)</f>
        <v>0</v>
      </c>
      <c r="AT108">
        <f>IF(AT4&lt;'General overview'!$C$54,1,0)</f>
        <v>0</v>
      </c>
      <c r="AU108">
        <f>IF(AU4&lt;'General overview'!$C$54,1,0)</f>
        <v>0</v>
      </c>
      <c r="AV108">
        <f>IF(AV4&lt;'General overview'!$C$54,1,0)</f>
        <v>0</v>
      </c>
      <c r="AW108">
        <f>IF(AW4&lt;'General overview'!$C$54,1,0)</f>
        <v>0</v>
      </c>
      <c r="AX108">
        <f>IF(AX4&lt;'General overview'!$C$54,1,0)</f>
        <v>0</v>
      </c>
      <c r="AY108">
        <f>IF(AY4&lt;'General overview'!$C$54,1,0)</f>
        <v>0</v>
      </c>
      <c r="AZ108">
        <f>IF(AZ4&lt;'General overview'!$C$54,1,0)</f>
        <v>0</v>
      </c>
      <c r="BA108">
        <f>IF(BA4&lt;'General overview'!$C$54,1,0)</f>
        <v>0</v>
      </c>
      <c r="BB108">
        <f>IF(BB4&lt;'General overview'!$C$54,1,0)</f>
        <v>0</v>
      </c>
      <c r="BC108">
        <f>IF(BC4&lt;'General overview'!$C$54,1,0)</f>
        <v>0</v>
      </c>
    </row>
    <row r="109" spans="2:55">
      <c r="B109" t="s">
        <v>60</v>
      </c>
      <c r="C109">
        <f>IF(C4&lt;'General overview'!$C$58,1,0)</f>
        <v>1</v>
      </c>
      <c r="D109">
        <f>IF(D4&lt;'General overview'!$C$58,1,0)</f>
        <v>1</v>
      </c>
      <c r="E109">
        <f>IF(E4&lt;'General overview'!$C$58,1,0)</f>
        <v>0</v>
      </c>
      <c r="F109">
        <f>IF(F4&lt;'General overview'!$C$58,1,0)</f>
        <v>0</v>
      </c>
      <c r="G109">
        <f>IF(G4&lt;'General overview'!$C$58,1,0)</f>
        <v>0</v>
      </c>
      <c r="H109">
        <f>IF(H4&lt;'General overview'!$C$58,1,0)</f>
        <v>0</v>
      </c>
      <c r="I109">
        <f>IF(I4&lt;'General overview'!$C$58,1,0)</f>
        <v>0</v>
      </c>
      <c r="J109">
        <f>IF(J4&lt;'General overview'!$C$58,1,0)</f>
        <v>0</v>
      </c>
      <c r="K109">
        <f>IF(K4&lt;'General overview'!$C$58,1,0)</f>
        <v>0</v>
      </c>
      <c r="L109">
        <f>IF(L4&lt;'General overview'!$C$58,1,0)</f>
        <v>0</v>
      </c>
      <c r="M109">
        <f>IF(M4&lt;'General overview'!$C$58,1,0)</f>
        <v>0</v>
      </c>
      <c r="N109">
        <f>IF(N4&lt;'General overview'!$C$58,1,0)</f>
        <v>0</v>
      </c>
      <c r="O109">
        <f>IF(O4&lt;'General overview'!$C$58,1,0)</f>
        <v>0</v>
      </c>
      <c r="P109">
        <f>IF(P4&lt;'General overview'!$C$58,1,0)</f>
        <v>0</v>
      </c>
      <c r="Q109">
        <f>IF(Q4&lt;'General overview'!$C$58,1,0)</f>
        <v>0</v>
      </c>
      <c r="R109">
        <f>IF(R4&lt;'General overview'!$C$58,1,0)</f>
        <v>0</v>
      </c>
      <c r="S109">
        <f>IF(S4&lt;'General overview'!$C$58,1,0)</f>
        <v>0</v>
      </c>
      <c r="T109">
        <f>IF(T4&lt;'General overview'!$C$58,1,0)</f>
        <v>0</v>
      </c>
      <c r="U109">
        <f>IF(U4&lt;'General overview'!$C$58,1,0)</f>
        <v>0</v>
      </c>
      <c r="V109">
        <f>IF(V4&lt;'General overview'!$C$58,1,0)</f>
        <v>0</v>
      </c>
      <c r="W109">
        <f>IF(W4&lt;'General overview'!$C$58,1,0)</f>
        <v>0</v>
      </c>
      <c r="X109">
        <f>IF(X4&lt;'General overview'!$C$58,1,0)</f>
        <v>0</v>
      </c>
      <c r="Y109">
        <f>IF(Y4&lt;'General overview'!$C$58,1,0)</f>
        <v>0</v>
      </c>
      <c r="Z109">
        <f>IF(Z4&lt;'General overview'!$C$58,1,0)</f>
        <v>0</v>
      </c>
      <c r="AA109">
        <f>IF(AA4&lt;'General overview'!$C$58,1,0)</f>
        <v>0</v>
      </c>
      <c r="AB109">
        <f>IF(AB4&lt;'General overview'!$C$58,1,0)</f>
        <v>0</v>
      </c>
      <c r="AC109">
        <f>IF(AC4&lt;'General overview'!$C$58,1,0)</f>
        <v>0</v>
      </c>
      <c r="AD109">
        <f>IF(AD4&lt;'General overview'!$C$58,1,0)</f>
        <v>0</v>
      </c>
      <c r="AE109">
        <f>IF(AE4&lt;'General overview'!$C$58,1,0)</f>
        <v>0</v>
      </c>
      <c r="AF109">
        <f>IF(AF4&lt;'General overview'!$C$58,1,0)</f>
        <v>0</v>
      </c>
      <c r="AG109">
        <f>IF(AG4&lt;'General overview'!$C$58,1,0)</f>
        <v>0</v>
      </c>
      <c r="AH109">
        <f>IF(AH4&lt;'General overview'!$C$58,1,0)</f>
        <v>0</v>
      </c>
      <c r="AI109">
        <f>IF(AI4&lt;'General overview'!$C$58,1,0)</f>
        <v>0</v>
      </c>
      <c r="AJ109">
        <f>IF(AJ4&lt;'General overview'!$C$58,1,0)</f>
        <v>0</v>
      </c>
      <c r="AK109">
        <f>IF(AK4&lt;'General overview'!$C$58,1,0)</f>
        <v>0</v>
      </c>
      <c r="AL109">
        <f>IF(AL4&lt;'General overview'!$C$58,1,0)</f>
        <v>0</v>
      </c>
      <c r="AM109">
        <f>IF(AM4&lt;'General overview'!$C$58,1,0)</f>
        <v>0</v>
      </c>
      <c r="AN109">
        <f>IF(AN4&lt;'General overview'!$C$58,1,0)</f>
        <v>0</v>
      </c>
      <c r="AO109">
        <f>IF(AO4&lt;'General overview'!$C$58,1,0)</f>
        <v>0</v>
      </c>
      <c r="AP109">
        <f>IF(AP4&lt;'General overview'!$C$58,1,0)</f>
        <v>0</v>
      </c>
      <c r="AQ109">
        <f>IF(AQ4&lt;'General overview'!$C$58,1,0)</f>
        <v>0</v>
      </c>
      <c r="AR109">
        <f>IF(AR4&lt;'General overview'!$C$58,1,0)</f>
        <v>0</v>
      </c>
      <c r="AS109">
        <f>IF(AS4&lt;'General overview'!$C$58,1,0)</f>
        <v>0</v>
      </c>
      <c r="AT109">
        <f>IF(AT4&lt;'General overview'!$C$58,1,0)</f>
        <v>0</v>
      </c>
      <c r="AU109">
        <f>IF(AU4&lt;'General overview'!$C$58,1,0)</f>
        <v>0</v>
      </c>
      <c r="AV109">
        <f>IF(AV4&lt;'General overview'!$C$58,1,0)</f>
        <v>0</v>
      </c>
      <c r="AW109">
        <f>IF(AW4&lt;'General overview'!$C$58,1,0)</f>
        <v>0</v>
      </c>
      <c r="AX109">
        <f>IF(AX4&lt;'General overview'!$C$58,1,0)</f>
        <v>0</v>
      </c>
      <c r="AY109">
        <f>IF(AY4&lt;'General overview'!$C$58,1,0)</f>
        <v>0</v>
      </c>
      <c r="AZ109">
        <f>IF(AZ4&lt;'General overview'!$C$58,1,0)</f>
        <v>0</v>
      </c>
      <c r="BA109">
        <f>IF(BA4&lt;'General overview'!$C$58,1,0)</f>
        <v>0</v>
      </c>
      <c r="BB109">
        <f>IF(BB4&lt;'General overview'!$C$58,1,0)</f>
        <v>0</v>
      </c>
      <c r="BC109">
        <f>IF(BC4&lt;'General overview'!$C$58,1,0)</f>
        <v>0</v>
      </c>
    </row>
    <row r="110" spans="2:55">
      <c r="B110" s="213" t="s">
        <v>19</v>
      </c>
      <c r="C110" s="213">
        <f>IF(C4&lt;'General overview'!$C$60,1,0)</f>
        <v>1</v>
      </c>
      <c r="D110" s="213">
        <f>IF(D4&lt;'General overview'!$C$60,1,0)</f>
        <v>1</v>
      </c>
      <c r="E110" s="213">
        <f>IF(E4&lt;'General overview'!$C$60,1,0)</f>
        <v>1</v>
      </c>
      <c r="F110" s="213">
        <f>IF(F4&lt;'General overview'!$C$60,1,0)</f>
        <v>1</v>
      </c>
      <c r="G110" s="213">
        <f>IF(G4&lt;'General overview'!$C$60,1,0)</f>
        <v>1</v>
      </c>
      <c r="H110" s="213">
        <f>IF(H4&lt;'General overview'!$C$60,1,0)</f>
        <v>1</v>
      </c>
      <c r="I110" s="213">
        <f>IF(I4&lt;'General overview'!$C$60,1,0)</f>
        <v>1</v>
      </c>
      <c r="J110" s="213">
        <f>IF(J4&lt;'General overview'!$C$60,1,0)</f>
        <v>1</v>
      </c>
      <c r="K110" s="213">
        <f>IF(K4&lt;'General overview'!$C$60,1,0)</f>
        <v>1</v>
      </c>
      <c r="L110" s="213">
        <f>IF(L4&lt;'General overview'!$C$60,1,0)</f>
        <v>1</v>
      </c>
      <c r="M110" s="213">
        <f>IF(M4&lt;'General overview'!$C$60,1,0)</f>
        <v>1</v>
      </c>
      <c r="N110" s="213">
        <f>IF(N4&lt;'General overview'!$C$60,1,0)</f>
        <v>1</v>
      </c>
      <c r="O110" s="213">
        <f>IF(O4&lt;'General overview'!$C$60,1,0)</f>
        <v>1</v>
      </c>
      <c r="P110" s="213">
        <f>IF(P4&lt;'General overview'!$C$60,1,0)</f>
        <v>1</v>
      </c>
      <c r="Q110" s="213">
        <f>IF(Q4&lt;'General overview'!$C$60,1,0)</f>
        <v>1</v>
      </c>
      <c r="R110" s="213">
        <f>IF(R4&lt;'General overview'!$C$60,1,0)</f>
        <v>1</v>
      </c>
      <c r="S110" s="213">
        <f>IF(S4&lt;'General overview'!$C$60,1,0)</f>
        <v>1</v>
      </c>
      <c r="T110" s="213">
        <f>IF(T4&lt;'General overview'!$C$60,1,0)</f>
        <v>1</v>
      </c>
      <c r="U110" s="213">
        <f>IF(U4&lt;'General overview'!$C$60,1,0)</f>
        <v>1</v>
      </c>
      <c r="V110" s="213">
        <f>IF(V4&lt;'General overview'!$C$60,1,0)</f>
        <v>1</v>
      </c>
      <c r="W110" s="213">
        <f>IF(W4&lt;'General overview'!$C$60,1,0)</f>
        <v>1</v>
      </c>
      <c r="X110" s="213">
        <f>IF(X4&lt;'General overview'!$C$60,1,0)</f>
        <v>1</v>
      </c>
      <c r="Y110" s="213">
        <f>IF(Y4&lt;'General overview'!$C$60,1,0)</f>
        <v>1</v>
      </c>
      <c r="Z110" s="213">
        <f>IF(Z4&lt;'General overview'!$C$60,1,0)</f>
        <v>1</v>
      </c>
      <c r="AA110" s="213">
        <f>IF(AA4&lt;'General overview'!$C$60,1,0)</f>
        <v>1</v>
      </c>
      <c r="AB110" s="213">
        <f>IF(AB4&lt;'General overview'!$C$60,1,0)</f>
        <v>1</v>
      </c>
      <c r="AC110" s="213">
        <f>IF(AC4&lt;'General overview'!$C$60,1,0)</f>
        <v>1</v>
      </c>
      <c r="AD110" s="213">
        <f>IF(AD4&lt;'General overview'!$C$60,1,0)</f>
        <v>1</v>
      </c>
      <c r="AE110" s="213">
        <f>IF(AE4&lt;'General overview'!$C$60,1,0)</f>
        <v>1</v>
      </c>
      <c r="AF110" s="213">
        <f>IF(AF4&lt;'General overview'!$C$60,1,0)</f>
        <v>1</v>
      </c>
      <c r="AG110" s="213">
        <f>IF(AG4&lt;'General overview'!$C$60,1,0)</f>
        <v>1</v>
      </c>
      <c r="AH110" s="213">
        <f>IF(AH4&lt;'General overview'!$C$60,1,0)</f>
        <v>1</v>
      </c>
      <c r="AI110" s="213">
        <f>IF(AI4&lt;'General overview'!$C$60,1,0)</f>
        <v>1</v>
      </c>
      <c r="AJ110" s="213">
        <f>IF(AJ4&lt;'General overview'!$C$60,1,0)</f>
        <v>1</v>
      </c>
      <c r="AK110" s="213">
        <f>IF(AK4&lt;'General overview'!$C$60,1,0)</f>
        <v>1</v>
      </c>
      <c r="AL110" s="213">
        <f>IF(AL4&lt;'General overview'!$C$60,1,0)</f>
        <v>1</v>
      </c>
      <c r="AM110" s="213">
        <f>IF(AM4&lt;'General overview'!$C$60,1,0)</f>
        <v>1</v>
      </c>
      <c r="AN110" s="213">
        <f>IF(AN4&lt;'General overview'!$C$60,1,0)</f>
        <v>0</v>
      </c>
      <c r="AO110" s="213">
        <f>IF(AO4&lt;'General overview'!$C$60,1,0)</f>
        <v>0</v>
      </c>
      <c r="AP110" s="213">
        <f>IF(AP4&lt;'General overview'!$C$60,1,0)</f>
        <v>0</v>
      </c>
      <c r="AQ110" s="213">
        <f>IF(AQ4&lt;'General overview'!$C$60,1,0)</f>
        <v>0</v>
      </c>
      <c r="AR110" s="213">
        <f>IF(AR4&lt;'General overview'!$C$60,1,0)</f>
        <v>0</v>
      </c>
      <c r="AS110" s="213">
        <f>IF(AS4&lt;'General overview'!$C$60,1,0)</f>
        <v>0</v>
      </c>
      <c r="AT110" s="213">
        <f>IF(AT4&lt;'General overview'!$C$60,1,0)</f>
        <v>0</v>
      </c>
      <c r="AU110" s="213">
        <f>IF(AU4&lt;'General overview'!$C$60,1,0)</f>
        <v>0</v>
      </c>
      <c r="AV110" s="213">
        <f>IF(AV4&lt;'General overview'!$C$60,1,0)</f>
        <v>0</v>
      </c>
      <c r="AW110" s="213">
        <f>IF(AW4&lt;'General overview'!$C$60,1,0)</f>
        <v>0</v>
      </c>
      <c r="AX110" s="213">
        <f>IF(AX4&lt;'General overview'!$C$60,1,0)</f>
        <v>0</v>
      </c>
      <c r="AY110" s="213">
        <f>IF(AY4&lt;'General overview'!$C$60,1,0)</f>
        <v>0</v>
      </c>
      <c r="AZ110" s="213">
        <f>IF(AZ4&lt;'General overview'!$C$60,1,0)</f>
        <v>0</v>
      </c>
      <c r="BA110" s="213">
        <f>IF(BA4&lt;'General overview'!$C$60,1,0)</f>
        <v>0</v>
      </c>
      <c r="BB110" s="213">
        <f>IF(BB4&lt;'General overview'!$C$60,1,0)</f>
        <v>0</v>
      </c>
      <c r="BC110" s="213">
        <f>IF(BC4&lt;'General overview'!$C$60,1,0)</f>
        <v>0</v>
      </c>
    </row>
    <row r="111" spans="2:55">
      <c r="B111" t="s">
        <v>7</v>
      </c>
      <c r="C111" s="254">
        <f t="shared" ref="C111:C116" si="158">NPV(0.01, SUMIF($C105:$BC105,1,$C31:$BC31))</f>
        <v>611875.45886140829</v>
      </c>
      <c r="D111" s="24" t="e">
        <f>IF(D105=1,#REF!,0)</f>
        <v>#REF!</v>
      </c>
      <c r="E111" s="24" t="e">
        <f>IF(E105=1,#REF!,0)</f>
        <v>#REF!</v>
      </c>
      <c r="F111" s="24" t="e">
        <f>IF(F105=1,#REF!,0)</f>
        <v>#REF!</v>
      </c>
      <c r="G111" s="24" t="e">
        <f>IF(G105=1,#REF!,0)</f>
        <v>#REF!</v>
      </c>
      <c r="H111" s="24" t="e">
        <f>IF(H105=1,#REF!,0)</f>
        <v>#REF!</v>
      </c>
      <c r="I111" s="24" t="e">
        <f>IF(I105=1,#REF!,0)</f>
        <v>#REF!</v>
      </c>
      <c r="J111" s="24" t="e">
        <f>IF(J105=1,#REF!,0)</f>
        <v>#REF!</v>
      </c>
      <c r="K111" s="24" t="e">
        <f>IF(K105=1,#REF!,0)</f>
        <v>#REF!</v>
      </c>
      <c r="L111" s="24">
        <f t="shared" ref="L111:BC111" si="159">IF(L105=1,$D$92,0)</f>
        <v>640713.42646006285</v>
      </c>
      <c r="M111" s="24">
        <f t="shared" si="159"/>
        <v>0</v>
      </c>
      <c r="N111" s="24">
        <f t="shared" si="159"/>
        <v>0</v>
      </c>
      <c r="O111" s="24">
        <f t="shared" si="159"/>
        <v>0</v>
      </c>
      <c r="P111" s="24">
        <f t="shared" si="159"/>
        <v>0</v>
      </c>
      <c r="Q111" s="24">
        <f t="shared" si="159"/>
        <v>0</v>
      </c>
      <c r="R111" s="24">
        <f t="shared" si="159"/>
        <v>0</v>
      </c>
      <c r="S111" s="24">
        <f t="shared" si="159"/>
        <v>0</v>
      </c>
      <c r="T111" s="24">
        <f t="shared" si="159"/>
        <v>0</v>
      </c>
      <c r="U111" s="24">
        <f t="shared" si="159"/>
        <v>0</v>
      </c>
      <c r="V111" s="24">
        <f t="shared" si="159"/>
        <v>0</v>
      </c>
      <c r="W111" s="24">
        <f t="shared" si="159"/>
        <v>0</v>
      </c>
      <c r="X111" s="24">
        <f t="shared" si="159"/>
        <v>0</v>
      </c>
      <c r="Y111" s="24">
        <f t="shared" si="159"/>
        <v>0</v>
      </c>
      <c r="Z111" s="24">
        <f t="shared" si="159"/>
        <v>0</v>
      </c>
      <c r="AA111" s="24">
        <f t="shared" si="159"/>
        <v>0</v>
      </c>
      <c r="AB111" s="24">
        <f t="shared" si="159"/>
        <v>0</v>
      </c>
      <c r="AC111" s="24">
        <f t="shared" si="159"/>
        <v>0</v>
      </c>
      <c r="AD111" s="24">
        <f t="shared" si="159"/>
        <v>0</v>
      </c>
      <c r="AE111" s="24">
        <f t="shared" si="159"/>
        <v>0</v>
      </c>
      <c r="AF111" s="24">
        <f t="shared" si="159"/>
        <v>0</v>
      </c>
      <c r="AG111" s="24">
        <f t="shared" si="159"/>
        <v>0</v>
      </c>
      <c r="AH111" s="24">
        <f t="shared" si="159"/>
        <v>0</v>
      </c>
      <c r="AI111" s="24">
        <f t="shared" si="159"/>
        <v>0</v>
      </c>
      <c r="AJ111" s="24">
        <f t="shared" si="159"/>
        <v>0</v>
      </c>
      <c r="AK111" s="24">
        <f t="shared" si="159"/>
        <v>0</v>
      </c>
      <c r="AL111" s="24">
        <f t="shared" si="159"/>
        <v>0</v>
      </c>
      <c r="AM111" s="24">
        <f t="shared" si="159"/>
        <v>0</v>
      </c>
      <c r="AN111" s="24">
        <f t="shared" si="159"/>
        <v>0</v>
      </c>
      <c r="AO111" s="24">
        <f t="shared" si="159"/>
        <v>0</v>
      </c>
      <c r="AP111" s="24">
        <f t="shared" si="159"/>
        <v>0</v>
      </c>
      <c r="AQ111" s="24">
        <f t="shared" si="159"/>
        <v>0</v>
      </c>
      <c r="AR111" s="24">
        <f t="shared" si="159"/>
        <v>0</v>
      </c>
      <c r="AS111" s="24">
        <f t="shared" si="159"/>
        <v>0</v>
      </c>
      <c r="AT111" s="24">
        <f t="shared" si="159"/>
        <v>0</v>
      </c>
      <c r="AU111" s="24">
        <f t="shared" si="159"/>
        <v>0</v>
      </c>
      <c r="AV111" s="24">
        <f t="shared" si="159"/>
        <v>0</v>
      </c>
      <c r="AW111" s="24">
        <f t="shared" si="159"/>
        <v>0</v>
      </c>
      <c r="AX111" s="24">
        <f t="shared" si="159"/>
        <v>0</v>
      </c>
      <c r="AY111" s="24">
        <f t="shared" si="159"/>
        <v>0</v>
      </c>
      <c r="AZ111" s="24">
        <f t="shared" si="159"/>
        <v>0</v>
      </c>
      <c r="BA111" s="24">
        <f t="shared" si="159"/>
        <v>0</v>
      </c>
      <c r="BB111" s="24">
        <f t="shared" si="159"/>
        <v>0</v>
      </c>
      <c r="BC111" s="24">
        <f t="shared" si="159"/>
        <v>0</v>
      </c>
    </row>
    <row r="112" spans="2:55">
      <c r="B112" t="s">
        <v>9</v>
      </c>
      <c r="C112" s="254">
        <f t="shared" si="158"/>
        <v>43725.636386452112</v>
      </c>
      <c r="D112" s="24">
        <f t="shared" ref="D112:K112" si="160">IF(D106=1,$I$75,0)</f>
        <v>13506.206063642961</v>
      </c>
      <c r="E112" s="24">
        <f t="shared" si="160"/>
        <v>13506.206063642961</v>
      </c>
      <c r="F112" s="24">
        <f t="shared" si="160"/>
        <v>13506.206063642961</v>
      </c>
      <c r="G112" s="24">
        <f t="shared" si="160"/>
        <v>13506.206063642961</v>
      </c>
      <c r="H112" s="24">
        <f t="shared" si="160"/>
        <v>13506.206063642961</v>
      </c>
      <c r="I112" s="24">
        <f t="shared" si="160"/>
        <v>13506.206063642961</v>
      </c>
      <c r="J112" s="24">
        <f t="shared" si="160"/>
        <v>13506.206063642961</v>
      </c>
      <c r="K112" s="24">
        <f t="shared" si="160"/>
        <v>13506.206063642961</v>
      </c>
      <c r="L112" s="24">
        <f t="shared" ref="L112:BC112" si="161">IF(L106=1,$D$93,0)</f>
        <v>41063.101576948437</v>
      </c>
      <c r="M112" s="24">
        <f t="shared" si="161"/>
        <v>41063.101576948437</v>
      </c>
      <c r="N112" s="24">
        <f t="shared" si="161"/>
        <v>41063.101576948437</v>
      </c>
      <c r="O112" s="24">
        <f t="shared" si="161"/>
        <v>41063.101576948437</v>
      </c>
      <c r="P112" s="24">
        <f t="shared" si="161"/>
        <v>41063.101576948437</v>
      </c>
      <c r="Q112" s="24">
        <f t="shared" si="161"/>
        <v>41063.101576948437</v>
      </c>
      <c r="R112" s="24">
        <f t="shared" si="161"/>
        <v>41063.101576948437</v>
      </c>
      <c r="S112" s="24">
        <f t="shared" si="161"/>
        <v>41063.101576948437</v>
      </c>
      <c r="T112" s="24">
        <f t="shared" si="161"/>
        <v>41063.101576948437</v>
      </c>
      <c r="U112" s="24">
        <f t="shared" si="161"/>
        <v>41063.101576948437</v>
      </c>
      <c r="V112" s="24">
        <f t="shared" si="161"/>
        <v>41063.101576948437</v>
      </c>
      <c r="W112" s="24">
        <f t="shared" si="161"/>
        <v>41063.101576948437</v>
      </c>
      <c r="X112" s="24">
        <f t="shared" si="161"/>
        <v>41063.101576948437</v>
      </c>
      <c r="Y112" s="24">
        <f t="shared" si="161"/>
        <v>0</v>
      </c>
      <c r="Z112" s="24">
        <f t="shared" si="161"/>
        <v>0</v>
      </c>
      <c r="AA112" s="24">
        <f t="shared" si="161"/>
        <v>0</v>
      </c>
      <c r="AB112" s="24">
        <f t="shared" si="161"/>
        <v>0</v>
      </c>
      <c r="AC112" s="24">
        <f t="shared" si="161"/>
        <v>0</v>
      </c>
      <c r="AD112" s="24">
        <f t="shared" si="161"/>
        <v>0</v>
      </c>
      <c r="AE112" s="24">
        <f t="shared" si="161"/>
        <v>0</v>
      </c>
      <c r="AF112" s="24">
        <f t="shared" si="161"/>
        <v>0</v>
      </c>
      <c r="AG112" s="24">
        <f t="shared" si="161"/>
        <v>0</v>
      </c>
      <c r="AH112" s="24">
        <f t="shared" si="161"/>
        <v>0</v>
      </c>
      <c r="AI112" s="24">
        <f t="shared" si="161"/>
        <v>0</v>
      </c>
      <c r="AJ112" s="24">
        <f t="shared" si="161"/>
        <v>0</v>
      </c>
      <c r="AK112" s="24">
        <f t="shared" si="161"/>
        <v>0</v>
      </c>
      <c r="AL112" s="24">
        <f t="shared" si="161"/>
        <v>0</v>
      </c>
      <c r="AM112" s="24">
        <f t="shared" si="161"/>
        <v>0</v>
      </c>
      <c r="AN112" s="24">
        <f t="shared" si="161"/>
        <v>0</v>
      </c>
      <c r="AO112" s="24">
        <f t="shared" si="161"/>
        <v>0</v>
      </c>
      <c r="AP112" s="24">
        <f t="shared" si="161"/>
        <v>0</v>
      </c>
      <c r="AQ112" s="24">
        <f t="shared" si="161"/>
        <v>0</v>
      </c>
      <c r="AR112" s="24">
        <f t="shared" si="161"/>
        <v>0</v>
      </c>
      <c r="AS112" s="24">
        <f t="shared" si="161"/>
        <v>0</v>
      </c>
      <c r="AT112" s="24">
        <f t="shared" si="161"/>
        <v>0</v>
      </c>
      <c r="AU112" s="24">
        <f t="shared" si="161"/>
        <v>0</v>
      </c>
      <c r="AV112" s="24">
        <f t="shared" si="161"/>
        <v>0</v>
      </c>
      <c r="AW112" s="24">
        <f t="shared" si="161"/>
        <v>0</v>
      </c>
      <c r="AX112" s="24">
        <f t="shared" si="161"/>
        <v>0</v>
      </c>
      <c r="AY112" s="24">
        <f t="shared" si="161"/>
        <v>0</v>
      </c>
      <c r="AZ112" s="24">
        <f t="shared" si="161"/>
        <v>0</v>
      </c>
      <c r="BA112" s="24">
        <f t="shared" si="161"/>
        <v>0</v>
      </c>
      <c r="BB112" s="24">
        <f t="shared" si="161"/>
        <v>0</v>
      </c>
      <c r="BC112" s="24">
        <f t="shared" si="161"/>
        <v>0</v>
      </c>
    </row>
    <row r="113" spans="2:55">
      <c r="B113" t="s">
        <v>11</v>
      </c>
      <c r="C113" s="254">
        <f t="shared" si="158"/>
        <v>17808.367198213051</v>
      </c>
      <c r="D113" s="24">
        <f t="shared" ref="D113:K113" si="162">IF(D107=1,$I$76,0)</f>
        <v>10084.695028843911</v>
      </c>
      <c r="E113" s="24">
        <f t="shared" si="162"/>
        <v>10084.695028843911</v>
      </c>
      <c r="F113" s="24">
        <f t="shared" si="162"/>
        <v>10084.695028843911</v>
      </c>
      <c r="G113" s="24">
        <f t="shared" si="162"/>
        <v>10084.695028843911</v>
      </c>
      <c r="H113" s="24">
        <f t="shared" si="162"/>
        <v>10084.695028843911</v>
      </c>
      <c r="I113" s="24">
        <f t="shared" si="162"/>
        <v>10084.695028843911</v>
      </c>
      <c r="J113" s="24">
        <f t="shared" si="162"/>
        <v>10084.695028843911</v>
      </c>
      <c r="K113" s="24">
        <f t="shared" si="162"/>
        <v>10084.695028843911</v>
      </c>
      <c r="L113" s="24">
        <f t="shared" ref="L113:BC113" si="163">IF(L107=1,$D$94,0)</f>
        <v>18186.909974196944</v>
      </c>
      <c r="M113" s="24">
        <f t="shared" si="163"/>
        <v>18186.909974196944</v>
      </c>
      <c r="N113" s="24">
        <f t="shared" si="163"/>
        <v>18186.909974196944</v>
      </c>
      <c r="O113" s="24">
        <f t="shared" si="163"/>
        <v>0</v>
      </c>
      <c r="P113" s="24">
        <f t="shared" si="163"/>
        <v>0</v>
      </c>
      <c r="Q113" s="24">
        <f t="shared" si="163"/>
        <v>0</v>
      </c>
      <c r="R113" s="24">
        <f t="shared" si="163"/>
        <v>0</v>
      </c>
      <c r="S113" s="24">
        <f t="shared" si="163"/>
        <v>0</v>
      </c>
      <c r="T113" s="24">
        <f t="shared" si="163"/>
        <v>0</v>
      </c>
      <c r="U113" s="24">
        <f t="shared" si="163"/>
        <v>0</v>
      </c>
      <c r="V113" s="24">
        <f t="shared" si="163"/>
        <v>0</v>
      </c>
      <c r="W113" s="24">
        <f t="shared" si="163"/>
        <v>0</v>
      </c>
      <c r="X113" s="24">
        <f t="shared" si="163"/>
        <v>0</v>
      </c>
      <c r="Y113" s="24">
        <f t="shared" si="163"/>
        <v>0</v>
      </c>
      <c r="Z113" s="24">
        <f t="shared" si="163"/>
        <v>0</v>
      </c>
      <c r="AA113" s="24">
        <f t="shared" si="163"/>
        <v>0</v>
      </c>
      <c r="AB113" s="24">
        <f t="shared" si="163"/>
        <v>0</v>
      </c>
      <c r="AC113" s="24">
        <f t="shared" si="163"/>
        <v>0</v>
      </c>
      <c r="AD113" s="24">
        <f t="shared" si="163"/>
        <v>0</v>
      </c>
      <c r="AE113" s="24">
        <f t="shared" si="163"/>
        <v>0</v>
      </c>
      <c r="AF113" s="24">
        <f t="shared" si="163"/>
        <v>0</v>
      </c>
      <c r="AG113" s="24">
        <f t="shared" si="163"/>
        <v>0</v>
      </c>
      <c r="AH113" s="24">
        <f t="shared" si="163"/>
        <v>0</v>
      </c>
      <c r="AI113" s="24">
        <f t="shared" si="163"/>
        <v>0</v>
      </c>
      <c r="AJ113" s="24">
        <f t="shared" si="163"/>
        <v>0</v>
      </c>
      <c r="AK113" s="24">
        <f t="shared" si="163"/>
        <v>0</v>
      </c>
      <c r="AL113" s="24">
        <f t="shared" si="163"/>
        <v>0</v>
      </c>
      <c r="AM113" s="24">
        <f t="shared" si="163"/>
        <v>0</v>
      </c>
      <c r="AN113" s="24">
        <f t="shared" si="163"/>
        <v>0</v>
      </c>
      <c r="AO113" s="24">
        <f t="shared" si="163"/>
        <v>0</v>
      </c>
      <c r="AP113" s="24">
        <f t="shared" si="163"/>
        <v>0</v>
      </c>
      <c r="AQ113" s="24">
        <f t="shared" si="163"/>
        <v>0</v>
      </c>
      <c r="AR113" s="24">
        <f t="shared" si="163"/>
        <v>0</v>
      </c>
      <c r="AS113" s="24">
        <f t="shared" si="163"/>
        <v>0</v>
      </c>
      <c r="AT113" s="24">
        <f t="shared" si="163"/>
        <v>0</v>
      </c>
      <c r="AU113" s="24">
        <f t="shared" si="163"/>
        <v>0</v>
      </c>
      <c r="AV113" s="24">
        <f t="shared" si="163"/>
        <v>0</v>
      </c>
      <c r="AW113" s="24">
        <f t="shared" si="163"/>
        <v>0</v>
      </c>
      <c r="AX113" s="24">
        <f t="shared" si="163"/>
        <v>0</v>
      </c>
      <c r="AY113" s="24">
        <f t="shared" si="163"/>
        <v>0</v>
      </c>
      <c r="AZ113" s="24">
        <f t="shared" si="163"/>
        <v>0</v>
      </c>
      <c r="BA113" s="24">
        <f t="shared" si="163"/>
        <v>0</v>
      </c>
      <c r="BB113" s="24">
        <f t="shared" si="163"/>
        <v>0</v>
      </c>
      <c r="BC113" s="24">
        <f t="shared" si="163"/>
        <v>0</v>
      </c>
    </row>
    <row r="114" spans="2:55">
      <c r="B114" t="s">
        <v>32</v>
      </c>
      <c r="C114" s="254">
        <f t="shared" si="158"/>
        <v>10598.008998454608</v>
      </c>
      <c r="D114" s="24">
        <f t="shared" ref="D114:K114" si="164">IF(D108=1,$I$77,0)</f>
        <v>13922.198896352971</v>
      </c>
      <c r="E114" s="24">
        <f t="shared" si="164"/>
        <v>13922.198896352971</v>
      </c>
      <c r="F114" s="24">
        <f t="shared" si="164"/>
        <v>0</v>
      </c>
      <c r="G114" s="24">
        <f t="shared" si="164"/>
        <v>0</v>
      </c>
      <c r="H114" s="24">
        <f t="shared" si="164"/>
        <v>0</v>
      </c>
      <c r="I114" s="24">
        <f t="shared" si="164"/>
        <v>0</v>
      </c>
      <c r="J114" s="24">
        <f t="shared" si="164"/>
        <v>0</v>
      </c>
      <c r="K114" s="24">
        <f t="shared" si="164"/>
        <v>0</v>
      </c>
      <c r="L114" s="24">
        <f t="shared" ref="L114:BC114" si="165">IF(L108=1,$D$95,0)</f>
        <v>0</v>
      </c>
      <c r="M114" s="24">
        <f t="shared" si="165"/>
        <v>0</v>
      </c>
      <c r="N114" s="24">
        <f t="shared" si="165"/>
        <v>0</v>
      </c>
      <c r="O114" s="24">
        <f t="shared" si="165"/>
        <v>0</v>
      </c>
      <c r="P114" s="24">
        <f t="shared" si="165"/>
        <v>0</v>
      </c>
      <c r="Q114" s="24">
        <f t="shared" si="165"/>
        <v>0</v>
      </c>
      <c r="R114" s="24">
        <f t="shared" si="165"/>
        <v>0</v>
      </c>
      <c r="S114" s="24">
        <f t="shared" si="165"/>
        <v>0</v>
      </c>
      <c r="T114" s="24">
        <f t="shared" si="165"/>
        <v>0</v>
      </c>
      <c r="U114" s="24">
        <f t="shared" si="165"/>
        <v>0</v>
      </c>
      <c r="V114" s="24">
        <f t="shared" si="165"/>
        <v>0</v>
      </c>
      <c r="W114" s="24">
        <f t="shared" si="165"/>
        <v>0</v>
      </c>
      <c r="X114" s="24">
        <f t="shared" si="165"/>
        <v>0</v>
      </c>
      <c r="Y114" s="24">
        <f t="shared" si="165"/>
        <v>0</v>
      </c>
      <c r="Z114" s="24">
        <f t="shared" si="165"/>
        <v>0</v>
      </c>
      <c r="AA114" s="24">
        <f t="shared" si="165"/>
        <v>0</v>
      </c>
      <c r="AB114" s="24">
        <f t="shared" si="165"/>
        <v>0</v>
      </c>
      <c r="AC114" s="24">
        <f t="shared" si="165"/>
        <v>0</v>
      </c>
      <c r="AD114" s="24">
        <f t="shared" si="165"/>
        <v>0</v>
      </c>
      <c r="AE114" s="24">
        <f t="shared" si="165"/>
        <v>0</v>
      </c>
      <c r="AF114" s="24">
        <f t="shared" si="165"/>
        <v>0</v>
      </c>
      <c r="AG114" s="24">
        <f t="shared" si="165"/>
        <v>0</v>
      </c>
      <c r="AH114" s="24">
        <f t="shared" si="165"/>
        <v>0</v>
      </c>
      <c r="AI114" s="24">
        <f t="shared" si="165"/>
        <v>0</v>
      </c>
      <c r="AJ114" s="24">
        <f t="shared" si="165"/>
        <v>0</v>
      </c>
      <c r="AK114" s="24">
        <f t="shared" si="165"/>
        <v>0</v>
      </c>
      <c r="AL114" s="24">
        <f t="shared" si="165"/>
        <v>0</v>
      </c>
      <c r="AM114" s="24">
        <f t="shared" si="165"/>
        <v>0</v>
      </c>
      <c r="AN114" s="24">
        <f t="shared" si="165"/>
        <v>0</v>
      </c>
      <c r="AO114" s="24">
        <f t="shared" si="165"/>
        <v>0</v>
      </c>
      <c r="AP114" s="24">
        <f t="shared" si="165"/>
        <v>0</v>
      </c>
      <c r="AQ114" s="24">
        <f t="shared" si="165"/>
        <v>0</v>
      </c>
      <c r="AR114" s="24">
        <f t="shared" si="165"/>
        <v>0</v>
      </c>
      <c r="AS114" s="24">
        <f t="shared" si="165"/>
        <v>0</v>
      </c>
      <c r="AT114" s="24">
        <f t="shared" si="165"/>
        <v>0</v>
      </c>
      <c r="AU114" s="24">
        <f t="shared" si="165"/>
        <v>0</v>
      </c>
      <c r="AV114" s="24">
        <f t="shared" si="165"/>
        <v>0</v>
      </c>
      <c r="AW114" s="24">
        <f t="shared" si="165"/>
        <v>0</v>
      </c>
      <c r="AX114" s="24">
        <f t="shared" si="165"/>
        <v>0</v>
      </c>
      <c r="AY114" s="24">
        <f t="shared" si="165"/>
        <v>0</v>
      </c>
      <c r="AZ114" s="24">
        <f t="shared" si="165"/>
        <v>0</v>
      </c>
      <c r="BA114" s="24">
        <f t="shared" si="165"/>
        <v>0</v>
      </c>
      <c r="BB114" s="24">
        <f t="shared" si="165"/>
        <v>0</v>
      </c>
      <c r="BC114" s="24">
        <f t="shared" si="165"/>
        <v>0</v>
      </c>
    </row>
    <row r="115" spans="2:55">
      <c r="B115" t="s">
        <v>60</v>
      </c>
      <c r="C115" s="254">
        <f t="shared" si="158"/>
        <v>6343.5191728172786</v>
      </c>
      <c r="D115" s="24">
        <f t="shared" ref="D115:K115" si="166">IF(D109=1,$I$78,0)</f>
        <v>9421.3790047807252</v>
      </c>
      <c r="E115" s="24">
        <f t="shared" si="166"/>
        <v>0</v>
      </c>
      <c r="F115" s="24">
        <f t="shared" si="166"/>
        <v>0</v>
      </c>
      <c r="G115" s="24">
        <f t="shared" si="166"/>
        <v>0</v>
      </c>
      <c r="H115" s="24">
        <f t="shared" si="166"/>
        <v>0</v>
      </c>
      <c r="I115" s="24">
        <f t="shared" si="166"/>
        <v>0</v>
      </c>
      <c r="J115" s="24">
        <f t="shared" si="166"/>
        <v>0</v>
      </c>
      <c r="K115" s="24">
        <f t="shared" si="166"/>
        <v>0</v>
      </c>
      <c r="L115" s="24">
        <f t="shared" ref="L115:BC115" si="167">IF(L109=1,$D$96,0)</f>
        <v>0</v>
      </c>
      <c r="M115" s="24">
        <f t="shared" si="167"/>
        <v>0</v>
      </c>
      <c r="N115" s="24">
        <f t="shared" si="167"/>
        <v>0</v>
      </c>
      <c r="O115" s="24">
        <f t="shared" si="167"/>
        <v>0</v>
      </c>
      <c r="P115" s="24">
        <f t="shared" si="167"/>
        <v>0</v>
      </c>
      <c r="Q115" s="24">
        <f t="shared" si="167"/>
        <v>0</v>
      </c>
      <c r="R115" s="24">
        <f t="shared" si="167"/>
        <v>0</v>
      </c>
      <c r="S115" s="24">
        <f t="shared" si="167"/>
        <v>0</v>
      </c>
      <c r="T115" s="24">
        <f t="shared" si="167"/>
        <v>0</v>
      </c>
      <c r="U115" s="24">
        <f t="shared" si="167"/>
        <v>0</v>
      </c>
      <c r="V115" s="24">
        <f t="shared" si="167"/>
        <v>0</v>
      </c>
      <c r="W115" s="24">
        <f t="shared" si="167"/>
        <v>0</v>
      </c>
      <c r="X115" s="24">
        <f t="shared" si="167"/>
        <v>0</v>
      </c>
      <c r="Y115" s="24">
        <f t="shared" si="167"/>
        <v>0</v>
      </c>
      <c r="Z115" s="24">
        <f t="shared" si="167"/>
        <v>0</v>
      </c>
      <c r="AA115" s="24">
        <f t="shared" si="167"/>
        <v>0</v>
      </c>
      <c r="AB115" s="24">
        <f t="shared" si="167"/>
        <v>0</v>
      </c>
      <c r="AC115" s="24">
        <f t="shared" si="167"/>
        <v>0</v>
      </c>
      <c r="AD115" s="24">
        <f t="shared" si="167"/>
        <v>0</v>
      </c>
      <c r="AE115" s="24">
        <f t="shared" si="167"/>
        <v>0</v>
      </c>
      <c r="AF115" s="24">
        <f t="shared" si="167"/>
        <v>0</v>
      </c>
      <c r="AG115" s="24">
        <f t="shared" si="167"/>
        <v>0</v>
      </c>
      <c r="AH115" s="24">
        <f t="shared" si="167"/>
        <v>0</v>
      </c>
      <c r="AI115" s="24">
        <f t="shared" si="167"/>
        <v>0</v>
      </c>
      <c r="AJ115" s="24">
        <f t="shared" si="167"/>
        <v>0</v>
      </c>
      <c r="AK115" s="24">
        <f t="shared" si="167"/>
        <v>0</v>
      </c>
      <c r="AL115" s="24">
        <f t="shared" si="167"/>
        <v>0</v>
      </c>
      <c r="AM115" s="24">
        <f t="shared" si="167"/>
        <v>0</v>
      </c>
      <c r="AN115" s="24">
        <f t="shared" si="167"/>
        <v>0</v>
      </c>
      <c r="AO115" s="24">
        <f t="shared" si="167"/>
        <v>0</v>
      </c>
      <c r="AP115" s="24">
        <f t="shared" si="167"/>
        <v>0</v>
      </c>
      <c r="AQ115" s="24">
        <f t="shared" si="167"/>
        <v>0</v>
      </c>
      <c r="AR115" s="24">
        <f t="shared" si="167"/>
        <v>0</v>
      </c>
      <c r="AS115" s="24">
        <f t="shared" si="167"/>
        <v>0</v>
      </c>
      <c r="AT115" s="24">
        <f t="shared" si="167"/>
        <v>0</v>
      </c>
      <c r="AU115" s="24">
        <f t="shared" si="167"/>
        <v>0</v>
      </c>
      <c r="AV115" s="24">
        <f t="shared" si="167"/>
        <v>0</v>
      </c>
      <c r="AW115" s="24">
        <f t="shared" si="167"/>
        <v>0</v>
      </c>
      <c r="AX115" s="24">
        <f t="shared" si="167"/>
        <v>0</v>
      </c>
      <c r="AY115" s="24">
        <f t="shared" si="167"/>
        <v>0</v>
      </c>
      <c r="AZ115" s="24">
        <f t="shared" si="167"/>
        <v>0</v>
      </c>
      <c r="BA115" s="24">
        <f t="shared" si="167"/>
        <v>0</v>
      </c>
      <c r="BB115" s="24">
        <f t="shared" si="167"/>
        <v>0</v>
      </c>
      <c r="BC115" s="24">
        <f t="shared" si="167"/>
        <v>0</v>
      </c>
    </row>
    <row r="116" spans="2:55">
      <c r="B116" t="s">
        <v>19</v>
      </c>
      <c r="C116" s="254">
        <f t="shared" si="158"/>
        <v>0</v>
      </c>
      <c r="D116" s="24" t="e">
        <f>IF(D110=1,#REF!,0)</f>
        <v>#REF!</v>
      </c>
      <c r="E116" s="24" t="e">
        <f>IF(E110=1,#REF!,0)</f>
        <v>#REF!</v>
      </c>
      <c r="F116" s="24" t="e">
        <f>IF(F110=1,#REF!,0)</f>
        <v>#REF!</v>
      </c>
      <c r="G116" s="24" t="e">
        <f>IF(G110=1,#REF!,0)</f>
        <v>#REF!</v>
      </c>
      <c r="H116" s="24" t="e">
        <f>IF(H110=1,#REF!,0)</f>
        <v>#REF!</v>
      </c>
      <c r="I116" s="24" t="e">
        <f>IF(I110=1,#REF!,0)</f>
        <v>#REF!</v>
      </c>
      <c r="J116" s="24" t="e">
        <f>IF(J110=1,#REF!,0)</f>
        <v>#REF!</v>
      </c>
      <c r="K116" s="24" t="e">
        <f>IF(K110=1,#REF!,0)</f>
        <v>#REF!</v>
      </c>
      <c r="L116" s="24">
        <f t="shared" ref="L116:BC116" si="168">IF(L110=1,$D$97,0)</f>
        <v>0</v>
      </c>
      <c r="M116" s="24">
        <f t="shared" si="168"/>
        <v>0</v>
      </c>
      <c r="N116" s="24">
        <f t="shared" si="168"/>
        <v>0</v>
      </c>
      <c r="O116" s="24">
        <f t="shared" si="168"/>
        <v>0</v>
      </c>
      <c r="P116" s="24">
        <f t="shared" si="168"/>
        <v>0</v>
      </c>
      <c r="Q116" s="24">
        <f t="shared" si="168"/>
        <v>0</v>
      </c>
      <c r="R116" s="24">
        <f t="shared" si="168"/>
        <v>0</v>
      </c>
      <c r="S116" s="24">
        <f t="shared" si="168"/>
        <v>0</v>
      </c>
      <c r="T116" s="24">
        <f t="shared" si="168"/>
        <v>0</v>
      </c>
      <c r="U116" s="24">
        <f t="shared" si="168"/>
        <v>0</v>
      </c>
      <c r="V116" s="24">
        <f t="shared" si="168"/>
        <v>0</v>
      </c>
      <c r="W116" s="24">
        <f t="shared" si="168"/>
        <v>0</v>
      </c>
      <c r="X116" s="24">
        <f t="shared" si="168"/>
        <v>0</v>
      </c>
      <c r="Y116" s="24">
        <f t="shared" si="168"/>
        <v>0</v>
      </c>
      <c r="Z116" s="24">
        <f t="shared" si="168"/>
        <v>0</v>
      </c>
      <c r="AA116" s="24">
        <f t="shared" si="168"/>
        <v>0</v>
      </c>
      <c r="AB116" s="24">
        <f t="shared" si="168"/>
        <v>0</v>
      </c>
      <c r="AC116" s="24">
        <f t="shared" si="168"/>
        <v>0</v>
      </c>
      <c r="AD116" s="24">
        <f t="shared" si="168"/>
        <v>0</v>
      </c>
      <c r="AE116" s="24">
        <f t="shared" si="168"/>
        <v>0</v>
      </c>
      <c r="AF116" s="24">
        <f t="shared" si="168"/>
        <v>0</v>
      </c>
      <c r="AG116" s="24">
        <f t="shared" si="168"/>
        <v>0</v>
      </c>
      <c r="AH116" s="24">
        <f t="shared" si="168"/>
        <v>0</v>
      </c>
      <c r="AI116" s="24">
        <f t="shared" si="168"/>
        <v>0</v>
      </c>
      <c r="AJ116" s="24">
        <f t="shared" si="168"/>
        <v>0</v>
      </c>
      <c r="AK116" s="24">
        <f t="shared" si="168"/>
        <v>0</v>
      </c>
      <c r="AL116" s="24">
        <f t="shared" si="168"/>
        <v>0</v>
      </c>
      <c r="AM116" s="24">
        <f t="shared" si="168"/>
        <v>0</v>
      </c>
      <c r="AN116" s="24">
        <f t="shared" si="168"/>
        <v>0</v>
      </c>
      <c r="AO116" s="24">
        <f t="shared" si="168"/>
        <v>0</v>
      </c>
      <c r="AP116" s="24">
        <f t="shared" si="168"/>
        <v>0</v>
      </c>
      <c r="AQ116" s="24">
        <f t="shared" si="168"/>
        <v>0</v>
      </c>
      <c r="AR116" s="24">
        <f t="shared" si="168"/>
        <v>0</v>
      </c>
      <c r="AS116" s="24">
        <f t="shared" si="168"/>
        <v>0</v>
      </c>
      <c r="AT116" s="24">
        <f t="shared" si="168"/>
        <v>0</v>
      </c>
      <c r="AU116" s="24">
        <f t="shared" si="168"/>
        <v>0</v>
      </c>
      <c r="AV116" s="24">
        <f t="shared" si="168"/>
        <v>0</v>
      </c>
      <c r="AW116" s="24">
        <f t="shared" si="168"/>
        <v>0</v>
      </c>
      <c r="AX116" s="24">
        <f t="shared" si="168"/>
        <v>0</v>
      </c>
      <c r="AY116" s="24">
        <f t="shared" si="168"/>
        <v>0</v>
      </c>
      <c r="AZ116" s="24">
        <f t="shared" si="168"/>
        <v>0</v>
      </c>
      <c r="BA116" s="24">
        <f t="shared" si="168"/>
        <v>0</v>
      </c>
      <c r="BB116" s="24">
        <f t="shared" si="168"/>
        <v>0</v>
      </c>
      <c r="BC116" s="24">
        <f t="shared" si="168"/>
        <v>0</v>
      </c>
    </row>
    <row r="117" spans="2:55">
      <c r="C117" s="28">
        <f>SUM(C111:C116)</f>
        <v>690350.99061734532</v>
      </c>
      <c r="D117" s="28" t="e">
        <f t="shared" ref="D117:BC117" si="169">SUM(D111:D116)</f>
        <v>#REF!</v>
      </c>
      <c r="E117" s="28" t="e">
        <f t="shared" si="169"/>
        <v>#REF!</v>
      </c>
      <c r="F117" s="28" t="e">
        <f t="shared" si="169"/>
        <v>#REF!</v>
      </c>
      <c r="G117" s="28" t="e">
        <f t="shared" si="169"/>
        <v>#REF!</v>
      </c>
      <c r="H117" s="28" t="e">
        <f t="shared" si="169"/>
        <v>#REF!</v>
      </c>
      <c r="I117" s="28" t="e">
        <f t="shared" si="169"/>
        <v>#REF!</v>
      </c>
      <c r="J117" s="28" t="e">
        <f t="shared" si="169"/>
        <v>#REF!</v>
      </c>
      <c r="K117" s="28" t="e">
        <f t="shared" si="169"/>
        <v>#REF!</v>
      </c>
      <c r="L117" s="28">
        <f t="shared" si="169"/>
        <v>699963.4380112082</v>
      </c>
      <c r="M117" s="28">
        <f t="shared" si="169"/>
        <v>59250.011551145377</v>
      </c>
      <c r="N117" s="28">
        <f t="shared" si="169"/>
        <v>59250.011551145377</v>
      </c>
      <c r="O117" s="28">
        <f t="shared" si="169"/>
        <v>41063.101576948437</v>
      </c>
      <c r="P117" s="28">
        <f t="shared" si="169"/>
        <v>41063.101576948437</v>
      </c>
      <c r="Q117" s="28">
        <f t="shared" si="169"/>
        <v>41063.101576948437</v>
      </c>
      <c r="R117" s="28">
        <f t="shared" si="169"/>
        <v>41063.101576948437</v>
      </c>
      <c r="S117" s="28">
        <f t="shared" si="169"/>
        <v>41063.101576948437</v>
      </c>
      <c r="T117" s="28">
        <f t="shared" si="169"/>
        <v>41063.101576948437</v>
      </c>
      <c r="U117" s="28">
        <f t="shared" si="169"/>
        <v>41063.101576948437</v>
      </c>
      <c r="V117" s="28">
        <f t="shared" si="169"/>
        <v>41063.101576948437</v>
      </c>
      <c r="W117" s="28">
        <f t="shared" si="169"/>
        <v>41063.101576948437</v>
      </c>
      <c r="X117" s="28">
        <f t="shared" si="169"/>
        <v>41063.101576948437</v>
      </c>
      <c r="Y117" s="28">
        <f t="shared" si="169"/>
        <v>0</v>
      </c>
      <c r="Z117" s="28">
        <f t="shared" si="169"/>
        <v>0</v>
      </c>
      <c r="AA117" s="28">
        <f t="shared" si="169"/>
        <v>0</v>
      </c>
      <c r="AB117" s="28">
        <f t="shared" si="169"/>
        <v>0</v>
      </c>
      <c r="AC117" s="28">
        <f t="shared" si="169"/>
        <v>0</v>
      </c>
      <c r="AD117" s="28">
        <f t="shared" si="169"/>
        <v>0</v>
      </c>
      <c r="AE117" s="28">
        <f t="shared" si="169"/>
        <v>0</v>
      </c>
      <c r="AF117" s="28">
        <f t="shared" si="169"/>
        <v>0</v>
      </c>
      <c r="AG117" s="28">
        <f t="shared" si="169"/>
        <v>0</v>
      </c>
      <c r="AH117" s="28">
        <f t="shared" si="169"/>
        <v>0</v>
      </c>
      <c r="AI117" s="28">
        <f t="shared" si="169"/>
        <v>0</v>
      </c>
      <c r="AJ117" s="28">
        <f t="shared" si="169"/>
        <v>0</v>
      </c>
      <c r="AK117" s="28">
        <f t="shared" si="169"/>
        <v>0</v>
      </c>
      <c r="AL117" s="28">
        <f t="shared" si="169"/>
        <v>0</v>
      </c>
      <c r="AM117" s="28">
        <f t="shared" si="169"/>
        <v>0</v>
      </c>
      <c r="AN117" s="28">
        <f t="shared" si="169"/>
        <v>0</v>
      </c>
      <c r="AO117" s="28">
        <f t="shared" si="169"/>
        <v>0</v>
      </c>
      <c r="AP117" s="28">
        <f t="shared" si="169"/>
        <v>0</v>
      </c>
      <c r="AQ117" s="28">
        <f t="shared" si="169"/>
        <v>0</v>
      </c>
      <c r="AR117" s="28">
        <f t="shared" si="169"/>
        <v>0</v>
      </c>
      <c r="AS117" s="28">
        <f t="shared" si="169"/>
        <v>0</v>
      </c>
      <c r="AT117" s="28">
        <f t="shared" si="169"/>
        <v>0</v>
      </c>
      <c r="AU117" s="28">
        <f t="shared" si="169"/>
        <v>0</v>
      </c>
      <c r="AV117" s="28">
        <f t="shared" si="169"/>
        <v>0</v>
      </c>
      <c r="AW117" s="28">
        <f t="shared" si="169"/>
        <v>0</v>
      </c>
      <c r="AX117" s="28">
        <f t="shared" si="169"/>
        <v>0</v>
      </c>
      <c r="AY117" s="28">
        <f t="shared" si="169"/>
        <v>0</v>
      </c>
      <c r="AZ117" s="28">
        <f t="shared" si="169"/>
        <v>0</v>
      </c>
      <c r="BA117" s="28">
        <f t="shared" si="169"/>
        <v>0</v>
      </c>
      <c r="BB117" s="28">
        <f t="shared" si="169"/>
        <v>0</v>
      </c>
      <c r="BC117" s="28">
        <f t="shared" si="169"/>
        <v>0</v>
      </c>
    </row>
    <row r="118" spans="2:55">
      <c r="B118" t="s">
        <v>7</v>
      </c>
      <c r="C118" s="226">
        <f>C111/C117</f>
        <v>0.88632516962746677</v>
      </c>
      <c r="D118" s="226" t="e">
        <f>D111/D117</f>
        <v>#REF!</v>
      </c>
      <c r="E118" s="226" t="e">
        <f>E111/E117</f>
        <v>#REF!</v>
      </c>
      <c r="F118" s="226" t="e">
        <f t="shared" ref="F118:BC118" si="170">F111/F117</f>
        <v>#REF!</v>
      </c>
      <c r="G118" s="226" t="e">
        <f t="shared" si="170"/>
        <v>#REF!</v>
      </c>
      <c r="H118" s="226" t="e">
        <f t="shared" si="170"/>
        <v>#REF!</v>
      </c>
      <c r="I118" s="226" t="e">
        <f t="shared" si="170"/>
        <v>#REF!</v>
      </c>
      <c r="J118" s="226" t="e">
        <f t="shared" si="170"/>
        <v>#REF!</v>
      </c>
      <c r="K118" s="226" t="e">
        <f t="shared" si="170"/>
        <v>#REF!</v>
      </c>
      <c r="L118" s="226">
        <f t="shared" si="170"/>
        <v>0.91535270510772504</v>
      </c>
      <c r="M118" s="226">
        <f t="shared" si="170"/>
        <v>0</v>
      </c>
      <c r="N118" s="226">
        <f t="shared" si="170"/>
        <v>0</v>
      </c>
      <c r="O118" s="226">
        <f t="shared" si="170"/>
        <v>0</v>
      </c>
      <c r="P118" s="226">
        <f t="shared" si="170"/>
        <v>0</v>
      </c>
      <c r="Q118" s="226">
        <f t="shared" si="170"/>
        <v>0</v>
      </c>
      <c r="R118" s="226">
        <f t="shared" si="170"/>
        <v>0</v>
      </c>
      <c r="S118" s="226">
        <f t="shared" si="170"/>
        <v>0</v>
      </c>
      <c r="T118" s="226">
        <f t="shared" si="170"/>
        <v>0</v>
      </c>
      <c r="U118" s="226">
        <f t="shared" si="170"/>
        <v>0</v>
      </c>
      <c r="V118" s="226">
        <f t="shared" si="170"/>
        <v>0</v>
      </c>
      <c r="W118" s="226">
        <f t="shared" si="170"/>
        <v>0</v>
      </c>
      <c r="X118" s="226">
        <f t="shared" si="170"/>
        <v>0</v>
      </c>
      <c r="Y118" s="226" t="e">
        <f t="shared" si="170"/>
        <v>#DIV/0!</v>
      </c>
      <c r="Z118" s="226" t="e">
        <f t="shared" si="170"/>
        <v>#DIV/0!</v>
      </c>
      <c r="AA118" s="226" t="e">
        <f t="shared" si="170"/>
        <v>#DIV/0!</v>
      </c>
      <c r="AB118" s="226" t="e">
        <f t="shared" si="170"/>
        <v>#DIV/0!</v>
      </c>
      <c r="AC118" s="226" t="e">
        <f t="shared" si="170"/>
        <v>#DIV/0!</v>
      </c>
      <c r="AD118" s="226" t="e">
        <f t="shared" si="170"/>
        <v>#DIV/0!</v>
      </c>
      <c r="AE118" s="226" t="e">
        <f t="shared" si="170"/>
        <v>#DIV/0!</v>
      </c>
      <c r="AF118" s="226" t="e">
        <f t="shared" si="170"/>
        <v>#DIV/0!</v>
      </c>
      <c r="AG118" s="226" t="e">
        <f t="shared" si="170"/>
        <v>#DIV/0!</v>
      </c>
      <c r="AH118" s="226" t="e">
        <f t="shared" si="170"/>
        <v>#DIV/0!</v>
      </c>
      <c r="AI118" s="226" t="e">
        <f t="shared" si="170"/>
        <v>#DIV/0!</v>
      </c>
      <c r="AJ118" s="226" t="e">
        <f t="shared" si="170"/>
        <v>#DIV/0!</v>
      </c>
      <c r="AK118" s="226" t="e">
        <f t="shared" si="170"/>
        <v>#DIV/0!</v>
      </c>
      <c r="AL118" s="226" t="e">
        <f t="shared" si="170"/>
        <v>#DIV/0!</v>
      </c>
      <c r="AM118" s="226" t="e">
        <f t="shared" si="170"/>
        <v>#DIV/0!</v>
      </c>
      <c r="AN118" s="226" t="e">
        <f t="shared" si="170"/>
        <v>#DIV/0!</v>
      </c>
      <c r="AO118" s="226" t="e">
        <f t="shared" si="170"/>
        <v>#DIV/0!</v>
      </c>
      <c r="AP118" s="226" t="e">
        <f t="shared" si="170"/>
        <v>#DIV/0!</v>
      </c>
      <c r="AQ118" s="226" t="e">
        <f t="shared" si="170"/>
        <v>#DIV/0!</v>
      </c>
      <c r="AR118" s="226" t="e">
        <f t="shared" si="170"/>
        <v>#DIV/0!</v>
      </c>
      <c r="AS118" s="226" t="e">
        <f t="shared" si="170"/>
        <v>#DIV/0!</v>
      </c>
      <c r="AT118" s="226" t="e">
        <f t="shared" si="170"/>
        <v>#DIV/0!</v>
      </c>
      <c r="AU118" s="226" t="e">
        <f t="shared" si="170"/>
        <v>#DIV/0!</v>
      </c>
      <c r="AV118" s="226" t="e">
        <f t="shared" si="170"/>
        <v>#DIV/0!</v>
      </c>
      <c r="AW118" s="226" t="e">
        <f t="shared" si="170"/>
        <v>#DIV/0!</v>
      </c>
      <c r="AX118" s="226" t="e">
        <f t="shared" si="170"/>
        <v>#DIV/0!</v>
      </c>
      <c r="AY118" s="226" t="e">
        <f t="shared" si="170"/>
        <v>#DIV/0!</v>
      </c>
      <c r="AZ118" s="226" t="e">
        <f t="shared" si="170"/>
        <v>#DIV/0!</v>
      </c>
      <c r="BA118" s="226" t="e">
        <f t="shared" si="170"/>
        <v>#DIV/0!</v>
      </c>
      <c r="BB118" s="226" t="e">
        <f t="shared" si="170"/>
        <v>#DIV/0!</v>
      </c>
      <c r="BC118" s="226" t="e">
        <f t="shared" si="170"/>
        <v>#DIV/0!</v>
      </c>
    </row>
    <row r="119" spans="2:55">
      <c r="B119" t="s">
        <v>9</v>
      </c>
      <c r="C119" s="226">
        <f>C112/C117</f>
        <v>6.3338268476084217E-2</v>
      </c>
      <c r="D119" s="226" t="e">
        <f>D112/D117</f>
        <v>#REF!</v>
      </c>
      <c r="E119" s="226" t="e">
        <f>E112/E117</f>
        <v>#REF!</v>
      </c>
      <c r="F119" s="226" t="e">
        <f t="shared" ref="F119:BC119" si="171">F112/F117</f>
        <v>#REF!</v>
      </c>
      <c r="G119" s="226" t="e">
        <f t="shared" si="171"/>
        <v>#REF!</v>
      </c>
      <c r="H119" s="226" t="e">
        <f t="shared" si="171"/>
        <v>#REF!</v>
      </c>
      <c r="I119" s="226" t="e">
        <f t="shared" si="171"/>
        <v>#REF!</v>
      </c>
      <c r="J119" s="226" t="e">
        <f t="shared" si="171"/>
        <v>#REF!</v>
      </c>
      <c r="K119" s="226" t="e">
        <f t="shared" si="171"/>
        <v>#REF!</v>
      </c>
      <c r="L119" s="226">
        <f t="shared" si="171"/>
        <v>5.8664637818255462E-2</v>
      </c>
      <c r="M119" s="226">
        <f t="shared" si="171"/>
        <v>0.69304799276709395</v>
      </c>
      <c r="N119" s="226">
        <f t="shared" si="171"/>
        <v>0.69304799276709395</v>
      </c>
      <c r="O119" s="226">
        <f t="shared" si="171"/>
        <v>1</v>
      </c>
      <c r="P119" s="226">
        <f t="shared" si="171"/>
        <v>1</v>
      </c>
      <c r="Q119" s="226">
        <f t="shared" si="171"/>
        <v>1</v>
      </c>
      <c r="R119" s="226">
        <f t="shared" si="171"/>
        <v>1</v>
      </c>
      <c r="S119" s="226">
        <f t="shared" si="171"/>
        <v>1</v>
      </c>
      <c r="T119" s="226">
        <f t="shared" si="171"/>
        <v>1</v>
      </c>
      <c r="U119" s="226">
        <f t="shared" si="171"/>
        <v>1</v>
      </c>
      <c r="V119" s="226">
        <f t="shared" si="171"/>
        <v>1</v>
      </c>
      <c r="W119" s="226">
        <f t="shared" si="171"/>
        <v>1</v>
      </c>
      <c r="X119" s="226">
        <f t="shared" si="171"/>
        <v>1</v>
      </c>
      <c r="Y119" s="226" t="e">
        <f t="shared" si="171"/>
        <v>#DIV/0!</v>
      </c>
      <c r="Z119" s="226" t="e">
        <f t="shared" si="171"/>
        <v>#DIV/0!</v>
      </c>
      <c r="AA119" s="226" t="e">
        <f t="shared" si="171"/>
        <v>#DIV/0!</v>
      </c>
      <c r="AB119" s="226" t="e">
        <f t="shared" si="171"/>
        <v>#DIV/0!</v>
      </c>
      <c r="AC119" s="226" t="e">
        <f t="shared" si="171"/>
        <v>#DIV/0!</v>
      </c>
      <c r="AD119" s="226" t="e">
        <f t="shared" si="171"/>
        <v>#DIV/0!</v>
      </c>
      <c r="AE119" s="226" t="e">
        <f t="shared" si="171"/>
        <v>#DIV/0!</v>
      </c>
      <c r="AF119" s="226" t="e">
        <f t="shared" si="171"/>
        <v>#DIV/0!</v>
      </c>
      <c r="AG119" s="226" t="e">
        <f t="shared" si="171"/>
        <v>#DIV/0!</v>
      </c>
      <c r="AH119" s="226" t="e">
        <f t="shared" si="171"/>
        <v>#DIV/0!</v>
      </c>
      <c r="AI119" s="226" t="e">
        <f t="shared" si="171"/>
        <v>#DIV/0!</v>
      </c>
      <c r="AJ119" s="226" t="e">
        <f t="shared" si="171"/>
        <v>#DIV/0!</v>
      </c>
      <c r="AK119" s="226" t="e">
        <f t="shared" si="171"/>
        <v>#DIV/0!</v>
      </c>
      <c r="AL119" s="226" t="e">
        <f t="shared" si="171"/>
        <v>#DIV/0!</v>
      </c>
      <c r="AM119" s="226" t="e">
        <f t="shared" si="171"/>
        <v>#DIV/0!</v>
      </c>
      <c r="AN119" s="226" t="e">
        <f t="shared" si="171"/>
        <v>#DIV/0!</v>
      </c>
      <c r="AO119" s="226" t="e">
        <f t="shared" si="171"/>
        <v>#DIV/0!</v>
      </c>
      <c r="AP119" s="226" t="e">
        <f t="shared" si="171"/>
        <v>#DIV/0!</v>
      </c>
      <c r="AQ119" s="226" t="e">
        <f t="shared" si="171"/>
        <v>#DIV/0!</v>
      </c>
      <c r="AR119" s="226" t="e">
        <f t="shared" si="171"/>
        <v>#DIV/0!</v>
      </c>
      <c r="AS119" s="226" t="e">
        <f t="shared" si="171"/>
        <v>#DIV/0!</v>
      </c>
      <c r="AT119" s="226" t="e">
        <f t="shared" si="171"/>
        <v>#DIV/0!</v>
      </c>
      <c r="AU119" s="226" t="e">
        <f t="shared" si="171"/>
        <v>#DIV/0!</v>
      </c>
      <c r="AV119" s="226" t="e">
        <f t="shared" si="171"/>
        <v>#DIV/0!</v>
      </c>
      <c r="AW119" s="226" t="e">
        <f t="shared" si="171"/>
        <v>#DIV/0!</v>
      </c>
      <c r="AX119" s="226" t="e">
        <f t="shared" si="171"/>
        <v>#DIV/0!</v>
      </c>
      <c r="AY119" s="226" t="e">
        <f t="shared" si="171"/>
        <v>#DIV/0!</v>
      </c>
      <c r="AZ119" s="226" t="e">
        <f t="shared" si="171"/>
        <v>#DIV/0!</v>
      </c>
      <c r="BA119" s="226" t="e">
        <f t="shared" si="171"/>
        <v>#DIV/0!</v>
      </c>
      <c r="BB119" s="226" t="e">
        <f t="shared" si="171"/>
        <v>#DIV/0!</v>
      </c>
      <c r="BC119" s="226" t="e">
        <f t="shared" si="171"/>
        <v>#DIV/0!</v>
      </c>
    </row>
    <row r="120" spans="2:55">
      <c r="B120" t="s">
        <v>11</v>
      </c>
      <c r="C120" s="226">
        <f>C113/C117</f>
        <v>2.5796105807406672E-2</v>
      </c>
      <c r="D120" s="226" t="e">
        <f>D113/D117</f>
        <v>#REF!</v>
      </c>
      <c r="E120" s="226" t="e">
        <f>E113/E117</f>
        <v>#REF!</v>
      </c>
      <c r="F120" s="226" t="e">
        <f t="shared" ref="F120:BC120" si="172">F113/F117</f>
        <v>#REF!</v>
      </c>
      <c r="G120" s="226" t="e">
        <f t="shared" si="172"/>
        <v>#REF!</v>
      </c>
      <c r="H120" s="226" t="e">
        <f t="shared" si="172"/>
        <v>#REF!</v>
      </c>
      <c r="I120" s="226" t="e">
        <f t="shared" si="172"/>
        <v>#REF!</v>
      </c>
      <c r="J120" s="226" t="e">
        <f t="shared" si="172"/>
        <v>#REF!</v>
      </c>
      <c r="K120" s="226" t="e">
        <f t="shared" si="172"/>
        <v>#REF!</v>
      </c>
      <c r="L120" s="226">
        <f t="shared" si="172"/>
        <v>2.5982657074019522E-2</v>
      </c>
      <c r="M120" s="226">
        <f t="shared" si="172"/>
        <v>0.30695200723290605</v>
      </c>
      <c r="N120" s="226">
        <f t="shared" si="172"/>
        <v>0.30695200723290605</v>
      </c>
      <c r="O120" s="226">
        <f t="shared" si="172"/>
        <v>0</v>
      </c>
      <c r="P120" s="226">
        <f t="shared" si="172"/>
        <v>0</v>
      </c>
      <c r="Q120" s="226">
        <f t="shared" si="172"/>
        <v>0</v>
      </c>
      <c r="R120" s="226">
        <f t="shared" si="172"/>
        <v>0</v>
      </c>
      <c r="S120" s="226">
        <f t="shared" si="172"/>
        <v>0</v>
      </c>
      <c r="T120" s="226">
        <f t="shared" si="172"/>
        <v>0</v>
      </c>
      <c r="U120" s="226">
        <f t="shared" si="172"/>
        <v>0</v>
      </c>
      <c r="V120" s="226">
        <f t="shared" si="172"/>
        <v>0</v>
      </c>
      <c r="W120" s="226">
        <f t="shared" si="172"/>
        <v>0</v>
      </c>
      <c r="X120" s="226">
        <f t="shared" si="172"/>
        <v>0</v>
      </c>
      <c r="Y120" s="226" t="e">
        <f t="shared" si="172"/>
        <v>#DIV/0!</v>
      </c>
      <c r="Z120" s="226" t="e">
        <f t="shared" si="172"/>
        <v>#DIV/0!</v>
      </c>
      <c r="AA120" s="226" t="e">
        <f t="shared" si="172"/>
        <v>#DIV/0!</v>
      </c>
      <c r="AB120" s="226" t="e">
        <f t="shared" si="172"/>
        <v>#DIV/0!</v>
      </c>
      <c r="AC120" s="226" t="e">
        <f t="shared" si="172"/>
        <v>#DIV/0!</v>
      </c>
      <c r="AD120" s="226" t="e">
        <f t="shared" si="172"/>
        <v>#DIV/0!</v>
      </c>
      <c r="AE120" s="226" t="e">
        <f t="shared" si="172"/>
        <v>#DIV/0!</v>
      </c>
      <c r="AF120" s="226" t="e">
        <f t="shared" si="172"/>
        <v>#DIV/0!</v>
      </c>
      <c r="AG120" s="226" t="e">
        <f t="shared" si="172"/>
        <v>#DIV/0!</v>
      </c>
      <c r="AH120" s="226" t="e">
        <f t="shared" si="172"/>
        <v>#DIV/0!</v>
      </c>
      <c r="AI120" s="226" t="e">
        <f t="shared" si="172"/>
        <v>#DIV/0!</v>
      </c>
      <c r="AJ120" s="226" t="e">
        <f t="shared" si="172"/>
        <v>#DIV/0!</v>
      </c>
      <c r="AK120" s="226" t="e">
        <f t="shared" si="172"/>
        <v>#DIV/0!</v>
      </c>
      <c r="AL120" s="226" t="e">
        <f t="shared" si="172"/>
        <v>#DIV/0!</v>
      </c>
      <c r="AM120" s="226" t="e">
        <f t="shared" si="172"/>
        <v>#DIV/0!</v>
      </c>
      <c r="AN120" s="226" t="e">
        <f t="shared" si="172"/>
        <v>#DIV/0!</v>
      </c>
      <c r="AO120" s="226" t="e">
        <f t="shared" si="172"/>
        <v>#DIV/0!</v>
      </c>
      <c r="AP120" s="226" t="e">
        <f t="shared" si="172"/>
        <v>#DIV/0!</v>
      </c>
      <c r="AQ120" s="226" t="e">
        <f t="shared" si="172"/>
        <v>#DIV/0!</v>
      </c>
      <c r="AR120" s="226" t="e">
        <f t="shared" si="172"/>
        <v>#DIV/0!</v>
      </c>
      <c r="AS120" s="226" t="e">
        <f t="shared" si="172"/>
        <v>#DIV/0!</v>
      </c>
      <c r="AT120" s="226" t="e">
        <f t="shared" si="172"/>
        <v>#DIV/0!</v>
      </c>
      <c r="AU120" s="226" t="e">
        <f t="shared" si="172"/>
        <v>#DIV/0!</v>
      </c>
      <c r="AV120" s="226" t="e">
        <f t="shared" si="172"/>
        <v>#DIV/0!</v>
      </c>
      <c r="AW120" s="226" t="e">
        <f t="shared" si="172"/>
        <v>#DIV/0!</v>
      </c>
      <c r="AX120" s="226" t="e">
        <f t="shared" si="172"/>
        <v>#DIV/0!</v>
      </c>
      <c r="AY120" s="226" t="e">
        <f t="shared" si="172"/>
        <v>#DIV/0!</v>
      </c>
      <c r="AZ120" s="226" t="e">
        <f t="shared" si="172"/>
        <v>#DIV/0!</v>
      </c>
      <c r="BA120" s="226" t="e">
        <f t="shared" si="172"/>
        <v>#DIV/0!</v>
      </c>
      <c r="BB120" s="226" t="e">
        <f t="shared" si="172"/>
        <v>#DIV/0!</v>
      </c>
      <c r="BC120" s="226" t="e">
        <f t="shared" si="172"/>
        <v>#DIV/0!</v>
      </c>
    </row>
    <row r="121" spans="2:55">
      <c r="B121" t="s">
        <v>32</v>
      </c>
      <c r="C121" s="226">
        <f>C114/C117</f>
        <v>1.5351624235343466E-2</v>
      </c>
      <c r="D121" s="226" t="e">
        <f>D114/D117</f>
        <v>#REF!</v>
      </c>
      <c r="E121" s="226" t="e">
        <f>E114/E117</f>
        <v>#REF!</v>
      </c>
      <c r="F121" s="226" t="e">
        <f t="shared" ref="F121:BC121" si="173">F114/F117</f>
        <v>#REF!</v>
      </c>
      <c r="G121" s="226" t="e">
        <f t="shared" si="173"/>
        <v>#REF!</v>
      </c>
      <c r="H121" s="226" t="e">
        <f t="shared" si="173"/>
        <v>#REF!</v>
      </c>
      <c r="I121" s="226" t="e">
        <f t="shared" si="173"/>
        <v>#REF!</v>
      </c>
      <c r="J121" s="226" t="e">
        <f t="shared" si="173"/>
        <v>#REF!</v>
      </c>
      <c r="K121" s="226" t="e">
        <f t="shared" si="173"/>
        <v>#REF!</v>
      </c>
      <c r="L121" s="226">
        <f t="shared" si="173"/>
        <v>0</v>
      </c>
      <c r="M121" s="226">
        <f t="shared" si="173"/>
        <v>0</v>
      </c>
      <c r="N121" s="226">
        <f t="shared" si="173"/>
        <v>0</v>
      </c>
      <c r="O121" s="226">
        <f t="shared" si="173"/>
        <v>0</v>
      </c>
      <c r="P121" s="226">
        <f t="shared" si="173"/>
        <v>0</v>
      </c>
      <c r="Q121" s="226">
        <f t="shared" si="173"/>
        <v>0</v>
      </c>
      <c r="R121" s="226">
        <f t="shared" si="173"/>
        <v>0</v>
      </c>
      <c r="S121" s="226">
        <f t="shared" si="173"/>
        <v>0</v>
      </c>
      <c r="T121" s="226">
        <f t="shared" si="173"/>
        <v>0</v>
      </c>
      <c r="U121" s="226">
        <f t="shared" si="173"/>
        <v>0</v>
      </c>
      <c r="V121" s="226">
        <f t="shared" si="173"/>
        <v>0</v>
      </c>
      <c r="W121" s="226">
        <f t="shared" si="173"/>
        <v>0</v>
      </c>
      <c r="X121" s="226">
        <f t="shared" si="173"/>
        <v>0</v>
      </c>
      <c r="Y121" s="226" t="e">
        <f t="shared" si="173"/>
        <v>#DIV/0!</v>
      </c>
      <c r="Z121" s="226" t="e">
        <f t="shared" si="173"/>
        <v>#DIV/0!</v>
      </c>
      <c r="AA121" s="226" t="e">
        <f t="shared" si="173"/>
        <v>#DIV/0!</v>
      </c>
      <c r="AB121" s="226" t="e">
        <f t="shared" si="173"/>
        <v>#DIV/0!</v>
      </c>
      <c r="AC121" s="226" t="e">
        <f t="shared" si="173"/>
        <v>#DIV/0!</v>
      </c>
      <c r="AD121" s="226" t="e">
        <f t="shared" si="173"/>
        <v>#DIV/0!</v>
      </c>
      <c r="AE121" s="226" t="e">
        <f t="shared" si="173"/>
        <v>#DIV/0!</v>
      </c>
      <c r="AF121" s="226" t="e">
        <f t="shared" si="173"/>
        <v>#DIV/0!</v>
      </c>
      <c r="AG121" s="226" t="e">
        <f t="shared" si="173"/>
        <v>#DIV/0!</v>
      </c>
      <c r="AH121" s="226" t="e">
        <f t="shared" si="173"/>
        <v>#DIV/0!</v>
      </c>
      <c r="AI121" s="226" t="e">
        <f t="shared" si="173"/>
        <v>#DIV/0!</v>
      </c>
      <c r="AJ121" s="226" t="e">
        <f t="shared" si="173"/>
        <v>#DIV/0!</v>
      </c>
      <c r="AK121" s="226" t="e">
        <f t="shared" si="173"/>
        <v>#DIV/0!</v>
      </c>
      <c r="AL121" s="226" t="e">
        <f t="shared" si="173"/>
        <v>#DIV/0!</v>
      </c>
      <c r="AM121" s="226" t="e">
        <f t="shared" si="173"/>
        <v>#DIV/0!</v>
      </c>
      <c r="AN121" s="226" t="e">
        <f t="shared" si="173"/>
        <v>#DIV/0!</v>
      </c>
      <c r="AO121" s="226" t="e">
        <f t="shared" si="173"/>
        <v>#DIV/0!</v>
      </c>
      <c r="AP121" s="226" t="e">
        <f t="shared" si="173"/>
        <v>#DIV/0!</v>
      </c>
      <c r="AQ121" s="226" t="e">
        <f t="shared" si="173"/>
        <v>#DIV/0!</v>
      </c>
      <c r="AR121" s="226" t="e">
        <f t="shared" si="173"/>
        <v>#DIV/0!</v>
      </c>
      <c r="AS121" s="226" t="e">
        <f t="shared" si="173"/>
        <v>#DIV/0!</v>
      </c>
      <c r="AT121" s="226" t="e">
        <f t="shared" si="173"/>
        <v>#DIV/0!</v>
      </c>
      <c r="AU121" s="226" t="e">
        <f t="shared" si="173"/>
        <v>#DIV/0!</v>
      </c>
      <c r="AV121" s="226" t="e">
        <f t="shared" si="173"/>
        <v>#DIV/0!</v>
      </c>
      <c r="AW121" s="226" t="e">
        <f t="shared" si="173"/>
        <v>#DIV/0!</v>
      </c>
      <c r="AX121" s="226" t="e">
        <f t="shared" si="173"/>
        <v>#DIV/0!</v>
      </c>
      <c r="AY121" s="226" t="e">
        <f t="shared" si="173"/>
        <v>#DIV/0!</v>
      </c>
      <c r="AZ121" s="226" t="e">
        <f t="shared" si="173"/>
        <v>#DIV/0!</v>
      </c>
      <c r="BA121" s="226" t="e">
        <f t="shared" si="173"/>
        <v>#DIV/0!</v>
      </c>
      <c r="BB121" s="226" t="e">
        <f t="shared" si="173"/>
        <v>#DIV/0!</v>
      </c>
      <c r="BC121" s="226" t="e">
        <f t="shared" si="173"/>
        <v>#DIV/0!</v>
      </c>
    </row>
    <row r="122" spans="2:55">
      <c r="B122" t="s">
        <v>60</v>
      </c>
      <c r="C122" s="226">
        <f>C115/C117</f>
        <v>9.1888318536989377E-3</v>
      </c>
      <c r="D122" s="226" t="e">
        <f>D115/D117</f>
        <v>#REF!</v>
      </c>
      <c r="E122" s="226" t="e">
        <f>E115/E117</f>
        <v>#REF!</v>
      </c>
      <c r="F122" s="226" t="e">
        <f t="shared" ref="F122:BC122" si="174">F115/F117</f>
        <v>#REF!</v>
      </c>
      <c r="G122" s="226" t="e">
        <f t="shared" si="174"/>
        <v>#REF!</v>
      </c>
      <c r="H122" s="226" t="e">
        <f t="shared" si="174"/>
        <v>#REF!</v>
      </c>
      <c r="I122" s="226" t="e">
        <f t="shared" si="174"/>
        <v>#REF!</v>
      </c>
      <c r="J122" s="226" t="e">
        <f t="shared" si="174"/>
        <v>#REF!</v>
      </c>
      <c r="K122" s="226" t="e">
        <f t="shared" si="174"/>
        <v>#REF!</v>
      </c>
      <c r="L122" s="226">
        <f t="shared" si="174"/>
        <v>0</v>
      </c>
      <c r="M122" s="226">
        <f t="shared" si="174"/>
        <v>0</v>
      </c>
      <c r="N122" s="226">
        <f t="shared" si="174"/>
        <v>0</v>
      </c>
      <c r="O122" s="226">
        <f t="shared" si="174"/>
        <v>0</v>
      </c>
      <c r="P122" s="226">
        <f t="shared" si="174"/>
        <v>0</v>
      </c>
      <c r="Q122" s="226">
        <f t="shared" si="174"/>
        <v>0</v>
      </c>
      <c r="R122" s="226">
        <f t="shared" si="174"/>
        <v>0</v>
      </c>
      <c r="S122" s="226">
        <f t="shared" si="174"/>
        <v>0</v>
      </c>
      <c r="T122" s="226">
        <f t="shared" si="174"/>
        <v>0</v>
      </c>
      <c r="U122" s="226">
        <f t="shared" si="174"/>
        <v>0</v>
      </c>
      <c r="V122" s="226">
        <f t="shared" si="174"/>
        <v>0</v>
      </c>
      <c r="W122" s="226">
        <f t="shared" si="174"/>
        <v>0</v>
      </c>
      <c r="X122" s="226">
        <f t="shared" si="174"/>
        <v>0</v>
      </c>
      <c r="Y122" s="226" t="e">
        <f t="shared" si="174"/>
        <v>#DIV/0!</v>
      </c>
      <c r="Z122" s="226" t="e">
        <f t="shared" si="174"/>
        <v>#DIV/0!</v>
      </c>
      <c r="AA122" s="226" t="e">
        <f t="shared" si="174"/>
        <v>#DIV/0!</v>
      </c>
      <c r="AB122" s="226" t="e">
        <f t="shared" si="174"/>
        <v>#DIV/0!</v>
      </c>
      <c r="AC122" s="226" t="e">
        <f t="shared" si="174"/>
        <v>#DIV/0!</v>
      </c>
      <c r="AD122" s="226" t="e">
        <f t="shared" si="174"/>
        <v>#DIV/0!</v>
      </c>
      <c r="AE122" s="226" t="e">
        <f t="shared" si="174"/>
        <v>#DIV/0!</v>
      </c>
      <c r="AF122" s="226" t="e">
        <f t="shared" si="174"/>
        <v>#DIV/0!</v>
      </c>
      <c r="AG122" s="226" t="e">
        <f t="shared" si="174"/>
        <v>#DIV/0!</v>
      </c>
      <c r="AH122" s="226" t="e">
        <f t="shared" si="174"/>
        <v>#DIV/0!</v>
      </c>
      <c r="AI122" s="226" t="e">
        <f t="shared" si="174"/>
        <v>#DIV/0!</v>
      </c>
      <c r="AJ122" s="226" t="e">
        <f t="shared" si="174"/>
        <v>#DIV/0!</v>
      </c>
      <c r="AK122" s="226" t="e">
        <f t="shared" si="174"/>
        <v>#DIV/0!</v>
      </c>
      <c r="AL122" s="226" t="e">
        <f t="shared" si="174"/>
        <v>#DIV/0!</v>
      </c>
      <c r="AM122" s="226" t="e">
        <f t="shared" si="174"/>
        <v>#DIV/0!</v>
      </c>
      <c r="AN122" s="226" t="e">
        <f t="shared" si="174"/>
        <v>#DIV/0!</v>
      </c>
      <c r="AO122" s="226" t="e">
        <f t="shared" si="174"/>
        <v>#DIV/0!</v>
      </c>
      <c r="AP122" s="226" t="e">
        <f t="shared" si="174"/>
        <v>#DIV/0!</v>
      </c>
      <c r="AQ122" s="226" t="e">
        <f t="shared" si="174"/>
        <v>#DIV/0!</v>
      </c>
      <c r="AR122" s="226" t="e">
        <f t="shared" si="174"/>
        <v>#DIV/0!</v>
      </c>
      <c r="AS122" s="226" t="e">
        <f t="shared" si="174"/>
        <v>#DIV/0!</v>
      </c>
      <c r="AT122" s="226" t="e">
        <f t="shared" si="174"/>
        <v>#DIV/0!</v>
      </c>
      <c r="AU122" s="226" t="e">
        <f t="shared" si="174"/>
        <v>#DIV/0!</v>
      </c>
      <c r="AV122" s="226" t="e">
        <f t="shared" si="174"/>
        <v>#DIV/0!</v>
      </c>
      <c r="AW122" s="226" t="e">
        <f t="shared" si="174"/>
        <v>#DIV/0!</v>
      </c>
      <c r="AX122" s="226" t="e">
        <f t="shared" si="174"/>
        <v>#DIV/0!</v>
      </c>
      <c r="AY122" s="226" t="e">
        <f t="shared" si="174"/>
        <v>#DIV/0!</v>
      </c>
      <c r="AZ122" s="226" t="e">
        <f t="shared" si="174"/>
        <v>#DIV/0!</v>
      </c>
      <c r="BA122" s="226" t="e">
        <f t="shared" si="174"/>
        <v>#DIV/0!</v>
      </c>
      <c r="BB122" s="226" t="e">
        <f t="shared" si="174"/>
        <v>#DIV/0!</v>
      </c>
      <c r="BC122" s="226" t="e">
        <f t="shared" si="174"/>
        <v>#DIV/0!</v>
      </c>
    </row>
    <row r="123" spans="2:55">
      <c r="B123" t="s">
        <v>19</v>
      </c>
      <c r="C123" s="226">
        <f>C116/C117</f>
        <v>0</v>
      </c>
      <c r="D123" s="226" t="e">
        <f>D116/D117</f>
        <v>#REF!</v>
      </c>
      <c r="E123" s="226" t="e">
        <f>E116/E117</f>
        <v>#REF!</v>
      </c>
      <c r="F123" s="226" t="e">
        <f t="shared" ref="F123:BC123" si="175">F116/F117</f>
        <v>#REF!</v>
      </c>
      <c r="G123" s="226" t="e">
        <f t="shared" si="175"/>
        <v>#REF!</v>
      </c>
      <c r="H123" s="226" t="e">
        <f t="shared" si="175"/>
        <v>#REF!</v>
      </c>
      <c r="I123" s="226" t="e">
        <f t="shared" si="175"/>
        <v>#REF!</v>
      </c>
      <c r="J123" s="226" t="e">
        <f t="shared" si="175"/>
        <v>#REF!</v>
      </c>
      <c r="K123" s="226" t="e">
        <f t="shared" si="175"/>
        <v>#REF!</v>
      </c>
      <c r="L123" s="226">
        <f t="shared" si="175"/>
        <v>0</v>
      </c>
      <c r="M123" s="226">
        <f t="shared" si="175"/>
        <v>0</v>
      </c>
      <c r="N123" s="226">
        <f t="shared" si="175"/>
        <v>0</v>
      </c>
      <c r="O123" s="226">
        <f t="shared" si="175"/>
        <v>0</v>
      </c>
      <c r="P123" s="226">
        <f t="shared" si="175"/>
        <v>0</v>
      </c>
      <c r="Q123" s="226">
        <f t="shared" si="175"/>
        <v>0</v>
      </c>
      <c r="R123" s="226">
        <f t="shared" si="175"/>
        <v>0</v>
      </c>
      <c r="S123" s="226">
        <f t="shared" si="175"/>
        <v>0</v>
      </c>
      <c r="T123" s="226">
        <f t="shared" si="175"/>
        <v>0</v>
      </c>
      <c r="U123" s="226">
        <f t="shared" si="175"/>
        <v>0</v>
      </c>
      <c r="V123" s="226">
        <f t="shared" si="175"/>
        <v>0</v>
      </c>
      <c r="W123" s="226">
        <f t="shared" si="175"/>
        <v>0</v>
      </c>
      <c r="X123" s="226">
        <f t="shared" si="175"/>
        <v>0</v>
      </c>
      <c r="Y123" s="226" t="e">
        <f t="shared" si="175"/>
        <v>#DIV/0!</v>
      </c>
      <c r="Z123" s="226" t="e">
        <f t="shared" si="175"/>
        <v>#DIV/0!</v>
      </c>
      <c r="AA123" s="226" t="e">
        <f t="shared" si="175"/>
        <v>#DIV/0!</v>
      </c>
      <c r="AB123" s="226" t="e">
        <f t="shared" si="175"/>
        <v>#DIV/0!</v>
      </c>
      <c r="AC123" s="226" t="e">
        <f t="shared" si="175"/>
        <v>#DIV/0!</v>
      </c>
      <c r="AD123" s="226" t="e">
        <f t="shared" si="175"/>
        <v>#DIV/0!</v>
      </c>
      <c r="AE123" s="226" t="e">
        <f t="shared" si="175"/>
        <v>#DIV/0!</v>
      </c>
      <c r="AF123" s="226" t="e">
        <f t="shared" si="175"/>
        <v>#DIV/0!</v>
      </c>
      <c r="AG123" s="226" t="e">
        <f t="shared" si="175"/>
        <v>#DIV/0!</v>
      </c>
      <c r="AH123" s="226" t="e">
        <f t="shared" si="175"/>
        <v>#DIV/0!</v>
      </c>
      <c r="AI123" s="226" t="e">
        <f t="shared" si="175"/>
        <v>#DIV/0!</v>
      </c>
      <c r="AJ123" s="226" t="e">
        <f t="shared" si="175"/>
        <v>#DIV/0!</v>
      </c>
      <c r="AK123" s="226" t="e">
        <f t="shared" si="175"/>
        <v>#DIV/0!</v>
      </c>
      <c r="AL123" s="226" t="e">
        <f t="shared" si="175"/>
        <v>#DIV/0!</v>
      </c>
      <c r="AM123" s="226" t="e">
        <f t="shared" si="175"/>
        <v>#DIV/0!</v>
      </c>
      <c r="AN123" s="226" t="e">
        <f t="shared" si="175"/>
        <v>#DIV/0!</v>
      </c>
      <c r="AO123" s="226" t="e">
        <f t="shared" si="175"/>
        <v>#DIV/0!</v>
      </c>
      <c r="AP123" s="226" t="e">
        <f t="shared" si="175"/>
        <v>#DIV/0!</v>
      </c>
      <c r="AQ123" s="226" t="e">
        <f t="shared" si="175"/>
        <v>#DIV/0!</v>
      </c>
      <c r="AR123" s="226" t="e">
        <f t="shared" si="175"/>
        <v>#DIV/0!</v>
      </c>
      <c r="AS123" s="226" t="e">
        <f t="shared" si="175"/>
        <v>#DIV/0!</v>
      </c>
      <c r="AT123" s="226" t="e">
        <f t="shared" si="175"/>
        <v>#DIV/0!</v>
      </c>
      <c r="AU123" s="226" t="e">
        <f t="shared" si="175"/>
        <v>#DIV/0!</v>
      </c>
      <c r="AV123" s="226" t="e">
        <f t="shared" si="175"/>
        <v>#DIV/0!</v>
      </c>
      <c r="AW123" s="226" t="e">
        <f t="shared" si="175"/>
        <v>#DIV/0!</v>
      </c>
      <c r="AX123" s="226" t="e">
        <f t="shared" si="175"/>
        <v>#DIV/0!</v>
      </c>
      <c r="AY123" s="226" t="e">
        <f t="shared" si="175"/>
        <v>#DIV/0!</v>
      </c>
      <c r="AZ123" s="226" t="e">
        <f t="shared" si="175"/>
        <v>#DIV/0!</v>
      </c>
      <c r="BA123" s="226" t="e">
        <f t="shared" si="175"/>
        <v>#DIV/0!</v>
      </c>
      <c r="BB123" s="226" t="e">
        <f t="shared" si="175"/>
        <v>#DIV/0!</v>
      </c>
      <c r="BC123" s="226" t="e">
        <f t="shared" si="175"/>
        <v>#DIV/0!</v>
      </c>
    </row>
    <row r="130" spans="2:5">
      <c r="B130" s="13" t="s">
        <v>4987</v>
      </c>
      <c r="C130" s="11"/>
      <c r="D130" s="11" t="s">
        <v>4906</v>
      </c>
      <c r="E130" s="11" t="s">
        <v>4907</v>
      </c>
    </row>
    <row r="131" spans="2:5">
      <c r="B131" s="9" t="str">
        <f>'General overview'!J6</f>
        <v>Wedding</v>
      </c>
      <c r="C131" s="140">
        <f>'General overview'!J9</f>
        <v>30</v>
      </c>
      <c r="D131" s="140">
        <v>0</v>
      </c>
      <c r="E131" s="512">
        <f ca="1">MAX($C$13:$BC$13)+50000</f>
        <v>486229.94723872567</v>
      </c>
    </row>
    <row r="132" spans="2:5">
      <c r="B132" s="9" t="str">
        <f>'General overview'!L6</f>
        <v xml:space="preserve">Watch </v>
      </c>
      <c r="C132" s="140">
        <f>'General overview'!L9</f>
        <v>31</v>
      </c>
      <c r="D132" s="140">
        <v>0</v>
      </c>
      <c r="E132" s="512">
        <f t="shared" ref="E132:E137" ca="1" si="176">MAX($C$13:$BC$13)+50000</f>
        <v>486229.94723872567</v>
      </c>
    </row>
    <row r="133" spans="2:5">
      <c r="B133" s="9" t="str">
        <f>'General overview'!N6</f>
        <v>Children</v>
      </c>
      <c r="C133" s="140">
        <f>'General overview'!N9</f>
        <v>32</v>
      </c>
      <c r="D133" s="140">
        <v>0</v>
      </c>
      <c r="E133" s="512">
        <f t="shared" ca="1" si="176"/>
        <v>486229.94723872567</v>
      </c>
    </row>
    <row r="134" spans="2:5">
      <c r="B134" s="9" t="str">
        <f>'General overview'!P6</f>
        <v>House</v>
      </c>
      <c r="C134" s="140">
        <f>'General overview'!P9</f>
        <v>38</v>
      </c>
      <c r="D134" s="140">
        <v>0</v>
      </c>
      <c r="E134" s="512">
        <f t="shared" ca="1" si="176"/>
        <v>486229.94723872567</v>
      </c>
    </row>
    <row r="135" spans="2:5">
      <c r="B135" s="9" t="str">
        <f>'General overview'!R6</f>
        <v xml:space="preserve">Special travel </v>
      </c>
      <c r="C135" s="140">
        <f>'General overview'!R9</f>
        <v>40</v>
      </c>
      <c r="D135" s="140">
        <v>0</v>
      </c>
      <c r="E135" s="512">
        <f t="shared" ca="1" si="176"/>
        <v>486229.94723872567</v>
      </c>
    </row>
    <row r="136" spans="2:5">
      <c r="B136" s="9" t="str">
        <f>'General overview'!T6</f>
        <v>Car</v>
      </c>
      <c r="C136" s="140">
        <f>'General overview'!T9</f>
        <v>50</v>
      </c>
      <c r="D136" s="140">
        <v>0</v>
      </c>
      <c r="E136" s="512">
        <f t="shared" ca="1" si="176"/>
        <v>486229.94723872567</v>
      </c>
    </row>
    <row r="137" spans="2:5">
      <c r="B137" s="9" t="str">
        <f>'General overview'!V6</f>
        <v>Pension</v>
      </c>
      <c r="C137" s="140">
        <f>'General overview'!V9</f>
        <v>65</v>
      </c>
      <c r="D137" s="140">
        <v>0</v>
      </c>
      <c r="E137" s="512">
        <f t="shared" ca="1" si="176"/>
        <v>486229.94723872567</v>
      </c>
    </row>
    <row r="197" spans="2:3">
      <c r="B197" s="18"/>
      <c r="C197" s="18"/>
    </row>
    <row r="198" spans="2:3">
      <c r="B198" s="19"/>
      <c r="C198" s="19"/>
    </row>
    <row r="199" spans="2:3">
      <c r="B199" s="19"/>
      <c r="C199" s="19"/>
    </row>
    <row r="200" spans="2:3">
      <c r="B200" s="19"/>
      <c r="C200" s="19"/>
    </row>
    <row r="201" spans="2:3">
      <c r="B201" s="19"/>
      <c r="C201" s="19"/>
    </row>
    <row r="202" spans="2:3">
      <c r="B202" s="19"/>
      <c r="C202" s="19"/>
    </row>
    <row r="203" spans="2:3">
      <c r="B203" s="19"/>
      <c r="C203" s="19"/>
    </row>
    <row r="204" spans="2:3">
      <c r="B204" s="19"/>
      <c r="C204" s="19"/>
    </row>
    <row r="205" spans="2:3">
      <c r="B205" s="19"/>
      <c r="C205" s="19"/>
    </row>
    <row r="206" spans="2:3">
      <c r="B206" s="19"/>
      <c r="C206" s="19"/>
    </row>
    <row r="207" spans="2:3">
      <c r="B207" s="19"/>
      <c r="C207" s="19"/>
    </row>
    <row r="208" spans="2:3">
      <c r="B208" s="19"/>
      <c r="C208" s="19"/>
    </row>
    <row r="209" spans="2:3">
      <c r="B209" s="19"/>
      <c r="C209" s="19"/>
    </row>
    <row r="210" spans="2:3">
      <c r="B210" s="19"/>
      <c r="C210" s="19"/>
    </row>
    <row r="211" spans="2:3">
      <c r="B211" s="19"/>
      <c r="C211" s="19"/>
    </row>
    <row r="212" spans="2:3">
      <c r="B212" s="19"/>
      <c r="C212" s="19"/>
    </row>
    <row r="213" spans="2:3">
      <c r="B213" s="19"/>
      <c r="C213" s="19"/>
    </row>
    <row r="214" spans="2:3">
      <c r="B214" s="19"/>
      <c r="C214" s="19"/>
    </row>
    <row r="215" spans="2:3">
      <c r="B215" s="19"/>
      <c r="C215" s="19"/>
    </row>
    <row r="216" spans="2:3">
      <c r="B216" s="19"/>
      <c r="C216" s="19"/>
    </row>
    <row r="217" spans="2:3">
      <c r="B217" s="19"/>
      <c r="C217" s="19"/>
    </row>
    <row r="218" spans="2:3">
      <c r="B218" s="19"/>
      <c r="C218" s="19"/>
    </row>
    <row r="219" spans="2:3">
      <c r="B219" s="19"/>
      <c r="C219" s="19"/>
    </row>
    <row r="220" spans="2:3">
      <c r="B220" s="19"/>
      <c r="C220" s="19"/>
    </row>
    <row r="221" spans="2:3">
      <c r="B221" s="19"/>
      <c r="C221" s="19"/>
    </row>
    <row r="222" spans="2:3">
      <c r="B222" s="19"/>
      <c r="C222" s="19"/>
    </row>
    <row r="223" spans="2:3">
      <c r="B223" s="19"/>
      <c r="C223" s="19"/>
    </row>
    <row r="224" spans="2:3">
      <c r="B224" s="19"/>
      <c r="C224" s="19"/>
    </row>
    <row r="225" spans="2:3">
      <c r="B225" s="19"/>
      <c r="C225" s="19"/>
    </row>
    <row r="226" spans="2:3">
      <c r="B226" s="19"/>
      <c r="C226" s="19"/>
    </row>
    <row r="227" spans="2:3">
      <c r="B227" s="19"/>
      <c r="C227" s="19"/>
    </row>
    <row r="228" spans="2:3">
      <c r="B228" s="19"/>
      <c r="C228" s="19"/>
    </row>
    <row r="229" spans="2:3">
      <c r="B229" s="19"/>
      <c r="C229" s="19"/>
    </row>
    <row r="230" spans="2:3">
      <c r="B230" s="19"/>
      <c r="C230" s="19"/>
    </row>
    <row r="231" spans="2:3">
      <c r="B231" s="19"/>
      <c r="C231" s="19"/>
    </row>
    <row r="232" spans="2:3">
      <c r="B232" s="19"/>
      <c r="C232" s="19"/>
    </row>
    <row r="233" spans="2:3">
      <c r="B233" s="19"/>
      <c r="C233" s="19"/>
    </row>
    <row r="234" spans="2:3">
      <c r="B234" s="19"/>
      <c r="C234" s="19"/>
    </row>
    <row r="235" spans="2:3">
      <c r="B235" s="19"/>
      <c r="C235" s="19"/>
    </row>
    <row r="236" spans="2:3">
      <c r="B236" s="19"/>
      <c r="C236" s="19"/>
    </row>
    <row r="237" spans="2:3">
      <c r="B237" s="19"/>
      <c r="C237" s="19"/>
    </row>
    <row r="238" spans="2:3">
      <c r="B238" s="19"/>
      <c r="C238" s="19"/>
    </row>
    <row r="239" spans="2:3">
      <c r="B239" s="19"/>
      <c r="C239" s="19"/>
    </row>
    <row r="240" spans="2:3">
      <c r="B240" s="19"/>
      <c r="C240" s="19"/>
    </row>
    <row r="241" spans="2:3">
      <c r="B241" s="19"/>
      <c r="C241" s="19"/>
    </row>
    <row r="242" spans="2:3">
      <c r="B242" s="19"/>
      <c r="C242" s="19"/>
    </row>
    <row r="243" spans="2:3">
      <c r="B243" s="19"/>
      <c r="C243" s="19"/>
    </row>
    <row r="244" spans="2:3">
      <c r="B244" s="19"/>
      <c r="C244" s="19"/>
    </row>
    <row r="245" spans="2:3">
      <c r="B245" s="19"/>
      <c r="C245" s="19"/>
    </row>
    <row r="246" spans="2:3">
      <c r="B246" s="19"/>
      <c r="C246" s="19"/>
    </row>
    <row r="247" spans="2:3">
      <c r="B247" s="19"/>
      <c r="C247" s="19"/>
    </row>
    <row r="248" spans="2:3">
      <c r="B248" s="19"/>
      <c r="C248" s="19"/>
    </row>
  </sheetData>
  <phoneticPr fontId="7" type="noConversion"/>
  <conditionalFormatting sqref="C26:BC29">
    <cfRule type="cellIs" dxfId="0" priority="2" operator="lessThan">
      <formula>0</formula>
    </cfRule>
  </conditionalFormatting>
  <conditionalFormatting sqref="C40:BC40">
    <cfRule type="dataBar" priority="1">
      <dataBar>
        <cfvo type="min"/>
        <cfvo type="max"/>
        <color theme="1"/>
      </dataBar>
      <extLst>
        <ext xmlns:x14="http://schemas.microsoft.com/office/spreadsheetml/2009/9/main" uri="{B025F937-C7B1-47D3-B67F-A62EFF666E3E}">
          <x14:id>{76614FD3-5ADF-2546-BF78-BA5D3E90650B}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14FD3-5ADF-2546-BF78-BA5D3E90650B}">
            <x14:dataBar minLength="0" maxLength="100" gradient="0">
              <x14:cfvo type="autoMin"/>
              <x14:cfvo type="autoMax"/>
              <x14:negativeFillColor theme="1"/>
              <x14:axisColor rgb="FF000000"/>
            </x14:dataBar>
          </x14:cfRule>
          <xm:sqref>C40:BC40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E569-FC17-2F47-A791-67168F8F7B4E}">
  <sheetPr>
    <tabColor rgb="FF00B0F0"/>
  </sheetPr>
  <dimension ref="B2:X155"/>
  <sheetViews>
    <sheetView topLeftCell="E53" zoomScale="150" zoomScaleNormal="120" workbookViewId="0">
      <selection activeCell="C14" sqref="C14"/>
    </sheetView>
  </sheetViews>
  <sheetFormatPr baseColWidth="10" defaultColWidth="11" defaultRowHeight="16"/>
  <cols>
    <col min="2" max="2" width="36.5" customWidth="1"/>
    <col min="3" max="3" width="22.33203125" customWidth="1"/>
    <col min="4" max="6" width="24.1640625" customWidth="1"/>
    <col min="7" max="8" width="24" customWidth="1"/>
    <col min="9" max="9" width="27.5" customWidth="1"/>
    <col min="10" max="10" width="23.6640625" customWidth="1"/>
    <col min="11" max="11" width="21.6640625" customWidth="1"/>
    <col min="12" max="12" width="6.33203125" customWidth="1"/>
    <col min="13" max="13" width="21.83203125" customWidth="1"/>
    <col min="14" max="14" width="24.33203125" customWidth="1"/>
    <col min="15" max="15" width="28" customWidth="1"/>
    <col min="16" max="16" width="21.6640625" customWidth="1"/>
    <col min="17" max="17" width="24.1640625" customWidth="1"/>
    <col min="18" max="18" width="22.6640625" customWidth="1"/>
    <col min="19" max="19" width="24.5" customWidth="1"/>
    <col min="20" max="20" width="7.1640625" customWidth="1"/>
    <col min="21" max="21" width="29" customWidth="1"/>
    <col min="22" max="22" width="27.5" customWidth="1"/>
    <col min="23" max="23" width="22.1640625" customWidth="1"/>
    <col min="24" max="26" width="19.83203125" customWidth="1"/>
    <col min="27" max="27" width="18.83203125" customWidth="1"/>
    <col min="28" max="28" width="17.1640625" customWidth="1"/>
    <col min="29" max="29" width="8" customWidth="1"/>
    <col min="30" max="30" width="18.83203125" customWidth="1"/>
    <col min="31" max="31" width="22.1640625" customWidth="1"/>
    <col min="32" max="32" width="20.6640625" customWidth="1"/>
    <col min="33" max="35" width="20.1640625" customWidth="1"/>
    <col min="36" max="36" width="19.33203125" customWidth="1"/>
  </cols>
  <sheetData>
    <row r="2" spans="2:11">
      <c r="B2" s="7" t="s">
        <v>65</v>
      </c>
      <c r="C2" s="21"/>
      <c r="D2" s="21"/>
      <c r="E2" s="21"/>
      <c r="F2" s="21"/>
      <c r="G2" s="21"/>
      <c r="H2" s="21"/>
      <c r="I2" s="21"/>
      <c r="J2" s="21"/>
      <c r="K2" s="21"/>
    </row>
    <row r="4" spans="2:11">
      <c r="B4" s="7" t="s">
        <v>66</v>
      </c>
      <c r="C4" s="21"/>
    </row>
    <row r="5" spans="2:11">
      <c r="B5" s="26" t="s">
        <v>13</v>
      </c>
      <c r="C5" s="26">
        <f>'General overview'!$C$5</f>
        <v>28</v>
      </c>
    </row>
    <row r="6" spans="2:11">
      <c r="B6" s="26" t="s">
        <v>67</v>
      </c>
      <c r="C6" s="27">
        <f>'General overview'!$C$6</f>
        <v>100000</v>
      </c>
    </row>
    <row r="7" spans="2:11">
      <c r="B7" s="26" t="s">
        <v>68</v>
      </c>
      <c r="C7" s="29">
        <v>7.0000000000000001E-3</v>
      </c>
    </row>
    <row r="8" spans="2:11">
      <c r="B8" s="26" t="s">
        <v>69</v>
      </c>
      <c r="C8" s="29">
        <f>IF(C17&gt;0,C17,0.007)</f>
        <v>3.0137433597921488E-2</v>
      </c>
      <c r="K8" s="18"/>
    </row>
    <row r="9" spans="2:11" ht="17">
      <c r="B9" s="75" t="s">
        <v>70</v>
      </c>
      <c r="C9" s="76">
        <f>'General overview'!$C$60</f>
        <v>65</v>
      </c>
      <c r="K9" s="58"/>
    </row>
    <row r="10" spans="2:11" ht="17">
      <c r="B10" s="75" t="s">
        <v>4863</v>
      </c>
      <c r="C10" s="76">
        <f ca="1">YEAR(TODAY())</f>
        <v>2024</v>
      </c>
      <c r="K10" s="12"/>
    </row>
    <row r="11" spans="2:11">
      <c r="B11" s="30"/>
      <c r="C11" s="31"/>
      <c r="K11" s="59"/>
    </row>
    <row r="12" spans="2:11">
      <c r="B12" s="30"/>
      <c r="C12" s="31"/>
      <c r="K12" s="59"/>
    </row>
    <row r="13" spans="2:11">
      <c r="B13" s="30"/>
      <c r="C13" s="31"/>
    </row>
    <row r="14" spans="2:11" ht="17">
      <c r="B14" s="30" t="s">
        <v>4952</v>
      </c>
      <c r="C14" s="351">
        <f>C6</f>
        <v>100000</v>
      </c>
      <c r="K14" s="57"/>
    </row>
    <row r="15" spans="2:11" ht="17">
      <c r="B15" s="30" t="s">
        <v>4953</v>
      </c>
      <c r="C15" s="351">
        <f>'General overview'!C20</f>
        <v>300000</v>
      </c>
    </row>
    <row r="16" spans="2:11" ht="17">
      <c r="B16" s="30" t="s">
        <v>4954</v>
      </c>
      <c r="C16" s="429">
        <f>C9-C5</f>
        <v>37</v>
      </c>
      <c r="K16" s="60"/>
    </row>
    <row r="17" spans="2:16" ht="17">
      <c r="B17" s="30" t="s">
        <v>4955</v>
      </c>
      <c r="C17" s="311">
        <f>IF(C15&gt;0,RATE(C16,,-C14,C15),0)</f>
        <v>3.0137433597921488E-2</v>
      </c>
      <c r="K17" s="12"/>
    </row>
    <row r="18" spans="2:16">
      <c r="K18" s="60"/>
    </row>
    <row r="19" spans="2:16">
      <c r="K19" s="12"/>
    </row>
    <row r="20" spans="2:16">
      <c r="B20" s="23" t="s">
        <v>13</v>
      </c>
      <c r="C20" s="82" t="s">
        <v>16</v>
      </c>
      <c r="D20" s="25" t="s">
        <v>71</v>
      </c>
      <c r="E20" s="22" t="s">
        <v>72</v>
      </c>
      <c r="F20" s="22" t="s">
        <v>73</v>
      </c>
      <c r="G20" s="25" t="s">
        <v>74</v>
      </c>
      <c r="H20" s="25" t="s">
        <v>75</v>
      </c>
      <c r="I20" s="22" t="s">
        <v>76</v>
      </c>
      <c r="J20" s="25" t="s">
        <v>4862</v>
      </c>
      <c r="K20" s="25" t="s">
        <v>4866</v>
      </c>
      <c r="L20" s="25"/>
      <c r="M20" s="204"/>
      <c r="P20" s="59"/>
    </row>
    <row r="21" spans="2:16">
      <c r="B21" s="80">
        <v>20</v>
      </c>
      <c r="C21" s="80">
        <f ca="1">IF(Tabella6[[#This Row],[Age]]=$C$5,$C$10,IF(Tabella6[[#This Row],[Age]]&lt;$C$5,$C$10-($C$5-Tabella6[[#This Row],[Age]]),IF(Tabella6[[#This Row],[Age]]&gt;$C$5,$C$10+Tabella6[[#This Row],[Age]]-$C$5)))</f>
        <v>2016</v>
      </c>
      <c r="D21" s="4">
        <f>IF(AND(Tabella6[[#This Row],[Age]]&gt;=$C$5, Tabella6[[#This Row],[Age]]&lt;=$C$9),$C$6,0)</f>
        <v>0</v>
      </c>
      <c r="E21" s="4">
        <f>IF(Tabella6[[#This Row],[Gross Base Salary]]=0,Tabella6[[#This Row],[Gross Base Salary]], IF(AND(Tabella6[[#This Row],[Gross Base Salary]]&gt;0,E20&gt;0),E20*(1+$C$7),Tabella6[[#This Row],[Gross Base Salary]]))</f>
        <v>0</v>
      </c>
      <c r="F21" s="4">
        <f>IF(Tabella6[[#This Row],[Gross Base Salary]]=0,Tabella6[[#This Row],[Gross Base Salary]], IF(AND(Tabella6[[#This Row],[Gross Base Salary]]&gt;0,F20&gt;0),F20*(1+$C$8),Tabella6[[#This Row],[Gross Base Salary]]))</f>
        <v>0</v>
      </c>
      <c r="G21" s="4">
        <f>Tabella6[[#This Row],[Salary + inflation]]+Tabella6[[#This Row],[Salary + salary increases]]-(Tabella6[[#This Row],[Gross Base Salary]]*2)</f>
        <v>0</v>
      </c>
      <c r="H21" s="4">
        <f>Tabella6[[#This Row],[Inflation + salary increases]]+Tabella6[[#This Row],[Gross Base Salary]]</f>
        <v>0</v>
      </c>
      <c r="I21" s="77">
        <f>IF(Tabella6[[#This Row],[Age]]&lt;=$C$9,Tabella6[[#This Row],[Adjusted salary]],$G$109)</f>
        <v>0</v>
      </c>
      <c r="J21" s="77">
        <f ca="1">IF('General overview'!$C$8="Yes",SUMIF(Tabella678[[#All],[Year]],Tabella6[[#This Row],[Year]],Tabella678[[#All],[Salary and Pension]]),0)</f>
        <v>0</v>
      </c>
      <c r="K21" s="77">
        <f ca="1">Tabella6[[#This Row],[Salary and Pension]]+Tabella6[[#This Row],[Partmer Salary and Pension]]</f>
        <v>0</v>
      </c>
      <c r="L21" s="24"/>
    </row>
    <row r="22" spans="2:16">
      <c r="B22" s="80">
        <v>21</v>
      </c>
      <c r="C22" s="80">
        <f ca="1">IF(Tabella6[[#This Row],[Age]]=$C$5,$C$10,IF(Tabella6[[#This Row],[Age]]&lt;$C$5,$C$10-($C$5-Tabella6[[#This Row],[Age]]),IF(Tabella6[[#This Row],[Age]]&gt;$C$5,$C$10+Tabella6[[#This Row],[Age]]-$C$5)))</f>
        <v>2017</v>
      </c>
      <c r="D22" s="4">
        <f>IF(AND(Tabella6[[#This Row],[Age]]&gt;=$C$5, Tabella6[[#This Row],[Age]]&lt;=$C$9),$C$6,0)</f>
        <v>0</v>
      </c>
      <c r="E22" s="4">
        <f>IF(Tabella6[[#This Row],[Gross Base Salary]]=0,Tabella6[[#This Row],[Gross Base Salary]], IF(AND(Tabella6[[#This Row],[Gross Base Salary]]&gt;0,E21&gt;0),E21*(1+$C$7),Tabella6[[#This Row],[Gross Base Salary]]))</f>
        <v>0</v>
      </c>
      <c r="F22" s="4">
        <f>IF(Tabella6[[#This Row],[Gross Base Salary]]=0,Tabella6[[#This Row],[Gross Base Salary]], IF(AND(Tabella6[[#This Row],[Gross Base Salary]]&gt;0,F21&gt;0),F21*(1+$C$8),Tabella6[[#This Row],[Gross Base Salary]]))</f>
        <v>0</v>
      </c>
      <c r="G22" s="4">
        <f>Tabella6[[#This Row],[Salary + inflation]]+Tabella6[[#This Row],[Salary + salary increases]]-(Tabella6[[#This Row],[Gross Base Salary]]*2)</f>
        <v>0</v>
      </c>
      <c r="H22" s="4">
        <f>Tabella6[[#This Row],[Inflation + salary increases]]+Tabella6[[#This Row],[Gross Base Salary]]</f>
        <v>0</v>
      </c>
      <c r="I22" s="36">
        <f>IF(Tabella6[[#This Row],[Age]]&lt;=$C$9,Tabella6[[#This Row],[Adjusted salary]],$G$109)</f>
        <v>0</v>
      </c>
      <c r="J22" s="36">
        <f ca="1">IF('General overview'!$C$8="Yes",SUMIF(Tabella678[[#All],[Year]],Tabella6[[#This Row],[Year]],Tabella678[[#All],[Salary and Pension]]),0)</f>
        <v>0</v>
      </c>
      <c r="K22" s="36">
        <f ca="1">Tabella6[[#This Row],[Salary and Pension]]+Tabella6[[#This Row],[Partmer Salary and Pension]]</f>
        <v>0</v>
      </c>
      <c r="L22" s="24"/>
      <c r="O22" s="61"/>
    </row>
    <row r="23" spans="2:16">
      <c r="B23" s="80">
        <v>22</v>
      </c>
      <c r="C23" s="80">
        <f ca="1">IF(Tabella6[[#This Row],[Age]]=$C$5,$C$10,IF(Tabella6[[#This Row],[Age]]&lt;$C$5,$C$10-($C$5-Tabella6[[#This Row],[Age]]),IF(Tabella6[[#This Row],[Age]]&gt;$C$5,$C$10+Tabella6[[#This Row],[Age]]-$C$5)))</f>
        <v>2018</v>
      </c>
      <c r="D23" s="4">
        <f>IF(AND(Tabella6[[#This Row],[Age]]&gt;=$C$5, Tabella6[[#This Row],[Age]]&lt;=$C$9),$C$6,0)</f>
        <v>0</v>
      </c>
      <c r="E23" s="4">
        <f>IF(Tabella6[[#This Row],[Gross Base Salary]]=0,Tabella6[[#This Row],[Gross Base Salary]], IF(AND(Tabella6[[#This Row],[Gross Base Salary]]&gt;0,E22&gt;0),E22*(1+$C$7),Tabella6[[#This Row],[Gross Base Salary]]))</f>
        <v>0</v>
      </c>
      <c r="F23" s="4">
        <f>IF(Tabella6[[#This Row],[Gross Base Salary]]=0,Tabella6[[#This Row],[Gross Base Salary]], IF(AND(Tabella6[[#This Row],[Gross Base Salary]]&gt;0,F22&gt;0),F22*(1+$C$8),Tabella6[[#This Row],[Gross Base Salary]]))</f>
        <v>0</v>
      </c>
      <c r="G23" s="4">
        <f>Tabella6[[#This Row],[Salary + inflation]]+Tabella6[[#This Row],[Salary + salary increases]]-(Tabella6[[#This Row],[Gross Base Salary]]*2)</f>
        <v>0</v>
      </c>
      <c r="H23" s="4">
        <f>Tabella6[[#This Row],[Inflation + salary increases]]+Tabella6[[#This Row],[Gross Base Salary]]</f>
        <v>0</v>
      </c>
      <c r="I23" s="36">
        <f>IF(Tabella6[[#This Row],[Age]]&lt;=$C$9,Tabella6[[#This Row],[Adjusted salary]],$G$109)</f>
        <v>0</v>
      </c>
      <c r="J23" s="36">
        <f ca="1">IF('General overview'!$C$8="Yes",SUMIF(Tabella678[[#All],[Year]],Tabella6[[#This Row],[Year]],Tabella678[[#All],[Salary and Pension]]),0)</f>
        <v>0</v>
      </c>
      <c r="K23" s="36">
        <f ca="1">Tabella6[[#This Row],[Salary and Pension]]+Tabella6[[#This Row],[Partmer Salary and Pension]]</f>
        <v>0</v>
      </c>
      <c r="L23" s="24"/>
      <c r="O23" s="61"/>
    </row>
    <row r="24" spans="2:16">
      <c r="B24" s="80">
        <v>23</v>
      </c>
      <c r="C24" s="80">
        <f ca="1">IF(Tabella6[[#This Row],[Age]]=$C$5,$C$10,IF(Tabella6[[#This Row],[Age]]&lt;$C$5,$C$10-($C$5-Tabella6[[#This Row],[Age]]),IF(Tabella6[[#This Row],[Age]]&gt;$C$5,$C$10+Tabella6[[#This Row],[Age]]-$C$5)))</f>
        <v>2019</v>
      </c>
      <c r="D24" s="4">
        <f>IF(AND(Tabella6[[#This Row],[Age]]&gt;=$C$5, Tabella6[[#This Row],[Age]]&lt;=$C$9),$C$6,0)</f>
        <v>0</v>
      </c>
      <c r="E24" s="4">
        <f>IF(Tabella6[[#This Row],[Gross Base Salary]]=0,Tabella6[[#This Row],[Gross Base Salary]], IF(AND(Tabella6[[#This Row],[Gross Base Salary]]&gt;0,E23&gt;0),E23*(1+$C$7),Tabella6[[#This Row],[Gross Base Salary]]))</f>
        <v>0</v>
      </c>
      <c r="F24" s="4">
        <f>IF(Tabella6[[#This Row],[Gross Base Salary]]=0,Tabella6[[#This Row],[Gross Base Salary]], IF(AND(Tabella6[[#This Row],[Gross Base Salary]]&gt;0,F23&gt;0),F23*(1+$C$8),Tabella6[[#This Row],[Gross Base Salary]]))</f>
        <v>0</v>
      </c>
      <c r="G24" s="4">
        <f>Tabella6[[#This Row],[Salary + inflation]]+Tabella6[[#This Row],[Salary + salary increases]]-(Tabella6[[#This Row],[Gross Base Salary]]*2)</f>
        <v>0</v>
      </c>
      <c r="H24" s="4">
        <f>Tabella6[[#This Row],[Inflation + salary increases]]+Tabella6[[#This Row],[Gross Base Salary]]</f>
        <v>0</v>
      </c>
      <c r="I24" s="36">
        <f>IF(Tabella6[[#This Row],[Age]]&lt;=$C$9,Tabella6[[#This Row],[Adjusted salary]],$G$109)</f>
        <v>0</v>
      </c>
      <c r="J24" s="36">
        <f ca="1">IF('General overview'!$C$8="Yes",SUMIF(Tabella678[[#All],[Year]],Tabella6[[#This Row],[Year]],Tabella678[[#All],[Salary and Pension]]),0)</f>
        <v>0</v>
      </c>
      <c r="K24" s="36">
        <f ca="1">Tabella6[[#This Row],[Salary and Pension]]+Tabella6[[#This Row],[Partmer Salary and Pension]]</f>
        <v>0</v>
      </c>
      <c r="L24" s="24"/>
      <c r="O24" s="62"/>
    </row>
    <row r="25" spans="2:16">
      <c r="B25" s="80">
        <v>24</v>
      </c>
      <c r="C25" s="80">
        <f ca="1">IF(Tabella6[[#This Row],[Age]]=$C$5,$C$10,IF(Tabella6[[#This Row],[Age]]&lt;$C$5,$C$10-($C$5-Tabella6[[#This Row],[Age]]),IF(Tabella6[[#This Row],[Age]]&gt;$C$5,$C$10+Tabella6[[#This Row],[Age]]-$C$5)))</f>
        <v>2020</v>
      </c>
      <c r="D25" s="4">
        <f>IF(AND(Tabella6[[#This Row],[Age]]&gt;=$C$5, Tabella6[[#This Row],[Age]]&lt;=$C$9),$C$6,0)</f>
        <v>0</v>
      </c>
      <c r="E25" s="4">
        <f>IF(Tabella6[[#This Row],[Gross Base Salary]]=0,Tabella6[[#This Row],[Gross Base Salary]], IF(AND(Tabella6[[#This Row],[Gross Base Salary]]&gt;0,E24&gt;0),E24*(1+$C$7),Tabella6[[#This Row],[Gross Base Salary]]))</f>
        <v>0</v>
      </c>
      <c r="F25" s="4">
        <f>IF(Tabella6[[#This Row],[Gross Base Salary]]=0,Tabella6[[#This Row],[Gross Base Salary]], IF(AND(Tabella6[[#This Row],[Gross Base Salary]]&gt;0,F24&gt;0),F24*(1+$C$8),Tabella6[[#This Row],[Gross Base Salary]]))</f>
        <v>0</v>
      </c>
      <c r="G25" s="4">
        <f>Tabella6[[#This Row],[Salary + inflation]]+Tabella6[[#This Row],[Salary + salary increases]]-(Tabella6[[#This Row],[Gross Base Salary]]*2)</f>
        <v>0</v>
      </c>
      <c r="H25" s="4">
        <f>Tabella6[[#This Row],[Inflation + salary increases]]+Tabella6[[#This Row],[Gross Base Salary]]</f>
        <v>0</v>
      </c>
      <c r="I25" s="36">
        <f>IF(Tabella6[[#This Row],[Age]]&lt;=$C$9,Tabella6[[#This Row],[Adjusted salary]],$G$109)</f>
        <v>0</v>
      </c>
      <c r="J25" s="36">
        <f ca="1">IF('General overview'!$C$8="Yes",SUMIF(Tabella678[[#All],[Year]],Tabella6[[#This Row],[Year]],Tabella678[[#All],[Salary and Pension]]),0)</f>
        <v>0</v>
      </c>
      <c r="K25" s="36">
        <f ca="1">Tabella6[[#This Row],[Salary and Pension]]+Tabella6[[#This Row],[Partmer Salary and Pension]]</f>
        <v>0</v>
      </c>
      <c r="L25" s="24"/>
      <c r="O25" s="60"/>
    </row>
    <row r="26" spans="2:16">
      <c r="B26" s="80">
        <v>25</v>
      </c>
      <c r="C26" s="80">
        <f ca="1">IF(Tabella6[[#This Row],[Age]]=$C$5,$C$10,IF(Tabella6[[#This Row],[Age]]&lt;$C$5,$C$10-($C$5-Tabella6[[#This Row],[Age]]),IF(Tabella6[[#This Row],[Age]]&gt;$C$5,$C$10+Tabella6[[#This Row],[Age]]-$C$5)))</f>
        <v>2021</v>
      </c>
      <c r="D26" s="4">
        <f>IF(AND(Tabella6[[#This Row],[Age]]&gt;=$C$5, Tabella6[[#This Row],[Age]]&lt;=$C$9),$C$6,0)</f>
        <v>0</v>
      </c>
      <c r="E26" s="4">
        <f>IF(Tabella6[[#This Row],[Gross Base Salary]]=0,Tabella6[[#This Row],[Gross Base Salary]], IF(AND(Tabella6[[#This Row],[Gross Base Salary]]&gt;0,E25&gt;0),E25*(1+$C$7),Tabella6[[#This Row],[Gross Base Salary]]))</f>
        <v>0</v>
      </c>
      <c r="F26" s="4">
        <f>IF(Tabella6[[#This Row],[Gross Base Salary]]=0,Tabella6[[#This Row],[Gross Base Salary]], IF(AND(Tabella6[[#This Row],[Gross Base Salary]]&gt;0,F25&gt;0),F25*(1+$C$8),Tabella6[[#This Row],[Gross Base Salary]]))</f>
        <v>0</v>
      </c>
      <c r="G26" s="4">
        <f>Tabella6[[#This Row],[Salary + inflation]]+Tabella6[[#This Row],[Salary + salary increases]]-(Tabella6[[#This Row],[Gross Base Salary]]*2)</f>
        <v>0</v>
      </c>
      <c r="H26" s="4">
        <f>Tabella6[[#This Row],[Inflation + salary increases]]+Tabella6[[#This Row],[Gross Base Salary]]</f>
        <v>0</v>
      </c>
      <c r="I26" s="36">
        <f>IF(Tabella6[[#This Row],[Age]]&lt;=$C$9,Tabella6[[#This Row],[Adjusted salary]],$G$109)</f>
        <v>0</v>
      </c>
      <c r="J26" s="36">
        <f ca="1">IF('General overview'!$C$8="Yes",SUMIF(Tabella678[[#All],[Year]],Tabella6[[#This Row],[Year]],Tabella678[[#All],[Salary and Pension]]),0)</f>
        <v>0</v>
      </c>
      <c r="K26" s="36">
        <f ca="1">Tabella6[[#This Row],[Salary and Pension]]+Tabella6[[#This Row],[Partmer Salary and Pension]]</f>
        <v>0</v>
      </c>
      <c r="L26" s="24"/>
      <c r="O26" s="63"/>
    </row>
    <row r="27" spans="2:16">
      <c r="B27" s="80">
        <v>26</v>
      </c>
      <c r="C27" s="80">
        <f ca="1">IF(Tabella6[[#This Row],[Age]]=$C$5,$C$10,IF(Tabella6[[#This Row],[Age]]&lt;$C$5,$C$10-($C$5-Tabella6[[#This Row],[Age]]),IF(Tabella6[[#This Row],[Age]]&gt;$C$5,$C$10+Tabella6[[#This Row],[Age]]-$C$5)))</f>
        <v>2022</v>
      </c>
      <c r="D27" s="4">
        <f>IF(AND(Tabella6[[#This Row],[Age]]&gt;=$C$5, Tabella6[[#This Row],[Age]]&lt;=$C$9),$C$6,0)</f>
        <v>0</v>
      </c>
      <c r="E27" s="4">
        <f>IF(Tabella6[[#This Row],[Gross Base Salary]]=0,Tabella6[[#This Row],[Gross Base Salary]], IF(AND(Tabella6[[#This Row],[Gross Base Salary]]&gt;0,E26&gt;0),E26*(1+$C$7),Tabella6[[#This Row],[Gross Base Salary]]))</f>
        <v>0</v>
      </c>
      <c r="F27" s="4">
        <f>IF(Tabella6[[#This Row],[Gross Base Salary]]=0,Tabella6[[#This Row],[Gross Base Salary]], IF(AND(Tabella6[[#This Row],[Gross Base Salary]]&gt;0,F26&gt;0),F26*(1+$C$8),Tabella6[[#This Row],[Gross Base Salary]]))</f>
        <v>0</v>
      </c>
      <c r="G27" s="4">
        <f>Tabella6[[#This Row],[Salary + inflation]]+Tabella6[[#This Row],[Salary + salary increases]]-(Tabella6[[#This Row],[Gross Base Salary]]*2)</f>
        <v>0</v>
      </c>
      <c r="H27" s="4">
        <f>Tabella6[[#This Row],[Inflation + salary increases]]+Tabella6[[#This Row],[Gross Base Salary]]</f>
        <v>0</v>
      </c>
      <c r="I27" s="36">
        <f>IF(Tabella6[[#This Row],[Age]]&lt;=$C$9,Tabella6[[#This Row],[Adjusted salary]],$G$109)</f>
        <v>0</v>
      </c>
      <c r="J27" s="36">
        <f ca="1">IF('General overview'!$C$8="Yes",SUMIF(Tabella678[[#All],[Year]],Tabella6[[#This Row],[Year]],Tabella678[[#All],[Salary and Pension]]),0)</f>
        <v>0</v>
      </c>
      <c r="K27" s="36">
        <f ca="1">Tabella6[[#This Row],[Salary and Pension]]+Tabella6[[#This Row],[Partmer Salary and Pension]]</f>
        <v>0</v>
      </c>
      <c r="L27" s="24"/>
      <c r="O27" s="59"/>
    </row>
    <row r="28" spans="2:16">
      <c r="B28" s="80">
        <v>27</v>
      </c>
      <c r="C28" s="80">
        <f ca="1">IF(Tabella6[[#This Row],[Age]]=$C$5,$C$10,IF(Tabella6[[#This Row],[Age]]&lt;$C$5,$C$10-($C$5-Tabella6[[#This Row],[Age]]),IF(Tabella6[[#This Row],[Age]]&gt;$C$5,$C$10+Tabella6[[#This Row],[Age]]-$C$5)))</f>
        <v>2023</v>
      </c>
      <c r="D28" s="4">
        <f>IF(AND(Tabella6[[#This Row],[Age]]&gt;=$C$5, Tabella6[[#This Row],[Age]]&lt;=$C$9),$C$6,0)</f>
        <v>0</v>
      </c>
      <c r="E28" s="4">
        <f>IF(Tabella6[[#This Row],[Gross Base Salary]]=0,Tabella6[[#This Row],[Gross Base Salary]], IF(AND(Tabella6[[#This Row],[Gross Base Salary]]&gt;0,E27&gt;0),E27*(1+$C$7),Tabella6[[#This Row],[Gross Base Salary]]))</f>
        <v>0</v>
      </c>
      <c r="F28" s="4">
        <f>IF(Tabella6[[#This Row],[Gross Base Salary]]=0,Tabella6[[#This Row],[Gross Base Salary]], IF(AND(Tabella6[[#This Row],[Gross Base Salary]]&gt;0,F27&gt;0),F27*(1+$C$8),Tabella6[[#This Row],[Gross Base Salary]]))</f>
        <v>0</v>
      </c>
      <c r="G28" s="4">
        <f>Tabella6[[#This Row],[Salary + inflation]]+Tabella6[[#This Row],[Salary + salary increases]]-(Tabella6[[#This Row],[Gross Base Salary]]*2)</f>
        <v>0</v>
      </c>
      <c r="H28" s="4">
        <f>Tabella6[[#This Row],[Inflation + salary increases]]+Tabella6[[#This Row],[Gross Base Salary]]</f>
        <v>0</v>
      </c>
      <c r="I28" s="36">
        <f>IF(Tabella6[[#This Row],[Age]]&lt;=$C$9,Tabella6[[#This Row],[Adjusted salary]],$G$109)</f>
        <v>0</v>
      </c>
      <c r="J28" s="36">
        <f ca="1">IF('General overview'!$C$8="Yes",SUMIF(Tabella678[[#All],[Year]],Tabella6[[#This Row],[Year]],Tabella678[[#All],[Salary and Pension]]),0)</f>
        <v>0</v>
      </c>
      <c r="K28" s="36">
        <f ca="1">Tabella6[[#This Row],[Salary and Pension]]+Tabella6[[#This Row],[Partmer Salary and Pension]]</f>
        <v>0</v>
      </c>
      <c r="L28" s="24"/>
    </row>
    <row r="29" spans="2:16">
      <c r="B29" s="80">
        <v>28</v>
      </c>
      <c r="C29" s="80">
        <f ca="1">IF(Tabella6[[#This Row],[Age]]=$C$5,$C$10,IF(Tabella6[[#This Row],[Age]]&lt;$C$5,$C$10-($C$5-Tabella6[[#This Row],[Age]]),IF(Tabella6[[#This Row],[Age]]&gt;$C$5,$C$10+Tabella6[[#This Row],[Age]]-$C$5)))</f>
        <v>2024</v>
      </c>
      <c r="D29" s="4">
        <f>IF(AND(Tabella6[[#This Row],[Age]]&gt;=$C$5, Tabella6[[#This Row],[Age]]&lt;=$C$9),$C$6,0)</f>
        <v>100000</v>
      </c>
      <c r="E29" s="4">
        <f>IF(Tabella6[[#This Row],[Gross Base Salary]]=0,Tabella6[[#This Row],[Gross Base Salary]], IF(AND(Tabella6[[#This Row],[Gross Base Salary]]&gt;0,E28&gt;0),E28*(1+$C$7),Tabella6[[#This Row],[Gross Base Salary]]))</f>
        <v>100000</v>
      </c>
      <c r="F29" s="4">
        <f>IF(Tabella6[[#This Row],[Gross Base Salary]]=0,Tabella6[[#This Row],[Gross Base Salary]], IF(AND(Tabella6[[#This Row],[Gross Base Salary]]&gt;0,F28&gt;0),F28*(1+$C$8),Tabella6[[#This Row],[Gross Base Salary]]))</f>
        <v>100000</v>
      </c>
      <c r="G29" s="4">
        <f>Tabella6[[#This Row],[Salary + inflation]]+Tabella6[[#This Row],[Salary + salary increases]]-(Tabella6[[#This Row],[Gross Base Salary]]*2)</f>
        <v>0</v>
      </c>
      <c r="H29" s="4">
        <f>Tabella6[[#This Row],[Inflation + salary increases]]+Tabella6[[#This Row],[Gross Base Salary]]</f>
        <v>100000</v>
      </c>
      <c r="I29" s="36">
        <f>IF(Tabella6[[#This Row],[Age]]&lt;=$C$9,Tabella6[[#This Row],[Adjusted salary]],$G$109)</f>
        <v>100000</v>
      </c>
      <c r="J29" s="36">
        <f ca="1">IF('General overview'!$C$8="Yes",SUMIF(Tabella678[[#All],[Year]],Tabella6[[#This Row],[Year]],Tabella678[[#All],[Salary and Pension]]),0)</f>
        <v>70000</v>
      </c>
      <c r="K29" s="36">
        <f ca="1">Tabella6[[#This Row],[Salary and Pension]]+Tabella6[[#This Row],[Partmer Salary and Pension]]</f>
        <v>170000</v>
      </c>
      <c r="L29" s="24"/>
    </row>
    <row r="30" spans="2:16">
      <c r="B30" s="80">
        <v>29</v>
      </c>
      <c r="C30" s="80">
        <f ca="1">IF(Tabella6[[#This Row],[Age]]=$C$5,$C$10,IF(Tabella6[[#This Row],[Age]]&lt;$C$5,$C$10-($C$5-Tabella6[[#This Row],[Age]]),IF(Tabella6[[#This Row],[Age]]&gt;$C$5,$C$10+Tabella6[[#This Row],[Age]]-$C$5)))</f>
        <v>2025</v>
      </c>
      <c r="D30" s="4">
        <f>IF(AND(Tabella6[[#This Row],[Age]]&gt;=$C$5, Tabella6[[#This Row],[Age]]&lt;=$C$9),$C$6,0)</f>
        <v>100000</v>
      </c>
      <c r="E30" s="4">
        <f>IF(Tabella6[[#This Row],[Gross Base Salary]]=0,Tabella6[[#This Row],[Gross Base Salary]], IF(AND(Tabella6[[#This Row],[Gross Base Salary]]&gt;0,E29&gt;0),E29*(1+$C$7),Tabella6[[#This Row],[Gross Base Salary]]))</f>
        <v>100699.99999999999</v>
      </c>
      <c r="F30" s="4">
        <f>IF(Tabella6[[#This Row],[Gross Base Salary]]=0,Tabella6[[#This Row],[Gross Base Salary]], IF(AND(Tabella6[[#This Row],[Gross Base Salary]]&gt;0,F29&gt;0),F29*(1+$C$8),Tabella6[[#This Row],[Gross Base Salary]]))</f>
        <v>103013.74335979215</v>
      </c>
      <c r="G30" s="4">
        <f>Tabella6[[#This Row],[Salary + inflation]]+Tabella6[[#This Row],[Salary + salary increases]]-(Tabella6[[#This Row],[Gross Base Salary]]*2)</f>
        <v>3713.7433597921336</v>
      </c>
      <c r="H30" s="4">
        <f>Tabella6[[#This Row],[Inflation + salary increases]]+Tabella6[[#This Row],[Gross Base Salary]]</f>
        <v>103713.74335979213</v>
      </c>
      <c r="I30" s="36">
        <f>IF(Tabella6[[#This Row],[Age]]&lt;=$C$9,Tabella6[[#This Row],[Adjusted salary]],$G$109)</f>
        <v>103713.74335979213</v>
      </c>
      <c r="J30" s="36">
        <f ca="1">IF('General overview'!$C$8="Yes",SUMIF(Tabella678[[#All],[Year]],Tabella6[[#This Row],[Year]],Tabella678[[#All],[Salary and Pension]]),0)</f>
        <v>72111.59862702692</v>
      </c>
      <c r="K30" s="36">
        <f ca="1">Tabella6[[#This Row],[Salary and Pension]]+Tabella6[[#This Row],[Partmer Salary and Pension]]</f>
        <v>175825.34198681905</v>
      </c>
      <c r="L30" s="24"/>
    </row>
    <row r="31" spans="2:16">
      <c r="B31" s="80">
        <v>30</v>
      </c>
      <c r="C31" s="80">
        <f ca="1">IF(Tabella6[[#This Row],[Age]]=$C$5,$C$10,IF(Tabella6[[#This Row],[Age]]&lt;$C$5,$C$10-($C$5-Tabella6[[#This Row],[Age]]),IF(Tabella6[[#This Row],[Age]]&gt;$C$5,$C$10+Tabella6[[#This Row],[Age]]-$C$5)))</f>
        <v>2026</v>
      </c>
      <c r="D31" s="4">
        <f>IF(AND(Tabella6[[#This Row],[Age]]&gt;=$C$5, Tabella6[[#This Row],[Age]]&lt;=$C$9),$C$6,0)</f>
        <v>100000</v>
      </c>
      <c r="E31" s="4">
        <f>IF(Tabella6[[#This Row],[Gross Base Salary]]=0,Tabella6[[#This Row],[Gross Base Salary]], IF(AND(Tabella6[[#This Row],[Gross Base Salary]]&gt;0,E30&gt;0),E30*(1+$C$7),Tabella6[[#This Row],[Gross Base Salary]]))</f>
        <v>101404.89999999998</v>
      </c>
      <c r="F31" s="4">
        <f>IF(Tabella6[[#This Row],[Gross Base Salary]]=0,Tabella6[[#This Row],[Gross Base Salary]], IF(AND(Tabella6[[#This Row],[Gross Base Salary]]&gt;0,F30&gt;0),F30*(1+$C$8),Tabella6[[#This Row],[Gross Base Salary]]))</f>
        <v>106118.31320997121</v>
      </c>
      <c r="G31" s="4">
        <f>Tabella6[[#This Row],[Salary + inflation]]+Tabella6[[#This Row],[Salary + salary increases]]-(Tabella6[[#This Row],[Gross Base Salary]]*2)</f>
        <v>7523.2132099712035</v>
      </c>
      <c r="H31" s="4">
        <f>Tabella6[[#This Row],[Inflation + salary increases]]+Tabella6[[#This Row],[Gross Base Salary]]</f>
        <v>107523.2132099712</v>
      </c>
      <c r="I31" s="36">
        <f>IF(Tabella6[[#This Row],[Age]]&lt;=$C$9,Tabella6[[#This Row],[Adjusted salary]],$G$109)</f>
        <v>107523.2132099712</v>
      </c>
      <c r="J31" s="36">
        <f ca="1">IF('General overview'!$C$8="Yes",SUMIF(Tabella678[[#All],[Year]],Tabella6[[#This Row],[Year]],Tabella678[[#All],[Salary and Pension]]),0)</f>
        <v>74269.279107235896</v>
      </c>
      <c r="K31" s="36">
        <f ca="1">Tabella6[[#This Row],[Salary and Pension]]+Tabella6[[#This Row],[Partmer Salary and Pension]]</f>
        <v>181792.4923172071</v>
      </c>
      <c r="L31" s="24"/>
    </row>
    <row r="32" spans="2:16">
      <c r="B32" s="80">
        <v>31</v>
      </c>
      <c r="C32" s="80">
        <f ca="1">IF(Tabella6[[#This Row],[Age]]=$C$5,$C$10,IF(Tabella6[[#This Row],[Age]]&lt;$C$5,$C$10-($C$5-Tabella6[[#This Row],[Age]]),IF(Tabella6[[#This Row],[Age]]&gt;$C$5,$C$10+Tabella6[[#This Row],[Age]]-$C$5)))</f>
        <v>2027</v>
      </c>
      <c r="D32" s="4">
        <f>IF(AND(Tabella6[[#This Row],[Age]]&gt;=$C$5, Tabella6[[#This Row],[Age]]&lt;=$C$9),$C$6,0)</f>
        <v>100000</v>
      </c>
      <c r="E32" s="4">
        <f>IF(Tabella6[[#This Row],[Gross Base Salary]]=0,Tabella6[[#This Row],[Gross Base Salary]], IF(AND(Tabella6[[#This Row],[Gross Base Salary]]&gt;0,E31&gt;0),E31*(1+$C$7),Tabella6[[#This Row],[Gross Base Salary]]))</f>
        <v>102114.73429999997</v>
      </c>
      <c r="F32" s="4">
        <f>IF(Tabella6[[#This Row],[Gross Base Salary]]=0,Tabella6[[#This Row],[Gross Base Salary]], IF(AND(Tabella6[[#This Row],[Gross Base Salary]]&gt;0,F31&gt;0),F31*(1+$C$8),Tabella6[[#This Row],[Gross Base Salary]]))</f>
        <v>109316.44682786014</v>
      </c>
      <c r="G32" s="4">
        <f>Tabella6[[#This Row],[Salary + inflation]]+Tabella6[[#This Row],[Salary + salary increases]]-(Tabella6[[#This Row],[Gross Base Salary]]*2)</f>
        <v>11431.181127860094</v>
      </c>
      <c r="H32" s="4">
        <f>Tabella6[[#This Row],[Inflation + salary increases]]+Tabella6[[#This Row],[Gross Base Salary]]</f>
        <v>111431.18112786009</v>
      </c>
      <c r="I32" s="36">
        <f>IF(Tabella6[[#This Row],[Age]]&lt;=$C$9,Tabella6[[#This Row],[Adjusted salary]],$G$109)</f>
        <v>111431.18112786009</v>
      </c>
      <c r="J32" s="36">
        <f ca="1">IF('General overview'!$C$8="Yes",SUMIF(Tabella678[[#All],[Year]],Tabella6[[#This Row],[Year]],Tabella678[[#All],[Salary and Pension]]),0)</f>
        <v>76474.165832508297</v>
      </c>
      <c r="K32" s="36">
        <f ca="1">Tabella6[[#This Row],[Salary and Pension]]+Tabella6[[#This Row],[Partmer Salary and Pension]]</f>
        <v>187905.34696036839</v>
      </c>
      <c r="L32" s="24"/>
    </row>
    <row r="33" spans="2:12">
      <c r="B33" s="80">
        <v>32</v>
      </c>
      <c r="C33" s="80">
        <f ca="1">IF(Tabella6[[#This Row],[Age]]=$C$5,$C$10,IF(Tabella6[[#This Row],[Age]]&lt;$C$5,$C$10-($C$5-Tabella6[[#This Row],[Age]]),IF(Tabella6[[#This Row],[Age]]&gt;$C$5,$C$10+Tabella6[[#This Row],[Age]]-$C$5)))</f>
        <v>2028</v>
      </c>
      <c r="D33" s="4">
        <f>IF(AND(Tabella6[[#This Row],[Age]]&gt;=$C$5, Tabella6[[#This Row],[Age]]&lt;=$C$9),$C$6,0)</f>
        <v>100000</v>
      </c>
      <c r="E33" s="4">
        <f>IF(Tabella6[[#This Row],[Gross Base Salary]]=0,Tabella6[[#This Row],[Gross Base Salary]], IF(AND(Tabella6[[#This Row],[Gross Base Salary]]&gt;0,E32&gt;0),E32*(1+$C$7),Tabella6[[#This Row],[Gross Base Salary]]))</f>
        <v>102829.53744009996</v>
      </c>
      <c r="F33" s="4">
        <f>IF(Tabella6[[#This Row],[Gross Base Salary]]=0,Tabella6[[#This Row],[Gross Base Salary]], IF(AND(Tabella6[[#This Row],[Gross Base Salary]]&gt;0,F32&gt;0),F32*(1+$C$8),Tabella6[[#This Row],[Gross Base Salary]]))</f>
        <v>112610.96398529549</v>
      </c>
      <c r="G33" s="4">
        <f>Tabella6[[#This Row],[Salary + inflation]]+Tabella6[[#This Row],[Salary + salary increases]]-(Tabella6[[#This Row],[Gross Base Salary]]*2)</f>
        <v>15440.501425395429</v>
      </c>
      <c r="H33" s="4">
        <f>Tabella6[[#This Row],[Inflation + salary increases]]+Tabella6[[#This Row],[Gross Base Salary]]</f>
        <v>115440.50142539543</v>
      </c>
      <c r="I33" s="36">
        <f>IF(Tabella6[[#This Row],[Age]]&lt;=$C$9,Tabella6[[#This Row],[Adjusted salary]],$G$109)</f>
        <v>115440.50142539543</v>
      </c>
      <c r="J33" s="36">
        <f ca="1">IF('General overview'!$C$8="Yes",SUMIF(Tabella678[[#All],[Year]],Tabella6[[#This Row],[Year]],Tabella678[[#All],[Salary and Pension]]),0)</f>
        <v>78727.411314378551</v>
      </c>
      <c r="K33" s="36">
        <f ca="1">Tabella6[[#This Row],[Salary and Pension]]+Tabella6[[#This Row],[Partmer Salary and Pension]]</f>
        <v>194167.91273977398</v>
      </c>
      <c r="L33" s="24"/>
    </row>
    <row r="34" spans="2:12">
      <c r="B34" s="80">
        <v>33</v>
      </c>
      <c r="C34" s="80">
        <f ca="1">IF(Tabella6[[#This Row],[Age]]=$C$5,$C$10,IF(Tabella6[[#This Row],[Age]]&lt;$C$5,$C$10-($C$5-Tabella6[[#This Row],[Age]]),IF(Tabella6[[#This Row],[Age]]&gt;$C$5,$C$10+Tabella6[[#This Row],[Age]]-$C$5)))</f>
        <v>2029</v>
      </c>
      <c r="D34" s="4">
        <f>IF(AND(Tabella6[[#This Row],[Age]]&gt;=$C$5, Tabella6[[#This Row],[Age]]&lt;=$C$9),$C$6,0)</f>
        <v>100000</v>
      </c>
      <c r="E34" s="4">
        <f>IF(Tabella6[[#This Row],[Gross Base Salary]]=0,Tabella6[[#This Row],[Gross Base Salary]], IF(AND(Tabella6[[#This Row],[Gross Base Salary]]&gt;0,E33&gt;0),E33*(1+$C$7),Tabella6[[#This Row],[Gross Base Salary]]))</f>
        <v>103549.34420218064</v>
      </c>
      <c r="F34" s="4">
        <f>IF(Tabella6[[#This Row],[Gross Base Salary]]=0,Tabella6[[#This Row],[Gross Base Salary]], IF(AND(Tabella6[[#This Row],[Gross Base Salary]]&gt;0,F33&gt;0),F33*(1+$C$8),Tabella6[[#This Row],[Gross Base Salary]]))</f>
        <v>116004.76943480026</v>
      </c>
      <c r="G34" s="4">
        <f>Tabella6[[#This Row],[Salary + inflation]]+Tabella6[[#This Row],[Salary + salary increases]]-(Tabella6[[#This Row],[Gross Base Salary]]*2)</f>
        <v>19554.113636980881</v>
      </c>
      <c r="H34" s="4">
        <f>Tabella6[[#This Row],[Inflation + salary increases]]+Tabella6[[#This Row],[Gross Base Salary]]</f>
        <v>119554.11363698088</v>
      </c>
      <c r="I34" s="36">
        <f>IF(Tabella6[[#This Row],[Age]]&lt;=$C$9,Tabella6[[#This Row],[Adjusted salary]],$G$109)</f>
        <v>119554.11363698088</v>
      </c>
      <c r="J34" s="36">
        <f ca="1">IF('General overview'!$C$8="Yes",SUMIF(Tabella678[[#All],[Year]],Tabella6[[#This Row],[Year]],Tabella678[[#All],[Salary and Pension]]),0)</f>
        <v>81030.196890802297</v>
      </c>
      <c r="K34" s="36">
        <f ca="1">Tabella6[[#This Row],[Salary and Pension]]+Tabella6[[#This Row],[Partmer Salary and Pension]]</f>
        <v>200584.31052778318</v>
      </c>
      <c r="L34" s="24"/>
    </row>
    <row r="35" spans="2:12">
      <c r="B35" s="80">
        <v>34</v>
      </c>
      <c r="C35" s="80">
        <f ca="1">IF(Tabella6[[#This Row],[Age]]=$C$5,$C$10,IF(Tabella6[[#This Row],[Age]]&lt;$C$5,$C$10-($C$5-Tabella6[[#This Row],[Age]]),IF(Tabella6[[#This Row],[Age]]&gt;$C$5,$C$10+Tabella6[[#This Row],[Age]]-$C$5)))</f>
        <v>2030</v>
      </c>
      <c r="D35" s="4">
        <f>IF(AND(Tabella6[[#This Row],[Age]]&gt;=$C$5, Tabella6[[#This Row],[Age]]&lt;=$C$9),$C$6,0)</f>
        <v>100000</v>
      </c>
      <c r="E35" s="4">
        <f>IF(Tabella6[[#This Row],[Gross Base Salary]]=0,Tabella6[[#This Row],[Gross Base Salary]], IF(AND(Tabella6[[#This Row],[Gross Base Salary]]&gt;0,E34&gt;0),E34*(1+$C$7),Tabella6[[#This Row],[Gross Base Salary]]))</f>
        <v>104274.1896115959</v>
      </c>
      <c r="F35" s="4">
        <f>IF(Tabella6[[#This Row],[Gross Base Salary]]=0,Tabella6[[#This Row],[Gross Base Salary]], IF(AND(Tabella6[[#This Row],[Gross Base Salary]]&gt;0,F34&gt;0),F34*(1+$C$8),Tabella6[[#This Row],[Gross Base Salary]]))</f>
        <v>119500.85547068373</v>
      </c>
      <c r="G35" s="4">
        <f>Tabella6[[#This Row],[Salary + inflation]]+Tabella6[[#This Row],[Salary + salary increases]]-(Tabella6[[#This Row],[Gross Base Salary]]*2)</f>
        <v>23775.045082279627</v>
      </c>
      <c r="H35" s="4">
        <f>Tabella6[[#This Row],[Inflation + salary increases]]+Tabella6[[#This Row],[Gross Base Salary]]</f>
        <v>123775.04508227963</v>
      </c>
      <c r="I35" s="36">
        <f>IF(Tabella6[[#This Row],[Age]]&lt;=$C$9,Tabella6[[#This Row],[Adjusted salary]],$G$109)</f>
        <v>123775.04508227963</v>
      </c>
      <c r="J35" s="36">
        <f ca="1">IF('General overview'!$C$8="Yes",SUMIF(Tabella678[[#All],[Year]],Tabella6[[#This Row],[Year]],Tabella678[[#All],[Salary and Pension]]),0)</f>
        <v>83383.733450706786</v>
      </c>
      <c r="K35" s="36">
        <f ca="1">Tabella6[[#This Row],[Salary and Pension]]+Tabella6[[#This Row],[Partmer Salary and Pension]]</f>
        <v>207158.77853298641</v>
      </c>
      <c r="L35" s="24"/>
    </row>
    <row r="36" spans="2:12">
      <c r="B36" s="80">
        <v>35</v>
      </c>
      <c r="C36" s="80">
        <f ca="1">IF(Tabella6[[#This Row],[Age]]=$C$5,$C$10,IF(Tabella6[[#This Row],[Age]]&lt;$C$5,$C$10-($C$5-Tabella6[[#This Row],[Age]]),IF(Tabella6[[#This Row],[Age]]&gt;$C$5,$C$10+Tabella6[[#This Row],[Age]]-$C$5)))</f>
        <v>2031</v>
      </c>
      <c r="D36" s="4">
        <f>IF(AND(Tabella6[[#This Row],[Age]]&gt;=$C$5, Tabella6[[#This Row],[Age]]&lt;=$C$9),$C$6,0)</f>
        <v>100000</v>
      </c>
      <c r="E36" s="4">
        <f>IF(Tabella6[[#This Row],[Gross Base Salary]]=0,Tabella6[[#This Row],[Gross Base Salary]], IF(AND(Tabella6[[#This Row],[Gross Base Salary]]&gt;0,E35&gt;0),E35*(1+$C$7),Tabella6[[#This Row],[Gross Base Salary]]))</f>
        <v>105004.10893887705</v>
      </c>
      <c r="F36" s="4">
        <f>IF(Tabella6[[#This Row],[Gross Base Salary]]=0,Tabella6[[#This Row],[Gross Base Salary]], IF(AND(Tabella6[[#This Row],[Gross Base Salary]]&gt;0,F35&gt;0),F35*(1+$C$8),Tabella6[[#This Row],[Gross Base Salary]]))</f>
        <v>123102.30456732627</v>
      </c>
      <c r="G36" s="4">
        <f>Tabella6[[#This Row],[Salary + inflation]]+Tabella6[[#This Row],[Salary + salary increases]]-(Tabella6[[#This Row],[Gross Base Salary]]*2)</f>
        <v>28106.413506203331</v>
      </c>
      <c r="H36" s="4">
        <f>Tabella6[[#This Row],[Inflation + salary increases]]+Tabella6[[#This Row],[Gross Base Salary]]</f>
        <v>128106.41350620333</v>
      </c>
      <c r="I36" s="36">
        <f>IF(Tabella6[[#This Row],[Age]]&lt;=$C$9,Tabella6[[#This Row],[Adjusted salary]],$G$109)</f>
        <v>128106.41350620333</v>
      </c>
      <c r="J36" s="36">
        <f ca="1">IF('General overview'!$C$8="Yes",SUMIF(Tabella678[[#All],[Year]],Tabella6[[#This Row],[Year]],Tabella678[[#All],[Salary and Pension]]),0)</f>
        <v>85789.262176770368</v>
      </c>
      <c r="K36" s="36">
        <f ca="1">Tabella6[[#This Row],[Salary and Pension]]+Tabella6[[#This Row],[Partmer Salary and Pension]]</f>
        <v>213895.6756829737</v>
      </c>
      <c r="L36" s="24"/>
    </row>
    <row r="37" spans="2:12">
      <c r="B37" s="80">
        <v>36</v>
      </c>
      <c r="C37" s="80">
        <f ca="1">IF(Tabella6[[#This Row],[Age]]=$C$5,$C$10,IF(Tabella6[[#This Row],[Age]]&lt;$C$5,$C$10-($C$5-Tabella6[[#This Row],[Age]]),IF(Tabella6[[#This Row],[Age]]&gt;$C$5,$C$10+Tabella6[[#This Row],[Age]]-$C$5)))</f>
        <v>2032</v>
      </c>
      <c r="D37" s="4">
        <f>IF(AND(Tabella6[[#This Row],[Age]]&gt;=$C$5, Tabella6[[#This Row],[Age]]&lt;=$C$9),$C$6,0)</f>
        <v>100000</v>
      </c>
      <c r="E37" s="4">
        <f>IF(Tabella6[[#This Row],[Gross Base Salary]]=0,Tabella6[[#This Row],[Gross Base Salary]], IF(AND(Tabella6[[#This Row],[Gross Base Salary]]&gt;0,E36&gt;0),E36*(1+$C$7),Tabella6[[#This Row],[Gross Base Salary]]))</f>
        <v>105739.13770144917</v>
      </c>
      <c r="F37" s="4">
        <f>IF(Tabella6[[#This Row],[Gross Base Salary]]=0,Tabella6[[#This Row],[Gross Base Salary]], IF(AND(Tabella6[[#This Row],[Gross Base Salary]]&gt;0,F36&gt;0),F36*(1+$C$8),Tabella6[[#This Row],[Gross Base Salary]]))</f>
        <v>126812.29209697516</v>
      </c>
      <c r="G37" s="4">
        <f>Tabella6[[#This Row],[Salary + inflation]]+Tabella6[[#This Row],[Salary + salary increases]]-(Tabella6[[#This Row],[Gross Base Salary]]*2)</f>
        <v>32551.429798424331</v>
      </c>
      <c r="H37" s="4">
        <f>Tabella6[[#This Row],[Inflation + salary increases]]+Tabella6[[#This Row],[Gross Base Salary]]</f>
        <v>132551.42979842433</v>
      </c>
      <c r="I37" s="36">
        <f>IF(Tabella6[[#This Row],[Age]]&lt;=$C$9,Tabella6[[#This Row],[Adjusted salary]],$G$109)</f>
        <v>132551.42979842433</v>
      </c>
      <c r="J37" s="36">
        <f ca="1">IF('General overview'!$C$8="Yes",SUMIF(Tabella678[[#All],[Year]],Tabella6[[#This Row],[Year]],Tabella678[[#All],[Salary and Pension]]),0)</f>
        <v>88248.055306890485</v>
      </c>
      <c r="K37" s="36">
        <f ca="1">Tabella6[[#This Row],[Salary and Pension]]+Tabella6[[#This Row],[Partmer Salary and Pension]]</f>
        <v>220799.48510531482</v>
      </c>
      <c r="L37" s="24"/>
    </row>
    <row r="38" spans="2:12">
      <c r="B38" s="80">
        <v>37</v>
      </c>
      <c r="C38" s="80">
        <f ca="1">IF(Tabella6[[#This Row],[Age]]=$C$5,$C$10,IF(Tabella6[[#This Row],[Age]]&lt;$C$5,$C$10-($C$5-Tabella6[[#This Row],[Age]]),IF(Tabella6[[#This Row],[Age]]&gt;$C$5,$C$10+Tabella6[[#This Row],[Age]]-$C$5)))</f>
        <v>2033</v>
      </c>
      <c r="D38" s="4">
        <f>IF(AND(Tabella6[[#This Row],[Age]]&gt;=$C$5, Tabella6[[#This Row],[Age]]&lt;=$C$9),$C$6,0)</f>
        <v>100000</v>
      </c>
      <c r="E38" s="4">
        <f>IF(Tabella6[[#This Row],[Gross Base Salary]]=0,Tabella6[[#This Row],[Gross Base Salary]], IF(AND(Tabella6[[#This Row],[Gross Base Salary]]&gt;0,E37&gt;0),E37*(1+$C$7),Tabella6[[#This Row],[Gross Base Salary]]))</f>
        <v>106479.3116653593</v>
      </c>
      <c r="F38" s="4">
        <f>IF(Tabella6[[#This Row],[Gross Base Salary]]=0,Tabella6[[#This Row],[Gross Base Salary]], IF(AND(Tabella6[[#This Row],[Gross Base Salary]]&gt;0,F37&gt;0),F37*(1+$C$8),Tabella6[[#This Row],[Gross Base Salary]]))</f>
        <v>130634.08912944797</v>
      </c>
      <c r="G38" s="4">
        <f>Tabella6[[#This Row],[Salary + inflation]]+Tabella6[[#This Row],[Salary + salary increases]]-(Tabella6[[#This Row],[Gross Base Salary]]*2)</f>
        <v>37113.400794807269</v>
      </c>
      <c r="H38" s="4">
        <f>Tabella6[[#This Row],[Inflation + salary increases]]+Tabella6[[#This Row],[Gross Base Salary]]</f>
        <v>137113.40079480727</v>
      </c>
      <c r="I38" s="36">
        <f>IF(Tabella6[[#This Row],[Age]]&lt;=$C$9,Tabella6[[#This Row],[Adjusted salary]],$G$109)</f>
        <v>137113.40079480727</v>
      </c>
      <c r="J38" s="36">
        <f ca="1">IF('General overview'!$C$8="Yes",SUMIF(Tabella678[[#All],[Year]],Tabella6[[#This Row],[Year]],Tabella678[[#All],[Salary and Pension]]),0)</f>
        <v>90761.416914809495</v>
      </c>
      <c r="K38" s="36">
        <f ca="1">Tabella6[[#This Row],[Salary and Pension]]+Tabella6[[#This Row],[Partmer Salary and Pension]]</f>
        <v>227874.81770961676</v>
      </c>
      <c r="L38" s="24"/>
    </row>
    <row r="39" spans="2:12">
      <c r="B39" s="80">
        <v>38</v>
      </c>
      <c r="C39" s="80">
        <f ca="1">IF(Tabella6[[#This Row],[Age]]=$C$5,$C$10,IF(Tabella6[[#This Row],[Age]]&lt;$C$5,$C$10-($C$5-Tabella6[[#This Row],[Age]]),IF(Tabella6[[#This Row],[Age]]&gt;$C$5,$C$10+Tabella6[[#This Row],[Age]]-$C$5)))</f>
        <v>2034</v>
      </c>
      <c r="D39" s="4">
        <f>IF(AND(Tabella6[[#This Row],[Age]]&gt;=$C$5, Tabella6[[#This Row],[Age]]&lt;=$C$9),$C$6,0)</f>
        <v>100000</v>
      </c>
      <c r="E39" s="4">
        <f>IF(Tabella6[[#This Row],[Gross Base Salary]]=0,Tabella6[[#This Row],[Gross Base Salary]], IF(AND(Tabella6[[#This Row],[Gross Base Salary]]&gt;0,E38&gt;0),E38*(1+$C$7),Tabella6[[#This Row],[Gross Base Salary]]))</f>
        <v>107224.66684701681</v>
      </c>
      <c r="F39" s="4">
        <f>IF(Tabella6[[#This Row],[Gross Base Salary]]=0,Tabella6[[#This Row],[Gross Base Salary]], IF(AND(Tabella6[[#This Row],[Gross Base Salary]]&gt;0,F38&gt;0),F38*(1+$C$8),Tabella6[[#This Row],[Gross Base Salary]]))</f>
        <v>134571.06531621167</v>
      </c>
      <c r="G39" s="4">
        <f>Tabella6[[#This Row],[Salary + inflation]]+Tabella6[[#This Row],[Salary + salary increases]]-(Tabella6[[#This Row],[Gross Base Salary]]*2)</f>
        <v>41795.732163228473</v>
      </c>
      <c r="H39" s="4">
        <f>Tabella6[[#This Row],[Inflation + salary increases]]+Tabella6[[#This Row],[Gross Base Salary]]</f>
        <v>141795.73216322847</v>
      </c>
      <c r="I39" s="36">
        <f>IF(Tabella6[[#This Row],[Age]]&lt;=$C$9,Tabella6[[#This Row],[Adjusted salary]],$G$109)</f>
        <v>141795.73216322847</v>
      </c>
      <c r="J39" s="36">
        <f ca="1">IF('General overview'!$C$8="Yes",SUMIF(Tabella678[[#All],[Year]],Tabella6[[#This Row],[Year]],Tabella678[[#All],[Salary and Pension]]),0)</f>
        <v>93330.683710381563</v>
      </c>
      <c r="K39" s="36">
        <f ca="1">Tabella6[[#This Row],[Salary and Pension]]+Tabella6[[#This Row],[Partmer Salary and Pension]]</f>
        <v>235126.41587361004</v>
      </c>
      <c r="L39" s="24"/>
    </row>
    <row r="40" spans="2:12">
      <c r="B40" s="80">
        <v>39</v>
      </c>
      <c r="C40" s="80">
        <f ca="1">IF(Tabella6[[#This Row],[Age]]=$C$5,$C$10,IF(Tabella6[[#This Row],[Age]]&lt;$C$5,$C$10-($C$5-Tabella6[[#This Row],[Age]]),IF(Tabella6[[#This Row],[Age]]&gt;$C$5,$C$10+Tabella6[[#This Row],[Age]]-$C$5)))</f>
        <v>2035</v>
      </c>
      <c r="D40" s="4">
        <f>IF(AND(Tabella6[[#This Row],[Age]]&gt;=$C$5, Tabella6[[#This Row],[Age]]&lt;=$C$9),$C$6,0)</f>
        <v>100000</v>
      </c>
      <c r="E40" s="4">
        <f>IF(Tabella6[[#This Row],[Gross Base Salary]]=0,Tabella6[[#This Row],[Gross Base Salary]], IF(AND(Tabella6[[#This Row],[Gross Base Salary]]&gt;0,E39&gt;0),E39*(1+$C$7),Tabella6[[#This Row],[Gross Base Salary]]))</f>
        <v>107975.23951494592</v>
      </c>
      <c r="F40" s="4">
        <f>IF(Tabella6[[#This Row],[Gross Base Salary]]=0,Tabella6[[#This Row],[Gross Base Salary]], IF(AND(Tabella6[[#This Row],[Gross Base Salary]]&gt;0,F39&gt;0),F39*(1+$C$8),Tabella6[[#This Row],[Gross Base Salary]]))</f>
        <v>138626.69186138053</v>
      </c>
      <c r="G40" s="4">
        <f>Tabella6[[#This Row],[Salary + inflation]]+Tabella6[[#This Row],[Salary + salary increases]]-(Tabella6[[#This Row],[Gross Base Salary]]*2)</f>
        <v>46601.931376326451</v>
      </c>
      <c r="H40" s="4">
        <f>Tabella6[[#This Row],[Inflation + salary increases]]+Tabella6[[#This Row],[Gross Base Salary]]</f>
        <v>146601.93137632645</v>
      </c>
      <c r="I40" s="36">
        <f>IF(Tabella6[[#This Row],[Age]]&lt;=$C$9,Tabella6[[#This Row],[Adjusted salary]],$G$109)</f>
        <v>146601.93137632645</v>
      </c>
      <c r="J40" s="36">
        <f ca="1">IF('General overview'!$C$8="Yes",SUMIF(Tabella678[[#All],[Year]],Tabella6[[#This Row],[Year]],Tabella678[[#All],[Salary and Pension]]),0)</f>
        <v>95957.225859973812</v>
      </c>
      <c r="K40" s="36">
        <f ca="1">Tabella6[[#This Row],[Salary and Pension]]+Tabella6[[#This Row],[Partmer Salary and Pension]]</f>
        <v>242559.15723630026</v>
      </c>
      <c r="L40" s="24"/>
    </row>
    <row r="41" spans="2:12">
      <c r="B41" s="80">
        <v>40</v>
      </c>
      <c r="C41" s="80">
        <f ca="1">IF(Tabella6[[#This Row],[Age]]=$C$5,$C$10,IF(Tabella6[[#This Row],[Age]]&lt;$C$5,$C$10-($C$5-Tabella6[[#This Row],[Age]]),IF(Tabella6[[#This Row],[Age]]&gt;$C$5,$C$10+Tabella6[[#This Row],[Age]]-$C$5)))</f>
        <v>2036</v>
      </c>
      <c r="D41" s="4">
        <f>IF(AND(Tabella6[[#This Row],[Age]]&gt;=$C$5, Tabella6[[#This Row],[Age]]&lt;=$C$9),$C$6,0)</f>
        <v>100000</v>
      </c>
      <c r="E41" s="4">
        <f>IF(Tabella6[[#This Row],[Gross Base Salary]]=0,Tabella6[[#This Row],[Gross Base Salary]], IF(AND(Tabella6[[#This Row],[Gross Base Salary]]&gt;0,E40&gt;0),E40*(1+$C$7),Tabella6[[#This Row],[Gross Base Salary]]))</f>
        <v>108731.06619155053</v>
      </c>
      <c r="F41" s="4">
        <f>IF(Tabella6[[#This Row],[Gross Base Salary]]=0,Tabella6[[#This Row],[Gross Base Salary]], IF(AND(Tabella6[[#This Row],[Gross Base Salary]]&gt;0,F40&gt;0),F40*(1+$C$8),Tabella6[[#This Row],[Gross Base Salary]]))</f>
        <v>142804.54458225239</v>
      </c>
      <c r="G41" s="4">
        <f>Tabella6[[#This Row],[Salary + inflation]]+Tabella6[[#This Row],[Salary + salary increases]]-(Tabella6[[#This Row],[Gross Base Salary]]*2)</f>
        <v>51535.61077380291</v>
      </c>
      <c r="H41" s="4">
        <f>Tabella6[[#This Row],[Inflation + salary increases]]+Tabella6[[#This Row],[Gross Base Salary]]</f>
        <v>151535.61077380291</v>
      </c>
      <c r="I41" s="36">
        <f>IF(Tabella6[[#This Row],[Age]]&lt;=$C$9,Tabella6[[#This Row],[Adjusted salary]],$G$109)</f>
        <v>151535.61077380291</v>
      </c>
      <c r="J41" s="36">
        <f ca="1">IF('General overview'!$C$8="Yes",SUMIF(Tabella678[[#All],[Year]],Tabella6[[#This Row],[Year]],Tabella678[[#All],[Salary and Pension]]),0)</f>
        <v>98642.447827509372</v>
      </c>
      <c r="K41" s="36">
        <f ca="1">Tabella6[[#This Row],[Salary and Pension]]+Tabella6[[#This Row],[Partmer Salary and Pension]]</f>
        <v>250178.05860131228</v>
      </c>
      <c r="L41" s="24"/>
    </row>
    <row r="42" spans="2:12">
      <c r="B42" s="80">
        <v>41</v>
      </c>
      <c r="C42" s="80">
        <f ca="1">IF(Tabella6[[#This Row],[Age]]=$C$5,$C$10,IF(Tabella6[[#This Row],[Age]]&lt;$C$5,$C$10-($C$5-Tabella6[[#This Row],[Age]]),IF(Tabella6[[#This Row],[Age]]&gt;$C$5,$C$10+Tabella6[[#This Row],[Age]]-$C$5)))</f>
        <v>2037</v>
      </c>
      <c r="D42" s="4">
        <f>IF(AND(Tabella6[[#This Row],[Age]]&gt;=$C$5, Tabella6[[#This Row],[Age]]&lt;=$C$9),$C$6,0)</f>
        <v>100000</v>
      </c>
      <c r="E42" s="4">
        <f>IF(Tabella6[[#This Row],[Gross Base Salary]]=0,Tabella6[[#This Row],[Gross Base Salary]], IF(AND(Tabella6[[#This Row],[Gross Base Salary]]&gt;0,E41&gt;0),E41*(1+$C$7),Tabella6[[#This Row],[Gross Base Salary]]))</f>
        <v>109492.18365489137</v>
      </c>
      <c r="F42" s="4">
        <f>IF(Tabella6[[#This Row],[Gross Base Salary]]=0,Tabella6[[#This Row],[Gross Base Salary]], IF(AND(Tabella6[[#This Row],[Gross Base Salary]]&gt;0,F41&gt;0),F41*(1+$C$8),Tabella6[[#This Row],[Gross Base Salary]]))</f>
        <v>147108.30706208144</v>
      </c>
      <c r="G42" s="4">
        <f>Tabella6[[#This Row],[Salary + inflation]]+Tabella6[[#This Row],[Salary + salary increases]]-(Tabella6[[#This Row],[Gross Base Salary]]*2)</f>
        <v>56600.490716972796</v>
      </c>
      <c r="H42" s="4">
        <f>Tabella6[[#This Row],[Inflation + salary increases]]+Tabella6[[#This Row],[Gross Base Salary]]</f>
        <v>156600.4907169728</v>
      </c>
      <c r="I42" s="36">
        <f>IF(Tabella6[[#This Row],[Age]]&lt;=$C$9,Tabella6[[#This Row],[Adjusted salary]],$G$109)</f>
        <v>156600.4907169728</v>
      </c>
      <c r="J42" s="36">
        <f ca="1">IF('General overview'!$C$8="Yes",SUMIF(Tabella678[[#All],[Year]],Tabella6[[#This Row],[Year]],Tabella678[[#All],[Salary and Pension]]),0)</f>
        <v>101387.7892366708</v>
      </c>
      <c r="K42" s="36">
        <f ca="1">Tabella6[[#This Row],[Salary and Pension]]+Tabella6[[#This Row],[Partmer Salary and Pension]]</f>
        <v>257988.27995364359</v>
      </c>
      <c r="L42" s="24"/>
    </row>
    <row r="43" spans="2:12">
      <c r="B43" s="80">
        <v>42</v>
      </c>
      <c r="C43" s="80">
        <f ca="1">IF(Tabella6[[#This Row],[Age]]=$C$5,$C$10,IF(Tabella6[[#This Row],[Age]]&lt;$C$5,$C$10-($C$5-Tabella6[[#This Row],[Age]]),IF(Tabella6[[#This Row],[Age]]&gt;$C$5,$C$10+Tabella6[[#This Row],[Age]]-$C$5)))</f>
        <v>2038</v>
      </c>
      <c r="D43" s="4">
        <f>IF(AND(Tabella6[[#This Row],[Age]]&gt;=$C$5, Tabella6[[#This Row],[Age]]&lt;=$C$9),$C$6,0)</f>
        <v>100000</v>
      </c>
      <c r="E43" s="4">
        <f>IF(Tabella6[[#This Row],[Gross Base Salary]]=0,Tabella6[[#This Row],[Gross Base Salary]], IF(AND(Tabella6[[#This Row],[Gross Base Salary]]&gt;0,E42&gt;0),E42*(1+$C$7),Tabella6[[#This Row],[Gross Base Salary]]))</f>
        <v>110258.6289404756</v>
      </c>
      <c r="F43" s="4">
        <f>IF(Tabella6[[#This Row],[Gross Base Salary]]=0,Tabella6[[#This Row],[Gross Base Salary]], IF(AND(Tabella6[[#This Row],[Gross Base Salary]]&gt;0,F42&gt;0),F42*(1+$C$8),Tabella6[[#This Row],[Gross Base Salary]]))</f>
        <v>151541.77389786756</v>
      </c>
      <c r="G43" s="4">
        <f>Tabella6[[#This Row],[Salary + inflation]]+Tabella6[[#This Row],[Salary + salary increases]]-(Tabella6[[#This Row],[Gross Base Salary]]*2)</f>
        <v>61800.402838343172</v>
      </c>
      <c r="H43" s="4">
        <f>Tabella6[[#This Row],[Inflation + salary increases]]+Tabella6[[#This Row],[Gross Base Salary]]</f>
        <v>161800.40283834317</v>
      </c>
      <c r="I43" s="36">
        <f>IF(Tabella6[[#This Row],[Age]]&lt;=$C$9,Tabella6[[#This Row],[Adjusted salary]],$G$109)</f>
        <v>161800.40283834317</v>
      </c>
      <c r="J43" s="36">
        <f ca="1">IF('General overview'!$C$8="Yes",SUMIF(Tabella678[[#All],[Year]],Tabella6[[#This Row],[Year]],Tabella678[[#All],[Salary and Pension]]),0)</f>
        <v>104194.7257547972</v>
      </c>
      <c r="K43" s="36">
        <f ca="1">Tabella6[[#This Row],[Salary and Pension]]+Tabella6[[#This Row],[Partmer Salary and Pension]]</f>
        <v>265995.1285931404</v>
      </c>
      <c r="L43" s="24"/>
    </row>
    <row r="44" spans="2:12">
      <c r="B44" s="80">
        <v>43</v>
      </c>
      <c r="C44" s="80">
        <f ca="1">IF(Tabella6[[#This Row],[Age]]=$C$5,$C$10,IF(Tabella6[[#This Row],[Age]]&lt;$C$5,$C$10-($C$5-Tabella6[[#This Row],[Age]]),IF(Tabella6[[#This Row],[Age]]&gt;$C$5,$C$10+Tabella6[[#This Row],[Age]]-$C$5)))</f>
        <v>2039</v>
      </c>
      <c r="D44" s="4">
        <f>IF(AND(Tabella6[[#This Row],[Age]]&gt;=$C$5, Tabella6[[#This Row],[Age]]&lt;=$C$9),$C$6,0)</f>
        <v>100000</v>
      </c>
      <c r="E44" s="4">
        <f>IF(Tabella6[[#This Row],[Gross Base Salary]]=0,Tabella6[[#This Row],[Gross Base Salary]], IF(AND(Tabella6[[#This Row],[Gross Base Salary]]&gt;0,E43&gt;0),E43*(1+$C$7),Tabella6[[#This Row],[Gross Base Salary]]))</f>
        <v>111030.43934305891</v>
      </c>
      <c r="F44" s="4">
        <f>IF(Tabella6[[#This Row],[Gross Base Salary]]=0,Tabella6[[#This Row],[Gross Base Salary]], IF(AND(Tabella6[[#This Row],[Gross Base Salary]]&gt;0,F43&gt;0),F43*(1+$C$8),Tabella6[[#This Row],[Gross Base Salary]]))</f>
        <v>156108.85404602578</v>
      </c>
      <c r="G44" s="4">
        <f>Tabella6[[#This Row],[Salary + inflation]]+Tabella6[[#This Row],[Salary + salary increases]]-(Tabella6[[#This Row],[Gross Base Salary]]*2)</f>
        <v>67139.293389084691</v>
      </c>
      <c r="H44" s="4">
        <f>Tabella6[[#This Row],[Inflation + salary increases]]+Tabella6[[#This Row],[Gross Base Salary]]</f>
        <v>167139.29338908469</v>
      </c>
      <c r="I44" s="36">
        <f>IF(Tabella6[[#This Row],[Age]]&lt;=$C$9,Tabella6[[#This Row],[Adjusted salary]],$G$109)</f>
        <v>167139.29338908469</v>
      </c>
      <c r="J44" s="36">
        <f ca="1">IF('General overview'!$C$8="Yes",SUMIF(Tabella678[[#All],[Year]],Tabella6[[#This Row],[Year]],Tabella678[[#All],[Salary and Pension]]),0)</f>
        <v>107064.76999902053</v>
      </c>
      <c r="K44" s="36">
        <f ca="1">Tabella6[[#This Row],[Salary and Pension]]+Tabella6[[#This Row],[Partmer Salary and Pension]]</f>
        <v>274204.06338810525</v>
      </c>
      <c r="L44" s="24"/>
    </row>
    <row r="45" spans="2:12">
      <c r="B45" s="80">
        <v>44</v>
      </c>
      <c r="C45" s="80">
        <f ca="1">IF(Tabella6[[#This Row],[Age]]=$C$5,$C$10,IF(Tabella6[[#This Row],[Age]]&lt;$C$5,$C$10-($C$5-Tabella6[[#This Row],[Age]]),IF(Tabella6[[#This Row],[Age]]&gt;$C$5,$C$10+Tabella6[[#This Row],[Age]]-$C$5)))</f>
        <v>2040</v>
      </c>
      <c r="D45" s="4">
        <f>IF(AND(Tabella6[[#This Row],[Age]]&gt;=$C$5, Tabella6[[#This Row],[Age]]&lt;=$C$9),$C$6,0)</f>
        <v>100000</v>
      </c>
      <c r="E45" s="4">
        <f>IF(Tabella6[[#This Row],[Gross Base Salary]]=0,Tabella6[[#This Row],[Gross Base Salary]], IF(AND(Tabella6[[#This Row],[Gross Base Salary]]&gt;0,E44&gt;0),E44*(1+$C$7),Tabella6[[#This Row],[Gross Base Salary]]))</f>
        <v>111807.65241846032</v>
      </c>
      <c r="F45" s="4">
        <f>IF(Tabella6[[#This Row],[Gross Base Salary]]=0,Tabella6[[#This Row],[Gross Base Salary]], IF(AND(Tabella6[[#This Row],[Gross Base Salary]]&gt;0,F44&gt;0),F44*(1+$C$8),Tabella6[[#This Row],[Gross Base Salary]]))</f>
        <v>160813.57426888548</v>
      </c>
      <c r="G45" s="4">
        <f>Tabella6[[#This Row],[Salary + inflation]]+Tabella6[[#This Row],[Salary + salary increases]]-(Tabella6[[#This Row],[Gross Base Salary]]*2)</f>
        <v>72621.22668734577</v>
      </c>
      <c r="H45" s="4">
        <f>Tabella6[[#This Row],[Inflation + salary increases]]+Tabella6[[#This Row],[Gross Base Salary]]</f>
        <v>172621.22668734577</v>
      </c>
      <c r="I45" s="36">
        <f>IF(Tabella6[[#This Row],[Age]]&lt;=$C$9,Tabella6[[#This Row],[Adjusted salary]],$G$109)</f>
        <v>172621.22668734577</v>
      </c>
      <c r="J45" s="36">
        <f ca="1">IF('General overview'!$C$8="Yes",SUMIF(Tabella678[[#All],[Year]],Tabella6[[#This Row],[Year]],Tabella678[[#All],[Salary and Pension]]),0)</f>
        <v>109999.47246520076</v>
      </c>
      <c r="K45" s="36">
        <f ca="1">Tabella6[[#This Row],[Salary and Pension]]+Tabella6[[#This Row],[Partmer Salary and Pension]]</f>
        <v>282620.69915254653</v>
      </c>
      <c r="L45" s="24"/>
    </row>
    <row r="46" spans="2:12">
      <c r="B46" s="80">
        <v>45</v>
      </c>
      <c r="C46" s="80">
        <f ca="1">IF(Tabella6[[#This Row],[Age]]=$C$5,$C$10,IF(Tabella6[[#This Row],[Age]]&lt;$C$5,$C$10-($C$5-Tabella6[[#This Row],[Age]]),IF(Tabella6[[#This Row],[Age]]&gt;$C$5,$C$10+Tabella6[[#This Row],[Age]]-$C$5)))</f>
        <v>2041</v>
      </c>
      <c r="D46" s="4">
        <f>IF(AND(Tabella6[[#This Row],[Age]]&gt;=$C$5, Tabella6[[#This Row],[Age]]&lt;=$C$9),$C$6,0)</f>
        <v>100000</v>
      </c>
      <c r="E46" s="4">
        <f>IF(Tabella6[[#This Row],[Gross Base Salary]]=0,Tabella6[[#This Row],[Gross Base Salary]], IF(AND(Tabella6[[#This Row],[Gross Base Salary]]&gt;0,E45&gt;0),E45*(1+$C$7),Tabella6[[#This Row],[Gross Base Salary]]))</f>
        <v>112590.30598538952</v>
      </c>
      <c r="F46" s="4">
        <f>IF(Tabella6[[#This Row],[Gross Base Salary]]=0,Tabella6[[#This Row],[Gross Base Salary]], IF(AND(Tabella6[[#This Row],[Gross Base Salary]]&gt;0,F45&gt;0),F45*(1+$C$8),Tabella6[[#This Row],[Gross Base Salary]]))</f>
        <v>165660.08268505841</v>
      </c>
      <c r="G46" s="4">
        <f>Tabella6[[#This Row],[Salary + inflation]]+Tabella6[[#This Row],[Salary + salary increases]]-(Tabella6[[#This Row],[Gross Base Salary]]*2)</f>
        <v>78250.388670447923</v>
      </c>
      <c r="H46" s="4">
        <f>Tabella6[[#This Row],[Inflation + salary increases]]+Tabella6[[#This Row],[Gross Base Salary]]</f>
        <v>178250.38867044792</v>
      </c>
      <c r="I46" s="36">
        <f>IF(Tabella6[[#This Row],[Age]]&lt;=$C$9,Tabella6[[#This Row],[Adjusted salary]],$G$109)</f>
        <v>178250.38867044792</v>
      </c>
      <c r="J46" s="36">
        <f ca="1">IF('General overview'!$C$8="Yes",SUMIF(Tabella678[[#All],[Year]],Tabella6[[#This Row],[Year]],Tabella678[[#All],[Salary and Pension]]),0)</f>
        <v>113000.42248023374</v>
      </c>
      <c r="K46" s="36">
        <f ca="1">Tabella6[[#This Row],[Salary and Pension]]+Tabella6[[#This Row],[Partmer Salary and Pension]]</f>
        <v>291250.81115068169</v>
      </c>
      <c r="L46" s="24"/>
    </row>
    <row r="47" spans="2:12">
      <c r="B47" s="80">
        <v>46</v>
      </c>
      <c r="C47" s="80">
        <f ca="1">IF(Tabella6[[#This Row],[Age]]=$C$5,$C$10,IF(Tabella6[[#This Row],[Age]]&lt;$C$5,$C$10-($C$5-Tabella6[[#This Row],[Age]]),IF(Tabella6[[#This Row],[Age]]&gt;$C$5,$C$10+Tabella6[[#This Row],[Age]]-$C$5)))</f>
        <v>2042</v>
      </c>
      <c r="D47" s="4">
        <f>IF(AND(Tabella6[[#This Row],[Age]]&gt;=$C$5, Tabella6[[#This Row],[Age]]&lt;=$C$9),$C$6,0)</f>
        <v>100000</v>
      </c>
      <c r="E47" s="4">
        <f>IF(Tabella6[[#This Row],[Gross Base Salary]]=0,Tabella6[[#This Row],[Gross Base Salary]], IF(AND(Tabella6[[#This Row],[Gross Base Salary]]&gt;0,E46&gt;0),E46*(1+$C$7),Tabella6[[#This Row],[Gross Base Salary]]))</f>
        <v>113378.43812728724</v>
      </c>
      <c r="F47" s="4">
        <f>IF(Tabella6[[#This Row],[Gross Base Salary]]=0,Tabella6[[#This Row],[Gross Base Salary]], IF(AND(Tabella6[[#This Row],[Gross Base Salary]]&gt;0,F46&gt;0),F46*(1+$C$8),Tabella6[[#This Row],[Gross Base Salary]]))</f>
        <v>170652.65242680552</v>
      </c>
      <c r="G47" s="4">
        <f>Tabella6[[#This Row],[Salary + inflation]]+Tabella6[[#This Row],[Salary + salary increases]]-(Tabella6[[#This Row],[Gross Base Salary]]*2)</f>
        <v>84031.090554092778</v>
      </c>
      <c r="H47" s="4">
        <f>Tabella6[[#This Row],[Inflation + salary increases]]+Tabella6[[#This Row],[Gross Base Salary]]</f>
        <v>184031.09055409278</v>
      </c>
      <c r="I47" s="36">
        <f>IF(Tabella6[[#This Row],[Age]]&lt;=$C$9,Tabella6[[#This Row],[Adjusted salary]],$G$109)</f>
        <v>184031.09055409278</v>
      </c>
      <c r="J47" s="36">
        <f ca="1">IF('General overview'!$C$8="Yes",SUMIF(Tabella678[[#All],[Year]],Tabella6[[#This Row],[Year]],Tabella678[[#All],[Salary and Pension]]),0)</f>
        <v>116069.24917831988</v>
      </c>
      <c r="K47" s="36">
        <f ca="1">Tabella6[[#This Row],[Salary and Pension]]+Tabella6[[#This Row],[Partmer Salary and Pension]]</f>
        <v>300100.33973241266</v>
      </c>
      <c r="L47" s="24"/>
    </row>
    <row r="48" spans="2:12">
      <c r="B48" s="80">
        <v>47</v>
      </c>
      <c r="C48" s="80">
        <f ca="1">IF(Tabella6[[#This Row],[Age]]=$C$5,$C$10,IF(Tabella6[[#This Row],[Age]]&lt;$C$5,$C$10-($C$5-Tabella6[[#This Row],[Age]]),IF(Tabella6[[#This Row],[Age]]&gt;$C$5,$C$10+Tabella6[[#This Row],[Age]]-$C$5)))</f>
        <v>2043</v>
      </c>
      <c r="D48" s="4">
        <f>IF(AND(Tabella6[[#This Row],[Age]]&gt;=$C$5, Tabella6[[#This Row],[Age]]&lt;=$C$9),$C$6,0)</f>
        <v>100000</v>
      </c>
      <c r="E48" s="4">
        <f>IF(Tabella6[[#This Row],[Gross Base Salary]]=0,Tabella6[[#This Row],[Gross Base Salary]], IF(AND(Tabella6[[#This Row],[Gross Base Salary]]&gt;0,E47&gt;0),E47*(1+$C$7),Tabella6[[#This Row],[Gross Base Salary]]))</f>
        <v>114172.08719417824</v>
      </c>
      <c r="F48" s="4">
        <f>IF(Tabella6[[#This Row],[Gross Base Salary]]=0,Tabella6[[#This Row],[Gross Base Salary]], IF(AND(Tabella6[[#This Row],[Gross Base Salary]]&gt;0,F47&gt;0),F47*(1+$C$8),Tabella6[[#This Row],[Gross Base Salary]]))</f>
        <v>175795.68540762755</v>
      </c>
      <c r="G48" s="4">
        <f>Tabella6[[#This Row],[Salary + inflation]]+Tabella6[[#This Row],[Salary + salary increases]]-(Tabella6[[#This Row],[Gross Base Salary]]*2)</f>
        <v>89967.772601805802</v>
      </c>
      <c r="H48" s="4">
        <f>Tabella6[[#This Row],[Inflation + salary increases]]+Tabella6[[#This Row],[Gross Base Salary]]</f>
        <v>189967.7726018058</v>
      </c>
      <c r="I48" s="36">
        <f>IF(Tabella6[[#This Row],[Age]]&lt;=$C$9,Tabella6[[#This Row],[Adjusted salary]],$G$109)</f>
        <v>189967.7726018058</v>
      </c>
      <c r="J48" s="36">
        <f ca="1">IF('General overview'!$C$8="Yes",SUMIF(Tabella678[[#All],[Year]],Tabella6[[#This Row],[Year]],Tabella678[[#All],[Salary and Pension]]),0)</f>
        <v>119207.6225017964</v>
      </c>
      <c r="K48" s="36">
        <f ca="1">Tabella6[[#This Row],[Salary and Pension]]+Tabella6[[#This Row],[Partmer Salary and Pension]]</f>
        <v>309175.3951036022</v>
      </c>
      <c r="L48" s="24"/>
    </row>
    <row r="49" spans="2:12">
      <c r="B49" s="80">
        <v>48</v>
      </c>
      <c r="C49" s="80">
        <f ca="1">IF(Tabella6[[#This Row],[Age]]=$C$5,$C$10,IF(Tabella6[[#This Row],[Age]]&lt;$C$5,$C$10-($C$5-Tabella6[[#This Row],[Age]]),IF(Tabella6[[#This Row],[Age]]&gt;$C$5,$C$10+Tabella6[[#This Row],[Age]]-$C$5)))</f>
        <v>2044</v>
      </c>
      <c r="D49" s="4">
        <f>IF(AND(Tabella6[[#This Row],[Age]]&gt;=$C$5, Tabella6[[#This Row],[Age]]&lt;=$C$9),$C$6,0)</f>
        <v>100000</v>
      </c>
      <c r="E49" s="4">
        <f>IF(Tabella6[[#This Row],[Gross Base Salary]]=0,Tabella6[[#This Row],[Gross Base Salary]], IF(AND(Tabella6[[#This Row],[Gross Base Salary]]&gt;0,E48&gt;0),E48*(1+$C$7),Tabella6[[#This Row],[Gross Base Salary]]))</f>
        <v>114971.29180453747</v>
      </c>
      <c r="F49" s="4">
        <f>IF(Tabella6[[#This Row],[Gross Base Salary]]=0,Tabella6[[#This Row],[Gross Base Salary]], IF(AND(Tabella6[[#This Row],[Gross Base Salary]]&gt;0,F48&gt;0),F48*(1+$C$8),Tabella6[[#This Row],[Gross Base Salary]]))</f>
        <v>181093.71620340101</v>
      </c>
      <c r="G49" s="4">
        <f>Tabella6[[#This Row],[Salary + inflation]]+Tabella6[[#This Row],[Salary + salary increases]]-(Tabella6[[#This Row],[Gross Base Salary]]*2)</f>
        <v>96065.008007938508</v>
      </c>
      <c r="H49" s="4">
        <f>Tabella6[[#This Row],[Inflation + salary increases]]+Tabella6[[#This Row],[Gross Base Salary]]</f>
        <v>196065.00800793851</v>
      </c>
      <c r="I49" s="36">
        <f>IF(Tabella6[[#This Row],[Age]]&lt;=$C$9,Tabella6[[#This Row],[Adjusted salary]],$G$109)</f>
        <v>196065.00800793851</v>
      </c>
      <c r="J49" s="36">
        <f ca="1">IF('General overview'!$C$8="Yes",SUMIF(Tabella678[[#All],[Year]],Tabella6[[#This Row],[Year]],Tabella678[[#All],[Salary and Pension]]),0)</f>
        <v>122417.25422715192</v>
      </c>
      <c r="K49" s="36">
        <f ca="1">Tabella6[[#This Row],[Salary and Pension]]+Tabella6[[#This Row],[Partmer Salary and Pension]]</f>
        <v>318482.26223509043</v>
      </c>
      <c r="L49" s="24"/>
    </row>
    <row r="50" spans="2:12">
      <c r="B50" s="80">
        <v>49</v>
      </c>
      <c r="C50" s="80">
        <f ca="1">IF(Tabella6[[#This Row],[Age]]=$C$5,$C$10,IF(Tabella6[[#This Row],[Age]]&lt;$C$5,$C$10-($C$5-Tabella6[[#This Row],[Age]]),IF(Tabella6[[#This Row],[Age]]&gt;$C$5,$C$10+Tabella6[[#This Row],[Age]]-$C$5)))</f>
        <v>2045</v>
      </c>
      <c r="D50" s="4">
        <f>IF(AND(Tabella6[[#This Row],[Age]]&gt;=$C$5, Tabella6[[#This Row],[Age]]&lt;=$C$9),$C$6,0)</f>
        <v>100000</v>
      </c>
      <c r="E50" s="4">
        <f>IF(Tabella6[[#This Row],[Gross Base Salary]]=0,Tabella6[[#This Row],[Gross Base Salary]], IF(AND(Tabella6[[#This Row],[Gross Base Salary]]&gt;0,E49&gt;0),E49*(1+$C$7),Tabella6[[#This Row],[Gross Base Salary]]))</f>
        <v>115776.09084716922</v>
      </c>
      <c r="F50" s="4">
        <f>IF(Tabella6[[#This Row],[Gross Base Salary]]=0,Tabella6[[#This Row],[Gross Base Salary]], IF(AND(Tabella6[[#This Row],[Gross Base Salary]]&gt;0,F49&gt;0),F49*(1+$C$8),Tabella6[[#This Row],[Gross Base Salary]]))</f>
        <v>186551.41605048184</v>
      </c>
      <c r="G50" s="4">
        <f>Tabella6[[#This Row],[Salary + inflation]]+Tabella6[[#This Row],[Salary + salary increases]]-(Tabella6[[#This Row],[Gross Base Salary]]*2)</f>
        <v>102327.50689765107</v>
      </c>
      <c r="H50" s="4">
        <f>Tabella6[[#This Row],[Inflation + salary increases]]+Tabella6[[#This Row],[Gross Base Salary]]</f>
        <v>202327.50689765107</v>
      </c>
      <c r="I50" s="36">
        <f>IF(Tabella6[[#This Row],[Age]]&lt;=$C$9,Tabella6[[#This Row],[Adjusted salary]],$G$109)</f>
        <v>202327.50689765107</v>
      </c>
      <c r="J50" s="36">
        <f ca="1">IF('General overview'!$C$8="Yes",SUMIF(Tabella678[[#All],[Year]],Tabella6[[#This Row],[Year]],Tabella678[[#All],[Salary and Pension]]),0)</f>
        <v>125699.89901685619</v>
      </c>
      <c r="K50" s="36">
        <f ca="1">Tabella6[[#This Row],[Salary and Pension]]+Tabella6[[#This Row],[Partmer Salary and Pension]]</f>
        <v>328027.40591450722</v>
      </c>
      <c r="L50" s="24"/>
    </row>
    <row r="51" spans="2:12">
      <c r="B51" s="80">
        <v>50</v>
      </c>
      <c r="C51" s="80">
        <f ca="1">IF(Tabella6[[#This Row],[Age]]=$C$5,$C$10,IF(Tabella6[[#This Row],[Age]]&lt;$C$5,$C$10-($C$5-Tabella6[[#This Row],[Age]]),IF(Tabella6[[#This Row],[Age]]&gt;$C$5,$C$10+Tabella6[[#This Row],[Age]]-$C$5)))</f>
        <v>2046</v>
      </c>
      <c r="D51" s="4">
        <f>IF(AND(Tabella6[[#This Row],[Age]]&gt;=$C$5, Tabella6[[#This Row],[Age]]&lt;=$C$9),$C$6,0)</f>
        <v>100000</v>
      </c>
      <c r="E51" s="4">
        <f>IF(Tabella6[[#This Row],[Gross Base Salary]]=0,Tabella6[[#This Row],[Gross Base Salary]], IF(AND(Tabella6[[#This Row],[Gross Base Salary]]&gt;0,E50&gt;0),E50*(1+$C$7),Tabella6[[#This Row],[Gross Base Salary]]))</f>
        <v>116586.5234830994</v>
      </c>
      <c r="F51" s="4">
        <f>IF(Tabella6[[#This Row],[Gross Base Salary]]=0,Tabella6[[#This Row],[Gross Base Salary]], IF(AND(Tabella6[[#This Row],[Gross Base Salary]]&gt;0,F50&gt;0),F50*(1+$C$8),Tabella6[[#This Row],[Gross Base Salary]]))</f>
        <v>192173.59696430145</v>
      </c>
      <c r="G51" s="4">
        <f>Tabella6[[#This Row],[Salary + inflation]]+Tabella6[[#This Row],[Salary + salary increases]]-(Tabella6[[#This Row],[Gross Base Salary]]*2)</f>
        <v>108760.12044740084</v>
      </c>
      <c r="H51" s="4">
        <f>Tabella6[[#This Row],[Inflation + salary increases]]+Tabella6[[#This Row],[Gross Base Salary]]</f>
        <v>208760.12044740084</v>
      </c>
      <c r="I51" s="36">
        <f>IF(Tabella6[[#This Row],[Age]]&lt;=$C$9,Tabella6[[#This Row],[Adjusted salary]],$G$109)</f>
        <v>208760.12044740084</v>
      </c>
      <c r="J51" s="36">
        <f ca="1">IF('General overview'!$C$8="Yes",SUMIF(Tabella678[[#All],[Year]],Tabella6[[#This Row],[Year]],Tabella678[[#All],[Salary and Pension]]),0)</f>
        <v>129057.35549765534</v>
      </c>
      <c r="K51" s="36">
        <f ca="1">Tabella6[[#This Row],[Salary and Pension]]+Tabella6[[#This Row],[Partmer Salary and Pension]]</f>
        <v>337817.47594505618</v>
      </c>
      <c r="L51" s="24"/>
    </row>
    <row r="52" spans="2:12">
      <c r="B52" s="80">
        <v>51</v>
      </c>
      <c r="C52" s="80">
        <f ca="1">IF(Tabella6[[#This Row],[Age]]=$C$5,$C$10,IF(Tabella6[[#This Row],[Age]]&lt;$C$5,$C$10-($C$5-Tabella6[[#This Row],[Age]]),IF(Tabella6[[#This Row],[Age]]&gt;$C$5,$C$10+Tabella6[[#This Row],[Age]]-$C$5)))</f>
        <v>2047</v>
      </c>
      <c r="D52" s="4">
        <f>IF(AND(Tabella6[[#This Row],[Age]]&gt;=$C$5, Tabella6[[#This Row],[Age]]&lt;=$C$9),$C$6,0)</f>
        <v>100000</v>
      </c>
      <c r="E52" s="4">
        <f>IF(Tabella6[[#This Row],[Gross Base Salary]]=0,Tabella6[[#This Row],[Gross Base Salary]], IF(AND(Tabella6[[#This Row],[Gross Base Salary]]&gt;0,E51&gt;0),E51*(1+$C$7),Tabella6[[#This Row],[Gross Base Salary]]))</f>
        <v>117402.62914748109</v>
      </c>
      <c r="F52" s="4">
        <f>IF(Tabella6[[#This Row],[Gross Base Salary]]=0,Tabella6[[#This Row],[Gross Base Salary]], IF(AND(Tabella6[[#This Row],[Gross Base Salary]]&gt;0,F51&gt;0),F51*(1+$C$8),Tabella6[[#This Row],[Gross Base Salary]]))</f>
        <v>197965.21598208681</v>
      </c>
      <c r="G52" s="4">
        <f>Tabella6[[#This Row],[Salary + inflation]]+Tabella6[[#This Row],[Salary + salary increases]]-(Tabella6[[#This Row],[Gross Base Salary]]*2)</f>
        <v>115367.8451295679</v>
      </c>
      <c r="H52" s="4">
        <f>Tabella6[[#This Row],[Inflation + salary increases]]+Tabella6[[#This Row],[Gross Base Salary]]</f>
        <v>215367.8451295679</v>
      </c>
      <c r="I52" s="36">
        <f>IF(Tabella6[[#This Row],[Age]]&lt;=$C$9,Tabella6[[#This Row],[Adjusted salary]],$G$109)</f>
        <v>215367.8451295679</v>
      </c>
      <c r="J52" s="36">
        <f ca="1">IF('General overview'!$C$8="Yes",SUMIF(Tabella678[[#All],[Year]],Tabella6[[#This Row],[Year]],Tabella678[[#All],[Salary and Pension]]),0)</f>
        <v>132491.46736599837</v>
      </c>
      <c r="K52" s="36">
        <f ca="1">Tabella6[[#This Row],[Salary and Pension]]+Tabella6[[#This Row],[Partmer Salary and Pension]]</f>
        <v>347859.31249556626</v>
      </c>
      <c r="L52" s="24"/>
    </row>
    <row r="53" spans="2:12">
      <c r="B53" s="80">
        <v>52</v>
      </c>
      <c r="C53" s="80">
        <f ca="1">IF(Tabella6[[#This Row],[Age]]=$C$5,$C$10,IF(Tabella6[[#This Row],[Age]]&lt;$C$5,$C$10-($C$5-Tabella6[[#This Row],[Age]]),IF(Tabella6[[#This Row],[Age]]&gt;$C$5,$C$10+Tabella6[[#This Row],[Age]]-$C$5)))</f>
        <v>2048</v>
      </c>
      <c r="D53" s="4">
        <f>IF(AND(Tabella6[[#This Row],[Age]]&gt;=$C$5, Tabella6[[#This Row],[Age]]&lt;=$C$9),$C$6,0)</f>
        <v>100000</v>
      </c>
      <c r="E53" s="4">
        <f>IF(Tabella6[[#This Row],[Gross Base Salary]]=0,Tabella6[[#This Row],[Gross Base Salary]], IF(AND(Tabella6[[#This Row],[Gross Base Salary]]&gt;0,E52&gt;0),E52*(1+$C$7),Tabella6[[#This Row],[Gross Base Salary]]))</f>
        <v>118224.44755151344</v>
      </c>
      <c r="F53" s="4">
        <f>IF(Tabella6[[#This Row],[Gross Base Salary]]=0,Tabella6[[#This Row],[Gross Base Salary]], IF(AND(Tabella6[[#This Row],[Gross Base Salary]]&gt;0,F52&gt;0),F52*(1+$C$8),Tabella6[[#This Row],[Gross Base Salary]]))</f>
        <v>203931.37953344511</v>
      </c>
      <c r="G53" s="4">
        <f>Tabella6[[#This Row],[Salary + inflation]]+Tabella6[[#This Row],[Salary + salary increases]]-(Tabella6[[#This Row],[Gross Base Salary]]*2)</f>
        <v>122155.82708495855</v>
      </c>
      <c r="H53" s="4">
        <f>Tabella6[[#This Row],[Inflation + salary increases]]+Tabella6[[#This Row],[Gross Base Salary]]</f>
        <v>222155.82708495855</v>
      </c>
      <c r="I53" s="36">
        <f>IF(Tabella6[[#This Row],[Age]]&lt;=$C$9,Tabella6[[#This Row],[Adjusted salary]],$G$109)</f>
        <v>222155.82708495855</v>
      </c>
      <c r="J53" s="36">
        <f ca="1">IF('General overview'!$C$8="Yes",SUMIF(Tabella678[[#All],[Year]],Tabella6[[#This Row],[Year]],Tabella678[[#All],[Salary and Pension]]),0)</f>
        <v>136004.1245212775</v>
      </c>
      <c r="K53" s="36">
        <f ca="1">Tabella6[[#This Row],[Salary and Pension]]+Tabella6[[#This Row],[Partmer Salary and Pension]]</f>
        <v>358159.95160623605</v>
      </c>
      <c r="L53" s="24"/>
    </row>
    <row r="54" spans="2:12">
      <c r="B54" s="80">
        <v>53</v>
      </c>
      <c r="C54" s="80">
        <f ca="1">IF(Tabella6[[#This Row],[Age]]=$C$5,$C$10,IF(Tabella6[[#This Row],[Age]]&lt;$C$5,$C$10-($C$5-Tabella6[[#This Row],[Age]]),IF(Tabella6[[#This Row],[Age]]&gt;$C$5,$C$10+Tabella6[[#This Row],[Age]]-$C$5)))</f>
        <v>2049</v>
      </c>
      <c r="D54" s="4">
        <f>IF(AND(Tabella6[[#This Row],[Age]]&gt;=$C$5, Tabella6[[#This Row],[Age]]&lt;=$C$9),$C$6,0)</f>
        <v>100000</v>
      </c>
      <c r="E54" s="4">
        <f>IF(Tabella6[[#This Row],[Gross Base Salary]]=0,Tabella6[[#This Row],[Gross Base Salary]], IF(AND(Tabella6[[#This Row],[Gross Base Salary]]&gt;0,E53&gt;0),E53*(1+$C$7),Tabella6[[#This Row],[Gross Base Salary]]))</f>
        <v>119052.01868437402</v>
      </c>
      <c r="F54" s="4">
        <f>IF(Tabella6[[#This Row],[Gross Base Salary]]=0,Tabella6[[#This Row],[Gross Base Salary]], IF(AND(Tabella6[[#This Row],[Gross Base Salary]]&gt;0,F53&gt;0),F53*(1+$C$8),Tabella6[[#This Row],[Gross Base Salary]]))</f>
        <v>210077.34794266682</v>
      </c>
      <c r="G54" s="4">
        <f>Tabella6[[#This Row],[Salary + inflation]]+Tabella6[[#This Row],[Salary + salary increases]]-(Tabella6[[#This Row],[Gross Base Salary]]*2)</f>
        <v>129129.36662704084</v>
      </c>
      <c r="H54" s="4">
        <f>Tabella6[[#This Row],[Inflation + salary increases]]+Tabella6[[#This Row],[Gross Base Salary]]</f>
        <v>229129.36662704084</v>
      </c>
      <c r="I54" s="36">
        <f>IF(Tabella6[[#This Row],[Age]]&lt;=$C$9,Tabella6[[#This Row],[Adjusted salary]],$G$109)</f>
        <v>229129.36662704084</v>
      </c>
      <c r="J54" s="36">
        <f ca="1">IF('General overview'!$C$8="Yes",SUMIF(Tabella678[[#All],[Year]],Tabella6[[#This Row],[Year]],Tabella678[[#All],[Salary and Pension]]),0)</f>
        <v>139597.26422758267</v>
      </c>
      <c r="K54" s="36">
        <f ca="1">Tabella6[[#This Row],[Salary and Pension]]+Tabella6[[#This Row],[Partmer Salary and Pension]]</f>
        <v>368726.63085462351</v>
      </c>
      <c r="L54" s="24"/>
    </row>
    <row r="55" spans="2:12">
      <c r="B55" s="80">
        <v>54</v>
      </c>
      <c r="C55" s="80">
        <f ca="1">IF(Tabella6[[#This Row],[Age]]=$C$5,$C$10,IF(Tabella6[[#This Row],[Age]]&lt;$C$5,$C$10-($C$5-Tabella6[[#This Row],[Age]]),IF(Tabella6[[#This Row],[Age]]&gt;$C$5,$C$10+Tabella6[[#This Row],[Age]]-$C$5)))</f>
        <v>2050</v>
      </c>
      <c r="D55" s="4">
        <f>IF(AND(Tabella6[[#This Row],[Age]]&gt;=$C$5, Tabella6[[#This Row],[Age]]&lt;=$C$9),$C$6,0)</f>
        <v>100000</v>
      </c>
      <c r="E55" s="4">
        <f>IF(Tabella6[[#This Row],[Gross Base Salary]]=0,Tabella6[[#This Row],[Gross Base Salary]], IF(AND(Tabella6[[#This Row],[Gross Base Salary]]&gt;0,E54&gt;0),E54*(1+$C$7),Tabella6[[#This Row],[Gross Base Salary]]))</f>
        <v>119885.38281516463</v>
      </c>
      <c r="F55" s="4">
        <f>IF(Tabella6[[#This Row],[Gross Base Salary]]=0,Tabella6[[#This Row],[Gross Base Salary]], IF(AND(Tabella6[[#This Row],[Gross Base Salary]]&gt;0,F54&gt;0),F54*(1+$C$8),Tabella6[[#This Row],[Gross Base Salary]]))</f>
        <v>216408.54006671638</v>
      </c>
      <c r="G55" s="4">
        <f>Tabella6[[#This Row],[Salary + inflation]]+Tabella6[[#This Row],[Salary + salary increases]]-(Tabella6[[#This Row],[Gross Base Salary]]*2)</f>
        <v>136293.92288188101</v>
      </c>
      <c r="H55" s="4">
        <f>Tabella6[[#This Row],[Inflation + salary increases]]+Tabella6[[#This Row],[Gross Base Salary]]</f>
        <v>236293.92288188101</v>
      </c>
      <c r="I55" s="36">
        <f>IF(Tabella6[[#This Row],[Age]]&lt;=$C$9,Tabella6[[#This Row],[Adjusted salary]],$G$109)</f>
        <v>236293.92288188101</v>
      </c>
      <c r="J55" s="36">
        <f ca="1">IF('General overview'!$C$8="Yes",SUMIF(Tabella678[[#All],[Year]],Tabella6[[#This Row],[Year]],Tabella678[[#All],[Salary and Pension]]),0)</f>
        <v>143272.87230468719</v>
      </c>
      <c r="K55" s="36">
        <f ca="1">Tabella6[[#This Row],[Salary and Pension]]+Tabella6[[#This Row],[Partmer Salary and Pension]]</f>
        <v>379566.79518656817</v>
      </c>
      <c r="L55" s="24"/>
    </row>
    <row r="56" spans="2:12">
      <c r="B56" s="80">
        <v>55</v>
      </c>
      <c r="C56" s="80">
        <f ca="1">IF(Tabella6[[#This Row],[Age]]=$C$5,$C$10,IF(Tabella6[[#This Row],[Age]]&lt;$C$5,$C$10-($C$5-Tabella6[[#This Row],[Age]]),IF(Tabella6[[#This Row],[Age]]&gt;$C$5,$C$10+Tabella6[[#This Row],[Age]]-$C$5)))</f>
        <v>2051</v>
      </c>
      <c r="D56" s="4">
        <f>IF(AND(Tabella6[[#This Row],[Age]]&gt;=$C$5, Tabella6[[#This Row],[Age]]&lt;=$C$9),$C$6,0)</f>
        <v>100000</v>
      </c>
      <c r="E56" s="4">
        <f>IF(Tabella6[[#This Row],[Gross Base Salary]]=0,Tabella6[[#This Row],[Gross Base Salary]], IF(AND(Tabella6[[#This Row],[Gross Base Salary]]&gt;0,E55&gt;0),E55*(1+$C$7),Tabella6[[#This Row],[Gross Base Salary]]))</f>
        <v>120724.58049487077</v>
      </c>
      <c r="F56" s="4">
        <f>IF(Tabella6[[#This Row],[Gross Base Salary]]=0,Tabella6[[#This Row],[Gross Base Salary]], IF(AND(Tabella6[[#This Row],[Gross Base Salary]]&gt;0,F55&gt;0),F55*(1+$C$8),Tabella6[[#This Row],[Gross Base Salary]]))</f>
        <v>222930.53807300015</v>
      </c>
      <c r="G56" s="4">
        <f>Tabella6[[#This Row],[Salary + inflation]]+Tabella6[[#This Row],[Salary + salary increases]]-(Tabella6[[#This Row],[Gross Base Salary]]*2)</f>
        <v>143655.11856787093</v>
      </c>
      <c r="H56" s="4">
        <f>Tabella6[[#This Row],[Inflation + salary increases]]+Tabella6[[#This Row],[Gross Base Salary]]</f>
        <v>243655.11856787093</v>
      </c>
      <c r="I56" s="36">
        <f>IF(Tabella6[[#This Row],[Age]]&lt;=$C$9,Tabella6[[#This Row],[Adjusted salary]],$G$109)</f>
        <v>243655.11856787093</v>
      </c>
      <c r="J56" s="36">
        <f ca="1">IF('General overview'!$C$8="Yes",SUMIF(Tabella678[[#All],[Year]],Tabella6[[#This Row],[Year]],Tabella678[[#All],[Salary and Pension]]),0)</f>
        <v>147032.98434900091</v>
      </c>
      <c r="K56" s="36">
        <f ca="1">Tabella6[[#This Row],[Salary and Pension]]+Tabella6[[#This Row],[Partmer Salary and Pension]]</f>
        <v>390688.10291687184</v>
      </c>
      <c r="L56" s="24"/>
    </row>
    <row r="57" spans="2:12">
      <c r="B57" s="80">
        <v>56</v>
      </c>
      <c r="C57" s="80">
        <f ca="1">IF(Tabella6[[#This Row],[Age]]=$C$5,$C$10,IF(Tabella6[[#This Row],[Age]]&lt;$C$5,$C$10-($C$5-Tabella6[[#This Row],[Age]]),IF(Tabella6[[#This Row],[Age]]&gt;$C$5,$C$10+Tabella6[[#This Row],[Age]]-$C$5)))</f>
        <v>2052</v>
      </c>
      <c r="D57" s="4">
        <f>IF(AND(Tabella6[[#This Row],[Age]]&gt;=$C$5, Tabella6[[#This Row],[Age]]&lt;=$C$9),$C$6,0)</f>
        <v>100000</v>
      </c>
      <c r="E57" s="4">
        <f>IF(Tabella6[[#This Row],[Gross Base Salary]]=0,Tabella6[[#This Row],[Gross Base Salary]], IF(AND(Tabella6[[#This Row],[Gross Base Salary]]&gt;0,E56&gt;0),E56*(1+$C$7),Tabella6[[#This Row],[Gross Base Salary]]))</f>
        <v>121569.65255833486</v>
      </c>
      <c r="F57" s="4">
        <f>IF(Tabella6[[#This Row],[Gross Base Salary]]=0,Tabella6[[#This Row],[Gross Base Salary]], IF(AND(Tabella6[[#This Row],[Gross Base Salary]]&gt;0,F56&gt;0),F56*(1+$C$8),Tabella6[[#This Row],[Gross Base Salary]]))</f>
        <v>229649.09236112409</v>
      </c>
      <c r="G57" s="4">
        <f>Tabella6[[#This Row],[Salary + inflation]]+Tabella6[[#This Row],[Salary + salary increases]]-(Tabella6[[#This Row],[Gross Base Salary]]*2)</f>
        <v>151218.74491945893</v>
      </c>
      <c r="H57" s="4">
        <f>Tabella6[[#This Row],[Inflation + salary increases]]+Tabella6[[#This Row],[Gross Base Salary]]</f>
        <v>251218.74491945893</v>
      </c>
      <c r="I57" s="36">
        <f>IF(Tabella6[[#This Row],[Age]]&lt;=$C$9,Tabella6[[#This Row],[Adjusted salary]],$G$109)</f>
        <v>251218.74491945893</v>
      </c>
      <c r="J57" s="36">
        <f ca="1">IF('General overview'!$C$8="Yes",SUMIF(Tabella678[[#All],[Year]],Tabella6[[#This Row],[Year]],Tabella678[[#All],[Salary and Pension]]),0)</f>
        <v>150879.68698524425</v>
      </c>
      <c r="K57" s="36">
        <f ca="1">Tabella6[[#This Row],[Salary and Pension]]+Tabella6[[#This Row],[Partmer Salary and Pension]]</f>
        <v>402098.43190470315</v>
      </c>
      <c r="L57" s="24"/>
    </row>
    <row r="58" spans="2:12">
      <c r="B58" s="80">
        <v>57</v>
      </c>
      <c r="C58" s="80">
        <f ca="1">IF(Tabella6[[#This Row],[Age]]=$C$5,$C$10,IF(Tabella6[[#This Row],[Age]]&lt;$C$5,$C$10-($C$5-Tabella6[[#This Row],[Age]]),IF(Tabella6[[#This Row],[Age]]&gt;$C$5,$C$10+Tabella6[[#This Row],[Age]]-$C$5)))</f>
        <v>2053</v>
      </c>
      <c r="D58" s="4">
        <f>IF(AND(Tabella6[[#This Row],[Age]]&gt;=$C$5, Tabella6[[#This Row],[Age]]&lt;=$C$9),$C$6,0)</f>
        <v>100000</v>
      </c>
      <c r="E58" s="4">
        <f>IF(Tabella6[[#This Row],[Gross Base Salary]]=0,Tabella6[[#This Row],[Gross Base Salary]], IF(AND(Tabella6[[#This Row],[Gross Base Salary]]&gt;0,E57&gt;0),E57*(1+$C$7),Tabella6[[#This Row],[Gross Base Salary]]))</f>
        <v>122420.64012624319</v>
      </c>
      <c r="F58" s="4">
        <f>IF(Tabella6[[#This Row],[Gross Base Salary]]=0,Tabella6[[#This Row],[Gross Base Salary]], IF(AND(Tabella6[[#This Row],[Gross Base Salary]]&gt;0,F57&gt;0),F57*(1+$C$8),Tabella6[[#This Row],[Gross Base Salary]]))</f>
        <v>236570.12663298039</v>
      </c>
      <c r="G58" s="4">
        <f>Tabella6[[#This Row],[Salary + inflation]]+Tabella6[[#This Row],[Salary + salary increases]]-(Tabella6[[#This Row],[Gross Base Salary]]*2)</f>
        <v>158990.7667592236</v>
      </c>
      <c r="H58" s="4">
        <f>Tabella6[[#This Row],[Inflation + salary increases]]+Tabella6[[#This Row],[Gross Base Salary]]</f>
        <v>258990.7667592236</v>
      </c>
      <c r="I58" s="36">
        <f>IF(Tabella6[[#This Row],[Age]]&lt;=$C$9,Tabella6[[#This Row],[Adjusted salary]],$G$109)</f>
        <v>258990.7667592236</v>
      </c>
      <c r="J58" s="36">
        <f ca="1">IF('General overview'!$C$8="Yes",SUMIF(Tabella678[[#All],[Year]],Tabella6[[#This Row],[Year]],Tabella678[[#All],[Salary and Pension]]),0)</f>
        <v>154815.11914961654</v>
      </c>
      <c r="K58" s="36">
        <f ca="1">Tabella6[[#This Row],[Salary and Pension]]+Tabella6[[#This Row],[Partmer Salary and Pension]]</f>
        <v>413805.88590884011</v>
      </c>
      <c r="L58" s="24"/>
    </row>
    <row r="59" spans="2:12">
      <c r="B59" s="80">
        <v>58</v>
      </c>
      <c r="C59" s="80">
        <f ca="1">IF(Tabella6[[#This Row],[Age]]=$C$5,$C$10,IF(Tabella6[[#This Row],[Age]]&lt;$C$5,$C$10-($C$5-Tabella6[[#This Row],[Age]]),IF(Tabella6[[#This Row],[Age]]&gt;$C$5,$C$10+Tabella6[[#This Row],[Age]]-$C$5)))</f>
        <v>2054</v>
      </c>
      <c r="D59" s="4">
        <f>IF(AND(Tabella6[[#This Row],[Age]]&gt;=$C$5, Tabella6[[#This Row],[Age]]&lt;=$C$9),$C$6,0)</f>
        <v>100000</v>
      </c>
      <c r="E59" s="4">
        <f>IF(Tabella6[[#This Row],[Gross Base Salary]]=0,Tabella6[[#This Row],[Gross Base Salary]], IF(AND(Tabella6[[#This Row],[Gross Base Salary]]&gt;0,E58&gt;0),E58*(1+$C$7),Tabella6[[#This Row],[Gross Base Salary]]))</f>
        <v>123277.58460712688</v>
      </c>
      <c r="F59" s="4">
        <f>IF(Tabella6[[#This Row],[Gross Base Salary]]=0,Tabella6[[#This Row],[Gross Base Salary]], IF(AND(Tabella6[[#This Row],[Gross Base Salary]]&gt;0,F58&gt;0),F58*(1+$C$8),Tabella6[[#This Row],[Gross Base Salary]]))</f>
        <v>243699.7431156337</v>
      </c>
      <c r="G59" s="4">
        <f>Tabella6[[#This Row],[Salary + inflation]]+Tabella6[[#This Row],[Salary + salary increases]]-(Tabella6[[#This Row],[Gross Base Salary]]*2)</f>
        <v>166977.32772276056</v>
      </c>
      <c r="H59" s="4">
        <f>Tabella6[[#This Row],[Inflation + salary increases]]+Tabella6[[#This Row],[Gross Base Salary]]</f>
        <v>266977.32772276056</v>
      </c>
      <c r="I59" s="36">
        <f>IF(Tabella6[[#This Row],[Age]]&lt;=$C$9,Tabella6[[#This Row],[Adjusted salary]],$G$109)</f>
        <v>266977.32772276056</v>
      </c>
      <c r="J59" s="36">
        <f ca="1">IF('General overview'!$C$8="Yes",SUMIF(Tabella678[[#All],[Year]],Tabella6[[#This Row],[Year]],Tabella678[[#All],[Salary and Pension]]),0)</f>
        <v>158841.47340525154</v>
      </c>
      <c r="K59" s="36">
        <f ca="1">Tabella6[[#This Row],[Salary and Pension]]+Tabella6[[#This Row],[Partmer Salary and Pension]]</f>
        <v>425818.80112801213</v>
      </c>
      <c r="L59" s="24"/>
    </row>
    <row r="60" spans="2:12">
      <c r="B60" s="80">
        <v>59</v>
      </c>
      <c r="C60" s="80">
        <f ca="1">IF(Tabella6[[#This Row],[Age]]=$C$5,$C$10,IF(Tabella6[[#This Row],[Age]]&lt;$C$5,$C$10-($C$5-Tabella6[[#This Row],[Age]]),IF(Tabella6[[#This Row],[Age]]&gt;$C$5,$C$10+Tabella6[[#This Row],[Age]]-$C$5)))</f>
        <v>2055</v>
      </c>
      <c r="D60" s="4">
        <f>IF(AND(Tabella6[[#This Row],[Age]]&gt;=$C$5, Tabella6[[#This Row],[Age]]&lt;=$C$9),$C$6,0)</f>
        <v>100000</v>
      </c>
      <c r="E60" s="4">
        <f>IF(Tabella6[[#This Row],[Gross Base Salary]]=0,Tabella6[[#This Row],[Gross Base Salary]], IF(AND(Tabella6[[#This Row],[Gross Base Salary]]&gt;0,E59&gt;0),E59*(1+$C$7),Tabella6[[#This Row],[Gross Base Salary]]))</f>
        <v>124140.52769937675</v>
      </c>
      <c r="F60" s="4">
        <f>IF(Tabella6[[#This Row],[Gross Base Salary]]=0,Tabella6[[#This Row],[Gross Base Salary]], IF(AND(Tabella6[[#This Row],[Gross Base Salary]]&gt;0,F59&gt;0),F59*(1+$C$8),Tabella6[[#This Row],[Gross Base Salary]]))</f>
        <v>251044.22794161161</v>
      </c>
      <c r="G60" s="4">
        <f>Tabella6[[#This Row],[Salary + inflation]]+Tabella6[[#This Row],[Salary + salary increases]]-(Tabella6[[#This Row],[Gross Base Salary]]*2)</f>
        <v>175184.75564098835</v>
      </c>
      <c r="H60" s="4">
        <f>Tabella6[[#This Row],[Inflation + salary increases]]+Tabella6[[#This Row],[Gross Base Salary]]</f>
        <v>275184.75564098835</v>
      </c>
      <c r="I60" s="36">
        <f>IF(Tabella6[[#This Row],[Age]]&lt;=$C$9,Tabella6[[#This Row],[Adjusted salary]],$G$109)</f>
        <v>275184.75564098835</v>
      </c>
      <c r="J60" s="36">
        <f ca="1">IF('General overview'!$C$8="Yes",SUMIF(Tabella678[[#All],[Year]],Tabella6[[#This Row],[Year]],Tabella678[[#All],[Salary and Pension]]),0)</f>
        <v>162960.99729077195</v>
      </c>
      <c r="K60" s="36">
        <f ca="1">Tabella6[[#This Row],[Salary and Pension]]+Tabella6[[#This Row],[Partmer Salary and Pension]]</f>
        <v>438145.75293176027</v>
      </c>
      <c r="L60" s="24"/>
    </row>
    <row r="61" spans="2:12">
      <c r="B61" s="80">
        <v>60</v>
      </c>
      <c r="C61" s="80">
        <f ca="1">IF(Tabella6[[#This Row],[Age]]=$C$5,$C$10,IF(Tabella6[[#This Row],[Age]]&lt;$C$5,$C$10-($C$5-Tabella6[[#This Row],[Age]]),IF(Tabella6[[#This Row],[Age]]&gt;$C$5,$C$10+Tabella6[[#This Row],[Age]]-$C$5)))</f>
        <v>2056</v>
      </c>
      <c r="D61" s="4">
        <f>IF(AND(Tabella6[[#This Row],[Age]]&gt;=$C$5, Tabella6[[#This Row],[Age]]&lt;=$C$9),$C$6,0)</f>
        <v>100000</v>
      </c>
      <c r="E61" s="4">
        <f>IF(Tabella6[[#This Row],[Gross Base Salary]]=0,Tabella6[[#This Row],[Gross Base Salary]], IF(AND(Tabella6[[#This Row],[Gross Base Salary]]&gt;0,E60&gt;0),E60*(1+$C$7),Tabella6[[#This Row],[Gross Base Salary]]))</f>
        <v>125009.51139327238</v>
      </c>
      <c r="F61" s="4">
        <f>IF(Tabella6[[#This Row],[Gross Base Salary]]=0,Tabella6[[#This Row],[Gross Base Salary]], IF(AND(Tabella6[[#This Row],[Gross Base Salary]]&gt;0,F60&gt;0),F60*(1+$C$8),Tabella6[[#This Row],[Gross Base Salary]]))</f>
        <v>258610.05669134337</v>
      </c>
      <c r="G61" s="4">
        <f>Tabella6[[#This Row],[Salary + inflation]]+Tabella6[[#This Row],[Salary + salary increases]]-(Tabella6[[#This Row],[Gross Base Salary]]*2)</f>
        <v>183619.56808461575</v>
      </c>
      <c r="H61" s="4">
        <f>Tabella6[[#This Row],[Inflation + salary increases]]+Tabella6[[#This Row],[Gross Base Salary]]</f>
        <v>283619.56808461575</v>
      </c>
      <c r="I61" s="36">
        <f>IF(Tabella6[[#This Row],[Age]]&lt;=$C$9,Tabella6[[#This Row],[Adjusted salary]],$G$109)</f>
        <v>283619.56808461575</v>
      </c>
      <c r="J61" s="36">
        <f ca="1">IF('General overview'!$C$8="Yes",SUMIF(Tabella678[[#All],[Year]],Tabella6[[#This Row],[Year]],Tabella678[[#All],[Salary and Pension]]),0)</f>
        <v>167175.99470277637</v>
      </c>
      <c r="K61" s="36">
        <f ca="1">Tabella6[[#This Row],[Salary and Pension]]+Tabella6[[#This Row],[Partmer Salary and Pension]]</f>
        <v>450795.56278739212</v>
      </c>
      <c r="L61" s="24"/>
    </row>
    <row r="62" spans="2:12">
      <c r="B62" s="80">
        <v>61</v>
      </c>
      <c r="C62" s="80">
        <f ca="1">IF(Tabella6[[#This Row],[Age]]=$C$5,$C$10,IF(Tabella6[[#This Row],[Age]]&lt;$C$5,$C$10-($C$5-Tabella6[[#This Row],[Age]]),IF(Tabella6[[#This Row],[Age]]&gt;$C$5,$C$10+Tabella6[[#This Row],[Age]]-$C$5)))</f>
        <v>2057</v>
      </c>
      <c r="D62" s="4">
        <f>IF(AND(Tabella6[[#This Row],[Age]]&gt;=$C$5, Tabella6[[#This Row],[Age]]&lt;=$C$9),$C$6,0)</f>
        <v>100000</v>
      </c>
      <c r="E62" s="4">
        <f>IF(Tabella6[[#This Row],[Gross Base Salary]]=0,Tabella6[[#This Row],[Gross Base Salary]], IF(AND(Tabella6[[#This Row],[Gross Base Salary]]&gt;0,E61&gt;0),E61*(1+$C$7),Tabella6[[#This Row],[Gross Base Salary]]))</f>
        <v>125884.57797302527</v>
      </c>
      <c r="F62" s="4">
        <f>IF(Tabella6[[#This Row],[Gross Base Salary]]=0,Tabella6[[#This Row],[Gross Base Salary]], IF(AND(Tabella6[[#This Row],[Gross Base Salary]]&gt;0,F61&gt;0),F61*(1+$C$8),Tabella6[[#This Row],[Gross Base Salary]]))</f>
        <v>266403.9001026334</v>
      </c>
      <c r="G62" s="4">
        <f>Tabella6[[#This Row],[Salary + inflation]]+Tabella6[[#This Row],[Salary + salary increases]]-(Tabella6[[#This Row],[Gross Base Salary]]*2)</f>
        <v>192288.47807565867</v>
      </c>
      <c r="H62" s="4">
        <f>Tabella6[[#This Row],[Inflation + salary increases]]+Tabella6[[#This Row],[Gross Base Salary]]</f>
        <v>292288.47807565867</v>
      </c>
      <c r="I62" s="36">
        <f>IF(Tabella6[[#This Row],[Age]]&lt;=$C$9,Tabella6[[#This Row],[Adjusted salary]],$G$109)</f>
        <v>292288.47807565867</v>
      </c>
      <c r="J62" s="36">
        <f ca="1">IF('General overview'!$C$8="Yes",SUMIF(Tabella678[[#All],[Year]],Tabella6[[#This Row],[Year]],Tabella678[[#All],[Salary and Pension]]),0)</f>
        <v>171488.8273131125</v>
      </c>
      <c r="K62" s="36">
        <f ca="1">Tabella6[[#This Row],[Salary and Pension]]+Tabella6[[#This Row],[Partmer Salary and Pension]]</f>
        <v>463777.30538877117</v>
      </c>
      <c r="L62" s="24"/>
    </row>
    <row r="63" spans="2:12">
      <c r="B63" s="80">
        <v>62</v>
      </c>
      <c r="C63" s="80">
        <f ca="1">IF(Tabella6[[#This Row],[Age]]=$C$5,$C$10,IF(Tabella6[[#This Row],[Age]]&lt;$C$5,$C$10-($C$5-Tabella6[[#This Row],[Age]]),IF(Tabella6[[#This Row],[Age]]&gt;$C$5,$C$10+Tabella6[[#This Row],[Age]]-$C$5)))</f>
        <v>2058</v>
      </c>
      <c r="D63" s="4">
        <f>IF(AND(Tabella6[[#This Row],[Age]]&gt;=$C$5, Tabella6[[#This Row],[Age]]&lt;=$C$9),$C$6,0)</f>
        <v>100000</v>
      </c>
      <c r="E63" s="4">
        <f>IF(Tabella6[[#This Row],[Gross Base Salary]]=0,Tabella6[[#This Row],[Gross Base Salary]], IF(AND(Tabella6[[#This Row],[Gross Base Salary]]&gt;0,E62&gt;0),E62*(1+$C$7),Tabella6[[#This Row],[Gross Base Salary]]))</f>
        <v>126765.77001883644</v>
      </c>
      <c r="F63" s="4">
        <f>IF(Tabella6[[#This Row],[Gross Base Salary]]=0,Tabella6[[#This Row],[Gross Base Salary]], IF(AND(Tabella6[[#This Row],[Gross Base Salary]]&gt;0,F62&gt;0),F62*(1+$C$8),Tabella6[[#This Row],[Gross Base Salary]]))</f>
        <v>274432.62995220383</v>
      </c>
      <c r="G63" s="4">
        <f>Tabella6[[#This Row],[Salary + inflation]]+Tabella6[[#This Row],[Salary + salary increases]]-(Tabella6[[#This Row],[Gross Base Salary]]*2)</f>
        <v>201198.39997104026</v>
      </c>
      <c r="H63" s="4">
        <f>Tabella6[[#This Row],[Inflation + salary increases]]+Tabella6[[#This Row],[Gross Base Salary]]</f>
        <v>301198.39997104026</v>
      </c>
      <c r="I63" s="36">
        <f>IF(Tabella6[[#This Row],[Age]]&lt;=$C$9,Tabella6[[#This Row],[Adjusted salary]],$G$109)</f>
        <v>301198.39997104026</v>
      </c>
      <c r="J63" s="36">
        <f ca="1">IF('General overview'!$C$8="Yes",SUMIF(Tabella678[[#All],[Year]],Tabella6[[#This Row],[Year]],Tabella678[[#All],[Salary and Pension]]),0)</f>
        <v>175901.91602181183</v>
      </c>
      <c r="K63" s="36">
        <f ca="1">Tabella6[[#This Row],[Salary and Pension]]+Tabella6[[#This Row],[Partmer Salary and Pension]]</f>
        <v>477100.31599285209</v>
      </c>
      <c r="L63" s="24"/>
    </row>
    <row r="64" spans="2:12">
      <c r="B64" s="80">
        <v>63</v>
      </c>
      <c r="C64" s="80">
        <f ca="1">IF(Tabella6[[#This Row],[Age]]=$C$5,$C$10,IF(Tabella6[[#This Row],[Age]]&lt;$C$5,$C$10-($C$5-Tabella6[[#This Row],[Age]]),IF(Tabella6[[#This Row],[Age]]&gt;$C$5,$C$10+Tabella6[[#This Row],[Age]]-$C$5)))</f>
        <v>2059</v>
      </c>
      <c r="D64" s="4">
        <f>IF(AND(Tabella6[[#This Row],[Age]]&gt;=$C$5, Tabella6[[#This Row],[Age]]&lt;=$C$9),$C$6,0)</f>
        <v>100000</v>
      </c>
      <c r="E64" s="4">
        <f>IF(Tabella6[[#This Row],[Gross Base Salary]]=0,Tabella6[[#This Row],[Gross Base Salary]], IF(AND(Tabella6[[#This Row],[Gross Base Salary]]&gt;0,E63&gt;0),E63*(1+$C$7),Tabella6[[#This Row],[Gross Base Salary]]))</f>
        <v>127653.13040896828</v>
      </c>
      <c r="F64" s="4">
        <f>IF(Tabella6[[#This Row],[Gross Base Salary]]=0,Tabella6[[#This Row],[Gross Base Salary]], IF(AND(Tabella6[[#This Row],[Gross Base Salary]]&gt;0,F63&gt;0),F63*(1+$C$8),Tabella6[[#This Row],[Gross Base Salary]]))</f>
        <v>282703.32511449134</v>
      </c>
      <c r="G64" s="4">
        <f>Tabella6[[#This Row],[Salary + inflation]]+Tabella6[[#This Row],[Salary + salary increases]]-(Tabella6[[#This Row],[Gross Base Salary]]*2)</f>
        <v>210356.45552345959</v>
      </c>
      <c r="H64" s="4">
        <f>Tabella6[[#This Row],[Inflation + salary increases]]+Tabella6[[#This Row],[Gross Base Salary]]</f>
        <v>310356.45552345959</v>
      </c>
      <c r="I64" s="36">
        <f>IF(Tabella6[[#This Row],[Age]]&lt;=$C$9,Tabella6[[#This Row],[Adjusted salary]],$G$109)</f>
        <v>310356.45552345959</v>
      </c>
      <c r="J64" s="36">
        <f ca="1">IF('General overview'!$C$8="Yes",SUMIF(Tabella678[[#All],[Year]],Tabella6[[#This Row],[Year]],Tabella678[[#All],[Salary and Pension]]),0)</f>
        <v>180417.74244658329</v>
      </c>
      <c r="K64" s="36">
        <f ca="1">Tabella6[[#This Row],[Salary and Pension]]+Tabella6[[#This Row],[Partmer Salary and Pension]]</f>
        <v>490774.19797004288</v>
      </c>
      <c r="L64" s="24"/>
    </row>
    <row r="65" spans="2:12">
      <c r="B65" s="80">
        <v>64</v>
      </c>
      <c r="C65" s="80">
        <f ca="1">IF(Tabella6[[#This Row],[Age]]=$C$5,$C$10,IF(Tabella6[[#This Row],[Age]]&lt;$C$5,$C$10-($C$5-Tabella6[[#This Row],[Age]]),IF(Tabella6[[#This Row],[Age]]&gt;$C$5,$C$10+Tabella6[[#This Row],[Age]]-$C$5)))</f>
        <v>2060</v>
      </c>
      <c r="D65" s="4">
        <f>IF(AND(Tabella6[[#This Row],[Age]]&gt;=$C$5, Tabella6[[#This Row],[Age]]&lt;=$C$9),$C$6,0)</f>
        <v>100000</v>
      </c>
      <c r="E65" s="4">
        <f>IF(Tabella6[[#This Row],[Gross Base Salary]]=0,Tabella6[[#This Row],[Gross Base Salary]], IF(AND(Tabella6[[#This Row],[Gross Base Salary]]&gt;0,E64&gt;0),E64*(1+$C$7),Tabella6[[#This Row],[Gross Base Salary]]))</f>
        <v>128546.70232183105</v>
      </c>
      <c r="F65" s="4">
        <f>IF(Tabella6[[#This Row],[Gross Base Salary]]=0,Tabella6[[#This Row],[Gross Base Salary]], IF(AND(Tabella6[[#This Row],[Gross Base Salary]]&gt;0,F64&gt;0),F64*(1+$C$8),Tabella6[[#This Row],[Gross Base Salary]]))</f>
        <v>291223.27780304092</v>
      </c>
      <c r="G65" s="4">
        <f>Tabella6[[#This Row],[Salary + inflation]]+Tabella6[[#This Row],[Salary + salary increases]]-(Tabella6[[#This Row],[Gross Base Salary]]*2)</f>
        <v>219769.98012487195</v>
      </c>
      <c r="H65" s="4">
        <f>Tabella6[[#This Row],[Inflation + salary increases]]+Tabella6[[#This Row],[Gross Base Salary]]</f>
        <v>319769.98012487195</v>
      </c>
      <c r="I65" s="36">
        <f>IF(Tabella6[[#This Row],[Age]]&lt;=$C$9,Tabella6[[#This Row],[Adjusted salary]],$G$109)</f>
        <v>319769.98012487195</v>
      </c>
      <c r="J65" s="36">
        <f ca="1">IF('General overview'!$C$8="Yes",SUMIF(Tabella678[[#All],[Year]],Tabella6[[#This Row],[Year]],Tabella678[[#All],[Salary and Pension]]),0)</f>
        <v>185038.85044978623</v>
      </c>
      <c r="K65" s="36">
        <f ca="1">Tabella6[[#This Row],[Salary and Pension]]+Tabella6[[#This Row],[Partmer Salary and Pension]]</f>
        <v>504808.83057465818</v>
      </c>
      <c r="L65" s="24"/>
    </row>
    <row r="66" spans="2:12">
      <c r="B66" s="80">
        <v>65</v>
      </c>
      <c r="C66" s="80">
        <f ca="1">IF(Tabella6[[#This Row],[Age]]=$C$5,$C$10,IF(Tabella6[[#This Row],[Age]]&lt;$C$5,$C$10-($C$5-Tabella6[[#This Row],[Age]]),IF(Tabella6[[#This Row],[Age]]&gt;$C$5,$C$10+Tabella6[[#This Row],[Age]]-$C$5)))</f>
        <v>2061</v>
      </c>
      <c r="D66" s="4">
        <f>IF(AND(Tabella6[[#This Row],[Age]]&gt;=$C$5, Tabella6[[#This Row],[Age]]&lt;=$C$9),$C$6,0)</f>
        <v>100000</v>
      </c>
      <c r="E66" s="4">
        <f>IF(Tabella6[[#This Row],[Gross Base Salary]]=0,Tabella6[[#This Row],[Gross Base Salary]], IF(AND(Tabella6[[#This Row],[Gross Base Salary]]&gt;0,E65&gt;0),E65*(1+$C$7),Tabella6[[#This Row],[Gross Base Salary]]))</f>
        <v>129446.52923808385</v>
      </c>
      <c r="F66" s="4">
        <f>IF(Tabella6[[#This Row],[Gross Base Salary]]=0,Tabella6[[#This Row],[Gross Base Salary]], IF(AND(Tabella6[[#This Row],[Gross Base Salary]]&gt;0,F65&gt;0),F65*(1+$C$8),Tabella6[[#This Row],[Gross Base Salary]]))</f>
        <v>299999.99999999907</v>
      </c>
      <c r="G66" s="4">
        <f>Tabella6[[#This Row],[Salary + inflation]]+Tabella6[[#This Row],[Salary + salary increases]]-(Tabella6[[#This Row],[Gross Base Salary]]*2)</f>
        <v>229446.52923808293</v>
      </c>
      <c r="H66" s="4">
        <f>Tabella6[[#This Row],[Inflation + salary increases]]+Tabella6[[#This Row],[Gross Base Salary]]</f>
        <v>329446.52923808293</v>
      </c>
      <c r="I66" s="36">
        <f>IF(Tabella6[[#This Row],[Age]]&lt;=$C$9,Tabella6[[#This Row],[Adjusted salary]],$G$109)</f>
        <v>329446.52923808293</v>
      </c>
      <c r="J66" s="36">
        <f ca="1">IF('General overview'!$C$8="Yes",SUMIF(Tabella678[[#All],[Year]],Tabella6[[#This Row],[Year]],Tabella678[[#All],[Salary and Pension]]),0)</f>
        <v>189767.84770382522</v>
      </c>
      <c r="K66" s="36">
        <f ca="1">Tabella6[[#This Row],[Salary and Pension]]+Tabella6[[#This Row],[Partmer Salary and Pension]]</f>
        <v>519214.37694190815</v>
      </c>
      <c r="L66" s="24"/>
    </row>
    <row r="67" spans="2:12">
      <c r="B67" s="80">
        <v>66</v>
      </c>
      <c r="C67" s="80">
        <f ca="1">IF(Tabella6[[#This Row],[Age]]=$C$5,$C$10,IF(Tabella6[[#This Row],[Age]]&lt;$C$5,$C$10-($C$5-Tabella6[[#This Row],[Age]]),IF(Tabella6[[#This Row],[Age]]&gt;$C$5,$C$10+Tabella6[[#This Row],[Age]]-$C$5)))</f>
        <v>2062</v>
      </c>
      <c r="D67" s="4">
        <f>IF(AND(Tabella6[[#This Row],[Age]]&gt;=$C$5, Tabella6[[#This Row],[Age]]&lt;=$C$9),$C$6,0)</f>
        <v>0</v>
      </c>
      <c r="E67" s="4">
        <f>IF(Tabella6[[#This Row],[Gross Base Salary]]=0,Tabella6[[#This Row],[Gross Base Salary]], IF(AND(Tabella6[[#This Row],[Gross Base Salary]]&gt;0,E66&gt;0),E66*(1+$C$7),Tabella6[[#This Row],[Gross Base Salary]]))</f>
        <v>0</v>
      </c>
      <c r="F67" s="4">
        <f>IF(Tabella6[[#This Row],[Gross Base Salary]]=0,Tabella6[[#This Row],[Gross Base Salary]], IF(AND(Tabella6[[#This Row],[Gross Base Salary]]&gt;0,F66&gt;0),F66*(1+$C$8),Tabella6[[#This Row],[Gross Base Salary]]))</f>
        <v>0</v>
      </c>
      <c r="G67" s="4">
        <f>Tabella6[[#This Row],[Salary + inflation]]+Tabella6[[#This Row],[Salary + salary increases]]-(Tabella6[[#This Row],[Gross Base Salary]]*2)</f>
        <v>0</v>
      </c>
      <c r="H67" s="4">
        <f>Tabella6[[#This Row],[Inflation + salary increases]]+Tabella6[[#This Row],[Gross Base Salary]]</f>
        <v>0</v>
      </c>
      <c r="I67" s="36">
        <f>IF(Tabella6[[#This Row],[Age]]&lt;=$C$9,Tabella6[[#This Row],[Adjusted salary]],$G$109)</f>
        <v>107583.77781328086</v>
      </c>
      <c r="J67" s="36">
        <f ca="1">IF('General overview'!$C$8="Yes",SUMIF(Tabella678[[#All],[Year]],Tabella6[[#This Row],[Year]],Tabella678[[#All],[Salary and Pension]]),0)</f>
        <v>194607.40729593398</v>
      </c>
      <c r="K67" s="36">
        <f ca="1">Tabella6[[#This Row],[Salary and Pension]]+Tabella6[[#This Row],[Partmer Salary and Pension]]</f>
        <v>302191.18510921486</v>
      </c>
      <c r="L67" s="24"/>
    </row>
    <row r="68" spans="2:12">
      <c r="B68" s="80">
        <v>67</v>
      </c>
      <c r="C68" s="80">
        <f ca="1">IF(Tabella6[[#This Row],[Age]]=$C$5,$C$10,IF(Tabella6[[#This Row],[Age]]&lt;$C$5,$C$10-($C$5-Tabella6[[#This Row],[Age]]),IF(Tabella6[[#This Row],[Age]]&gt;$C$5,$C$10+Tabella6[[#This Row],[Age]]-$C$5)))</f>
        <v>2063</v>
      </c>
      <c r="D68" s="4">
        <f>IF(AND(Tabella6[[#This Row],[Age]]&gt;=$C$5, Tabella6[[#This Row],[Age]]&lt;=$C$9),$C$6,0)</f>
        <v>0</v>
      </c>
      <c r="E68" s="4">
        <f>IF(Tabella6[[#This Row],[Gross Base Salary]]=0,Tabella6[[#This Row],[Gross Base Salary]], IF(AND(Tabella6[[#This Row],[Gross Base Salary]]&gt;0,E67&gt;0),E67*(1+$C$7),Tabella6[[#This Row],[Gross Base Salary]]))</f>
        <v>0</v>
      </c>
      <c r="F68" s="4">
        <f>IF(Tabella6[[#This Row],[Gross Base Salary]]=0,Tabella6[[#This Row],[Gross Base Salary]], IF(AND(Tabella6[[#This Row],[Gross Base Salary]]&gt;0,F67&gt;0),F67*(1+$C$8),Tabella6[[#This Row],[Gross Base Salary]]))</f>
        <v>0</v>
      </c>
      <c r="G68" s="4">
        <f>Tabella6[[#This Row],[Salary + inflation]]+Tabella6[[#This Row],[Salary + salary increases]]-(Tabella6[[#This Row],[Gross Base Salary]]*2)</f>
        <v>0</v>
      </c>
      <c r="H68" s="4">
        <f>Tabella6[[#This Row],[Inflation + salary increases]]+Tabella6[[#This Row],[Gross Base Salary]]</f>
        <v>0</v>
      </c>
      <c r="I68" s="36">
        <f>IF(Tabella6[[#This Row],[Age]]&lt;=$C$9,Tabella6[[#This Row],[Adjusted salary]],$G$109)</f>
        <v>107583.77781328086</v>
      </c>
      <c r="J68" s="36">
        <f ca="1">IF('General overview'!$C$8="Yes",SUMIF(Tabella678[[#All],[Year]],Tabella6[[#This Row],[Year]],Tabella678[[#All],[Salary and Pension]]),0)</f>
        <v>73212.866902780079</v>
      </c>
      <c r="K68" s="36">
        <f ca="1">Tabella6[[#This Row],[Salary and Pension]]+Tabella6[[#This Row],[Partmer Salary and Pension]]</f>
        <v>180796.64471606095</v>
      </c>
      <c r="L68" s="24"/>
    </row>
    <row r="69" spans="2:12">
      <c r="B69" s="80">
        <v>68</v>
      </c>
      <c r="C69" s="80">
        <f ca="1">IF(Tabella6[[#This Row],[Age]]=$C$5,$C$10,IF(Tabella6[[#This Row],[Age]]&lt;$C$5,$C$10-($C$5-Tabella6[[#This Row],[Age]]),IF(Tabella6[[#This Row],[Age]]&gt;$C$5,$C$10+Tabella6[[#This Row],[Age]]-$C$5)))</f>
        <v>2064</v>
      </c>
      <c r="D69" s="4">
        <f>IF(AND(Tabella6[[#This Row],[Age]]&gt;=$C$5, Tabella6[[#This Row],[Age]]&lt;=$C$9),$C$6,0)</f>
        <v>0</v>
      </c>
      <c r="E69" s="4">
        <f>IF(Tabella6[[#This Row],[Gross Base Salary]]=0,Tabella6[[#This Row],[Gross Base Salary]], IF(AND(Tabella6[[#This Row],[Gross Base Salary]]&gt;0,E68&gt;0),E68*(1+$C$7),Tabella6[[#This Row],[Gross Base Salary]]))</f>
        <v>0</v>
      </c>
      <c r="F69" s="4">
        <f>IF(Tabella6[[#This Row],[Gross Base Salary]]=0,Tabella6[[#This Row],[Gross Base Salary]], IF(AND(Tabella6[[#This Row],[Gross Base Salary]]&gt;0,F68&gt;0),F68*(1+$C$8),Tabella6[[#This Row],[Gross Base Salary]]))</f>
        <v>0</v>
      </c>
      <c r="G69" s="4">
        <f>Tabella6[[#This Row],[Salary + inflation]]+Tabella6[[#This Row],[Salary + salary increases]]-(Tabella6[[#This Row],[Gross Base Salary]]*2)</f>
        <v>0</v>
      </c>
      <c r="H69" s="4">
        <f>Tabella6[[#This Row],[Inflation + salary increases]]+Tabella6[[#This Row],[Gross Base Salary]]</f>
        <v>0</v>
      </c>
      <c r="I69" s="36">
        <f>IF(Tabella6[[#This Row],[Age]]&lt;=$C$9,Tabella6[[#This Row],[Adjusted salary]],$G$109)</f>
        <v>107583.77781328086</v>
      </c>
      <c r="J69" s="36">
        <f ca="1">IF('General overview'!$C$8="Yes",SUMIF(Tabella678[[#All],[Year]],Tabella6[[#This Row],[Year]],Tabella678[[#All],[Salary and Pension]]),0)</f>
        <v>73212.866902780079</v>
      </c>
      <c r="K69" s="36">
        <f ca="1">Tabella6[[#This Row],[Salary and Pension]]+Tabella6[[#This Row],[Partmer Salary and Pension]]</f>
        <v>180796.64471606095</v>
      </c>
      <c r="L69" s="24"/>
    </row>
    <row r="70" spans="2:12">
      <c r="B70" s="80">
        <v>69</v>
      </c>
      <c r="C70" s="80">
        <f ca="1">IF(Tabella6[[#This Row],[Age]]=$C$5,$C$10,IF(Tabella6[[#This Row],[Age]]&lt;$C$5,$C$10-($C$5-Tabella6[[#This Row],[Age]]),IF(Tabella6[[#This Row],[Age]]&gt;$C$5,$C$10+Tabella6[[#This Row],[Age]]-$C$5)))</f>
        <v>2065</v>
      </c>
      <c r="D70" s="4">
        <f>IF(AND(Tabella6[[#This Row],[Age]]&gt;=$C$5, Tabella6[[#This Row],[Age]]&lt;=$C$9),$C$6,0)</f>
        <v>0</v>
      </c>
      <c r="E70" s="4">
        <f>IF(Tabella6[[#This Row],[Gross Base Salary]]=0,Tabella6[[#This Row],[Gross Base Salary]], IF(AND(Tabella6[[#This Row],[Gross Base Salary]]&gt;0,E69&gt;0),E69*(1+$C$7),Tabella6[[#This Row],[Gross Base Salary]]))</f>
        <v>0</v>
      </c>
      <c r="F70" s="4">
        <f>IF(Tabella6[[#This Row],[Gross Base Salary]]=0,Tabella6[[#This Row],[Gross Base Salary]], IF(AND(Tabella6[[#This Row],[Gross Base Salary]]&gt;0,F69&gt;0),F69*(1+$C$8),Tabella6[[#This Row],[Gross Base Salary]]))</f>
        <v>0</v>
      </c>
      <c r="G70" s="4">
        <f>Tabella6[[#This Row],[Salary + inflation]]+Tabella6[[#This Row],[Salary + salary increases]]-(Tabella6[[#This Row],[Gross Base Salary]]*2)</f>
        <v>0</v>
      </c>
      <c r="H70" s="4">
        <f>Tabella6[[#This Row],[Inflation + salary increases]]+Tabella6[[#This Row],[Gross Base Salary]]</f>
        <v>0</v>
      </c>
      <c r="I70" s="36">
        <f>IF(Tabella6[[#This Row],[Age]]&lt;=$C$9,Tabella6[[#This Row],[Adjusted salary]],$G$109)</f>
        <v>107583.77781328086</v>
      </c>
      <c r="J70" s="36">
        <f ca="1">IF('General overview'!$C$8="Yes",SUMIF(Tabella678[[#All],[Year]],Tabella6[[#This Row],[Year]],Tabella678[[#All],[Salary and Pension]]),0)</f>
        <v>73212.866902780079</v>
      </c>
      <c r="K70" s="36">
        <f ca="1">Tabella6[[#This Row],[Salary and Pension]]+Tabella6[[#This Row],[Partmer Salary and Pension]]</f>
        <v>180796.64471606095</v>
      </c>
      <c r="L70" s="24"/>
    </row>
    <row r="71" spans="2:12">
      <c r="B71" s="80">
        <v>70</v>
      </c>
      <c r="C71" s="80">
        <f ca="1">IF(Tabella6[[#This Row],[Age]]=$C$5,$C$10,IF(Tabella6[[#This Row],[Age]]&lt;$C$5,$C$10-($C$5-Tabella6[[#This Row],[Age]]),IF(Tabella6[[#This Row],[Age]]&gt;$C$5,$C$10+Tabella6[[#This Row],[Age]]-$C$5)))</f>
        <v>2066</v>
      </c>
      <c r="D71" s="4">
        <f>IF(AND(Tabella6[[#This Row],[Age]]&gt;=$C$5, Tabella6[[#This Row],[Age]]&lt;=$C$9),$C$6,0)</f>
        <v>0</v>
      </c>
      <c r="E71" s="4">
        <f>IF(Tabella6[[#This Row],[Gross Base Salary]]=0,Tabella6[[#This Row],[Gross Base Salary]], IF(AND(Tabella6[[#This Row],[Gross Base Salary]]&gt;0,E70&gt;0),E70*(1+$C$7),Tabella6[[#This Row],[Gross Base Salary]]))</f>
        <v>0</v>
      </c>
      <c r="F71" s="4">
        <f>IF(Tabella6[[#This Row],[Gross Base Salary]]=0,Tabella6[[#This Row],[Gross Base Salary]], IF(AND(Tabella6[[#This Row],[Gross Base Salary]]&gt;0,F70&gt;0),F70*(1+$C$8),Tabella6[[#This Row],[Gross Base Salary]]))</f>
        <v>0</v>
      </c>
      <c r="G71" s="4">
        <f>Tabella6[[#This Row],[Salary + inflation]]+Tabella6[[#This Row],[Salary + salary increases]]-(Tabella6[[#This Row],[Gross Base Salary]]*2)</f>
        <v>0</v>
      </c>
      <c r="H71" s="36">
        <f>Tabella6[[#This Row],[Inflation + salary increases]]+Tabella6[[#This Row],[Gross Base Salary]]</f>
        <v>0</v>
      </c>
      <c r="I71" s="36">
        <f>IF(Tabella6[[#This Row],[Age]]&lt;=$C$9,Tabella6[[#This Row],[Adjusted salary]],$G$109)</f>
        <v>107583.77781328086</v>
      </c>
      <c r="J71" s="36">
        <f ca="1">IF('General overview'!$C$8="Yes",SUMIF(Tabella678[[#All],[Year]],Tabella6[[#This Row],[Year]],Tabella678[[#All],[Salary and Pension]]),0)</f>
        <v>73212.866902780079</v>
      </c>
      <c r="K71" s="36">
        <f ca="1">Tabella6[[#This Row],[Salary and Pension]]+Tabella6[[#This Row],[Partmer Salary and Pension]]</f>
        <v>180796.64471606095</v>
      </c>
      <c r="L71" s="28"/>
    </row>
    <row r="72" spans="2:12">
      <c r="B72" s="80">
        <v>71</v>
      </c>
      <c r="C72" s="80">
        <f ca="1">IF(Tabella6[[#This Row],[Age]]=$C$5,$C$10,IF(Tabella6[[#This Row],[Age]]&lt;$C$5,$C$10-($C$5-Tabella6[[#This Row],[Age]]),IF(Tabella6[[#This Row],[Age]]&gt;$C$5,$C$10+Tabella6[[#This Row],[Age]]-$C$5)))</f>
        <v>2067</v>
      </c>
      <c r="D72" s="115">
        <f>IF(AND(Tabella6[[#This Row],[Age]]&gt;=$C$5, Tabella6[[#This Row],[Age]]&lt;=$C$9),$C$6,0)</f>
        <v>0</v>
      </c>
      <c r="E72" s="115">
        <f>Tabella6[[#This Row],[Gross Base Salary]]*(1+$C$7)</f>
        <v>0</v>
      </c>
      <c r="F72" s="115">
        <f>IF(Tabella6[[#This Row],[Gross Base Salary]]=0,Tabella6[[#This Row],[Gross Base Salary]], IF(AND(Tabella6[[#This Row],[Gross Base Salary]]&gt;0,F71&gt;0),F71*(1+$C$8),Tabella6[[#This Row],[Gross Base Salary]]))</f>
        <v>0</v>
      </c>
      <c r="G72" s="115">
        <f>Tabella6[[#This Row],[Salary + inflation]]+Tabella6[[#This Row],[Salary + salary increases]]-(Tabella6[[#This Row],[Gross Base Salary]]*2)</f>
        <v>0</v>
      </c>
      <c r="H72" s="115">
        <f>Tabella6[[#This Row],[Inflation + salary increases]]+Tabella6[[#This Row],[Gross Base Salary]]</f>
        <v>0</v>
      </c>
      <c r="I72" s="176">
        <f>IF(Tabella6[[#This Row],[Age]]&lt;=$C$9,Tabella6[[#This Row],[Adjusted salary]],$G$109)</f>
        <v>107583.77781328086</v>
      </c>
      <c r="J72" s="176">
        <f ca="1">IF('General overview'!$C$8="Yes",SUMIF(Tabella678[[#All],[Year]],Tabella6[[#This Row],[Year]],Tabella678[[#All],[Salary and Pension]]),0)</f>
        <v>73212.866902780079</v>
      </c>
      <c r="K72" s="176">
        <f ca="1">Tabella6[[#This Row],[Salary and Pension]]+Tabella6[[#This Row],[Partmer Salary and Pension]]</f>
        <v>180796.64471606095</v>
      </c>
    </row>
    <row r="73" spans="2:12">
      <c r="B73" s="80">
        <v>72</v>
      </c>
      <c r="C73" s="80">
        <f ca="1">IF(Tabella6[[#This Row],[Age]]=$C$5,$C$10,IF(Tabella6[[#This Row],[Age]]&lt;$C$5,$C$10-($C$5-Tabella6[[#This Row],[Age]]),IF(Tabella6[[#This Row],[Age]]&gt;$C$5,$C$10+Tabella6[[#This Row],[Age]]-$C$5)))</f>
        <v>2068</v>
      </c>
      <c r="D73" s="115">
        <f>IF(AND(Tabella6[[#This Row],[Age]]&gt;=$C$5, Tabella6[[#This Row],[Age]]&lt;=$C$9),$C$6,0)</f>
        <v>0</v>
      </c>
      <c r="E73" s="115">
        <f>Tabella6[[#This Row],[Gross Base Salary]]*(1+$C$7)</f>
        <v>0</v>
      </c>
      <c r="F73" s="115">
        <f>IF(Tabella6[[#This Row],[Gross Base Salary]]=0,Tabella6[[#This Row],[Gross Base Salary]], IF(AND(Tabella6[[#This Row],[Gross Base Salary]]&gt;0,F72&gt;0),F72*(1+$C$8),Tabella6[[#This Row],[Gross Base Salary]]))</f>
        <v>0</v>
      </c>
      <c r="G73" s="115">
        <f>Tabella6[[#This Row],[Salary + inflation]]+Tabella6[[#This Row],[Salary + salary increases]]-(Tabella6[[#This Row],[Gross Base Salary]]*2)</f>
        <v>0</v>
      </c>
      <c r="H73" s="115">
        <f>Tabella6[[#This Row],[Inflation + salary increases]]+Tabella6[[#This Row],[Gross Base Salary]]</f>
        <v>0</v>
      </c>
      <c r="I73" s="176">
        <f>IF(Tabella6[[#This Row],[Age]]&lt;=$C$9,Tabella6[[#This Row],[Adjusted salary]],$G$109)</f>
        <v>107583.77781328086</v>
      </c>
      <c r="J73" s="176">
        <f ca="1">IF('General overview'!$C$8="Yes",SUMIF(Tabella678[[#All],[Year]],Tabella6[[#This Row],[Year]],Tabella678[[#All],[Salary and Pension]]),0)</f>
        <v>73212.866902780079</v>
      </c>
      <c r="K73" s="176">
        <f ca="1">Tabella6[[#This Row],[Salary and Pension]]+Tabella6[[#This Row],[Partmer Salary and Pension]]</f>
        <v>180796.64471606095</v>
      </c>
    </row>
    <row r="74" spans="2:12">
      <c r="B74" s="80">
        <v>73</v>
      </c>
      <c r="C74" s="80">
        <f ca="1">IF(Tabella6[[#This Row],[Age]]=$C$5,$C$10,IF(Tabella6[[#This Row],[Age]]&lt;$C$5,$C$10-($C$5-Tabella6[[#This Row],[Age]]),IF(Tabella6[[#This Row],[Age]]&gt;$C$5,$C$10+Tabella6[[#This Row],[Age]]-$C$5)))</f>
        <v>2069</v>
      </c>
      <c r="D74" s="115">
        <f>IF(AND(Tabella6[[#This Row],[Age]]&gt;=$C$5, Tabella6[[#This Row],[Age]]&lt;=$C$9),$C$6,0)</f>
        <v>0</v>
      </c>
      <c r="E74" s="115">
        <f>Tabella6[[#This Row],[Gross Base Salary]]*(1+$C$7)</f>
        <v>0</v>
      </c>
      <c r="F74" s="115">
        <f>IF(Tabella6[[#This Row],[Gross Base Salary]]=0,Tabella6[[#This Row],[Gross Base Salary]], IF(AND(Tabella6[[#This Row],[Gross Base Salary]]&gt;0,F73&gt;0),F73*(1+$C$8),Tabella6[[#This Row],[Gross Base Salary]]))</f>
        <v>0</v>
      </c>
      <c r="G74" s="115">
        <f>Tabella6[[#This Row],[Salary + inflation]]+Tabella6[[#This Row],[Salary + salary increases]]-(Tabella6[[#This Row],[Gross Base Salary]]*2)</f>
        <v>0</v>
      </c>
      <c r="H74" s="115">
        <f>Tabella6[[#This Row],[Inflation + salary increases]]+Tabella6[[#This Row],[Gross Base Salary]]</f>
        <v>0</v>
      </c>
      <c r="I74" s="176">
        <f>IF(Tabella6[[#This Row],[Age]]&lt;=$C$9,Tabella6[[#This Row],[Adjusted salary]],$G$109)</f>
        <v>107583.77781328086</v>
      </c>
      <c r="J74" s="176">
        <f ca="1">IF('General overview'!$C$8="Yes",SUMIF(Tabella678[[#All],[Year]],Tabella6[[#This Row],[Year]],Tabella678[[#All],[Salary and Pension]]),0)</f>
        <v>73212.866902780079</v>
      </c>
      <c r="K74" s="176">
        <f ca="1">Tabella6[[#This Row],[Salary and Pension]]+Tabella6[[#This Row],[Partmer Salary and Pension]]</f>
        <v>180796.64471606095</v>
      </c>
    </row>
    <row r="75" spans="2:12">
      <c r="B75" s="80">
        <v>74</v>
      </c>
      <c r="C75" s="80">
        <f ca="1">IF(Tabella6[[#This Row],[Age]]=$C$5,$C$10,IF(Tabella6[[#This Row],[Age]]&lt;$C$5,$C$10-($C$5-Tabella6[[#This Row],[Age]]),IF(Tabella6[[#This Row],[Age]]&gt;$C$5,$C$10+Tabella6[[#This Row],[Age]]-$C$5)))</f>
        <v>2070</v>
      </c>
      <c r="D75" s="115">
        <f>IF(AND(Tabella6[[#This Row],[Age]]&gt;=$C$5, Tabella6[[#This Row],[Age]]&lt;=$C$9),$C$6,0)</f>
        <v>0</v>
      </c>
      <c r="E75" s="115">
        <f>Tabella6[[#This Row],[Gross Base Salary]]*(1+$C$7)</f>
        <v>0</v>
      </c>
      <c r="F75" s="115">
        <f>IF(Tabella6[[#This Row],[Gross Base Salary]]=0,Tabella6[[#This Row],[Gross Base Salary]], IF(AND(Tabella6[[#This Row],[Gross Base Salary]]&gt;0,F74&gt;0),F74*(1+$C$8),Tabella6[[#This Row],[Gross Base Salary]]))</f>
        <v>0</v>
      </c>
      <c r="G75" s="115">
        <f>Tabella6[[#This Row],[Salary + inflation]]+Tabella6[[#This Row],[Salary + salary increases]]-(Tabella6[[#This Row],[Gross Base Salary]]*2)</f>
        <v>0</v>
      </c>
      <c r="H75" s="115">
        <f>Tabella6[[#This Row],[Inflation + salary increases]]+Tabella6[[#This Row],[Gross Base Salary]]</f>
        <v>0</v>
      </c>
      <c r="I75" s="176">
        <f>IF(Tabella6[[#This Row],[Age]]&lt;=$C$9,Tabella6[[#This Row],[Adjusted salary]],$G$109)</f>
        <v>107583.77781328086</v>
      </c>
      <c r="J75" s="176">
        <f ca="1">IF('General overview'!$C$8="Yes",SUMIF(Tabella678[[#All],[Year]],Tabella6[[#This Row],[Year]],Tabella678[[#All],[Salary and Pension]]),0)</f>
        <v>73212.866902780079</v>
      </c>
      <c r="K75" s="176">
        <f ca="1">Tabella6[[#This Row],[Salary and Pension]]+Tabella6[[#This Row],[Partmer Salary and Pension]]</f>
        <v>180796.64471606095</v>
      </c>
    </row>
    <row r="76" spans="2:12">
      <c r="B76" s="80">
        <v>75</v>
      </c>
      <c r="C76" s="80">
        <f ca="1">IF(Tabella6[[#This Row],[Age]]=$C$5,$C$10,IF(Tabella6[[#This Row],[Age]]&lt;$C$5,$C$10-($C$5-Tabella6[[#This Row],[Age]]),IF(Tabella6[[#This Row],[Age]]&gt;$C$5,$C$10+Tabella6[[#This Row],[Age]]-$C$5)))</f>
        <v>2071</v>
      </c>
      <c r="D76" s="115">
        <f>IF(AND(Tabella6[[#This Row],[Age]]&gt;=$C$5, Tabella6[[#This Row],[Age]]&lt;=$C$9),$C$6,0)</f>
        <v>0</v>
      </c>
      <c r="E76" s="115">
        <f>Tabella6[[#This Row],[Gross Base Salary]]*(1+$C$7)</f>
        <v>0</v>
      </c>
      <c r="F76" s="115">
        <f>IF(Tabella6[[#This Row],[Gross Base Salary]]=0,Tabella6[[#This Row],[Gross Base Salary]], IF(AND(Tabella6[[#This Row],[Gross Base Salary]]&gt;0,F75&gt;0),F75*(1+$C$8),Tabella6[[#This Row],[Gross Base Salary]]))</f>
        <v>0</v>
      </c>
      <c r="G76" s="115">
        <f>Tabella6[[#This Row],[Salary + inflation]]+Tabella6[[#This Row],[Salary + salary increases]]-(Tabella6[[#This Row],[Gross Base Salary]]*2)</f>
        <v>0</v>
      </c>
      <c r="H76" s="115">
        <f>Tabella6[[#This Row],[Inflation + salary increases]]+Tabella6[[#This Row],[Gross Base Salary]]</f>
        <v>0</v>
      </c>
      <c r="I76" s="176">
        <f>IF(Tabella6[[#This Row],[Age]]&lt;=$C$9,Tabella6[[#This Row],[Adjusted salary]],$G$109)</f>
        <v>107583.77781328086</v>
      </c>
      <c r="J76" s="176">
        <f ca="1">IF('General overview'!$C$8="Yes",SUMIF(Tabella678[[#All],[Year]],Tabella6[[#This Row],[Year]],Tabella678[[#All],[Salary and Pension]]),0)</f>
        <v>73212.866902780079</v>
      </c>
      <c r="K76" s="176">
        <f ca="1">Tabella6[[#This Row],[Salary and Pension]]+Tabella6[[#This Row],[Partmer Salary and Pension]]</f>
        <v>180796.64471606095</v>
      </c>
    </row>
    <row r="77" spans="2:12">
      <c r="B77" s="80">
        <v>76</v>
      </c>
      <c r="C77" s="80">
        <f ca="1">IF(Tabella6[[#This Row],[Age]]=$C$5,$C$10,IF(Tabella6[[#This Row],[Age]]&lt;$C$5,$C$10-($C$5-Tabella6[[#This Row],[Age]]),IF(Tabella6[[#This Row],[Age]]&gt;$C$5,$C$10+Tabella6[[#This Row],[Age]]-$C$5)))</f>
        <v>2072</v>
      </c>
      <c r="D77" s="115">
        <f>IF(AND(Tabella6[[#This Row],[Age]]&gt;=$C$5, Tabella6[[#This Row],[Age]]&lt;=$C$9),$C$6,0)</f>
        <v>0</v>
      </c>
      <c r="E77" s="115">
        <f>Tabella6[[#This Row],[Gross Base Salary]]*(1+$C$7)</f>
        <v>0</v>
      </c>
      <c r="F77" s="115">
        <f>IF(Tabella6[[#This Row],[Gross Base Salary]]=0,Tabella6[[#This Row],[Gross Base Salary]], IF(AND(Tabella6[[#This Row],[Gross Base Salary]]&gt;0,F76&gt;0),F76*(1+$C$8),Tabella6[[#This Row],[Gross Base Salary]]))</f>
        <v>0</v>
      </c>
      <c r="G77" s="115">
        <f>Tabella6[[#This Row],[Salary + inflation]]+Tabella6[[#This Row],[Salary + salary increases]]-(Tabella6[[#This Row],[Gross Base Salary]]*2)</f>
        <v>0</v>
      </c>
      <c r="H77" s="115">
        <f>Tabella6[[#This Row],[Inflation + salary increases]]+Tabella6[[#This Row],[Gross Base Salary]]</f>
        <v>0</v>
      </c>
      <c r="I77" s="176">
        <f>IF(Tabella6[[#This Row],[Age]]&lt;=$C$9,Tabella6[[#This Row],[Adjusted salary]],$G$109)</f>
        <v>107583.77781328086</v>
      </c>
      <c r="J77" s="176">
        <f ca="1">IF('General overview'!$C$8="Yes",SUMIF(Tabella678[[#All],[Year]],Tabella6[[#This Row],[Year]],Tabella678[[#All],[Salary and Pension]]),0)</f>
        <v>73212.866902780079</v>
      </c>
      <c r="K77" s="176">
        <f ca="1">Tabella6[[#This Row],[Salary and Pension]]+Tabella6[[#This Row],[Partmer Salary and Pension]]</f>
        <v>180796.64471606095</v>
      </c>
    </row>
    <row r="78" spans="2:12">
      <c r="B78" s="80">
        <v>77</v>
      </c>
      <c r="C78" s="80">
        <f ca="1">IF(Tabella6[[#This Row],[Age]]=$C$5,$C$10,IF(Tabella6[[#This Row],[Age]]&lt;$C$5,$C$10-($C$5-Tabella6[[#This Row],[Age]]),IF(Tabella6[[#This Row],[Age]]&gt;$C$5,$C$10+Tabella6[[#This Row],[Age]]-$C$5)))</f>
        <v>2073</v>
      </c>
      <c r="D78" s="115">
        <f>IF(AND(Tabella6[[#This Row],[Age]]&gt;=$C$5, Tabella6[[#This Row],[Age]]&lt;=$C$9),$C$6,0)</f>
        <v>0</v>
      </c>
      <c r="E78" s="115">
        <f>Tabella6[[#This Row],[Gross Base Salary]]*(1+$C$7)</f>
        <v>0</v>
      </c>
      <c r="F78" s="115">
        <f>IF(Tabella6[[#This Row],[Gross Base Salary]]=0,Tabella6[[#This Row],[Gross Base Salary]], IF(AND(Tabella6[[#This Row],[Gross Base Salary]]&gt;0,F77&gt;0),F77*(1+$C$8),Tabella6[[#This Row],[Gross Base Salary]]))</f>
        <v>0</v>
      </c>
      <c r="G78" s="115">
        <f>Tabella6[[#This Row],[Salary + inflation]]+Tabella6[[#This Row],[Salary + salary increases]]-(Tabella6[[#This Row],[Gross Base Salary]]*2)</f>
        <v>0</v>
      </c>
      <c r="H78" s="115">
        <f>Tabella6[[#This Row],[Inflation + salary increases]]+Tabella6[[#This Row],[Gross Base Salary]]</f>
        <v>0</v>
      </c>
      <c r="I78" s="176">
        <f>IF(Tabella6[[#This Row],[Age]]&lt;=$C$9,Tabella6[[#This Row],[Adjusted salary]],$G$109)</f>
        <v>107583.77781328086</v>
      </c>
      <c r="J78" s="176">
        <f ca="1">IF('General overview'!$C$8="Yes",SUMIF(Tabella678[[#All],[Year]],Tabella6[[#This Row],[Year]],Tabella678[[#All],[Salary and Pension]]),0)</f>
        <v>73212.866902780079</v>
      </c>
      <c r="K78" s="176">
        <f ca="1">Tabella6[[#This Row],[Salary and Pension]]+Tabella6[[#This Row],[Partmer Salary and Pension]]</f>
        <v>180796.64471606095</v>
      </c>
    </row>
    <row r="79" spans="2:12">
      <c r="B79" s="80">
        <v>78</v>
      </c>
      <c r="C79" s="80">
        <f ca="1">IF(Tabella6[[#This Row],[Age]]=$C$5,$C$10,IF(Tabella6[[#This Row],[Age]]&lt;$C$5,$C$10-($C$5-Tabella6[[#This Row],[Age]]),IF(Tabella6[[#This Row],[Age]]&gt;$C$5,$C$10+Tabella6[[#This Row],[Age]]-$C$5)))</f>
        <v>2074</v>
      </c>
      <c r="D79" s="115">
        <f>IF(AND(Tabella6[[#This Row],[Age]]&gt;=$C$5, Tabella6[[#This Row],[Age]]&lt;=$C$9),$C$6,0)</f>
        <v>0</v>
      </c>
      <c r="E79" s="115">
        <f>Tabella6[[#This Row],[Gross Base Salary]]*(1+$C$7)</f>
        <v>0</v>
      </c>
      <c r="F79" s="115">
        <f>IF(Tabella6[[#This Row],[Gross Base Salary]]=0,Tabella6[[#This Row],[Gross Base Salary]], IF(AND(Tabella6[[#This Row],[Gross Base Salary]]&gt;0,F78&gt;0),F78*(1+$C$8),Tabella6[[#This Row],[Gross Base Salary]]))</f>
        <v>0</v>
      </c>
      <c r="G79" s="115">
        <f>Tabella6[[#This Row],[Salary + inflation]]+Tabella6[[#This Row],[Salary + salary increases]]-(Tabella6[[#This Row],[Gross Base Salary]]*2)</f>
        <v>0</v>
      </c>
      <c r="H79" s="115">
        <f>Tabella6[[#This Row],[Inflation + salary increases]]+Tabella6[[#This Row],[Gross Base Salary]]</f>
        <v>0</v>
      </c>
      <c r="I79" s="176">
        <f>IF(Tabella6[[#This Row],[Age]]&lt;=$C$9,Tabella6[[#This Row],[Adjusted salary]],$G$109)</f>
        <v>107583.77781328086</v>
      </c>
      <c r="J79" s="176">
        <f ca="1">IF('General overview'!$C$8="Yes",SUMIF(Tabella678[[#All],[Year]],Tabella6[[#This Row],[Year]],Tabella678[[#All],[Salary and Pension]]),0)</f>
        <v>73212.866902780079</v>
      </c>
      <c r="K79" s="176">
        <f ca="1">Tabella6[[#This Row],[Salary and Pension]]+Tabella6[[#This Row],[Partmer Salary and Pension]]</f>
        <v>180796.64471606095</v>
      </c>
    </row>
    <row r="80" spans="2:12">
      <c r="B80" s="80">
        <v>79</v>
      </c>
      <c r="C80" s="80">
        <f ca="1">IF(Tabella6[[#This Row],[Age]]=$C$5,$C$10,IF(Tabella6[[#This Row],[Age]]&lt;$C$5,$C$10-($C$5-Tabella6[[#This Row],[Age]]),IF(Tabella6[[#This Row],[Age]]&gt;$C$5,$C$10+Tabella6[[#This Row],[Age]]-$C$5)))</f>
        <v>2075</v>
      </c>
      <c r="D80" s="115">
        <f>IF(AND(Tabella6[[#This Row],[Age]]&gt;=$C$5, Tabella6[[#This Row],[Age]]&lt;=$C$9),$C$6,0)</f>
        <v>0</v>
      </c>
      <c r="E80" s="115">
        <f>Tabella6[[#This Row],[Gross Base Salary]]*(1+$C$7)</f>
        <v>0</v>
      </c>
      <c r="F80" s="115">
        <f>IF(Tabella6[[#This Row],[Gross Base Salary]]=0,Tabella6[[#This Row],[Gross Base Salary]], IF(AND(Tabella6[[#This Row],[Gross Base Salary]]&gt;0,F79&gt;0),F79*(1+$C$8),Tabella6[[#This Row],[Gross Base Salary]]))</f>
        <v>0</v>
      </c>
      <c r="G80" s="115">
        <f>Tabella6[[#This Row],[Salary + inflation]]+Tabella6[[#This Row],[Salary + salary increases]]-(Tabella6[[#This Row],[Gross Base Salary]]*2)</f>
        <v>0</v>
      </c>
      <c r="H80" s="115">
        <f>Tabella6[[#This Row],[Inflation + salary increases]]+Tabella6[[#This Row],[Gross Base Salary]]</f>
        <v>0</v>
      </c>
      <c r="I80" s="176">
        <f>IF(Tabella6[[#This Row],[Age]]&lt;=$C$9,Tabella6[[#This Row],[Adjusted salary]],$G$109)</f>
        <v>107583.77781328086</v>
      </c>
      <c r="J80" s="176">
        <f ca="1">IF('General overview'!$C$8="Yes",SUMIF(Tabella678[[#All],[Year]],Tabella6[[#This Row],[Year]],Tabella678[[#All],[Salary and Pension]]),0)</f>
        <v>73212.866902780079</v>
      </c>
      <c r="K80" s="176">
        <f ca="1">Tabella6[[#This Row],[Salary and Pension]]+Tabella6[[#This Row],[Partmer Salary and Pension]]</f>
        <v>180796.64471606095</v>
      </c>
    </row>
    <row r="81" spans="2:24">
      <c r="B81" s="80">
        <v>80</v>
      </c>
      <c r="C81" s="80">
        <f ca="1">IF(Tabella6[[#This Row],[Age]]=$C$5,$C$10,IF(Tabella6[[#This Row],[Age]]&lt;$C$5,$C$10-($C$5-Tabella6[[#This Row],[Age]]),IF(Tabella6[[#This Row],[Age]]&gt;$C$5,$C$10+Tabella6[[#This Row],[Age]]-$C$5)))</f>
        <v>2076</v>
      </c>
      <c r="D81" s="115">
        <f>IF(AND(Tabella6[[#This Row],[Age]]&gt;=$C$5, Tabella6[[#This Row],[Age]]&lt;=$C$9),$C$6,0)</f>
        <v>0</v>
      </c>
      <c r="E81" s="115">
        <f>Tabella6[[#This Row],[Gross Base Salary]]*(1+$C$7)</f>
        <v>0</v>
      </c>
      <c r="F81" s="115">
        <f>IF(Tabella6[[#This Row],[Gross Base Salary]]=0,Tabella6[[#This Row],[Gross Base Salary]], IF(AND(Tabella6[[#This Row],[Gross Base Salary]]&gt;0,F80&gt;0),F80*(1+$C$8),Tabella6[[#This Row],[Gross Base Salary]]))</f>
        <v>0</v>
      </c>
      <c r="G81" s="115">
        <f>Tabella6[[#This Row],[Salary + inflation]]+Tabella6[[#This Row],[Salary + salary increases]]-(Tabella6[[#This Row],[Gross Base Salary]]*2)</f>
        <v>0</v>
      </c>
      <c r="H81" s="115">
        <f>Tabella6[[#This Row],[Inflation + salary increases]]+Tabella6[[#This Row],[Gross Base Salary]]</f>
        <v>0</v>
      </c>
      <c r="I81" s="176">
        <f>IF(Tabella6[[#This Row],[Age]]&lt;=$C$9,Tabella6[[#This Row],[Adjusted salary]],$G$109)</f>
        <v>107583.77781328086</v>
      </c>
      <c r="J81" s="176">
        <f ca="1">IF('General overview'!$C$8="Yes",SUMIF(Tabella678[[#All],[Year]],Tabella6[[#This Row],[Year]],Tabella678[[#All],[Salary and Pension]]),0)</f>
        <v>73212.866902780079</v>
      </c>
      <c r="K81" s="176">
        <f ca="1">Tabella6[[#This Row],[Salary and Pension]]+Tabella6[[#This Row],[Partmer Salary and Pension]]</f>
        <v>180796.64471606095</v>
      </c>
    </row>
    <row r="87" spans="2:24">
      <c r="B87" s="7" t="s">
        <v>77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</row>
    <row r="89" spans="2:24">
      <c r="B89" s="7" t="s">
        <v>66</v>
      </c>
      <c r="C89" s="21"/>
    </row>
    <row r="90" spans="2:24">
      <c r="B90" s="26" t="s">
        <v>13</v>
      </c>
      <c r="C90" s="26">
        <f>'General overview'!$C$5</f>
        <v>28</v>
      </c>
    </row>
    <row r="91" spans="2:24">
      <c r="B91" s="26" t="s">
        <v>67</v>
      </c>
      <c r="C91" s="27">
        <f>'General overview'!$C$9</f>
        <v>0</v>
      </c>
    </row>
    <row r="92" spans="2:24">
      <c r="B92" s="32"/>
      <c r="C92" s="31"/>
    </row>
    <row r="93" spans="2:24" ht="17">
      <c r="B93" s="33" t="s">
        <v>78</v>
      </c>
      <c r="C93" s="34"/>
      <c r="D93" s="7"/>
      <c r="F93" s="7" t="s">
        <v>79</v>
      </c>
      <c r="G93" s="7"/>
      <c r="H93" s="57"/>
      <c r="I93" s="7" t="s">
        <v>13</v>
      </c>
      <c r="J93" s="7" t="s">
        <v>80</v>
      </c>
      <c r="K93" s="68" t="s">
        <v>81</v>
      </c>
      <c r="L93" s="68" t="s">
        <v>82</v>
      </c>
      <c r="M93" s="68" t="s">
        <v>83</v>
      </c>
      <c r="N93" s="68" t="s">
        <v>84</v>
      </c>
      <c r="O93" s="68" t="s">
        <v>85</v>
      </c>
      <c r="P93" s="68" t="s">
        <v>86</v>
      </c>
      <c r="Q93" s="68" t="s">
        <v>87</v>
      </c>
      <c r="R93" s="68" t="s">
        <v>88</v>
      </c>
      <c r="S93" s="68" t="s">
        <v>89</v>
      </c>
      <c r="T93" s="68" t="s">
        <v>90</v>
      </c>
      <c r="U93" s="68" t="s">
        <v>91</v>
      </c>
      <c r="V93" s="68" t="s">
        <v>49</v>
      </c>
      <c r="W93" s="68" t="s">
        <v>92</v>
      </c>
      <c r="X93" s="18"/>
    </row>
    <row r="94" spans="2:24">
      <c r="B94" s="2" t="s">
        <v>93</v>
      </c>
      <c r="C94" s="35">
        <v>5.2999999999999999E-2</v>
      </c>
      <c r="D94" s="36">
        <f>C94*C91</f>
        <v>0</v>
      </c>
      <c r="F94" s="14" t="s">
        <v>94</v>
      </c>
      <c r="G94" s="50" t="s">
        <v>12</v>
      </c>
      <c r="H94" s="58"/>
      <c r="I94" s="51">
        <f t="shared" ref="I94:I125" si="0">B21</f>
        <v>20</v>
      </c>
      <c r="J94" s="64">
        <f t="shared" ref="J94:J125" si="1">H21</f>
        <v>0</v>
      </c>
      <c r="K94" s="64">
        <f>Tabella25[[#This Row],[Adjusted Salary]]*$C$94+Tabella25[[#This Row],[Adjusted Salary]]*$C$98+Tabella25[[#This Row],[Adjusted Salary]]*$C$99</f>
        <v>0</v>
      </c>
      <c r="L94" s="64"/>
      <c r="M94" s="69">
        <v>0</v>
      </c>
      <c r="N94" s="72">
        <f>IF(Tabella25[[#This Row],[Age]]&lt;25,0, IF(MIN(Tabella25[[#This Row],[Adjusted Salary]]-$C$111, $C$112)&lt;0,0, MIN(Tabella25[[#This Row],[Adjusted Salary]]-$C$111,$C$112)))</f>
        <v>0</v>
      </c>
      <c r="O94" s="72">
        <f>IF(Tabella25[[#This Row],[Age]]&lt;25,0,IF(Tabella25[[#This Row],[Compulsory contributions]]=88200, Tabella25[[#This Row],[Adjusted Salary]]-$C$112-$C$111, 0))</f>
        <v>0</v>
      </c>
      <c r="P94" s="72">
        <f>Tabella25[[#This Row],[Compulsory contributions]]+Tabella25[[#This Row],[Over compulsory contributions]]</f>
        <v>0</v>
      </c>
      <c r="Q94" s="72">
        <f>Tabella25[[#This Row],[Contributions]]*Tabella25[[#This Row],[Retirements credits]]</f>
        <v>0</v>
      </c>
      <c r="R94" s="72">
        <v>0</v>
      </c>
      <c r="S94" s="72">
        <f>Tabella25[[#This Row],[Retirement assets]]</f>
        <v>0</v>
      </c>
      <c r="T94" s="72"/>
      <c r="U94" s="77">
        <f>IF(Tabella25[[#This Row],[Age]]&lt;=$C$9,(Tabella25[[#This Row],[Adjusted Salary]]),$G$109)</f>
        <v>0</v>
      </c>
      <c r="V94" s="72">
        <f>Tabella25[[#This Row],[1° Pillar deductions]]+(Tabella25[[#This Row],[Retirement assets]]/2)</f>
        <v>0</v>
      </c>
      <c r="W94" s="77">
        <f>Tabella25[[#This Row],[Salary and pension]]-Tabella25[[#This Row],[Pension deductions]]</f>
        <v>0</v>
      </c>
      <c r="X94" s="58"/>
    </row>
    <row r="95" spans="2:24">
      <c r="B95" s="37" t="s">
        <v>95</v>
      </c>
      <c r="C95" s="38">
        <v>4.3499999999999997E-2</v>
      </c>
      <c r="D95" s="4">
        <f>C95*C91</f>
        <v>0</v>
      </c>
      <c r="F95" s="2" t="s">
        <v>96</v>
      </c>
      <c r="G95" s="4">
        <v>1260</v>
      </c>
      <c r="H95" s="12"/>
      <c r="I95" s="51">
        <f t="shared" si="0"/>
        <v>21</v>
      </c>
      <c r="J95" s="65">
        <f t="shared" si="1"/>
        <v>0</v>
      </c>
      <c r="K95" s="65">
        <f>Tabella25[[#This Row],[Adjusted Salary]]*$C$94+Tabella25[[#This Row],[Adjusted Salary]]*$C$98+Tabella25[[#This Row],[Adjusted Salary]]*$C$99</f>
        <v>0</v>
      </c>
      <c r="L95" s="65"/>
      <c r="M95" s="69">
        <v>0</v>
      </c>
      <c r="N95" s="72">
        <f>IF(Tabella25[[#This Row],[Age]]&lt;25,0, IF(MIN(Tabella25[[#This Row],[Adjusted Salary]]-$C$111, $C$112)&lt;0,0, MIN(Tabella25[[#This Row],[Adjusted Salary]]-$C$111,$C$112)))</f>
        <v>0</v>
      </c>
      <c r="O95" s="72">
        <f>IF(Tabella25[[#This Row],[Age]]&lt;25,0,IF(Tabella25[[#This Row],[Compulsory contributions]]=88200, Tabella25[[#This Row],[Adjusted Salary]]-$C$112-$C$111, 0))</f>
        <v>0</v>
      </c>
      <c r="P95" s="72">
        <f>Tabella25[[#This Row],[Compulsory contributions]]+Tabella25[[#This Row],[Over compulsory contributions]]</f>
        <v>0</v>
      </c>
      <c r="Q95" s="72">
        <f>Tabella25[[#This Row],[Contributions]]*Tabella25[[#This Row],[Retirements credits]]</f>
        <v>0</v>
      </c>
      <c r="R95" s="72">
        <f>S94*$G$101</f>
        <v>0</v>
      </c>
      <c r="S95" s="72">
        <f>S94+Tabella25[[#This Row],[Retirement assets]]+Tabella25[[#This Row],[Interests]]</f>
        <v>0</v>
      </c>
      <c r="T95" s="72"/>
      <c r="U95" s="77">
        <f>IF(Tabella25[[#This Row],[Age]]&lt;=$C$9,(Tabella25[[#This Row],[Adjusted Salary]]),$G$109)</f>
        <v>0</v>
      </c>
      <c r="V95" s="72">
        <f>Tabella25[[#This Row],[1° Pillar deductions]]+(Tabella25[[#This Row],[Retirement assets]]/2)</f>
        <v>0</v>
      </c>
      <c r="W95" s="77">
        <f>Tabella25[[#This Row],[Salary and pension]]-Tabella25[[#This Row],[Pension deductions]]</f>
        <v>0</v>
      </c>
      <c r="X95" s="12"/>
    </row>
    <row r="96" spans="2:24">
      <c r="B96" s="37" t="s">
        <v>97</v>
      </c>
      <c r="C96" s="38">
        <v>7.0000000000000001E-3</v>
      </c>
      <c r="D96" s="4">
        <f>C96*C91</f>
        <v>0</v>
      </c>
      <c r="F96" s="2" t="s">
        <v>98</v>
      </c>
      <c r="G96" s="36">
        <v>2520</v>
      </c>
      <c r="H96" s="59"/>
      <c r="I96" s="51">
        <f t="shared" si="0"/>
        <v>22</v>
      </c>
      <c r="J96" s="65">
        <f t="shared" si="1"/>
        <v>0</v>
      </c>
      <c r="K96" s="65">
        <f>Tabella25[[#This Row],[Adjusted Salary]]*$C$94+Tabella25[[#This Row],[Adjusted Salary]]*$C$98+Tabella25[[#This Row],[Adjusted Salary]]*$C$99</f>
        <v>0</v>
      </c>
      <c r="L96" s="65"/>
      <c r="M96" s="69">
        <v>0</v>
      </c>
      <c r="N96" s="72">
        <f>IF(Tabella25[[#This Row],[Age]]&lt;25,0, IF(MIN(Tabella25[[#This Row],[Adjusted Salary]]-$C$111, $C$112)&lt;0,0, MIN(Tabella25[[#This Row],[Adjusted Salary]]-$C$111,$C$112)))</f>
        <v>0</v>
      </c>
      <c r="O96" s="72">
        <f>IF(Tabella25[[#This Row],[Age]]&lt;25,0,IF(Tabella25[[#This Row],[Compulsory contributions]]=88200, Tabella25[[#This Row],[Adjusted Salary]]-$C$112-$C$111, 0))</f>
        <v>0</v>
      </c>
      <c r="P96" s="72">
        <f>Tabella25[[#This Row],[Compulsory contributions]]+Tabella25[[#This Row],[Over compulsory contributions]]</f>
        <v>0</v>
      </c>
      <c r="Q96" s="72">
        <f>Tabella25[[#This Row],[Contributions]]*Tabella25[[#This Row],[Retirements credits]]</f>
        <v>0</v>
      </c>
      <c r="R96" s="72">
        <f t="shared" ref="R96:R139" si="2">S95*$G$101</f>
        <v>0</v>
      </c>
      <c r="S96" s="72">
        <f>S95+Tabella25[[#This Row],[Retirement assets]]+Tabella25[[#This Row],[Interests]]</f>
        <v>0</v>
      </c>
      <c r="T96" s="72"/>
      <c r="U96" s="77">
        <f>IF(Tabella25[[#This Row],[Age]]&lt;=$C$9,(Tabella25[[#This Row],[Adjusted Salary]]),$G$109)</f>
        <v>0</v>
      </c>
      <c r="V96" s="72">
        <f>Tabella25[[#This Row],[1° Pillar deductions]]+(Tabella25[[#This Row],[Retirement assets]]/2)</f>
        <v>0</v>
      </c>
      <c r="W96" s="77">
        <f>Tabella25[[#This Row],[Salary and pension]]-Tabella25[[#This Row],[Pension deductions]]</f>
        <v>0</v>
      </c>
      <c r="X96" s="59"/>
    </row>
    <row r="97" spans="2:24">
      <c r="B97" s="37" t="s">
        <v>99</v>
      </c>
      <c r="C97" s="38">
        <v>2.5000000000000001E-3</v>
      </c>
      <c r="D97" s="4">
        <f>C97*C91</f>
        <v>0</v>
      </c>
      <c r="F97" s="2" t="s">
        <v>100</v>
      </c>
      <c r="G97" s="36">
        <f>G96*1.5</f>
        <v>3780</v>
      </c>
      <c r="H97" s="59"/>
      <c r="I97" s="51">
        <f t="shared" si="0"/>
        <v>23</v>
      </c>
      <c r="J97" s="65">
        <f t="shared" si="1"/>
        <v>0</v>
      </c>
      <c r="K97" s="65">
        <f>Tabella25[[#This Row],[Adjusted Salary]]*$C$94+Tabella25[[#This Row],[Adjusted Salary]]*$C$98+Tabella25[[#This Row],[Adjusted Salary]]*$C$99</f>
        <v>0</v>
      </c>
      <c r="L97" s="65"/>
      <c r="M97" s="69">
        <v>0</v>
      </c>
      <c r="N97" s="72">
        <f>IF(Tabella25[[#This Row],[Age]]&lt;25,0, IF(MIN(Tabella25[[#This Row],[Adjusted Salary]]-$C$111, $C$112)&lt;0,0, MIN(Tabella25[[#This Row],[Adjusted Salary]]-$C$111,$C$112)))</f>
        <v>0</v>
      </c>
      <c r="O97" s="72">
        <f>IF(Tabella25[[#This Row],[Age]]&lt;25,0,IF(Tabella25[[#This Row],[Compulsory contributions]]=88200, Tabella25[[#This Row],[Adjusted Salary]]-$C$112-$C$111, 0))</f>
        <v>0</v>
      </c>
      <c r="P97" s="72">
        <f>Tabella25[[#This Row],[Compulsory contributions]]+Tabella25[[#This Row],[Over compulsory contributions]]</f>
        <v>0</v>
      </c>
      <c r="Q97" s="72">
        <f>Tabella25[[#This Row],[Contributions]]*Tabella25[[#This Row],[Retirements credits]]</f>
        <v>0</v>
      </c>
      <c r="R97" s="72">
        <f t="shared" si="2"/>
        <v>0</v>
      </c>
      <c r="S97" s="72">
        <f>S96+Tabella25[[#This Row],[Retirement assets]]+Tabella25[[#This Row],[Interests]]</f>
        <v>0</v>
      </c>
      <c r="T97" s="72"/>
      <c r="U97" s="77">
        <f>IF(Tabella25[[#This Row],[Age]]&lt;=$C$9,(Tabella25[[#This Row],[Adjusted Salary]]),$G$109)</f>
        <v>0</v>
      </c>
      <c r="V97" s="72">
        <f>Tabella25[[#This Row],[1° Pillar deductions]]+(Tabella25[[#This Row],[Retirement assets]]/2)</f>
        <v>0</v>
      </c>
      <c r="W97" s="77">
        <f>Tabella25[[#This Row],[Salary and pension]]-Tabella25[[#This Row],[Pension deductions]]</f>
        <v>0</v>
      </c>
      <c r="X97" s="59"/>
    </row>
    <row r="98" spans="2:24">
      <c r="B98" s="2" t="s">
        <v>101</v>
      </c>
      <c r="C98" s="39">
        <v>1.0999999999999999E-2</v>
      </c>
      <c r="D98" s="36">
        <f>IF(C91&lt;=148200, C91*C98, C98*148200)</f>
        <v>0</v>
      </c>
      <c r="I98" s="51">
        <f t="shared" si="0"/>
        <v>24</v>
      </c>
      <c r="J98" s="66">
        <f t="shared" si="1"/>
        <v>0</v>
      </c>
      <c r="K98" s="66">
        <f>Tabella25[[#This Row],[Adjusted Salary]]*$C$94+Tabella25[[#This Row],[Adjusted Salary]]*$C$98+Tabella25[[#This Row],[Adjusted Salary]]*$C$99</f>
        <v>0</v>
      </c>
      <c r="L98" s="66"/>
      <c r="M98" s="69">
        <v>0</v>
      </c>
      <c r="N98" s="72">
        <f>IF(Tabella25[[#This Row],[Age]]&lt;25,0, IF(MIN(Tabella25[[#This Row],[Adjusted Salary]]-$C$111, $C$112)&lt;0,0, MIN(Tabella25[[#This Row],[Adjusted Salary]]-$C$111,$C$112)))</f>
        <v>0</v>
      </c>
      <c r="O98" s="72">
        <f>IF(Tabella25[[#This Row],[Age]]&lt;25,0,IF(Tabella25[[#This Row],[Compulsory contributions]]=88200, Tabella25[[#This Row],[Adjusted Salary]]-$C$112-$C$111, 0))</f>
        <v>0</v>
      </c>
      <c r="P98" s="72">
        <f>Tabella25[[#This Row],[Compulsory contributions]]+Tabella25[[#This Row],[Over compulsory contributions]]</f>
        <v>0</v>
      </c>
      <c r="Q98" s="72">
        <f>Tabella25[[#This Row],[Contributions]]*Tabella25[[#This Row],[Retirements credits]]</f>
        <v>0</v>
      </c>
      <c r="R98" s="72">
        <f t="shared" si="2"/>
        <v>0</v>
      </c>
      <c r="S98" s="72">
        <f>S97+Tabella25[[#This Row],[Retirement assets]]+Tabella25[[#This Row],[Interests]]</f>
        <v>0</v>
      </c>
      <c r="T98" s="72"/>
      <c r="U98" s="77">
        <f>IF(Tabella25[[#This Row],[Age]]&lt;=$C$9,(Tabella25[[#This Row],[Adjusted Salary]]),$G$109)</f>
        <v>0</v>
      </c>
      <c r="V98" s="72">
        <f>Tabella25[[#This Row],[1° Pillar deductions]]+(Tabella25[[#This Row],[Retirement assets]]/2)</f>
        <v>0</v>
      </c>
      <c r="W98" s="77">
        <f>Tabella25[[#This Row],[Salary and pension]]-Tabella25[[#This Row],[Pension deductions]]</f>
        <v>0</v>
      </c>
    </row>
    <row r="99" spans="2:24">
      <c r="B99" s="40" t="s">
        <v>102</v>
      </c>
      <c r="C99" s="44">
        <v>1.4999999999999999E-2</v>
      </c>
      <c r="D99" s="41">
        <f>C99*C91</f>
        <v>0</v>
      </c>
      <c r="F99" s="7" t="s">
        <v>103</v>
      </c>
      <c r="G99" s="7"/>
      <c r="H99" s="57"/>
      <c r="I99" s="51">
        <f t="shared" si="0"/>
        <v>25</v>
      </c>
      <c r="J99" s="66">
        <f t="shared" si="1"/>
        <v>0</v>
      </c>
      <c r="K99" s="66">
        <f>Tabella25[[#This Row],[Adjusted Salary]]*$C$94+Tabella25[[#This Row],[Adjusted Salary]]*$C$98+Tabella25[[#This Row],[Adjusted Salary]]*$C$99</f>
        <v>0</v>
      </c>
      <c r="L99" s="66"/>
      <c r="M99" s="70">
        <v>7.0000000000000007E-2</v>
      </c>
      <c r="N99" s="71">
        <f>IF(Tabella25[[#This Row],[Age]]&lt;25,0, IF(MIN(Tabella25[[#This Row],[Adjusted Salary]]-$C$111, $C$112)&lt;0,0, MIN(Tabella25[[#This Row],[Adjusted Salary]]-$C$111,$C$112)))</f>
        <v>0</v>
      </c>
      <c r="O99" s="71">
        <f>IF(Tabella25[[#This Row],[Age]]&lt;25,0,IF(Tabella25[[#This Row],[Compulsory contributions]]=88200, Tabella25[[#This Row],[Adjusted Salary]]-$C$112-$C$111, 0))</f>
        <v>0</v>
      </c>
      <c r="P99" s="71">
        <f>Tabella25[[#This Row],[Compulsory contributions]]+Tabella25[[#This Row],[Over compulsory contributions]]</f>
        <v>0</v>
      </c>
      <c r="Q99" s="71">
        <f>Tabella25[[#This Row],[Contributions]]*Tabella25[[#This Row],[Retirements credits]]</f>
        <v>0</v>
      </c>
      <c r="R99" s="72">
        <f t="shared" si="2"/>
        <v>0</v>
      </c>
      <c r="S99" s="72">
        <f>S98+Tabella25[[#This Row],[Retirement assets]]+Tabella25[[#This Row],[Interests]]</f>
        <v>0</v>
      </c>
      <c r="T99" s="72"/>
      <c r="U99" s="77">
        <f>IF(Tabella25[[#This Row],[Age]]&lt;=$C$9,(Tabella25[[#This Row],[Adjusted Salary]]),$G$109)</f>
        <v>0</v>
      </c>
      <c r="V99" s="72">
        <f>Tabella25[[#This Row],[1° Pillar deductions]]+(Tabella25[[#This Row],[Retirement assets]]/2)</f>
        <v>0</v>
      </c>
      <c r="W99" s="77">
        <f>Tabella25[[#This Row],[Salary and pension]]-Tabella25[[#This Row],[Pension deductions]]</f>
        <v>0</v>
      </c>
      <c r="X99" s="57"/>
    </row>
    <row r="100" spans="2:24">
      <c r="B100" s="2"/>
      <c r="C100" s="42">
        <f>SUM(C94,C98,C99)</f>
        <v>7.9000000000000001E-2</v>
      </c>
      <c r="D100" s="2"/>
      <c r="F100" s="14" t="s">
        <v>104</v>
      </c>
      <c r="G100" s="2">
        <f>IF(C90&gt;=25,C90,25)</f>
        <v>28</v>
      </c>
      <c r="I100" s="51">
        <f t="shared" si="0"/>
        <v>26</v>
      </c>
      <c r="J100" s="66">
        <f t="shared" si="1"/>
        <v>0</v>
      </c>
      <c r="K100" s="66">
        <f>Tabella25[[#This Row],[Adjusted Salary]]*$C$94+Tabella25[[#This Row],[Adjusted Salary]]*$C$98+Tabella25[[#This Row],[Adjusted Salary]]*$C$99</f>
        <v>0</v>
      </c>
      <c r="L100" s="66"/>
      <c r="M100" s="70">
        <v>7.0000000000000007E-2</v>
      </c>
      <c r="N100" s="71">
        <f>IF(Tabella25[[#This Row],[Age]]&lt;25,0, IF(MIN(Tabella25[[#This Row],[Adjusted Salary]]-$C$111, $C$112)&lt;0,0, MIN(Tabella25[[#This Row],[Adjusted Salary]]-$C$111,$C$112)))</f>
        <v>0</v>
      </c>
      <c r="O100" s="71">
        <f>IF(Tabella25[[#This Row],[Age]]&lt;25,0,IF(Tabella25[[#This Row],[Compulsory contributions]]=88200, Tabella25[[#This Row],[Adjusted Salary]]-$C$112-$C$111, 0))</f>
        <v>0</v>
      </c>
      <c r="P100" s="71">
        <f>Tabella25[[#This Row],[Compulsory contributions]]+Tabella25[[#This Row],[Over compulsory contributions]]</f>
        <v>0</v>
      </c>
      <c r="Q100" s="71">
        <f>Tabella25[[#This Row],[Contributions]]*Tabella25[[#This Row],[Retirements credits]]</f>
        <v>0</v>
      </c>
      <c r="R100" s="72">
        <f t="shared" si="2"/>
        <v>0</v>
      </c>
      <c r="S100" s="72">
        <f>S99+Tabella25[[#This Row],[Retirement assets]]+Tabella25[[#This Row],[Interests]]</f>
        <v>0</v>
      </c>
      <c r="T100" s="72"/>
      <c r="U100" s="77">
        <f>IF(Tabella25[[#This Row],[Age]]&lt;=$C$9,(Tabella25[[#This Row],[Adjusted Salary]]),$G$109)</f>
        <v>0</v>
      </c>
      <c r="V100" s="72">
        <f>Tabella25[[#This Row],[1° Pillar deductions]]+(Tabella25[[#This Row],[Retirement assets]]/2)</f>
        <v>0</v>
      </c>
      <c r="W100" s="77">
        <f>Tabella25[[#This Row],[Salary and pension]]-Tabella25[[#This Row],[Pension deductions]]</f>
        <v>0</v>
      </c>
    </row>
    <row r="101" spans="2:24">
      <c r="B101" s="2"/>
      <c r="C101" s="43"/>
      <c r="D101" s="36">
        <f>SUM(D94+D98+D99)</f>
        <v>0</v>
      </c>
      <c r="F101" s="14" t="s">
        <v>105</v>
      </c>
      <c r="G101" s="39">
        <v>1.2500000000000001E-2</v>
      </c>
      <c r="H101" s="60"/>
      <c r="I101" s="51">
        <f t="shared" si="0"/>
        <v>27</v>
      </c>
      <c r="J101" s="67">
        <f t="shared" si="1"/>
        <v>0</v>
      </c>
      <c r="K101" s="67">
        <f>Tabella25[[#This Row],[Adjusted Salary]]*$C$94+Tabella25[[#This Row],[Adjusted Salary]]*$C$98+Tabella25[[#This Row],[Adjusted Salary]]*$C$99</f>
        <v>0</v>
      </c>
      <c r="L101" s="67"/>
      <c r="M101" s="70">
        <v>7.0000000000000007E-2</v>
      </c>
      <c r="N101" s="71">
        <f>IF(Tabella25[[#This Row],[Age]]&lt;25,0, IF(MIN(Tabella25[[#This Row],[Adjusted Salary]]-$C$111, $C$112)&lt;0,0, MIN(Tabella25[[#This Row],[Adjusted Salary]]-$C$111,$C$112)))</f>
        <v>0</v>
      </c>
      <c r="O101" s="71">
        <f>IF(Tabella25[[#This Row],[Age]]&lt;25,0,IF(Tabella25[[#This Row],[Compulsory contributions]]=88200, Tabella25[[#This Row],[Adjusted Salary]]-$C$112-$C$111, 0))</f>
        <v>0</v>
      </c>
      <c r="P101" s="71">
        <f>Tabella25[[#This Row],[Compulsory contributions]]+Tabella25[[#This Row],[Over compulsory contributions]]</f>
        <v>0</v>
      </c>
      <c r="Q101" s="71">
        <f>Tabella25[[#This Row],[Contributions]]*Tabella25[[#This Row],[Retirements credits]]</f>
        <v>0</v>
      </c>
      <c r="R101" s="72">
        <f t="shared" si="2"/>
        <v>0</v>
      </c>
      <c r="S101" s="72">
        <f>S100+Tabella25[[#This Row],[Retirement assets]]+Tabella25[[#This Row],[Interests]]</f>
        <v>0</v>
      </c>
      <c r="T101" s="72"/>
      <c r="U101" s="77">
        <f>IF(Tabella25[[#This Row],[Age]]&lt;=$C$9,(Tabella25[[#This Row],[Adjusted Salary]]),$G$109)</f>
        <v>0</v>
      </c>
      <c r="V101" s="72">
        <f>Tabella25[[#This Row],[1° Pillar deductions]]+(Tabella25[[#This Row],[Retirement assets]]/2)</f>
        <v>0</v>
      </c>
      <c r="W101" s="77">
        <f>Tabella25[[#This Row],[Salary and pension]]-Tabella25[[#This Row],[Pension deductions]]</f>
        <v>0</v>
      </c>
      <c r="X101" s="60"/>
    </row>
    <row r="102" spans="2:24">
      <c r="F102" s="2" t="s">
        <v>106</v>
      </c>
      <c r="G102" s="4">
        <f>Tabella25[[#Totals],[Comulated assets]]</f>
        <v>1100349.6737247184</v>
      </c>
      <c r="H102" s="12"/>
      <c r="I102" s="51">
        <f t="shared" si="0"/>
        <v>28</v>
      </c>
      <c r="J102" s="65">
        <f t="shared" si="1"/>
        <v>100000</v>
      </c>
      <c r="K102" s="65">
        <f>Tabella25[[#This Row],[Adjusted Salary]]*$C$94+Tabella25[[#This Row],[Adjusted Salary]]*$C$98+Tabella25[[#This Row],[Adjusted Salary]]*$C$99</f>
        <v>7900</v>
      </c>
      <c r="L102" s="65"/>
      <c r="M102" s="70">
        <v>7.0000000000000007E-2</v>
      </c>
      <c r="N102" s="71">
        <f>IF(Tabella25[[#This Row],[Age]]&lt;25,0, IF(MIN(Tabella25[[#This Row],[Adjusted Salary]]-$C$111, $C$112)&lt;0,0, MIN(Tabella25[[#This Row],[Adjusted Salary]]-$C$111,$C$112)))</f>
        <v>73540</v>
      </c>
      <c r="O102" s="71">
        <f>IF(Tabella25[[#This Row],[Age]]&lt;25,0,IF(Tabella25[[#This Row],[Compulsory contributions]]=88200, Tabella25[[#This Row],[Adjusted Salary]]-$C$112-$C$111, 0))</f>
        <v>0</v>
      </c>
      <c r="P102" s="71">
        <f>Tabella25[[#This Row],[Compulsory contributions]]+Tabella25[[#This Row],[Over compulsory contributions]]</f>
        <v>73540</v>
      </c>
      <c r="Q102" s="71">
        <f>Tabella25[[#This Row],[Contributions]]*Tabella25[[#This Row],[Retirements credits]]</f>
        <v>5147.8</v>
      </c>
      <c r="R102" s="72">
        <f t="shared" si="2"/>
        <v>0</v>
      </c>
      <c r="S102" s="72">
        <f>S101+Tabella25[[#This Row],[Retirement assets]]+Tabella25[[#This Row],[Interests]]</f>
        <v>5147.8</v>
      </c>
      <c r="T102" s="72"/>
      <c r="U102" s="77">
        <f>IF(Tabella25[[#This Row],[Age]]&lt;=$C$9,(Tabella25[[#This Row],[Adjusted Salary]]),$G$109)</f>
        <v>100000</v>
      </c>
      <c r="V102" s="72">
        <f>Tabella25[[#This Row],[1° Pillar deductions]]+(Tabella25[[#This Row],[Retirement assets]]/2)</f>
        <v>10473.9</v>
      </c>
      <c r="W102" s="77">
        <f>Tabella25[[#This Row],[Salary and pension]]-Tabella25[[#This Row],[Pension deductions]]</f>
        <v>89526.1</v>
      </c>
      <c r="X102" s="12"/>
    </row>
    <row r="103" spans="2:24">
      <c r="B103" s="7" t="s">
        <v>107</v>
      </c>
      <c r="C103" s="21"/>
      <c r="D103" s="21"/>
      <c r="F103" s="2" t="s">
        <v>108</v>
      </c>
      <c r="G103" s="52">
        <v>6.8000000000000005E-2</v>
      </c>
      <c r="H103" s="60"/>
      <c r="I103" s="51">
        <f t="shared" si="0"/>
        <v>29</v>
      </c>
      <c r="J103" s="67">
        <f t="shared" si="1"/>
        <v>103713.74335979213</v>
      </c>
      <c r="K103" s="67">
        <f>Tabella25[[#This Row],[Adjusted Salary]]*$C$94+Tabella25[[#This Row],[Adjusted Salary]]*$C$98+Tabella25[[#This Row],[Adjusted Salary]]*$C$99</f>
        <v>8193.3857254235791</v>
      </c>
      <c r="L103" s="67"/>
      <c r="M103" s="70">
        <v>7.0000000000000007E-2</v>
      </c>
      <c r="N103" s="71">
        <f>IF(Tabella25[[#This Row],[Age]]&lt;25,0, IF(MIN(Tabella25[[#This Row],[Adjusted Salary]]-$C$111, $C$112)&lt;0,0, MIN(Tabella25[[#This Row],[Adjusted Salary]]-$C$111,$C$112)))</f>
        <v>77253.743359792134</v>
      </c>
      <c r="O103" s="71">
        <f>IF(Tabella25[[#This Row],[Age]]&lt;25,0,IF(Tabella25[[#This Row],[Compulsory contributions]]=88200, Tabella25[[#This Row],[Adjusted Salary]]-$C$112-$C$111, 0))</f>
        <v>0</v>
      </c>
      <c r="P103" s="71">
        <f>Tabella25[[#This Row],[Compulsory contributions]]+Tabella25[[#This Row],[Over compulsory contributions]]</f>
        <v>77253.743359792134</v>
      </c>
      <c r="Q103" s="71">
        <f>Tabella25[[#This Row],[Contributions]]*Tabella25[[#This Row],[Retirements credits]]</f>
        <v>5407.7620351854503</v>
      </c>
      <c r="R103" s="72">
        <f t="shared" si="2"/>
        <v>64.347500000000011</v>
      </c>
      <c r="S103" s="72">
        <f>S102+Tabella25[[#This Row],[Retirement assets]]+Tabella25[[#This Row],[Interests]]</f>
        <v>10619.90953518545</v>
      </c>
      <c r="T103" s="72"/>
      <c r="U103" s="77">
        <f>IF(Tabella25[[#This Row],[Age]]&lt;=$C$9,(Tabella25[[#This Row],[Adjusted Salary]]),$G$109)</f>
        <v>103713.74335979213</v>
      </c>
      <c r="V103" s="72">
        <f>Tabella25[[#This Row],[1° Pillar deductions]]+(Tabella25[[#This Row],[Retirement assets]]/2)</f>
        <v>10897.266743016304</v>
      </c>
      <c r="W103" s="77">
        <f>Tabella25[[#This Row],[Salary and pension]]-Tabella25[[#This Row],[Pension deductions]]</f>
        <v>92816.476616775835</v>
      </c>
      <c r="X103" s="60"/>
    </row>
    <row r="104" spans="2:24">
      <c r="B104" s="2" t="s">
        <v>109</v>
      </c>
      <c r="C104" s="2"/>
      <c r="D104" s="2"/>
      <c r="F104" s="2" t="s">
        <v>110</v>
      </c>
      <c r="G104" s="4">
        <f>G102*G103</f>
        <v>74823.77781328086</v>
      </c>
      <c r="H104" s="12"/>
      <c r="I104" s="51">
        <f t="shared" si="0"/>
        <v>30</v>
      </c>
      <c r="J104" s="65">
        <f t="shared" si="1"/>
        <v>107523.2132099712</v>
      </c>
      <c r="K104" s="65">
        <f>Tabella25[[#This Row],[Adjusted Salary]]*$C$94+Tabella25[[#This Row],[Adjusted Salary]]*$C$98+Tabella25[[#This Row],[Adjusted Salary]]*$C$99</f>
        <v>8494.3338435877249</v>
      </c>
      <c r="L104" s="65"/>
      <c r="M104" s="70">
        <v>7.0000000000000007E-2</v>
      </c>
      <c r="N104" s="71">
        <f>IF(Tabella25[[#This Row],[Age]]&lt;25,0, IF(MIN(Tabella25[[#This Row],[Adjusted Salary]]-$C$111, $C$112)&lt;0,0, MIN(Tabella25[[#This Row],[Adjusted Salary]]-$C$111,$C$112)))</f>
        <v>81063.213209971203</v>
      </c>
      <c r="O104" s="71">
        <f>IF(Tabella25[[#This Row],[Age]]&lt;25,0,IF(Tabella25[[#This Row],[Compulsory contributions]]=88200, Tabella25[[#This Row],[Adjusted Salary]]-$C$112-$C$111, 0))</f>
        <v>0</v>
      </c>
      <c r="P104" s="71">
        <f>Tabella25[[#This Row],[Compulsory contributions]]+Tabella25[[#This Row],[Over compulsory contributions]]</f>
        <v>81063.213209971203</v>
      </c>
      <c r="Q104" s="71">
        <f>Tabella25[[#This Row],[Contributions]]*Tabella25[[#This Row],[Retirements credits]]</f>
        <v>5674.4249246979844</v>
      </c>
      <c r="R104" s="72">
        <f t="shared" si="2"/>
        <v>132.74886918981812</v>
      </c>
      <c r="S104" s="72">
        <f>S103+Tabella25[[#This Row],[Retirement assets]]+Tabella25[[#This Row],[Interests]]</f>
        <v>16427.083329073252</v>
      </c>
      <c r="T104" s="72"/>
      <c r="U104" s="77">
        <f>IF(Tabella25[[#This Row],[Age]]&lt;=$C$9,(Tabella25[[#This Row],[Adjusted Salary]]),$G$109)</f>
        <v>107523.2132099712</v>
      </c>
      <c r="V104" s="72">
        <f>Tabella25[[#This Row],[1° Pillar deductions]]+(Tabella25[[#This Row],[Retirement assets]]/2)</f>
        <v>11331.546305936718</v>
      </c>
      <c r="W104" s="77">
        <f>Tabella25[[#This Row],[Salary and pension]]-Tabella25[[#This Row],[Pension deductions]]</f>
        <v>96191.666904034486</v>
      </c>
      <c r="X104" s="12"/>
    </row>
    <row r="105" spans="2:24">
      <c r="B105" s="37" t="s">
        <v>111</v>
      </c>
      <c r="C105" s="45">
        <v>7.0000000000000007E-2</v>
      </c>
      <c r="D105" s="2"/>
      <c r="F105" s="53" t="s">
        <v>112</v>
      </c>
      <c r="G105" s="36">
        <f>G104/12</f>
        <v>6235.3148177734047</v>
      </c>
      <c r="H105" s="59"/>
      <c r="I105" s="51">
        <f t="shared" si="0"/>
        <v>31</v>
      </c>
      <c r="J105" s="65">
        <f t="shared" si="1"/>
        <v>111431.18112786009</v>
      </c>
      <c r="K105" s="65">
        <f>Tabella25[[#This Row],[Adjusted Salary]]*$C$94+Tabella25[[#This Row],[Adjusted Salary]]*$C$98+Tabella25[[#This Row],[Adjusted Salary]]*$C$99</f>
        <v>8803.0633091009477</v>
      </c>
      <c r="L105" s="65"/>
      <c r="M105" s="70">
        <v>7.0000000000000007E-2</v>
      </c>
      <c r="N105" s="71">
        <f>IF(Tabella25[[#This Row],[Age]]&lt;25,0, IF(MIN(Tabella25[[#This Row],[Adjusted Salary]]-$C$111, $C$112)&lt;0,0, MIN(Tabella25[[#This Row],[Adjusted Salary]]-$C$111,$C$112)))</f>
        <v>84971.181127860094</v>
      </c>
      <c r="O105" s="71">
        <f>IF(Tabella25[[#This Row],[Age]]&lt;25,0,IF(Tabella25[[#This Row],[Compulsory contributions]]=88200, Tabella25[[#This Row],[Adjusted Salary]]-$C$112-$C$111, 0))</f>
        <v>0</v>
      </c>
      <c r="P105" s="71">
        <f>Tabella25[[#This Row],[Compulsory contributions]]+Tabella25[[#This Row],[Over compulsory contributions]]</f>
        <v>84971.181127860094</v>
      </c>
      <c r="Q105" s="71">
        <f>Tabella25[[#This Row],[Contributions]]*Tabella25[[#This Row],[Retirements credits]]</f>
        <v>5947.9826789502076</v>
      </c>
      <c r="R105" s="72">
        <f t="shared" si="2"/>
        <v>205.33854161341566</v>
      </c>
      <c r="S105" s="72">
        <f>S104+Tabella25[[#This Row],[Retirement assets]]+Tabella25[[#This Row],[Interests]]</f>
        <v>22580.404549636874</v>
      </c>
      <c r="T105" s="72"/>
      <c r="U105" s="77">
        <f>IF(Tabella25[[#This Row],[Age]]&lt;=$C$9,(Tabella25[[#This Row],[Adjusted Salary]]),$G$109)</f>
        <v>111431.18112786009</v>
      </c>
      <c r="V105" s="72">
        <f>Tabella25[[#This Row],[1° Pillar deductions]]+(Tabella25[[#This Row],[Retirement assets]]/2)</f>
        <v>11777.054648576051</v>
      </c>
      <c r="W105" s="77">
        <f>Tabella25[[#This Row],[Salary and pension]]-Tabella25[[#This Row],[Pension deductions]]</f>
        <v>99654.126479284037</v>
      </c>
      <c r="X105" s="59"/>
    </row>
    <row r="106" spans="2:24">
      <c r="B106" s="37" t="s">
        <v>113</v>
      </c>
      <c r="C106" s="45">
        <v>0.1</v>
      </c>
      <c r="D106" s="2"/>
      <c r="I106" s="51">
        <f t="shared" si="0"/>
        <v>32</v>
      </c>
      <c r="J106" s="66">
        <f t="shared" si="1"/>
        <v>115440.50142539543</v>
      </c>
      <c r="K106" s="66">
        <f>Tabella25[[#This Row],[Adjusted Salary]]*$C$94+Tabella25[[#This Row],[Adjusted Salary]]*$C$98+Tabella25[[#This Row],[Adjusted Salary]]*$C$99</f>
        <v>9119.799612606239</v>
      </c>
      <c r="L106" s="66"/>
      <c r="M106" s="70">
        <v>7.0000000000000007E-2</v>
      </c>
      <c r="N106" s="71">
        <f>IF(Tabella25[[#This Row],[Age]]&lt;25,0, IF(MIN(Tabella25[[#This Row],[Adjusted Salary]]-$C$111, $C$112)&lt;0,0, MIN(Tabella25[[#This Row],[Adjusted Salary]]-$C$111,$C$112)))</f>
        <v>88200</v>
      </c>
      <c r="O106" s="71">
        <f>IF(Tabella25[[#This Row],[Age]]&lt;25,0,IF(Tabella25[[#This Row],[Compulsory contributions]]=88200, Tabella25[[#This Row],[Adjusted Salary]]-$C$112-$C$111, 0))</f>
        <v>780.50142539542867</v>
      </c>
      <c r="P106" s="71">
        <f>Tabella25[[#This Row],[Compulsory contributions]]+Tabella25[[#This Row],[Over compulsory contributions]]</f>
        <v>88980.501425395429</v>
      </c>
      <c r="Q106" s="71">
        <f>Tabella25[[#This Row],[Contributions]]*Tabella25[[#This Row],[Retirements credits]]</f>
        <v>6228.6350997776808</v>
      </c>
      <c r="R106" s="72">
        <f t="shared" si="2"/>
        <v>282.25505687046092</v>
      </c>
      <c r="S106" s="72">
        <f>S105+Tabella25[[#This Row],[Retirement assets]]+Tabella25[[#This Row],[Interests]]</f>
        <v>29091.294706285014</v>
      </c>
      <c r="T106" s="72"/>
      <c r="U106" s="77">
        <f>IF(Tabella25[[#This Row],[Age]]&lt;=$C$9,(Tabella25[[#This Row],[Adjusted Salary]]),$G$109)</f>
        <v>115440.50142539543</v>
      </c>
      <c r="V106" s="72">
        <f>Tabella25[[#This Row],[1° Pillar deductions]]+(Tabella25[[#This Row],[Retirement assets]]/2)</f>
        <v>12234.11716249508</v>
      </c>
      <c r="W106" s="77">
        <f>Tabella25[[#This Row],[Salary and pension]]-Tabella25[[#This Row],[Pension deductions]]</f>
        <v>103206.38426290035</v>
      </c>
    </row>
    <row r="107" spans="2:24">
      <c r="B107" s="37" t="s">
        <v>114</v>
      </c>
      <c r="C107" s="45">
        <v>0.15</v>
      </c>
      <c r="D107" s="2"/>
      <c r="F107" s="48" t="s">
        <v>115</v>
      </c>
      <c r="G107" s="49">
        <f>IF(G94="Single",G96*13,G97)</f>
        <v>32760</v>
      </c>
      <c r="H107" s="61"/>
      <c r="I107" s="51">
        <f t="shared" si="0"/>
        <v>33</v>
      </c>
      <c r="J107" s="66">
        <f t="shared" si="1"/>
        <v>119554.11363698088</v>
      </c>
      <c r="K107" s="66">
        <f>Tabella25[[#This Row],[Adjusted Salary]]*$C$94+Tabella25[[#This Row],[Adjusted Salary]]*$C$98+Tabella25[[#This Row],[Adjusted Salary]]*$C$99</f>
        <v>9444.7749773214891</v>
      </c>
      <c r="L107" s="66"/>
      <c r="M107" s="70">
        <v>7.0000000000000007E-2</v>
      </c>
      <c r="N107" s="71">
        <f>IF(Tabella25[[#This Row],[Age]]&lt;25,0, IF(MIN(Tabella25[[#This Row],[Adjusted Salary]]-$C$111, $C$112)&lt;0,0, MIN(Tabella25[[#This Row],[Adjusted Salary]]-$C$111,$C$112)))</f>
        <v>88200</v>
      </c>
      <c r="O107" s="71">
        <f>IF(Tabella25[[#This Row],[Age]]&lt;25,0,IF(Tabella25[[#This Row],[Compulsory contributions]]=88200, Tabella25[[#This Row],[Adjusted Salary]]-$C$112-$C$111, 0))</f>
        <v>4894.113636980881</v>
      </c>
      <c r="P107" s="71">
        <f>Tabella25[[#This Row],[Compulsory contributions]]+Tabella25[[#This Row],[Over compulsory contributions]]</f>
        <v>93094.113636980881</v>
      </c>
      <c r="Q107" s="71">
        <f>Tabella25[[#This Row],[Contributions]]*Tabella25[[#This Row],[Retirements credits]]</f>
        <v>6516.5879545886619</v>
      </c>
      <c r="R107" s="72">
        <f t="shared" si="2"/>
        <v>363.6411838285627</v>
      </c>
      <c r="S107" s="72">
        <f>S106+Tabella25[[#This Row],[Retirement assets]]+Tabella25[[#This Row],[Interests]]</f>
        <v>35971.523844702242</v>
      </c>
      <c r="T107" s="72"/>
      <c r="U107" s="77">
        <f>IF(Tabella25[[#This Row],[Age]]&lt;=$C$9,(Tabella25[[#This Row],[Adjusted Salary]]),$G$109)</f>
        <v>119554.11363698088</v>
      </c>
      <c r="V107" s="72">
        <f>Tabella25[[#This Row],[1° Pillar deductions]]+(Tabella25[[#This Row],[Retirement assets]]/2)</f>
        <v>12703.068954615821</v>
      </c>
      <c r="W107" s="77">
        <f>Tabella25[[#This Row],[Salary and pension]]-Tabella25[[#This Row],[Pension deductions]]</f>
        <v>106851.04468236506</v>
      </c>
      <c r="X107" s="61"/>
    </row>
    <row r="108" spans="2:24">
      <c r="B108" s="37" t="s">
        <v>116</v>
      </c>
      <c r="C108" s="45">
        <v>0.18</v>
      </c>
      <c r="D108" s="2"/>
      <c r="F108" s="48" t="s">
        <v>117</v>
      </c>
      <c r="G108" s="49">
        <f>G104</f>
        <v>74823.77781328086</v>
      </c>
      <c r="H108" s="61"/>
      <c r="I108" s="51">
        <f t="shared" si="0"/>
        <v>34</v>
      </c>
      <c r="J108" s="66">
        <f t="shared" si="1"/>
        <v>123775.04508227963</v>
      </c>
      <c r="K108" s="66">
        <f>Tabella25[[#This Row],[Adjusted Salary]]*$C$94+Tabella25[[#This Row],[Adjusted Salary]]*$C$98+Tabella25[[#This Row],[Adjusted Salary]]*$C$99</f>
        <v>9778.228561500091</v>
      </c>
      <c r="L108" s="66"/>
      <c r="M108" s="70">
        <v>7.0000000000000007E-2</v>
      </c>
      <c r="N108" s="71">
        <f>IF(Tabella25[[#This Row],[Age]]&lt;25,0, IF(MIN(Tabella25[[#This Row],[Adjusted Salary]]-$C$111, $C$112)&lt;0,0, MIN(Tabella25[[#This Row],[Adjusted Salary]]-$C$111,$C$112)))</f>
        <v>88200</v>
      </c>
      <c r="O108" s="71">
        <f>IF(Tabella25[[#This Row],[Age]]&lt;25,0,IF(Tabella25[[#This Row],[Compulsory contributions]]=88200, Tabella25[[#This Row],[Adjusted Salary]]-$C$112-$C$111, 0))</f>
        <v>9115.0450822796265</v>
      </c>
      <c r="P108" s="71">
        <f>Tabella25[[#This Row],[Compulsory contributions]]+Tabella25[[#This Row],[Over compulsory contributions]]</f>
        <v>97315.045082279627</v>
      </c>
      <c r="Q108" s="71">
        <f>Tabella25[[#This Row],[Contributions]]*Tabella25[[#This Row],[Retirements credits]]</f>
        <v>6812.0531557595741</v>
      </c>
      <c r="R108" s="72">
        <f t="shared" si="2"/>
        <v>449.64404805877803</v>
      </c>
      <c r="S108" s="72">
        <f>S107+Tabella25[[#This Row],[Retirement assets]]+Tabella25[[#This Row],[Interests]]</f>
        <v>43233.221048520594</v>
      </c>
      <c r="T108" s="72"/>
      <c r="U108" s="77">
        <f>IF(Tabella25[[#This Row],[Age]]&lt;=$C$9,(Tabella25[[#This Row],[Adjusted Salary]]),$G$109)</f>
        <v>123775.04508227963</v>
      </c>
      <c r="V108" s="72">
        <f>Tabella25[[#This Row],[1° Pillar deductions]]+(Tabella25[[#This Row],[Retirement assets]]/2)</f>
        <v>13184.255139379879</v>
      </c>
      <c r="W108" s="77">
        <f>Tabella25[[#This Row],[Salary and pension]]-Tabella25[[#This Row],[Pension deductions]]</f>
        <v>110590.78994289975</v>
      </c>
      <c r="X108" s="61"/>
    </row>
    <row r="109" spans="2:24">
      <c r="B109" s="2" t="s">
        <v>118</v>
      </c>
      <c r="C109" s="4">
        <v>22680</v>
      </c>
      <c r="D109" s="2"/>
      <c r="F109" s="8" t="s">
        <v>119</v>
      </c>
      <c r="G109" s="54">
        <f>SUM(G107:G108)</f>
        <v>107583.77781328086</v>
      </c>
      <c r="H109" s="62"/>
      <c r="I109" s="51">
        <f t="shared" si="0"/>
        <v>35</v>
      </c>
      <c r="J109" s="66">
        <f t="shared" si="1"/>
        <v>128106.41350620333</v>
      </c>
      <c r="K109" s="66">
        <f>Tabella25[[#This Row],[Adjusted Salary]]*$C$94+Tabella25[[#This Row],[Adjusted Salary]]*$C$98+Tabella25[[#This Row],[Adjusted Salary]]*$C$99</f>
        <v>10120.406666990062</v>
      </c>
      <c r="L109" s="66"/>
      <c r="M109" s="70">
        <v>0.1</v>
      </c>
      <c r="N109" s="71">
        <f>IF(Tabella25[[#This Row],[Age]]&lt;25,0, IF(MIN(Tabella25[[#This Row],[Adjusted Salary]]-$C$111, $C$112)&lt;0,0, MIN(Tabella25[[#This Row],[Adjusted Salary]]-$C$111,$C$112)))</f>
        <v>88200</v>
      </c>
      <c r="O109" s="71">
        <f>IF(Tabella25[[#This Row],[Age]]&lt;25,0,IF(Tabella25[[#This Row],[Compulsory contributions]]=88200, Tabella25[[#This Row],[Adjusted Salary]]-$C$112-$C$111, 0))</f>
        <v>13446.413506203331</v>
      </c>
      <c r="P109" s="71">
        <f>Tabella25[[#This Row],[Compulsory contributions]]+Tabella25[[#This Row],[Over compulsory contributions]]</f>
        <v>101646.41350620333</v>
      </c>
      <c r="Q109" s="71">
        <f>Tabella25[[#This Row],[Contributions]]*Tabella25[[#This Row],[Retirements credits]]</f>
        <v>10164.641350620333</v>
      </c>
      <c r="R109" s="72">
        <f t="shared" si="2"/>
        <v>540.4152631065075</v>
      </c>
      <c r="S109" s="72">
        <f>S108+Tabella25[[#This Row],[Retirement assets]]+Tabella25[[#This Row],[Interests]]</f>
        <v>53938.277662247434</v>
      </c>
      <c r="T109" s="72"/>
      <c r="U109" s="77">
        <f>IF(Tabella25[[#This Row],[Age]]&lt;=$C$9,(Tabella25[[#This Row],[Adjusted Salary]]),$G$109)</f>
        <v>128106.41350620333</v>
      </c>
      <c r="V109" s="72">
        <f>Tabella25[[#This Row],[1° Pillar deductions]]+(Tabella25[[#This Row],[Retirement assets]]/2)</f>
        <v>15202.72734230023</v>
      </c>
      <c r="W109" s="77">
        <f>Tabella25[[#This Row],[Salary and pension]]-Tabella25[[#This Row],[Pension deductions]]</f>
        <v>112903.6861639031</v>
      </c>
      <c r="X109" s="62"/>
    </row>
    <row r="110" spans="2:24">
      <c r="B110" s="2" t="s">
        <v>120</v>
      </c>
      <c r="C110" s="4"/>
      <c r="D110" s="43"/>
      <c r="F110" s="2" t="s">
        <v>121</v>
      </c>
      <c r="G110" s="52">
        <v>0.01</v>
      </c>
      <c r="H110" s="60"/>
      <c r="I110" s="51">
        <f t="shared" si="0"/>
        <v>36</v>
      </c>
      <c r="J110" s="67">
        <f t="shared" si="1"/>
        <v>132551.42979842433</v>
      </c>
      <c r="K110" s="67">
        <f>Tabella25[[#This Row],[Adjusted Salary]]*$C$94+Tabella25[[#This Row],[Adjusted Salary]]*$C$98+Tabella25[[#This Row],[Adjusted Salary]]*$C$99</f>
        <v>10471.562954075522</v>
      </c>
      <c r="L110" s="67"/>
      <c r="M110" s="70">
        <v>0.1</v>
      </c>
      <c r="N110" s="71">
        <f>IF(Tabella25[[#This Row],[Age]]&lt;25,0, IF(MIN(Tabella25[[#This Row],[Adjusted Salary]]-$C$111, $C$112)&lt;0,0, MIN(Tabella25[[#This Row],[Adjusted Salary]]-$C$111,$C$112)))</f>
        <v>88200</v>
      </c>
      <c r="O110" s="71">
        <f>IF(Tabella25[[#This Row],[Age]]&lt;25,0,IF(Tabella25[[#This Row],[Compulsory contributions]]=88200, Tabella25[[#This Row],[Adjusted Salary]]-$C$112-$C$111, 0))</f>
        <v>17891.429798424331</v>
      </c>
      <c r="P110" s="71">
        <f>Tabella25[[#This Row],[Compulsory contributions]]+Tabella25[[#This Row],[Over compulsory contributions]]</f>
        <v>106091.42979842433</v>
      </c>
      <c r="Q110" s="71">
        <f>Tabella25[[#This Row],[Contributions]]*Tabella25[[#This Row],[Retirements credits]]</f>
        <v>10609.142979842434</v>
      </c>
      <c r="R110" s="72">
        <f t="shared" si="2"/>
        <v>674.22847077809297</v>
      </c>
      <c r="S110" s="72">
        <f>S109+Tabella25[[#This Row],[Retirement assets]]+Tabella25[[#This Row],[Interests]]</f>
        <v>65221.649112867963</v>
      </c>
      <c r="T110" s="72"/>
      <c r="U110" s="77">
        <f>IF(Tabella25[[#This Row],[Age]]&lt;=$C$9,(Tabella25[[#This Row],[Adjusted Salary]]),$G$109)</f>
        <v>132551.42979842433</v>
      </c>
      <c r="V110" s="72">
        <f>Tabella25[[#This Row],[1° Pillar deductions]]+(Tabella25[[#This Row],[Retirement assets]]/2)</f>
        <v>15776.13444399674</v>
      </c>
      <c r="W110" s="77">
        <f>Tabella25[[#This Row],[Salary and pension]]-Tabella25[[#This Row],[Pension deductions]]</f>
        <v>116775.2953544276</v>
      </c>
      <c r="X110" s="60"/>
    </row>
    <row r="111" spans="2:24">
      <c r="B111" s="37" t="s">
        <v>122</v>
      </c>
      <c r="C111" s="4">
        <v>26460</v>
      </c>
      <c r="D111" s="43"/>
      <c r="F111" s="2" t="s">
        <v>123</v>
      </c>
      <c r="G111" s="55">
        <f>65-C90</f>
        <v>37</v>
      </c>
      <c r="H111" s="63"/>
      <c r="I111" s="51">
        <f t="shared" si="0"/>
        <v>37</v>
      </c>
      <c r="J111" s="66">
        <f t="shared" si="1"/>
        <v>137113.40079480727</v>
      </c>
      <c r="K111" s="66">
        <f>Tabella25[[#This Row],[Adjusted Salary]]*$C$94+Tabella25[[#This Row],[Adjusted Salary]]*$C$98+Tabella25[[#This Row],[Adjusted Salary]]*$C$99</f>
        <v>10831.958662789773</v>
      </c>
      <c r="L111" s="66"/>
      <c r="M111" s="70">
        <v>0.1</v>
      </c>
      <c r="N111" s="71">
        <f>IF(Tabella25[[#This Row],[Age]]&lt;25,0, IF(MIN(Tabella25[[#This Row],[Adjusted Salary]]-$C$111, $C$112)&lt;0,0, MIN(Tabella25[[#This Row],[Adjusted Salary]]-$C$111,$C$112)))</f>
        <v>88200</v>
      </c>
      <c r="O111" s="71">
        <f>IF(Tabella25[[#This Row],[Age]]&lt;25,0,IF(Tabella25[[#This Row],[Compulsory contributions]]=88200, Tabella25[[#This Row],[Adjusted Salary]]-$C$112-$C$111, 0))</f>
        <v>22453.400794807269</v>
      </c>
      <c r="P111" s="71">
        <f>Tabella25[[#This Row],[Compulsory contributions]]+Tabella25[[#This Row],[Over compulsory contributions]]</f>
        <v>110653.40079480727</v>
      </c>
      <c r="Q111" s="71">
        <f>Tabella25[[#This Row],[Contributions]]*Tabella25[[#This Row],[Retirements credits]]</f>
        <v>11065.340079480728</v>
      </c>
      <c r="R111" s="72">
        <f t="shared" si="2"/>
        <v>815.27061391084953</v>
      </c>
      <c r="S111" s="72">
        <f>S110+Tabella25[[#This Row],[Retirement assets]]+Tabella25[[#This Row],[Interests]]</f>
        <v>77102.259806259535</v>
      </c>
      <c r="T111" s="72"/>
      <c r="U111" s="77">
        <f>IF(Tabella25[[#This Row],[Age]]&lt;=$C$9,(Tabella25[[#This Row],[Adjusted Salary]]),$G$109)</f>
        <v>137113.40079480727</v>
      </c>
      <c r="V111" s="72">
        <f>Tabella25[[#This Row],[1° Pillar deductions]]+(Tabella25[[#This Row],[Retirement assets]]/2)</f>
        <v>16364.628702530137</v>
      </c>
      <c r="W111" s="77">
        <f>Tabella25[[#This Row],[Salary and pension]]-Tabella25[[#This Row],[Pension deductions]]</f>
        <v>120748.77209227713</v>
      </c>
      <c r="X111" s="63"/>
    </row>
    <row r="112" spans="2:24">
      <c r="B112" s="37" t="s">
        <v>124</v>
      </c>
      <c r="C112" s="4">
        <v>88200</v>
      </c>
      <c r="D112" s="43"/>
      <c r="F112" s="3" t="s">
        <v>125</v>
      </c>
      <c r="G112" s="56" t="e">
        <f>#REF!/(1+#REF!)^#REF!</f>
        <v>#REF!</v>
      </c>
      <c r="H112" s="59"/>
      <c r="I112" s="51">
        <f t="shared" si="0"/>
        <v>38</v>
      </c>
      <c r="J112" s="65">
        <f t="shared" si="1"/>
        <v>141795.73216322847</v>
      </c>
      <c r="K112" s="65">
        <f>Tabella25[[#This Row],[Adjusted Salary]]*$C$94+Tabella25[[#This Row],[Adjusted Salary]]*$C$98+Tabella25[[#This Row],[Adjusted Salary]]*$C$99</f>
        <v>11201.86284089505</v>
      </c>
      <c r="L112" s="65"/>
      <c r="M112" s="70">
        <v>0.1</v>
      </c>
      <c r="N112" s="71">
        <f>IF(Tabella25[[#This Row],[Age]]&lt;25,0, IF(MIN(Tabella25[[#This Row],[Adjusted Salary]]-$C$111, $C$112)&lt;0,0, MIN(Tabella25[[#This Row],[Adjusted Salary]]-$C$111,$C$112)))</f>
        <v>88200</v>
      </c>
      <c r="O112" s="71">
        <f>IF(Tabella25[[#This Row],[Age]]&lt;25,0,IF(Tabella25[[#This Row],[Compulsory contributions]]=88200, Tabella25[[#This Row],[Adjusted Salary]]-$C$112-$C$111, 0))</f>
        <v>27135.732163228473</v>
      </c>
      <c r="P112" s="71">
        <f>Tabella25[[#This Row],[Compulsory contributions]]+Tabella25[[#This Row],[Over compulsory contributions]]</f>
        <v>115335.73216322847</v>
      </c>
      <c r="Q112" s="71">
        <f>Tabella25[[#This Row],[Contributions]]*Tabella25[[#This Row],[Retirements credits]]</f>
        <v>11533.573216322848</v>
      </c>
      <c r="R112" s="72">
        <f t="shared" si="2"/>
        <v>963.77824757824419</v>
      </c>
      <c r="S112" s="72">
        <f>S111+Tabella25[[#This Row],[Retirement assets]]+Tabella25[[#This Row],[Interests]]</f>
        <v>89599.611270160633</v>
      </c>
      <c r="T112" s="72"/>
      <c r="U112" s="77">
        <f>IF(Tabella25[[#This Row],[Age]]&lt;=$C$9,(Tabella25[[#This Row],[Adjusted Salary]]),$G$109)</f>
        <v>141795.73216322847</v>
      </c>
      <c r="V112" s="72">
        <f>Tabella25[[#This Row],[1° Pillar deductions]]+(Tabella25[[#This Row],[Retirement assets]]/2)</f>
        <v>16968.649449056473</v>
      </c>
      <c r="W112" s="77">
        <f>Tabella25[[#This Row],[Salary and pension]]-Tabella25[[#This Row],[Pension deductions]]</f>
        <v>124827.08271417199</v>
      </c>
      <c r="X112" s="59"/>
    </row>
    <row r="113" spans="2:23">
      <c r="B113" s="2" t="s">
        <v>126</v>
      </c>
      <c r="C113" s="4">
        <f>MIN(C91-C111, C112)</f>
        <v>-26460</v>
      </c>
      <c r="D113" s="46"/>
      <c r="I113" s="51">
        <f t="shared" si="0"/>
        <v>39</v>
      </c>
      <c r="J113" s="66">
        <f t="shared" si="1"/>
        <v>146601.93137632645</v>
      </c>
      <c r="K113" s="66">
        <f>Tabella25[[#This Row],[Adjusted Salary]]*$C$94+Tabella25[[#This Row],[Adjusted Salary]]*$C$98+Tabella25[[#This Row],[Adjusted Salary]]*$C$99</f>
        <v>11581.552578729788</v>
      </c>
      <c r="L113" s="66"/>
      <c r="M113" s="70">
        <v>0.1</v>
      </c>
      <c r="N113" s="71">
        <f>IF(Tabella25[[#This Row],[Age]]&lt;25,0, IF(MIN(Tabella25[[#This Row],[Adjusted Salary]]-$C$111, $C$112)&lt;0,0, MIN(Tabella25[[#This Row],[Adjusted Salary]]-$C$111,$C$112)))</f>
        <v>88200</v>
      </c>
      <c r="O113" s="71">
        <f>IF(Tabella25[[#This Row],[Age]]&lt;25,0,IF(Tabella25[[#This Row],[Compulsory contributions]]=88200, Tabella25[[#This Row],[Adjusted Salary]]-$C$112-$C$111, 0))</f>
        <v>31941.931376326451</v>
      </c>
      <c r="P113" s="71">
        <f>Tabella25[[#This Row],[Compulsory contributions]]+Tabella25[[#This Row],[Over compulsory contributions]]</f>
        <v>120141.93137632645</v>
      </c>
      <c r="Q113" s="71">
        <f>Tabella25[[#This Row],[Contributions]]*Tabella25[[#This Row],[Retirements credits]]</f>
        <v>12014.193137632647</v>
      </c>
      <c r="R113" s="72">
        <f t="shared" si="2"/>
        <v>1119.995140877008</v>
      </c>
      <c r="S113" s="72">
        <f>S112+Tabella25[[#This Row],[Retirement assets]]+Tabella25[[#This Row],[Interests]]</f>
        <v>102733.79954867029</v>
      </c>
      <c r="T113" s="72"/>
      <c r="U113" s="77">
        <f>IF(Tabella25[[#This Row],[Age]]&lt;=$C$9,(Tabella25[[#This Row],[Adjusted Salary]]),$G$109)</f>
        <v>146601.93137632645</v>
      </c>
      <c r="V113" s="72">
        <f>Tabella25[[#This Row],[1° Pillar deductions]]+(Tabella25[[#This Row],[Retirement assets]]/2)</f>
        <v>17588.649147546112</v>
      </c>
      <c r="W113" s="77">
        <f>Tabella25[[#This Row],[Salary and pension]]-Tabella25[[#This Row],[Pension deductions]]</f>
        <v>129013.28222878034</v>
      </c>
    </row>
    <row r="114" spans="2:23">
      <c r="B114" s="2" t="s">
        <v>127</v>
      </c>
      <c r="C114" s="10">
        <f>IF(C113=88200, C91-C112, 0)</f>
        <v>0</v>
      </c>
      <c r="D114" s="4"/>
      <c r="I114" s="51">
        <f t="shared" si="0"/>
        <v>40</v>
      </c>
      <c r="J114" s="66">
        <f t="shared" si="1"/>
        <v>151535.61077380291</v>
      </c>
      <c r="K114" s="66">
        <f>Tabella25[[#This Row],[Adjusted Salary]]*$C$94+Tabella25[[#This Row],[Adjusted Salary]]*$C$98+Tabella25[[#This Row],[Adjusted Salary]]*$C$99</f>
        <v>11971.31325113043</v>
      </c>
      <c r="L114" s="66"/>
      <c r="M114" s="70">
        <v>0.1</v>
      </c>
      <c r="N114" s="71">
        <f>IF(Tabella25[[#This Row],[Age]]&lt;25,0, IF(MIN(Tabella25[[#This Row],[Adjusted Salary]]-$C$111, $C$112)&lt;0,0, MIN(Tabella25[[#This Row],[Adjusted Salary]]-$C$111,$C$112)))</f>
        <v>88200</v>
      </c>
      <c r="O114" s="71">
        <f>IF(Tabella25[[#This Row],[Age]]&lt;25,0,IF(Tabella25[[#This Row],[Compulsory contributions]]=88200, Tabella25[[#This Row],[Adjusted Salary]]-$C$112-$C$111, 0))</f>
        <v>36875.61077380291</v>
      </c>
      <c r="P114" s="71">
        <f>Tabella25[[#This Row],[Compulsory contributions]]+Tabella25[[#This Row],[Over compulsory contributions]]</f>
        <v>125075.61077380291</v>
      </c>
      <c r="Q114" s="71">
        <f>Tabella25[[#This Row],[Contributions]]*Tabella25[[#This Row],[Retirements credits]]</f>
        <v>12507.561077380291</v>
      </c>
      <c r="R114" s="72">
        <f t="shared" si="2"/>
        <v>1284.1724943583786</v>
      </c>
      <c r="S114" s="72">
        <f>S113+Tabella25[[#This Row],[Retirement assets]]+Tabella25[[#This Row],[Interests]]</f>
        <v>116525.53312040896</v>
      </c>
      <c r="T114" s="72"/>
      <c r="U114" s="77">
        <f>IF(Tabella25[[#This Row],[Age]]&lt;=$C$9,(Tabella25[[#This Row],[Adjusted Salary]]),$G$109)</f>
        <v>151535.61077380291</v>
      </c>
      <c r="V114" s="72">
        <f>Tabella25[[#This Row],[1° Pillar deductions]]+(Tabella25[[#This Row],[Retirement assets]]/2)</f>
        <v>18225.093789820574</v>
      </c>
      <c r="W114" s="77">
        <f>Tabella25[[#This Row],[Salary and pension]]-Tabella25[[#This Row],[Pension deductions]]</f>
        <v>133310.51698398235</v>
      </c>
    </row>
    <row r="115" spans="2:23">
      <c r="B115" s="2" t="s">
        <v>128</v>
      </c>
      <c r="C115" s="10"/>
      <c r="D115" s="36">
        <f>IF(AND(C90&gt;=25, C90&lt;=34), C105*C113, IF(AND(C90&gt;=35, C90&lt;=44), C113*C106, IF(AND(C90&gt;=45, C90&lt;=54), C113*C107, IF(AND(C90&gt;=55, C90&lt;=64), C113*C108))))</f>
        <v>-1852.2000000000003</v>
      </c>
      <c r="I115" s="51">
        <f t="shared" si="0"/>
        <v>41</v>
      </c>
      <c r="J115" s="66">
        <f t="shared" si="1"/>
        <v>156600.4907169728</v>
      </c>
      <c r="K115" s="66">
        <f>Tabella25[[#This Row],[Adjusted Salary]]*$C$94+Tabella25[[#This Row],[Adjusted Salary]]*$C$98+Tabella25[[#This Row],[Adjusted Salary]]*$C$99</f>
        <v>12371.438766640851</v>
      </c>
      <c r="L115" s="66"/>
      <c r="M115" s="70">
        <v>0.1</v>
      </c>
      <c r="N115" s="71">
        <f>IF(Tabella25[[#This Row],[Age]]&lt;25,0, IF(MIN(Tabella25[[#This Row],[Adjusted Salary]]-$C$111, $C$112)&lt;0,0, MIN(Tabella25[[#This Row],[Adjusted Salary]]-$C$111,$C$112)))</f>
        <v>88200</v>
      </c>
      <c r="O115" s="71">
        <f>IF(Tabella25[[#This Row],[Age]]&lt;25,0,IF(Tabella25[[#This Row],[Compulsory contributions]]=88200, Tabella25[[#This Row],[Adjusted Salary]]-$C$112-$C$111, 0))</f>
        <v>41940.490716972796</v>
      </c>
      <c r="P115" s="71">
        <f>Tabella25[[#This Row],[Compulsory contributions]]+Tabella25[[#This Row],[Over compulsory contributions]]</f>
        <v>130140.4907169728</v>
      </c>
      <c r="Q115" s="71">
        <f>Tabella25[[#This Row],[Contributions]]*Tabella25[[#This Row],[Retirements credits]]</f>
        <v>13014.04907169728</v>
      </c>
      <c r="R115" s="72">
        <f t="shared" si="2"/>
        <v>1456.569164005112</v>
      </c>
      <c r="S115" s="72">
        <f>S114+Tabella25[[#This Row],[Retirement assets]]+Tabella25[[#This Row],[Interests]]</f>
        <v>130996.15135611135</v>
      </c>
      <c r="T115" s="72"/>
      <c r="U115" s="77">
        <f>IF(Tabella25[[#This Row],[Age]]&lt;=$C$9,(Tabella25[[#This Row],[Adjusted Salary]]),$G$109)</f>
        <v>156600.4907169728</v>
      </c>
      <c r="V115" s="72">
        <f>Tabella25[[#This Row],[1° Pillar deductions]]+(Tabella25[[#This Row],[Retirement assets]]/2)</f>
        <v>18878.46330248949</v>
      </c>
      <c r="W115" s="77">
        <f>Tabella25[[#This Row],[Salary and pension]]-Tabella25[[#This Row],[Pension deductions]]</f>
        <v>137722.02741448331</v>
      </c>
    </row>
    <row r="116" spans="2:23">
      <c r="B116" s="2" t="s">
        <v>129</v>
      </c>
      <c r="C116" s="10">
        <f>IF(ISNUMBER(C114), IF(AND(C90&gt;=25, C90&lt;=34), C114*C105, IF(AND(C90&gt;=35, C90&lt;=44), C106*C114, IF(AND(C90&gt;=45, C90&lt;=54), C107*C114, IF(AND(C90&gt;=55, C90&lt;=64), C108*C114)))),  "")</f>
        <v>0</v>
      </c>
      <c r="D116" s="36">
        <f>IF(ISNUMBER(C114), IF(AND(C90&gt;=25, C90&lt;=34), C114*C105, IF(AND(C90&gt;=35, C90&lt;=44), C106*C114, IF(AND(C90&gt;=45, C90&lt;=54), C107*C114, IF(AND(C90&gt;=55, C90&lt;=64), C108*C114)))),  "")</f>
        <v>0</v>
      </c>
      <c r="I116" s="51">
        <f t="shared" si="0"/>
        <v>42</v>
      </c>
      <c r="J116" s="66">
        <f t="shared" si="1"/>
        <v>161800.40283834317</v>
      </c>
      <c r="K116" s="66">
        <f>Tabella25[[#This Row],[Adjusted Salary]]*$C$94+Tabella25[[#This Row],[Adjusted Salary]]*$C$98+Tabella25[[#This Row],[Adjusted Salary]]*$C$99</f>
        <v>12782.231824229111</v>
      </c>
      <c r="L116" s="66"/>
      <c r="M116" s="70">
        <v>0.1</v>
      </c>
      <c r="N116" s="71">
        <f>IF(Tabella25[[#This Row],[Age]]&lt;25,0, IF(MIN(Tabella25[[#This Row],[Adjusted Salary]]-$C$111, $C$112)&lt;0,0, MIN(Tabella25[[#This Row],[Adjusted Salary]]-$C$111,$C$112)))</f>
        <v>88200</v>
      </c>
      <c r="O116" s="71">
        <f>IF(Tabella25[[#This Row],[Age]]&lt;25,0,IF(Tabella25[[#This Row],[Compulsory contributions]]=88200, Tabella25[[#This Row],[Adjusted Salary]]-$C$112-$C$111, 0))</f>
        <v>47140.402838343172</v>
      </c>
      <c r="P116" s="71">
        <f>Tabella25[[#This Row],[Compulsory contributions]]+Tabella25[[#This Row],[Over compulsory contributions]]</f>
        <v>135340.40283834317</v>
      </c>
      <c r="Q116" s="71">
        <f>Tabella25[[#This Row],[Contributions]]*Tabella25[[#This Row],[Retirements credits]]</f>
        <v>13534.040283834318</v>
      </c>
      <c r="R116" s="72">
        <f t="shared" si="2"/>
        <v>1637.4518919513921</v>
      </c>
      <c r="S116" s="72">
        <f>S115+Tabella25[[#This Row],[Retirement assets]]+Tabella25[[#This Row],[Interests]]</f>
        <v>146167.64353189705</v>
      </c>
      <c r="T116" s="72"/>
      <c r="U116" s="77">
        <f>IF(Tabella25[[#This Row],[Age]]&lt;=$C$9,(Tabella25[[#This Row],[Adjusted Salary]]),$G$109)</f>
        <v>161800.40283834317</v>
      </c>
      <c r="V116" s="72">
        <f>Tabella25[[#This Row],[1° Pillar deductions]]+(Tabella25[[#This Row],[Retirement assets]]/2)</f>
        <v>19549.251966146272</v>
      </c>
      <c r="W116" s="77">
        <f>Tabella25[[#This Row],[Salary and pension]]-Tabella25[[#This Row],[Pension deductions]]</f>
        <v>142251.15087219689</v>
      </c>
    </row>
    <row r="117" spans="2:23">
      <c r="B117" s="40" t="s">
        <v>130</v>
      </c>
      <c r="C117" s="47"/>
      <c r="D117" s="41">
        <f>SUM(D115:D116)</f>
        <v>-1852.2000000000003</v>
      </c>
      <c r="I117" s="51">
        <f t="shared" si="0"/>
        <v>43</v>
      </c>
      <c r="J117" s="66">
        <f t="shared" si="1"/>
        <v>167139.29338908469</v>
      </c>
      <c r="K117" s="66">
        <f>Tabella25[[#This Row],[Adjusted Salary]]*$C$94+Tabella25[[#This Row],[Adjusted Salary]]*$C$98+Tabella25[[#This Row],[Adjusted Salary]]*$C$99</f>
        <v>13204.00417773769</v>
      </c>
      <c r="L117" s="66"/>
      <c r="M117" s="70">
        <v>0.1</v>
      </c>
      <c r="N117" s="71">
        <f>IF(Tabella25[[#This Row],[Age]]&lt;25,0, IF(MIN(Tabella25[[#This Row],[Adjusted Salary]]-$C$111, $C$112)&lt;0,0, MIN(Tabella25[[#This Row],[Adjusted Salary]]-$C$111,$C$112)))</f>
        <v>88200</v>
      </c>
      <c r="O117" s="71">
        <f>IF(Tabella25[[#This Row],[Age]]&lt;25,0,IF(Tabella25[[#This Row],[Compulsory contributions]]=88200, Tabella25[[#This Row],[Adjusted Salary]]-$C$112-$C$111, 0))</f>
        <v>52479.293389084691</v>
      </c>
      <c r="P117" s="71">
        <f>Tabella25[[#This Row],[Compulsory contributions]]+Tabella25[[#This Row],[Over compulsory contributions]]</f>
        <v>140679.29338908469</v>
      </c>
      <c r="Q117" s="71">
        <f>Tabella25[[#This Row],[Contributions]]*Tabella25[[#This Row],[Retirements credits]]</f>
        <v>14067.929338908471</v>
      </c>
      <c r="R117" s="72">
        <f t="shared" si="2"/>
        <v>1827.0955441487131</v>
      </c>
      <c r="S117" s="72">
        <f>S116+Tabella25[[#This Row],[Retirement assets]]+Tabella25[[#This Row],[Interests]]</f>
        <v>162062.66841495421</v>
      </c>
      <c r="T117" s="72"/>
      <c r="U117" s="77">
        <f>IF(Tabella25[[#This Row],[Age]]&lt;=$C$9,(Tabella25[[#This Row],[Adjusted Salary]]),$G$109)</f>
        <v>167139.29338908469</v>
      </c>
      <c r="V117" s="72">
        <f>Tabella25[[#This Row],[1° Pillar deductions]]+(Tabella25[[#This Row],[Retirement assets]]/2)</f>
        <v>20237.968847191925</v>
      </c>
      <c r="W117" s="77">
        <f>Tabella25[[#This Row],[Salary and pension]]-Tabella25[[#This Row],[Pension deductions]]</f>
        <v>146901.32454189277</v>
      </c>
    </row>
    <row r="118" spans="2:23">
      <c r="B118" s="2" t="s">
        <v>131</v>
      </c>
      <c r="C118" s="10"/>
      <c r="D118" s="36">
        <f>D117/2</f>
        <v>-926.10000000000014</v>
      </c>
      <c r="I118" s="51">
        <f t="shared" si="0"/>
        <v>44</v>
      </c>
      <c r="J118" s="66">
        <f t="shared" si="1"/>
        <v>172621.22668734577</v>
      </c>
      <c r="K118" s="66">
        <f>Tabella25[[#This Row],[Adjusted Salary]]*$C$94+Tabella25[[#This Row],[Adjusted Salary]]*$C$98+Tabella25[[#This Row],[Adjusted Salary]]*$C$99</f>
        <v>13637.076908300316</v>
      </c>
      <c r="L118" s="66"/>
      <c r="M118" s="70">
        <v>0.1</v>
      </c>
      <c r="N118" s="71">
        <f>IF(Tabella25[[#This Row],[Age]]&lt;25,0, IF(MIN(Tabella25[[#This Row],[Adjusted Salary]]-$C$111, $C$112)&lt;0,0, MIN(Tabella25[[#This Row],[Adjusted Salary]]-$C$111,$C$112)))</f>
        <v>88200</v>
      </c>
      <c r="O118" s="71">
        <f>IF(Tabella25[[#This Row],[Age]]&lt;25,0,IF(Tabella25[[#This Row],[Compulsory contributions]]=88200, Tabella25[[#This Row],[Adjusted Salary]]-$C$112-$C$111, 0))</f>
        <v>57961.22668734577</v>
      </c>
      <c r="P118" s="71">
        <f>Tabella25[[#This Row],[Compulsory contributions]]+Tabella25[[#This Row],[Over compulsory contributions]]</f>
        <v>146161.22668734577</v>
      </c>
      <c r="Q118" s="71">
        <f>Tabella25[[#This Row],[Contributions]]*Tabella25[[#This Row],[Retirements credits]]</f>
        <v>14616.122668734577</v>
      </c>
      <c r="R118" s="72">
        <f t="shared" si="2"/>
        <v>2025.7833551869278</v>
      </c>
      <c r="S118" s="72">
        <f>S117+Tabella25[[#This Row],[Retirement assets]]+Tabella25[[#This Row],[Interests]]</f>
        <v>178704.57443887572</v>
      </c>
      <c r="T118" s="72"/>
      <c r="U118" s="77">
        <f>IF(Tabella25[[#This Row],[Age]]&lt;=$C$9,(Tabella25[[#This Row],[Adjusted Salary]]),$G$109)</f>
        <v>172621.22668734577</v>
      </c>
      <c r="V118" s="72">
        <f>Tabella25[[#This Row],[1° Pillar deductions]]+(Tabella25[[#This Row],[Retirement assets]]/2)</f>
        <v>20945.138242667606</v>
      </c>
      <c r="W118" s="77">
        <f>Tabella25[[#This Row],[Salary and pension]]-Tabella25[[#This Row],[Pension deductions]]</f>
        <v>151676.08844467817</v>
      </c>
    </row>
    <row r="119" spans="2:23">
      <c r="I119" s="51">
        <f t="shared" si="0"/>
        <v>45</v>
      </c>
      <c r="J119" s="66">
        <f t="shared" si="1"/>
        <v>178250.38867044792</v>
      </c>
      <c r="K119" s="66">
        <f>Tabella25[[#This Row],[Adjusted Salary]]*$C$94+Tabella25[[#This Row],[Adjusted Salary]]*$C$98+Tabella25[[#This Row],[Adjusted Salary]]*$C$99</f>
        <v>14081.780704965386</v>
      </c>
      <c r="L119" s="66"/>
      <c r="M119" s="70">
        <v>0.15</v>
      </c>
      <c r="N119" s="71">
        <f>IF(Tabella25[[#This Row],[Age]]&lt;25,0, IF(MIN(Tabella25[[#This Row],[Adjusted Salary]]-$C$111, $C$112)&lt;0,0, MIN(Tabella25[[#This Row],[Adjusted Salary]]-$C$111,$C$112)))</f>
        <v>88200</v>
      </c>
      <c r="O119" s="71">
        <f>IF(Tabella25[[#This Row],[Age]]&lt;25,0,IF(Tabella25[[#This Row],[Compulsory contributions]]=88200, Tabella25[[#This Row],[Adjusted Salary]]-$C$112-$C$111, 0))</f>
        <v>63590.388670447923</v>
      </c>
      <c r="P119" s="71">
        <f>Tabella25[[#This Row],[Compulsory contributions]]+Tabella25[[#This Row],[Over compulsory contributions]]</f>
        <v>151790.38867044792</v>
      </c>
      <c r="Q119" s="71">
        <f>Tabella25[[#This Row],[Contributions]]*Tabella25[[#This Row],[Retirements credits]]</f>
        <v>22768.558300567187</v>
      </c>
      <c r="R119" s="72">
        <f t="shared" si="2"/>
        <v>2233.8071804859464</v>
      </c>
      <c r="S119" s="72">
        <f>S118+Tabella25[[#This Row],[Retirement assets]]+Tabella25[[#This Row],[Interests]]</f>
        <v>203706.93991992885</v>
      </c>
      <c r="T119" s="72"/>
      <c r="U119" s="77">
        <f>IF(Tabella25[[#This Row],[Age]]&lt;=$C$9,(Tabella25[[#This Row],[Adjusted Salary]]),$G$109)</f>
        <v>178250.38867044792</v>
      </c>
      <c r="V119" s="72">
        <f>Tabella25[[#This Row],[1° Pillar deductions]]+(Tabella25[[#This Row],[Retirement assets]]/2)</f>
        <v>25466.059855248979</v>
      </c>
      <c r="W119" s="77">
        <f>Tabella25[[#This Row],[Salary and pension]]-Tabella25[[#This Row],[Pension deductions]]</f>
        <v>152784.32881519894</v>
      </c>
    </row>
    <row r="120" spans="2:23">
      <c r="B120" s="7" t="s">
        <v>119</v>
      </c>
      <c r="C120" s="7"/>
      <c r="D120" s="49">
        <f>D101+D118</f>
        <v>-926.10000000000014</v>
      </c>
      <c r="I120" s="51">
        <f t="shared" si="0"/>
        <v>46</v>
      </c>
      <c r="J120" s="66">
        <f t="shared" si="1"/>
        <v>184031.09055409278</v>
      </c>
      <c r="K120" s="66">
        <f>Tabella25[[#This Row],[Adjusted Salary]]*$C$94+Tabella25[[#This Row],[Adjusted Salary]]*$C$98+Tabella25[[#This Row],[Adjusted Salary]]*$C$99</f>
        <v>14538.456153773328</v>
      </c>
      <c r="L120" s="66"/>
      <c r="M120" s="70">
        <v>0.15</v>
      </c>
      <c r="N120" s="71">
        <f>IF(Tabella25[[#This Row],[Age]]&lt;25,0, IF(MIN(Tabella25[[#This Row],[Adjusted Salary]]-$C$111, $C$112)&lt;0,0, MIN(Tabella25[[#This Row],[Adjusted Salary]]-$C$111,$C$112)))</f>
        <v>88200</v>
      </c>
      <c r="O120" s="71">
        <f>IF(Tabella25[[#This Row],[Age]]&lt;25,0,IF(Tabella25[[#This Row],[Compulsory contributions]]=88200, Tabella25[[#This Row],[Adjusted Salary]]-$C$112-$C$111, 0))</f>
        <v>69371.090554092778</v>
      </c>
      <c r="P120" s="71">
        <f>Tabella25[[#This Row],[Compulsory contributions]]+Tabella25[[#This Row],[Over compulsory contributions]]</f>
        <v>157571.09055409278</v>
      </c>
      <c r="Q120" s="71">
        <f>Tabella25[[#This Row],[Contributions]]*Tabella25[[#This Row],[Retirements credits]]</f>
        <v>23635.663583113917</v>
      </c>
      <c r="R120" s="72">
        <f t="shared" si="2"/>
        <v>2546.3367489991106</v>
      </c>
      <c r="S120" s="72">
        <f>S119+Tabella25[[#This Row],[Retirement assets]]+Tabella25[[#This Row],[Interests]]</f>
        <v>229888.94025204188</v>
      </c>
      <c r="T120" s="72"/>
      <c r="U120" s="77">
        <f>IF(Tabella25[[#This Row],[Age]]&lt;=$C$9,(Tabella25[[#This Row],[Adjusted Salary]]),$G$109)</f>
        <v>184031.09055409278</v>
      </c>
      <c r="V120" s="72">
        <f>Tabella25[[#This Row],[1° Pillar deductions]]+(Tabella25[[#This Row],[Retirement assets]]/2)</f>
        <v>26356.287945330288</v>
      </c>
      <c r="W120" s="77">
        <f>Tabella25[[#This Row],[Salary and pension]]-Tabella25[[#This Row],[Pension deductions]]</f>
        <v>157674.80260876249</v>
      </c>
    </row>
    <row r="121" spans="2:23">
      <c r="I121" s="51">
        <f t="shared" si="0"/>
        <v>47</v>
      </c>
      <c r="J121" s="66">
        <f t="shared" si="1"/>
        <v>189967.7726018058</v>
      </c>
      <c r="K121" s="66">
        <f>Tabella25[[#This Row],[Adjusted Salary]]*$C$94+Tabella25[[#This Row],[Adjusted Salary]]*$C$98+Tabella25[[#This Row],[Adjusted Salary]]*$C$99</f>
        <v>15007.454035542658</v>
      </c>
      <c r="L121" s="66"/>
      <c r="M121" s="70">
        <v>0.15</v>
      </c>
      <c r="N121" s="71">
        <f>IF(Tabella25[[#This Row],[Age]]&lt;25,0, IF(MIN(Tabella25[[#This Row],[Adjusted Salary]]-$C$111, $C$112)&lt;0,0, MIN(Tabella25[[#This Row],[Adjusted Salary]]-$C$111,$C$112)))</f>
        <v>88200</v>
      </c>
      <c r="O121" s="71">
        <f>IF(Tabella25[[#This Row],[Age]]&lt;25,0,IF(Tabella25[[#This Row],[Compulsory contributions]]=88200, Tabella25[[#This Row],[Adjusted Salary]]-$C$112-$C$111, 0))</f>
        <v>75307.772601805802</v>
      </c>
      <c r="P121" s="71">
        <f>Tabella25[[#This Row],[Compulsory contributions]]+Tabella25[[#This Row],[Over compulsory contributions]]</f>
        <v>163507.7726018058</v>
      </c>
      <c r="Q121" s="71">
        <f>Tabella25[[#This Row],[Contributions]]*Tabella25[[#This Row],[Retirements credits]]</f>
        <v>24526.16589027087</v>
      </c>
      <c r="R121" s="72">
        <f t="shared" si="2"/>
        <v>2873.6117531505238</v>
      </c>
      <c r="S121" s="72">
        <f>S120+Tabella25[[#This Row],[Retirement assets]]+Tabella25[[#This Row],[Interests]]</f>
        <v>257288.71789546328</v>
      </c>
      <c r="T121" s="72"/>
      <c r="U121" s="77">
        <f>IF(Tabella25[[#This Row],[Age]]&lt;=$C$9,(Tabella25[[#This Row],[Adjusted Salary]]),$G$109)</f>
        <v>189967.7726018058</v>
      </c>
      <c r="V121" s="72">
        <f>Tabella25[[#This Row],[1° Pillar deductions]]+(Tabella25[[#This Row],[Retirement assets]]/2)</f>
        <v>27270.536980678095</v>
      </c>
      <c r="W121" s="77">
        <f>Tabella25[[#This Row],[Salary and pension]]-Tabella25[[#This Row],[Pension deductions]]</f>
        <v>162697.23562112771</v>
      </c>
    </row>
    <row r="122" spans="2:23">
      <c r="B122" s="7" t="s">
        <v>132</v>
      </c>
      <c r="C122" s="7"/>
      <c r="D122" s="22" t="s">
        <v>133</v>
      </c>
      <c r="I122" s="51">
        <f t="shared" si="0"/>
        <v>48</v>
      </c>
      <c r="J122" s="66">
        <f t="shared" si="1"/>
        <v>196065.00800793851</v>
      </c>
      <c r="K122" s="66">
        <f>Tabella25[[#This Row],[Adjusted Salary]]*$C$94+Tabella25[[#This Row],[Adjusted Salary]]*$C$98+Tabella25[[#This Row],[Adjusted Salary]]*$C$99</f>
        <v>15489.135632627142</v>
      </c>
      <c r="L122" s="66"/>
      <c r="M122" s="70">
        <v>0.15</v>
      </c>
      <c r="N122" s="71">
        <f>IF(Tabella25[[#This Row],[Age]]&lt;25,0, IF(MIN(Tabella25[[#This Row],[Adjusted Salary]]-$C$111, $C$112)&lt;0,0, MIN(Tabella25[[#This Row],[Adjusted Salary]]-$C$111,$C$112)))</f>
        <v>88200</v>
      </c>
      <c r="O122" s="71">
        <f>IF(Tabella25[[#This Row],[Age]]&lt;25,0,IF(Tabella25[[#This Row],[Compulsory contributions]]=88200, Tabella25[[#This Row],[Adjusted Salary]]-$C$112-$C$111, 0))</f>
        <v>81405.008007938508</v>
      </c>
      <c r="P122" s="71">
        <f>Tabella25[[#This Row],[Compulsory contributions]]+Tabella25[[#This Row],[Over compulsory contributions]]</f>
        <v>169605.00800793851</v>
      </c>
      <c r="Q122" s="71">
        <f>Tabella25[[#This Row],[Contributions]]*Tabella25[[#This Row],[Retirements credits]]</f>
        <v>25440.751201190775</v>
      </c>
      <c r="R122" s="72">
        <f t="shared" si="2"/>
        <v>3216.1089736932913</v>
      </c>
      <c r="S122" s="72">
        <f>S121+Tabella25[[#This Row],[Retirement assets]]+Tabella25[[#This Row],[Interests]]</f>
        <v>285945.57807034731</v>
      </c>
      <c r="T122" s="72"/>
      <c r="U122" s="77">
        <f>IF(Tabella25[[#This Row],[Age]]&lt;=$C$9,(Tabella25[[#This Row],[Adjusted Salary]]),$G$109)</f>
        <v>196065.00800793851</v>
      </c>
      <c r="V122" s="72">
        <f>Tabella25[[#This Row],[1° Pillar deductions]]+(Tabella25[[#This Row],[Retirement assets]]/2)</f>
        <v>28209.511233222529</v>
      </c>
      <c r="W122" s="77">
        <f>Tabella25[[#This Row],[Salary and pension]]-Tabella25[[#This Row],[Pension deductions]]</f>
        <v>167855.49677471598</v>
      </c>
    </row>
    <row r="123" spans="2:23">
      <c r="B123" s="2" t="s">
        <v>134</v>
      </c>
      <c r="C123" s="4">
        <v>7258</v>
      </c>
      <c r="D123" s="4">
        <v>0</v>
      </c>
      <c r="I123" s="51">
        <f t="shared" si="0"/>
        <v>49</v>
      </c>
      <c r="J123" s="66">
        <f t="shared" si="1"/>
        <v>202327.50689765107</v>
      </c>
      <c r="K123" s="66">
        <f>Tabella25[[#This Row],[Adjusted Salary]]*$C$94+Tabella25[[#This Row],[Adjusted Salary]]*$C$98+Tabella25[[#This Row],[Adjusted Salary]]*$C$99</f>
        <v>15983.873044914435</v>
      </c>
      <c r="L123" s="66"/>
      <c r="M123" s="70">
        <v>0.15</v>
      </c>
      <c r="N123" s="71">
        <f>IF(Tabella25[[#This Row],[Age]]&lt;25,0, IF(MIN(Tabella25[[#This Row],[Adjusted Salary]]-$C$111, $C$112)&lt;0,0, MIN(Tabella25[[#This Row],[Adjusted Salary]]-$C$111,$C$112)))</f>
        <v>88200</v>
      </c>
      <c r="O123" s="71">
        <f>IF(Tabella25[[#This Row],[Age]]&lt;25,0,IF(Tabella25[[#This Row],[Compulsory contributions]]=88200, Tabella25[[#This Row],[Adjusted Salary]]-$C$112-$C$111, 0))</f>
        <v>87667.506897651067</v>
      </c>
      <c r="P123" s="71">
        <f>Tabella25[[#This Row],[Compulsory contributions]]+Tabella25[[#This Row],[Over compulsory contributions]]</f>
        <v>175867.50689765107</v>
      </c>
      <c r="Q123" s="71">
        <f>Tabella25[[#This Row],[Contributions]]*Tabella25[[#This Row],[Retirements credits]]</f>
        <v>26380.126034647659</v>
      </c>
      <c r="R123" s="72">
        <f t="shared" si="2"/>
        <v>3574.3197258793416</v>
      </c>
      <c r="S123" s="72">
        <f>S122+Tabella25[[#This Row],[Retirement assets]]+Tabella25[[#This Row],[Interests]]</f>
        <v>315900.0238308743</v>
      </c>
      <c r="T123" s="72"/>
      <c r="U123" s="77">
        <f>IF(Tabella25[[#This Row],[Age]]&lt;=$C$9,(Tabella25[[#This Row],[Adjusted Salary]]),$G$109)</f>
        <v>202327.50689765107</v>
      </c>
      <c r="V123" s="72">
        <f>Tabella25[[#This Row],[1° Pillar deductions]]+(Tabella25[[#This Row],[Retirement assets]]/2)</f>
        <v>29173.936062238266</v>
      </c>
      <c r="W123" s="77">
        <f>Tabella25[[#This Row],[Salary and pension]]-Tabella25[[#This Row],[Pension deductions]]</f>
        <v>173153.5708354128</v>
      </c>
    </row>
    <row r="124" spans="2:23">
      <c r="I124" s="51">
        <f t="shared" si="0"/>
        <v>50</v>
      </c>
      <c r="J124" s="66">
        <f t="shared" si="1"/>
        <v>208760.12044740084</v>
      </c>
      <c r="K124" s="66">
        <f>Tabella25[[#This Row],[Adjusted Salary]]*$C$94+Tabella25[[#This Row],[Adjusted Salary]]*$C$98+Tabella25[[#This Row],[Adjusted Salary]]*$C$99</f>
        <v>16492.049515344665</v>
      </c>
      <c r="L124" s="66"/>
      <c r="M124" s="70">
        <v>0.15</v>
      </c>
      <c r="N124" s="71">
        <f>IF(Tabella25[[#This Row],[Age]]&lt;25,0, IF(MIN(Tabella25[[#This Row],[Adjusted Salary]]-$C$111, $C$112)&lt;0,0, MIN(Tabella25[[#This Row],[Adjusted Salary]]-$C$111,$C$112)))</f>
        <v>88200</v>
      </c>
      <c r="O124" s="71">
        <f>IF(Tabella25[[#This Row],[Age]]&lt;25,0,IF(Tabella25[[#This Row],[Compulsory contributions]]=88200, Tabella25[[#This Row],[Adjusted Salary]]-$C$112-$C$111, 0))</f>
        <v>94100.120447400841</v>
      </c>
      <c r="P124" s="71">
        <f>Tabella25[[#This Row],[Compulsory contributions]]+Tabella25[[#This Row],[Over compulsory contributions]]</f>
        <v>182300.12044740084</v>
      </c>
      <c r="Q124" s="71">
        <f>Tabella25[[#This Row],[Contributions]]*Tabella25[[#This Row],[Retirements credits]]</f>
        <v>27345.018067110126</v>
      </c>
      <c r="R124" s="72">
        <f t="shared" si="2"/>
        <v>3948.7502978859288</v>
      </c>
      <c r="S124" s="72">
        <f>S123+Tabella25[[#This Row],[Retirement assets]]+Tabella25[[#This Row],[Interests]]</f>
        <v>347193.79219587037</v>
      </c>
      <c r="T124" s="72"/>
      <c r="U124" s="77">
        <f>IF(Tabella25[[#This Row],[Age]]&lt;=$C$9,(Tabella25[[#This Row],[Adjusted Salary]]),$G$109)</f>
        <v>208760.12044740084</v>
      </c>
      <c r="V124" s="72">
        <f>Tabella25[[#This Row],[1° Pillar deductions]]+(Tabella25[[#This Row],[Retirement assets]]/2)</f>
        <v>30164.558548899728</v>
      </c>
      <c r="W124" s="77">
        <f>Tabella25[[#This Row],[Salary and pension]]-Tabella25[[#This Row],[Pension deductions]]</f>
        <v>178595.56189850112</v>
      </c>
    </row>
    <row r="125" spans="2:23">
      <c r="I125" s="51">
        <f t="shared" si="0"/>
        <v>51</v>
      </c>
      <c r="J125" s="66">
        <f t="shared" si="1"/>
        <v>215367.8451295679</v>
      </c>
      <c r="K125" s="66">
        <f>Tabella25[[#This Row],[Adjusted Salary]]*$C$94+Tabella25[[#This Row],[Adjusted Salary]]*$C$98+Tabella25[[#This Row],[Adjusted Salary]]*$C$99</f>
        <v>17014.059765235863</v>
      </c>
      <c r="L125" s="66"/>
      <c r="M125" s="70">
        <v>0.15</v>
      </c>
      <c r="N125" s="71">
        <f>IF(Tabella25[[#This Row],[Age]]&lt;25,0, IF(MIN(Tabella25[[#This Row],[Adjusted Salary]]-$C$111, $C$112)&lt;0,0, MIN(Tabella25[[#This Row],[Adjusted Salary]]-$C$111,$C$112)))</f>
        <v>88200</v>
      </c>
      <c r="O125" s="71">
        <f>IF(Tabella25[[#This Row],[Age]]&lt;25,0,IF(Tabella25[[#This Row],[Compulsory contributions]]=88200, Tabella25[[#This Row],[Adjusted Salary]]-$C$112-$C$111, 0))</f>
        <v>100707.8451295679</v>
      </c>
      <c r="P125" s="71">
        <f>Tabella25[[#This Row],[Compulsory contributions]]+Tabella25[[#This Row],[Over compulsory contributions]]</f>
        <v>188907.8451295679</v>
      </c>
      <c r="Q125" s="71">
        <f>Tabella25[[#This Row],[Contributions]]*Tabella25[[#This Row],[Retirements credits]]</f>
        <v>28336.176769435184</v>
      </c>
      <c r="R125" s="72">
        <f t="shared" si="2"/>
        <v>4339.9224024483801</v>
      </c>
      <c r="S125" s="72">
        <f>S124+Tabella25[[#This Row],[Retirement assets]]+Tabella25[[#This Row],[Interests]]</f>
        <v>379869.89136775391</v>
      </c>
      <c r="T125" s="72"/>
      <c r="U125" s="77">
        <f>IF(Tabella25[[#This Row],[Age]]&lt;=$C$9,(Tabella25[[#This Row],[Adjusted Salary]]),$G$109)</f>
        <v>215367.8451295679</v>
      </c>
      <c r="V125" s="72">
        <f>Tabella25[[#This Row],[1° Pillar deductions]]+(Tabella25[[#This Row],[Retirement assets]]/2)</f>
        <v>31182.148149953457</v>
      </c>
      <c r="W125" s="77">
        <f>Tabella25[[#This Row],[Salary and pension]]-Tabella25[[#This Row],[Pension deductions]]</f>
        <v>184185.69697961444</v>
      </c>
    </row>
    <row r="126" spans="2:23">
      <c r="I126" s="51">
        <f t="shared" ref="I126:I154" si="3">B53</f>
        <v>52</v>
      </c>
      <c r="J126" s="66">
        <f t="shared" ref="J126:J144" si="4">H53</f>
        <v>222155.82708495855</v>
      </c>
      <c r="K126" s="66">
        <f>Tabella25[[#This Row],[Adjusted Salary]]*$C$94+Tabella25[[#This Row],[Adjusted Salary]]*$C$98+Tabella25[[#This Row],[Adjusted Salary]]*$C$99</f>
        <v>17550.310339711727</v>
      </c>
      <c r="L126" s="66"/>
      <c r="M126" s="70">
        <v>0.15</v>
      </c>
      <c r="N126" s="71">
        <f>IF(Tabella25[[#This Row],[Age]]&lt;25,0, IF(MIN(Tabella25[[#This Row],[Adjusted Salary]]-$C$111, $C$112)&lt;0,0, MIN(Tabella25[[#This Row],[Adjusted Salary]]-$C$111,$C$112)))</f>
        <v>88200</v>
      </c>
      <c r="O126" s="71">
        <f>IF(Tabella25[[#This Row],[Age]]&lt;25,0,IF(Tabella25[[#This Row],[Compulsory contributions]]=88200, Tabella25[[#This Row],[Adjusted Salary]]-$C$112-$C$111, 0))</f>
        <v>107495.82708495855</v>
      </c>
      <c r="P126" s="71">
        <f>Tabella25[[#This Row],[Compulsory contributions]]+Tabella25[[#This Row],[Over compulsory contributions]]</f>
        <v>195695.82708495855</v>
      </c>
      <c r="Q126" s="71">
        <f>Tabella25[[#This Row],[Contributions]]*Tabella25[[#This Row],[Retirements credits]]</f>
        <v>29354.374062743784</v>
      </c>
      <c r="R126" s="72">
        <f t="shared" si="2"/>
        <v>4748.3736420969244</v>
      </c>
      <c r="S126" s="72">
        <f>S125+Tabella25[[#This Row],[Retirement assets]]+Tabella25[[#This Row],[Interests]]</f>
        <v>413972.63907259464</v>
      </c>
      <c r="T126" s="72"/>
      <c r="U126" s="77">
        <f>IF(Tabella25[[#This Row],[Age]]&lt;=$C$9,(Tabella25[[#This Row],[Adjusted Salary]]),$G$109)</f>
        <v>222155.82708495855</v>
      </c>
      <c r="V126" s="72">
        <f>Tabella25[[#This Row],[1° Pillar deductions]]+(Tabella25[[#This Row],[Retirement assets]]/2)</f>
        <v>32227.49737108362</v>
      </c>
      <c r="W126" s="77">
        <f>Tabella25[[#This Row],[Salary and pension]]-Tabella25[[#This Row],[Pension deductions]]</f>
        <v>189928.32971387493</v>
      </c>
    </row>
    <row r="127" spans="2:23">
      <c r="I127" s="51">
        <f t="shared" si="3"/>
        <v>53</v>
      </c>
      <c r="J127" s="66">
        <f t="shared" si="4"/>
        <v>229129.36662704084</v>
      </c>
      <c r="K127" s="66">
        <f>Tabella25[[#This Row],[Adjusted Salary]]*$C$94+Tabella25[[#This Row],[Adjusted Salary]]*$C$98+Tabella25[[#This Row],[Adjusted Salary]]*$C$99</f>
        <v>18101.219963536227</v>
      </c>
      <c r="L127" s="66"/>
      <c r="M127" s="70">
        <v>0.15</v>
      </c>
      <c r="N127" s="71">
        <f>IF(Tabella25[[#This Row],[Age]]&lt;25,0, IF(MIN(Tabella25[[#This Row],[Adjusted Salary]]-$C$111, $C$112)&lt;0,0, MIN(Tabella25[[#This Row],[Adjusted Salary]]-$C$111,$C$112)))</f>
        <v>88200</v>
      </c>
      <c r="O127" s="71">
        <f>IF(Tabella25[[#This Row],[Age]]&lt;25,0,IF(Tabella25[[#This Row],[Compulsory contributions]]=88200, Tabella25[[#This Row],[Adjusted Salary]]-$C$112-$C$111, 0))</f>
        <v>114469.36662704084</v>
      </c>
      <c r="P127" s="71">
        <f>Tabella25[[#This Row],[Compulsory contributions]]+Tabella25[[#This Row],[Over compulsory contributions]]</f>
        <v>202669.36662704084</v>
      </c>
      <c r="Q127" s="71">
        <f>Tabella25[[#This Row],[Contributions]]*Tabella25[[#This Row],[Retirements credits]]</f>
        <v>30400.404994056124</v>
      </c>
      <c r="R127" s="72">
        <f t="shared" si="2"/>
        <v>5174.6579884074335</v>
      </c>
      <c r="S127" s="72">
        <f>S126+Tabella25[[#This Row],[Retirement assets]]+Tabella25[[#This Row],[Interests]]</f>
        <v>449547.70205505821</v>
      </c>
      <c r="T127" s="72"/>
      <c r="U127" s="77">
        <f>IF(Tabella25[[#This Row],[Age]]&lt;=$C$9,(Tabella25[[#This Row],[Adjusted Salary]]),$G$109)</f>
        <v>229129.36662704084</v>
      </c>
      <c r="V127" s="72">
        <f>Tabella25[[#This Row],[1° Pillar deductions]]+(Tabella25[[#This Row],[Retirement assets]]/2)</f>
        <v>33301.422460564288</v>
      </c>
      <c r="W127" s="77">
        <f>Tabella25[[#This Row],[Salary and pension]]-Tabella25[[#This Row],[Pension deductions]]</f>
        <v>195827.94416647655</v>
      </c>
    </row>
    <row r="128" spans="2:23">
      <c r="I128" s="51">
        <f t="shared" si="3"/>
        <v>54</v>
      </c>
      <c r="J128" s="66">
        <f t="shared" si="4"/>
        <v>236293.92288188101</v>
      </c>
      <c r="K128" s="66">
        <f>Tabella25[[#This Row],[Adjusted Salary]]*$C$94+Tabella25[[#This Row],[Adjusted Salary]]*$C$98+Tabella25[[#This Row],[Adjusted Salary]]*$C$99</f>
        <v>18667.219907668601</v>
      </c>
      <c r="L128" s="66"/>
      <c r="M128" s="70">
        <v>0.15</v>
      </c>
      <c r="N128" s="71">
        <f>IF(Tabella25[[#This Row],[Age]]&lt;25,0, IF(MIN(Tabella25[[#This Row],[Adjusted Salary]]-$C$111, $C$112)&lt;0,0, MIN(Tabella25[[#This Row],[Adjusted Salary]]-$C$111,$C$112)))</f>
        <v>88200</v>
      </c>
      <c r="O128" s="71">
        <f>IF(Tabella25[[#This Row],[Age]]&lt;25,0,IF(Tabella25[[#This Row],[Compulsory contributions]]=88200, Tabella25[[#This Row],[Adjusted Salary]]-$C$112-$C$111, 0))</f>
        <v>121633.92288188101</v>
      </c>
      <c r="P128" s="71">
        <f>Tabella25[[#This Row],[Compulsory contributions]]+Tabella25[[#This Row],[Over compulsory contributions]]</f>
        <v>209833.92288188101</v>
      </c>
      <c r="Q128" s="71">
        <f>Tabella25[[#This Row],[Contributions]]*Tabella25[[#This Row],[Retirements credits]]</f>
        <v>31475.088432282151</v>
      </c>
      <c r="R128" s="72">
        <f t="shared" si="2"/>
        <v>5619.3462756882282</v>
      </c>
      <c r="S128" s="72">
        <f>S127+Tabella25[[#This Row],[Retirement assets]]+Tabella25[[#This Row],[Interests]]</f>
        <v>486642.13676302857</v>
      </c>
      <c r="T128" s="72"/>
      <c r="U128" s="77">
        <f>IF(Tabella25[[#This Row],[Age]]&lt;=$C$9,(Tabella25[[#This Row],[Adjusted Salary]]),$G$109)</f>
        <v>236293.92288188101</v>
      </c>
      <c r="V128" s="72">
        <f>Tabella25[[#This Row],[1° Pillar deductions]]+(Tabella25[[#This Row],[Retirement assets]]/2)</f>
        <v>34404.764123809677</v>
      </c>
      <c r="W128" s="77">
        <f>Tabella25[[#This Row],[Salary and pension]]-Tabella25[[#This Row],[Pension deductions]]</f>
        <v>201889.15875807134</v>
      </c>
    </row>
    <row r="129" spans="9:23">
      <c r="I129" s="51">
        <f t="shared" si="3"/>
        <v>55</v>
      </c>
      <c r="J129" s="66">
        <f t="shared" si="4"/>
        <v>243655.11856787093</v>
      </c>
      <c r="K129" s="66">
        <f>Tabella25[[#This Row],[Adjusted Salary]]*$C$94+Tabella25[[#This Row],[Adjusted Salary]]*$C$98+Tabella25[[#This Row],[Adjusted Salary]]*$C$99</f>
        <v>19248.754366861802</v>
      </c>
      <c r="L129" s="66"/>
      <c r="M129" s="70">
        <v>0.18</v>
      </c>
      <c r="N129" s="71">
        <f>IF(Tabella25[[#This Row],[Age]]&lt;25,0, IF(MIN(Tabella25[[#This Row],[Adjusted Salary]]-$C$111, $C$112)&lt;0,0, MIN(Tabella25[[#This Row],[Adjusted Salary]]-$C$111,$C$112)))</f>
        <v>88200</v>
      </c>
      <c r="O129" s="71">
        <f>IF(Tabella25[[#This Row],[Age]]&lt;25,0,IF(Tabella25[[#This Row],[Compulsory contributions]]=88200, Tabella25[[#This Row],[Adjusted Salary]]-$C$112-$C$111, 0))</f>
        <v>128995.11856787093</v>
      </c>
      <c r="P129" s="71">
        <f>Tabella25[[#This Row],[Compulsory contributions]]+Tabella25[[#This Row],[Over compulsory contributions]]</f>
        <v>217195.11856787093</v>
      </c>
      <c r="Q129" s="71">
        <f>Tabella25[[#This Row],[Contributions]]*Tabella25[[#This Row],[Retirements credits]]</f>
        <v>39095.121342216764</v>
      </c>
      <c r="R129" s="72">
        <f t="shared" si="2"/>
        <v>6083.0267095378576</v>
      </c>
      <c r="S129" s="72">
        <f>S128+Tabella25[[#This Row],[Retirement assets]]+Tabella25[[#This Row],[Interests]]</f>
        <v>531820.28481478314</v>
      </c>
      <c r="T129" s="72"/>
      <c r="U129" s="77">
        <f>IF(Tabella25[[#This Row],[Age]]&lt;=$C$9,(Tabella25[[#This Row],[Adjusted Salary]]),$G$109)</f>
        <v>243655.11856787093</v>
      </c>
      <c r="V129" s="72">
        <f>Tabella25[[#This Row],[1° Pillar deductions]]+(Tabella25[[#This Row],[Retirement assets]]/2)</f>
        <v>38796.315037970184</v>
      </c>
      <c r="W129" s="77">
        <f>Tabella25[[#This Row],[Salary and pension]]-Tabella25[[#This Row],[Pension deductions]]</f>
        <v>204858.80352990073</v>
      </c>
    </row>
    <row r="130" spans="9:23">
      <c r="I130" s="51">
        <f t="shared" si="3"/>
        <v>56</v>
      </c>
      <c r="J130" s="66">
        <f t="shared" si="4"/>
        <v>251218.74491945893</v>
      </c>
      <c r="K130" s="66">
        <f>Tabella25[[#This Row],[Adjusted Salary]]*$C$94+Tabella25[[#This Row],[Adjusted Salary]]*$C$98+Tabella25[[#This Row],[Adjusted Salary]]*$C$99</f>
        <v>19846.280848637252</v>
      </c>
      <c r="L130" s="66"/>
      <c r="M130" s="70">
        <v>0.18</v>
      </c>
      <c r="N130" s="71">
        <f>IF(Tabella25[[#This Row],[Age]]&lt;25,0, IF(MIN(Tabella25[[#This Row],[Adjusted Salary]]-$C$111, $C$112)&lt;0,0, MIN(Tabella25[[#This Row],[Adjusted Salary]]-$C$111,$C$112)))</f>
        <v>88200</v>
      </c>
      <c r="O130" s="71">
        <f>IF(Tabella25[[#This Row],[Age]]&lt;25,0,IF(Tabella25[[#This Row],[Compulsory contributions]]=88200, Tabella25[[#This Row],[Adjusted Salary]]-$C$112-$C$111, 0))</f>
        <v>136558.74491945893</v>
      </c>
      <c r="P130" s="71">
        <f>Tabella25[[#This Row],[Compulsory contributions]]+Tabella25[[#This Row],[Over compulsory contributions]]</f>
        <v>224758.74491945893</v>
      </c>
      <c r="Q130" s="71">
        <f>Tabella25[[#This Row],[Contributions]]*Tabella25[[#This Row],[Retirements credits]]</f>
        <v>40456.574085502609</v>
      </c>
      <c r="R130" s="72">
        <f t="shared" si="2"/>
        <v>6647.7535601847894</v>
      </c>
      <c r="S130" s="72">
        <f>S129+Tabella25[[#This Row],[Retirement assets]]+Tabella25[[#This Row],[Interests]]</f>
        <v>578924.61246047053</v>
      </c>
      <c r="T130" s="72"/>
      <c r="U130" s="77">
        <f>IF(Tabella25[[#This Row],[Age]]&lt;=$C$9,(Tabella25[[#This Row],[Adjusted Salary]]),$G$109)</f>
        <v>251218.74491945893</v>
      </c>
      <c r="V130" s="72">
        <f>Tabella25[[#This Row],[1° Pillar deductions]]+(Tabella25[[#This Row],[Retirement assets]]/2)</f>
        <v>40074.567891388557</v>
      </c>
      <c r="W130" s="77">
        <f>Tabella25[[#This Row],[Salary and pension]]-Tabella25[[#This Row],[Pension deductions]]</f>
        <v>211144.17702807038</v>
      </c>
    </row>
    <row r="131" spans="9:23">
      <c r="I131" s="51">
        <f t="shared" si="3"/>
        <v>57</v>
      </c>
      <c r="J131" s="66">
        <f t="shared" si="4"/>
        <v>258990.7667592236</v>
      </c>
      <c r="K131" s="66">
        <f>Tabella25[[#This Row],[Adjusted Salary]]*$C$94+Tabella25[[#This Row],[Adjusted Salary]]*$C$98+Tabella25[[#This Row],[Adjusted Salary]]*$C$99</f>
        <v>20460.270573978662</v>
      </c>
      <c r="L131" s="66"/>
      <c r="M131" s="70">
        <v>0.18</v>
      </c>
      <c r="N131" s="71">
        <f>IF(Tabella25[[#This Row],[Age]]&lt;25,0, IF(MIN(Tabella25[[#This Row],[Adjusted Salary]]-$C$111, $C$112)&lt;0,0, MIN(Tabella25[[#This Row],[Adjusted Salary]]-$C$111,$C$112)))</f>
        <v>88200</v>
      </c>
      <c r="O131" s="71">
        <f>IF(Tabella25[[#This Row],[Age]]&lt;25,0,IF(Tabella25[[#This Row],[Compulsory contributions]]=88200, Tabella25[[#This Row],[Adjusted Salary]]-$C$112-$C$111, 0))</f>
        <v>144330.7667592236</v>
      </c>
      <c r="P131" s="71">
        <f>Tabella25[[#This Row],[Compulsory contributions]]+Tabella25[[#This Row],[Over compulsory contributions]]</f>
        <v>232530.7667592236</v>
      </c>
      <c r="Q131" s="71">
        <f>Tabella25[[#This Row],[Contributions]]*Tabella25[[#This Row],[Retirements credits]]</f>
        <v>41855.538016660248</v>
      </c>
      <c r="R131" s="72">
        <f t="shared" si="2"/>
        <v>7236.5576557558816</v>
      </c>
      <c r="S131" s="72">
        <f>S130+Tabella25[[#This Row],[Retirement assets]]+Tabella25[[#This Row],[Interests]]</f>
        <v>628016.70813288668</v>
      </c>
      <c r="T131" s="72"/>
      <c r="U131" s="77">
        <f>IF(Tabella25[[#This Row],[Age]]&lt;=$C$9,(Tabella25[[#This Row],[Adjusted Salary]]),$G$109)</f>
        <v>258990.7667592236</v>
      </c>
      <c r="V131" s="72">
        <f>Tabella25[[#This Row],[1° Pillar deductions]]+(Tabella25[[#This Row],[Retirement assets]]/2)</f>
        <v>41388.039582308789</v>
      </c>
      <c r="W131" s="77">
        <f>Tabella25[[#This Row],[Salary and pension]]-Tabella25[[#This Row],[Pension deductions]]</f>
        <v>217602.72717691481</v>
      </c>
    </row>
    <row r="132" spans="9:23">
      <c r="I132" s="51">
        <f t="shared" si="3"/>
        <v>58</v>
      </c>
      <c r="J132" s="66">
        <f t="shared" si="4"/>
        <v>266977.32772276056</v>
      </c>
      <c r="K132" s="66">
        <f>Tabella25[[#This Row],[Adjusted Salary]]*$C$94+Tabella25[[#This Row],[Adjusted Salary]]*$C$98+Tabella25[[#This Row],[Adjusted Salary]]*$C$99</f>
        <v>21091.208890098082</v>
      </c>
      <c r="L132" s="66"/>
      <c r="M132" s="70">
        <v>0.18</v>
      </c>
      <c r="N132" s="71">
        <f>IF(Tabella25[[#This Row],[Age]]&lt;25,0, IF(MIN(Tabella25[[#This Row],[Adjusted Salary]]-$C$111, $C$112)&lt;0,0, MIN(Tabella25[[#This Row],[Adjusted Salary]]-$C$111,$C$112)))</f>
        <v>88200</v>
      </c>
      <c r="O132" s="71">
        <f>IF(Tabella25[[#This Row],[Age]]&lt;25,0,IF(Tabella25[[#This Row],[Compulsory contributions]]=88200, Tabella25[[#This Row],[Adjusted Salary]]-$C$112-$C$111, 0))</f>
        <v>152317.32772276056</v>
      </c>
      <c r="P132" s="71">
        <f>Tabella25[[#This Row],[Compulsory contributions]]+Tabella25[[#This Row],[Over compulsory contributions]]</f>
        <v>240517.32772276056</v>
      </c>
      <c r="Q132" s="71">
        <f>Tabella25[[#This Row],[Contributions]]*Tabella25[[#This Row],[Retirements credits]]</f>
        <v>43293.118990096897</v>
      </c>
      <c r="R132" s="72">
        <f t="shared" si="2"/>
        <v>7850.2088516610838</v>
      </c>
      <c r="S132" s="72">
        <f>S131+Tabella25[[#This Row],[Retirement assets]]+Tabella25[[#This Row],[Interests]]</f>
        <v>679160.03597464459</v>
      </c>
      <c r="T132" s="72"/>
      <c r="U132" s="77">
        <f>IF(Tabella25[[#This Row],[Age]]&lt;=$C$9,(Tabella25[[#This Row],[Adjusted Salary]]),$G$109)</f>
        <v>266977.32772276056</v>
      </c>
      <c r="V132" s="72">
        <f>Tabella25[[#This Row],[1° Pillar deductions]]+(Tabella25[[#This Row],[Retirement assets]]/2)</f>
        <v>42737.768385146526</v>
      </c>
      <c r="W132" s="77">
        <f>Tabella25[[#This Row],[Salary and pension]]-Tabella25[[#This Row],[Pension deductions]]</f>
        <v>224239.55933761405</v>
      </c>
    </row>
    <row r="133" spans="9:23">
      <c r="I133" s="51">
        <f t="shared" si="3"/>
        <v>59</v>
      </c>
      <c r="J133" s="66">
        <f t="shared" si="4"/>
        <v>275184.75564098835</v>
      </c>
      <c r="K133" s="66">
        <f>Tabella25[[#This Row],[Adjusted Salary]]*$C$94+Tabella25[[#This Row],[Adjusted Salary]]*$C$98+Tabella25[[#This Row],[Adjusted Salary]]*$C$99</f>
        <v>21739.595695638076</v>
      </c>
      <c r="L133" s="66"/>
      <c r="M133" s="70">
        <v>0.18</v>
      </c>
      <c r="N133" s="71">
        <f>IF(Tabella25[[#This Row],[Age]]&lt;25,0, IF(MIN(Tabella25[[#This Row],[Adjusted Salary]]-$C$111, $C$112)&lt;0,0, MIN(Tabella25[[#This Row],[Adjusted Salary]]-$C$111,$C$112)))</f>
        <v>88200</v>
      </c>
      <c r="O133" s="71">
        <f>IF(Tabella25[[#This Row],[Age]]&lt;25,0,IF(Tabella25[[#This Row],[Compulsory contributions]]=88200, Tabella25[[#This Row],[Adjusted Salary]]-$C$112-$C$111, 0))</f>
        <v>160524.75564098835</v>
      </c>
      <c r="P133" s="71">
        <f>Tabella25[[#This Row],[Compulsory contributions]]+Tabella25[[#This Row],[Over compulsory contributions]]</f>
        <v>248724.75564098835</v>
      </c>
      <c r="Q133" s="71">
        <f>Tabella25[[#This Row],[Contributions]]*Tabella25[[#This Row],[Retirements credits]]</f>
        <v>44770.456015377902</v>
      </c>
      <c r="R133" s="72">
        <f t="shared" si="2"/>
        <v>8489.500449683057</v>
      </c>
      <c r="S133" s="72">
        <f>S132+Tabella25[[#This Row],[Retirement assets]]+Tabella25[[#This Row],[Interests]]</f>
        <v>732419.99243970553</v>
      </c>
      <c r="T133" s="72"/>
      <c r="U133" s="77">
        <f>IF(Tabella25[[#This Row],[Age]]&lt;=$C$9,(Tabella25[[#This Row],[Adjusted Salary]]),$G$109)</f>
        <v>275184.75564098835</v>
      </c>
      <c r="V133" s="72">
        <f>Tabella25[[#This Row],[1° Pillar deductions]]+(Tabella25[[#This Row],[Retirement assets]]/2)</f>
        <v>44124.823703327027</v>
      </c>
      <c r="W133" s="77">
        <f>Tabella25[[#This Row],[Salary and pension]]-Tabella25[[#This Row],[Pension deductions]]</f>
        <v>231059.93193766131</v>
      </c>
    </row>
    <row r="134" spans="9:23">
      <c r="I134" s="51">
        <f t="shared" si="3"/>
        <v>60</v>
      </c>
      <c r="J134" s="66">
        <f t="shared" si="4"/>
        <v>283619.56808461575</v>
      </c>
      <c r="K134" s="66">
        <f>Tabella25[[#This Row],[Adjusted Salary]]*$C$94+Tabella25[[#This Row],[Adjusted Salary]]*$C$98+Tabella25[[#This Row],[Adjusted Salary]]*$C$99</f>
        <v>22405.945878684644</v>
      </c>
      <c r="L134" s="66"/>
      <c r="M134" s="70">
        <v>0.18</v>
      </c>
      <c r="N134" s="71">
        <f>IF(Tabella25[[#This Row],[Age]]&lt;25,0, IF(MIN(Tabella25[[#This Row],[Adjusted Salary]]-$C$111, $C$112)&lt;0,0, MIN(Tabella25[[#This Row],[Adjusted Salary]]-$C$111,$C$112)))</f>
        <v>88200</v>
      </c>
      <c r="O134" s="71">
        <f>IF(Tabella25[[#This Row],[Age]]&lt;25,0,IF(Tabella25[[#This Row],[Compulsory contributions]]=88200, Tabella25[[#This Row],[Adjusted Salary]]-$C$112-$C$111, 0))</f>
        <v>168959.56808461575</v>
      </c>
      <c r="P134" s="71">
        <f>Tabella25[[#This Row],[Compulsory contributions]]+Tabella25[[#This Row],[Over compulsory contributions]]</f>
        <v>257159.56808461575</v>
      </c>
      <c r="Q134" s="71">
        <f>Tabella25[[#This Row],[Contributions]]*Tabella25[[#This Row],[Retirements credits]]</f>
        <v>46288.72225523083</v>
      </c>
      <c r="R134" s="72">
        <f t="shared" si="2"/>
        <v>9155.2499054963191</v>
      </c>
      <c r="S134" s="72">
        <f>S133+Tabella25[[#This Row],[Retirement assets]]+Tabella25[[#This Row],[Interests]]</f>
        <v>787863.96460043278</v>
      </c>
      <c r="T134" s="72"/>
      <c r="U134" s="77">
        <f>IF(Tabella25[[#This Row],[Age]]&lt;=$C$9,(Tabella25[[#This Row],[Adjusted Salary]]),$G$109)</f>
        <v>283619.56808461575</v>
      </c>
      <c r="V134" s="72">
        <f>Tabella25[[#This Row],[1° Pillar deductions]]+(Tabella25[[#This Row],[Retirement assets]]/2)</f>
        <v>45550.307006300063</v>
      </c>
      <c r="W134" s="77">
        <f>Tabella25[[#This Row],[Salary and pension]]-Tabella25[[#This Row],[Pension deductions]]</f>
        <v>238069.26107831567</v>
      </c>
    </row>
    <row r="135" spans="9:23">
      <c r="I135" s="51">
        <f t="shared" si="3"/>
        <v>61</v>
      </c>
      <c r="J135" s="66">
        <f t="shared" si="4"/>
        <v>292288.47807565867</v>
      </c>
      <c r="K135" s="66">
        <f>Tabella25[[#This Row],[Adjusted Salary]]*$C$94+Tabella25[[#This Row],[Adjusted Salary]]*$C$98+Tabella25[[#This Row],[Adjusted Salary]]*$C$99</f>
        <v>23090.789767977032</v>
      </c>
      <c r="L135" s="66"/>
      <c r="M135" s="70">
        <v>0.18</v>
      </c>
      <c r="N135" s="71">
        <f>IF(Tabella25[[#This Row],[Age]]&lt;25,0, IF(MIN(Tabella25[[#This Row],[Adjusted Salary]]-$C$111, $C$112)&lt;0,0, MIN(Tabella25[[#This Row],[Adjusted Salary]]-$C$111,$C$112)))</f>
        <v>88200</v>
      </c>
      <c r="O135" s="71">
        <f>IF(Tabella25[[#This Row],[Age]]&lt;25,0,IF(Tabella25[[#This Row],[Compulsory contributions]]=88200, Tabella25[[#This Row],[Adjusted Salary]]-$C$112-$C$111, 0))</f>
        <v>177628.47807565867</v>
      </c>
      <c r="P135" s="71">
        <f>Tabella25[[#This Row],[Compulsory contributions]]+Tabella25[[#This Row],[Over compulsory contributions]]</f>
        <v>265828.47807565867</v>
      </c>
      <c r="Q135" s="71">
        <f>Tabella25[[#This Row],[Contributions]]*Tabella25[[#This Row],[Retirements credits]]</f>
        <v>47849.126053618558</v>
      </c>
      <c r="R135" s="72">
        <f t="shared" si="2"/>
        <v>9848.2995575054101</v>
      </c>
      <c r="S135" s="72">
        <f>S134+Tabella25[[#This Row],[Retirement assets]]+Tabella25[[#This Row],[Interests]]</f>
        <v>845561.39021155681</v>
      </c>
      <c r="T135" s="72"/>
      <c r="U135" s="77">
        <f>IF(Tabella25[[#This Row],[Age]]&lt;=$C$9,(Tabella25[[#This Row],[Adjusted Salary]]),$G$109)</f>
        <v>292288.47807565867</v>
      </c>
      <c r="V135" s="72">
        <f>Tabella25[[#This Row],[1° Pillar deductions]]+(Tabella25[[#This Row],[Retirement assets]]/2)</f>
        <v>47015.352794786311</v>
      </c>
      <c r="W135" s="77">
        <f>Tabella25[[#This Row],[Salary and pension]]-Tabella25[[#This Row],[Pension deductions]]</f>
        <v>245273.12528087237</v>
      </c>
    </row>
    <row r="136" spans="9:23">
      <c r="I136" s="51">
        <f t="shared" si="3"/>
        <v>62</v>
      </c>
      <c r="J136" s="66">
        <f t="shared" si="4"/>
        <v>301198.39997104026</v>
      </c>
      <c r="K136" s="66">
        <f>Tabella25[[#This Row],[Adjusted Salary]]*$C$94+Tabella25[[#This Row],[Adjusted Salary]]*$C$98+Tabella25[[#This Row],[Adjusted Salary]]*$C$99</f>
        <v>23794.673597712179</v>
      </c>
      <c r="L136" s="66"/>
      <c r="M136" s="70">
        <v>0.18</v>
      </c>
      <c r="N136" s="71">
        <f>IF(Tabella25[[#This Row],[Age]]&lt;25,0, IF(MIN(Tabella25[[#This Row],[Adjusted Salary]]-$C$111, $C$112)&lt;0,0, MIN(Tabella25[[#This Row],[Adjusted Salary]]-$C$111,$C$112)))</f>
        <v>88200</v>
      </c>
      <c r="O136" s="71">
        <f>IF(Tabella25[[#This Row],[Age]]&lt;25,0,IF(Tabella25[[#This Row],[Compulsory contributions]]=88200, Tabella25[[#This Row],[Adjusted Salary]]-$C$112-$C$111, 0))</f>
        <v>186538.39997104026</v>
      </c>
      <c r="P136" s="71">
        <f>Tabella25[[#This Row],[Compulsory contributions]]+Tabella25[[#This Row],[Over compulsory contributions]]</f>
        <v>274738.39997104026</v>
      </c>
      <c r="Q136" s="71">
        <f>Tabella25[[#This Row],[Contributions]]*Tabella25[[#This Row],[Retirements credits]]</f>
        <v>49452.911994787246</v>
      </c>
      <c r="R136" s="72">
        <f t="shared" si="2"/>
        <v>10569.517377644461</v>
      </c>
      <c r="S136" s="72">
        <f>S135+Tabella25[[#This Row],[Retirement assets]]+Tabella25[[#This Row],[Interests]]</f>
        <v>905583.81958398852</v>
      </c>
      <c r="T136" s="72"/>
      <c r="U136" s="77">
        <f>IF(Tabella25[[#This Row],[Age]]&lt;=$C$9,(Tabella25[[#This Row],[Adjusted Salary]]),$G$109)</f>
        <v>301198.39997104026</v>
      </c>
      <c r="V136" s="72">
        <f>Tabella25[[#This Row],[1° Pillar deductions]]+(Tabella25[[#This Row],[Retirement assets]]/2)</f>
        <v>48521.129595105798</v>
      </c>
      <c r="W136" s="77">
        <f>Tabella25[[#This Row],[Salary and pension]]-Tabella25[[#This Row],[Pension deductions]]</f>
        <v>252677.27037593446</v>
      </c>
    </row>
    <row r="137" spans="9:23">
      <c r="I137" s="51">
        <f t="shared" si="3"/>
        <v>63</v>
      </c>
      <c r="J137" s="66">
        <f t="shared" si="4"/>
        <v>310356.45552345959</v>
      </c>
      <c r="K137" s="66">
        <f>Tabella25[[#This Row],[Adjusted Salary]]*$C$94+Tabella25[[#This Row],[Adjusted Salary]]*$C$98+Tabella25[[#This Row],[Adjusted Salary]]*$C$99</f>
        <v>24518.159986353305</v>
      </c>
      <c r="L137" s="66"/>
      <c r="M137" s="70">
        <v>0.18</v>
      </c>
      <c r="N137" s="71">
        <f>IF(Tabella25[[#This Row],[Age]]&lt;25,0, IF(MIN(Tabella25[[#This Row],[Adjusted Salary]]-$C$111, $C$112)&lt;0,0, MIN(Tabella25[[#This Row],[Adjusted Salary]]-$C$111,$C$112)))</f>
        <v>88200</v>
      </c>
      <c r="O137" s="71">
        <f>IF(Tabella25[[#This Row],[Age]]&lt;25,0,IF(Tabella25[[#This Row],[Compulsory contributions]]=88200, Tabella25[[#This Row],[Adjusted Salary]]-$C$112-$C$111, 0))</f>
        <v>195696.45552345959</v>
      </c>
      <c r="P137" s="71">
        <f>Tabella25[[#This Row],[Compulsory contributions]]+Tabella25[[#This Row],[Over compulsory contributions]]</f>
        <v>283896.45552345959</v>
      </c>
      <c r="Q137" s="71">
        <f>Tabella25[[#This Row],[Contributions]]*Tabella25[[#This Row],[Retirements credits]]</f>
        <v>51101.361994222723</v>
      </c>
      <c r="R137" s="72">
        <f t="shared" si="2"/>
        <v>11319.797744799856</v>
      </c>
      <c r="S137" s="72">
        <f>S136+Tabella25[[#This Row],[Retirement assets]]+Tabella25[[#This Row],[Interests]]</f>
        <v>968004.97932301112</v>
      </c>
      <c r="T137" s="72"/>
      <c r="U137" s="77">
        <f>IF(Tabella25[[#This Row],[Age]]&lt;=$C$9,(Tabella25[[#This Row],[Adjusted Salary]]),$G$109)</f>
        <v>310356.45552345959</v>
      </c>
      <c r="V137" s="72">
        <f>Tabella25[[#This Row],[1° Pillar deductions]]+(Tabella25[[#This Row],[Retirement assets]]/2)</f>
        <v>50068.840983464666</v>
      </c>
      <c r="W137" s="77">
        <f>Tabella25[[#This Row],[Salary and pension]]-Tabella25[[#This Row],[Pension deductions]]</f>
        <v>260287.61453999492</v>
      </c>
    </row>
    <row r="138" spans="9:23">
      <c r="I138" s="51">
        <f t="shared" si="3"/>
        <v>64</v>
      </c>
      <c r="J138" s="66">
        <f t="shared" si="4"/>
        <v>319769.98012487195</v>
      </c>
      <c r="K138" s="66">
        <f>Tabella25[[#This Row],[Adjusted Salary]]*$C$94+Tabella25[[#This Row],[Adjusted Salary]]*$C$98+Tabella25[[#This Row],[Adjusted Salary]]*$C$99</f>
        <v>25261.828429864883</v>
      </c>
      <c r="L138" s="66"/>
      <c r="M138" s="70">
        <v>0.18</v>
      </c>
      <c r="N138" s="71">
        <f>IF(Tabella25[[#This Row],[Age]]&lt;25,0, IF(MIN(Tabella25[[#This Row],[Adjusted Salary]]-$C$111, $C$112)&lt;0,0, MIN(Tabella25[[#This Row],[Adjusted Salary]]-$C$111,$C$112)))</f>
        <v>88200</v>
      </c>
      <c r="O138" s="71">
        <f>IF(Tabella25[[#This Row],[Age]]&lt;25,0,IF(Tabella25[[#This Row],[Compulsory contributions]]=88200, Tabella25[[#This Row],[Adjusted Salary]]-$C$112-$C$111, 0))</f>
        <v>205109.98012487195</v>
      </c>
      <c r="P138" s="71">
        <f>Tabella25[[#This Row],[Compulsory contributions]]+Tabella25[[#This Row],[Over compulsory contributions]]</f>
        <v>293309.98012487195</v>
      </c>
      <c r="Q138" s="71">
        <f>Tabella25[[#This Row],[Contributions]]*Tabella25[[#This Row],[Retirements credits]]</f>
        <v>52795.796422476946</v>
      </c>
      <c r="R138" s="72">
        <f t="shared" si="2"/>
        <v>12100.06224153764</v>
      </c>
      <c r="S138" s="72">
        <f>S137+Tabella25[[#This Row],[Retirement assets]]+Tabella25[[#This Row],[Interests]]</f>
        <v>1032900.8379870257</v>
      </c>
      <c r="T138" s="72"/>
      <c r="U138" s="77">
        <f>IF(Tabella25[[#This Row],[Age]]&lt;=$C$9,(Tabella25[[#This Row],[Adjusted Salary]]),$G$109)</f>
        <v>319769.98012487195</v>
      </c>
      <c r="V138" s="72">
        <f>Tabella25[[#This Row],[1° Pillar deductions]]+(Tabella25[[#This Row],[Retirement assets]]/2)</f>
        <v>51659.726641103356</v>
      </c>
      <c r="W138" s="77">
        <f>Tabella25[[#This Row],[Salary and pension]]-Tabella25[[#This Row],[Pension deductions]]</f>
        <v>268110.25348376861</v>
      </c>
    </row>
    <row r="139" spans="9:23">
      <c r="I139" s="51">
        <f t="shared" si="3"/>
        <v>65</v>
      </c>
      <c r="J139" s="66">
        <f t="shared" si="4"/>
        <v>329446.52923808293</v>
      </c>
      <c r="K139" s="66">
        <f>Tabella25[[#This Row],[Adjusted Salary]]*$C$94+Tabella25[[#This Row],[Adjusted Salary]]*$C$98+Tabella25[[#This Row],[Adjusted Salary]]*$C$99</f>
        <v>26026.275809808551</v>
      </c>
      <c r="L139" s="66"/>
      <c r="M139" s="70">
        <v>0.18</v>
      </c>
      <c r="N139" s="71">
        <f>IF(Tabella25[[#This Row],[Age]]&lt;25,0, IF(MIN(Tabella25[[#This Row],[Adjusted Salary]]-$C$111, $C$112)&lt;0,0, MIN(Tabella25[[#This Row],[Adjusted Salary]]-$C$111,$C$112)))</f>
        <v>88200</v>
      </c>
      <c r="O139" s="71">
        <f>IF(Tabella25[[#This Row],[Age]]&lt;25,0,IF(Tabella25[[#This Row],[Compulsory contributions]]=88200, Tabella25[[#This Row],[Adjusted Salary]]-$C$112-$C$111, 0))</f>
        <v>214786.52923808293</v>
      </c>
      <c r="P139" s="71">
        <f>Tabella25[[#This Row],[Compulsory contributions]]+Tabella25[[#This Row],[Over compulsory contributions]]</f>
        <v>302986.52923808293</v>
      </c>
      <c r="Q139" s="71">
        <f>Tabella25[[#This Row],[Contributions]]*Tabella25[[#This Row],[Retirements credits]]</f>
        <v>54537.575262854923</v>
      </c>
      <c r="R139" s="72">
        <f t="shared" si="2"/>
        <v>12911.260474837822</v>
      </c>
      <c r="S139" s="72">
        <f>S138+Tabella25[[#This Row],[Retirement assets]]+Tabella25[[#This Row],[Interests]]</f>
        <v>1100349.6737247184</v>
      </c>
      <c r="T139" s="72"/>
      <c r="U139" s="77">
        <f>IF(Tabella25[[#This Row],[Age]]&lt;=$C$9,(Tabella25[[#This Row],[Adjusted Salary]]),$G$109)</f>
        <v>329446.52923808293</v>
      </c>
      <c r="V139" s="72">
        <f>Tabella25[[#This Row],[1° Pillar deductions]]+(Tabella25[[#This Row],[Retirement assets]]/2)</f>
        <v>53295.063441236009</v>
      </c>
      <c r="W139" s="77">
        <f>Tabella25[[#This Row],[Salary and pension]]-Tabella25[[#This Row],[Pension deductions]]</f>
        <v>276151.4657968469</v>
      </c>
    </row>
    <row r="140" spans="9:23">
      <c r="I140" s="51">
        <f t="shared" si="3"/>
        <v>66</v>
      </c>
      <c r="J140" s="66">
        <f t="shared" si="4"/>
        <v>0</v>
      </c>
      <c r="K140" s="66">
        <f>Tabella25[[#This Row],[Adjusted Salary]]*$C$94+Tabella25[[#This Row],[Adjusted Salary]]*$C$98+Tabella25[[#This Row],[Adjusted Salary]]*$C$99</f>
        <v>0</v>
      </c>
      <c r="L140" s="66"/>
      <c r="M140" s="71"/>
      <c r="N140" s="71">
        <f>IF(Tabella25[[#This Row],[Age]]&lt;25,0, IF(MIN(Tabella25[[#This Row],[Adjusted Salary]]-$C$111, $C$112)&lt;0,0, MIN(Tabella25[[#This Row],[Adjusted Salary]]-$C$111,$C$112)))</f>
        <v>0</v>
      </c>
      <c r="O140" s="71">
        <f>IF(Tabella25[[#This Row],[Age]]&lt;25,0,IF(Tabella25[[#This Row],[Compulsory contributions]]=88200, Tabella25[[#This Row],[Adjusted Salary]]-$C$112-$C$111, 0))</f>
        <v>0</v>
      </c>
      <c r="P140" s="71">
        <f>Tabella25[[#This Row],[Compulsory contributions]]+Tabella25[[#This Row],[Over compulsory contributions]]</f>
        <v>0</v>
      </c>
      <c r="Q140" s="71">
        <f>Tabella25[[#This Row],[Contributions]]*Tabella25[[#This Row],[Retirements credits]]</f>
        <v>0</v>
      </c>
      <c r="R140" s="71"/>
      <c r="S140" s="71"/>
      <c r="T140" s="71"/>
      <c r="U140" s="78">
        <f>IF(Tabella25[[#This Row],[Age]]&lt;=$C$9,(Tabella25[[#This Row],[Adjusted Salary]]),$G$109)</f>
        <v>107583.77781328086</v>
      </c>
      <c r="V140" s="71">
        <f>Tabella25[[#This Row],[1° Pillar deductions]]+(Tabella25[[#This Row],[Retirement assets]]/2)</f>
        <v>0</v>
      </c>
      <c r="W140" s="78">
        <f>Tabella25[[#This Row],[Salary and pension]]-Tabella25[[#This Row],[Pension deductions]]</f>
        <v>107583.77781328086</v>
      </c>
    </row>
    <row r="141" spans="9:23">
      <c r="I141" s="51">
        <f t="shared" si="3"/>
        <v>67</v>
      </c>
      <c r="J141" s="66">
        <f t="shared" si="4"/>
        <v>0</v>
      </c>
      <c r="K141" s="66">
        <f>Tabella25[[#This Row],[Adjusted Salary]]*$C$94+Tabella25[[#This Row],[Adjusted Salary]]*$C$98+Tabella25[[#This Row],[Adjusted Salary]]*$C$99</f>
        <v>0</v>
      </c>
      <c r="L141" s="66"/>
      <c r="M141" s="71"/>
      <c r="N141" s="71">
        <f>IF(Tabella25[[#This Row],[Age]]&lt;25,0, IF(MIN(Tabella25[[#This Row],[Adjusted Salary]]-$C$111, $C$112)&lt;0,0, MIN(Tabella25[[#This Row],[Adjusted Salary]]-$C$111,$C$112)))</f>
        <v>0</v>
      </c>
      <c r="O141" s="71">
        <f>IF(Tabella25[[#This Row],[Age]]&lt;25,0,IF(Tabella25[[#This Row],[Compulsory contributions]]=88200, Tabella25[[#This Row],[Adjusted Salary]]-$C$112-$C$111, 0))</f>
        <v>0</v>
      </c>
      <c r="P141" s="71">
        <f>Tabella25[[#This Row],[Compulsory contributions]]+Tabella25[[#This Row],[Over compulsory contributions]]</f>
        <v>0</v>
      </c>
      <c r="Q141" s="71">
        <f>Tabella25[[#This Row],[Contributions]]*Tabella25[[#This Row],[Retirements credits]]</f>
        <v>0</v>
      </c>
      <c r="R141" s="71"/>
      <c r="S141" s="71"/>
      <c r="T141" s="71"/>
      <c r="U141" s="78">
        <f>IF(Tabella25[[#This Row],[Age]]&lt;=$C$9,(Tabella25[[#This Row],[Adjusted Salary]]),$G$109)</f>
        <v>107583.77781328086</v>
      </c>
      <c r="V141" s="71">
        <f>Tabella25[[#This Row],[1° Pillar deductions]]+(Tabella25[[#This Row],[Retirement assets]]/2)</f>
        <v>0</v>
      </c>
      <c r="W141" s="78">
        <f>Tabella25[[#This Row],[Salary and pension]]-Tabella25[[#This Row],[Pension deductions]]</f>
        <v>107583.77781328086</v>
      </c>
    </row>
    <row r="142" spans="9:23">
      <c r="I142" s="51">
        <f t="shared" si="3"/>
        <v>68</v>
      </c>
      <c r="J142" s="66">
        <f t="shared" si="4"/>
        <v>0</v>
      </c>
      <c r="K142" s="66">
        <f>Tabella25[[#This Row],[Adjusted Salary]]*$C$94+Tabella25[[#This Row],[Adjusted Salary]]*$C$98+Tabella25[[#This Row],[Adjusted Salary]]*$C$99</f>
        <v>0</v>
      </c>
      <c r="L142" s="66"/>
      <c r="M142" s="71"/>
      <c r="N142" s="71">
        <f>IF(Tabella25[[#This Row],[Age]]&lt;25,0, IF(MIN(Tabella25[[#This Row],[Adjusted Salary]]-$C$111, $C$112)&lt;0,0, MIN(Tabella25[[#This Row],[Adjusted Salary]]-$C$111,$C$112)))</f>
        <v>0</v>
      </c>
      <c r="O142" s="71">
        <f>IF(Tabella25[[#This Row],[Age]]&lt;25,0,IF(Tabella25[[#This Row],[Compulsory contributions]]=88200, Tabella25[[#This Row],[Adjusted Salary]]-$C$112-$C$111, 0))</f>
        <v>0</v>
      </c>
      <c r="P142" s="71">
        <f>Tabella25[[#This Row],[Compulsory contributions]]+Tabella25[[#This Row],[Over compulsory contributions]]</f>
        <v>0</v>
      </c>
      <c r="Q142" s="71">
        <f>Tabella25[[#This Row],[Contributions]]*Tabella25[[#This Row],[Retirements credits]]</f>
        <v>0</v>
      </c>
      <c r="R142" s="71"/>
      <c r="S142" s="71"/>
      <c r="T142" s="71"/>
      <c r="U142" s="78">
        <f>IF(Tabella25[[#This Row],[Age]]&lt;=$C$9,(Tabella25[[#This Row],[Adjusted Salary]]),$G$109)</f>
        <v>107583.77781328086</v>
      </c>
      <c r="V142" s="71">
        <f>Tabella25[[#This Row],[1° Pillar deductions]]+(Tabella25[[#This Row],[Retirement assets]]/2)</f>
        <v>0</v>
      </c>
      <c r="W142" s="78">
        <f>Tabella25[[#This Row],[Salary and pension]]-Tabella25[[#This Row],[Pension deductions]]</f>
        <v>107583.77781328086</v>
      </c>
    </row>
    <row r="143" spans="9:23">
      <c r="I143" s="51">
        <f t="shared" si="3"/>
        <v>69</v>
      </c>
      <c r="J143" s="66">
        <f t="shared" si="4"/>
        <v>0</v>
      </c>
      <c r="K143" s="66">
        <f>Tabella25[[#This Row],[Adjusted Salary]]*$C$94+Tabella25[[#This Row],[Adjusted Salary]]*$C$98+Tabella25[[#This Row],[Adjusted Salary]]*$C$99</f>
        <v>0</v>
      </c>
      <c r="L143" s="66"/>
      <c r="M143" s="71"/>
      <c r="N143" s="71">
        <f>IF(Tabella25[[#This Row],[Age]]&lt;25,0, IF(MIN(Tabella25[[#This Row],[Adjusted Salary]]-$C$111, $C$112)&lt;0,0, MIN(Tabella25[[#This Row],[Adjusted Salary]]-$C$111,$C$112)))</f>
        <v>0</v>
      </c>
      <c r="O143" s="71">
        <f>IF(Tabella25[[#This Row],[Age]]&lt;25,0,IF(Tabella25[[#This Row],[Compulsory contributions]]=88200, Tabella25[[#This Row],[Adjusted Salary]]-$C$112-$C$111, 0))</f>
        <v>0</v>
      </c>
      <c r="P143" s="71">
        <f>Tabella25[[#This Row],[Compulsory contributions]]+Tabella25[[#This Row],[Over compulsory contributions]]</f>
        <v>0</v>
      </c>
      <c r="Q143" s="71">
        <f>Tabella25[[#This Row],[Contributions]]*Tabella25[[#This Row],[Retirements credits]]</f>
        <v>0</v>
      </c>
      <c r="R143" s="71"/>
      <c r="S143" s="71"/>
      <c r="T143" s="71"/>
      <c r="U143" s="78">
        <f>IF(Tabella25[[#This Row],[Age]]&lt;=$C$9,(Tabella25[[#This Row],[Adjusted Salary]]),$G$109)</f>
        <v>107583.77781328086</v>
      </c>
      <c r="V143" s="71">
        <f>Tabella25[[#This Row],[1° Pillar deductions]]+(Tabella25[[#This Row],[Retirement assets]]/2)</f>
        <v>0</v>
      </c>
      <c r="W143" s="78">
        <f>Tabella25[[#This Row],[Salary and pension]]-Tabella25[[#This Row],[Pension deductions]]</f>
        <v>107583.77781328086</v>
      </c>
    </row>
    <row r="144" spans="9:23">
      <c r="I144" s="51">
        <f t="shared" si="3"/>
        <v>70</v>
      </c>
      <c r="J144" s="66">
        <f t="shared" si="4"/>
        <v>0</v>
      </c>
      <c r="K144" s="66">
        <f>Tabella25[[#This Row],[Adjusted Salary]]*$C$94+Tabella25[[#This Row],[Adjusted Salary]]*$C$98+Tabella25[[#This Row],[Adjusted Salary]]*$C$99</f>
        <v>0</v>
      </c>
      <c r="L144" s="66"/>
      <c r="M144" s="71"/>
      <c r="N144" s="71">
        <f>IF(Tabella25[[#This Row],[Age]]&lt;25,0, IF(MIN(Tabella25[[#This Row],[Adjusted Salary]]-$C$111, $C$112)&lt;0,0, MIN(Tabella25[[#This Row],[Adjusted Salary]]-$C$111,$C$112)))</f>
        <v>0</v>
      </c>
      <c r="O144" s="71">
        <f>IF(Tabella25[[#This Row],[Age]]&lt;25,0,IF(Tabella25[[#This Row],[Compulsory contributions]]=88200, Tabella25[[#This Row],[Adjusted Salary]]-$C$112-$C$111, 0))</f>
        <v>0</v>
      </c>
      <c r="P144" s="71">
        <f>Tabella25[[#This Row],[Compulsory contributions]]+Tabella25[[#This Row],[Over compulsory contributions]]</f>
        <v>0</v>
      </c>
      <c r="Q144" s="71">
        <f>Tabella25[[#This Row],[Contributions]]*Tabella25[[#This Row],[Retirements credits]]</f>
        <v>0</v>
      </c>
      <c r="R144" s="71"/>
      <c r="S144" s="71"/>
      <c r="T144" s="71"/>
      <c r="U144" s="78">
        <f>IF(Tabella25[[#This Row],[Age]]&lt;=$C$9,(Tabella25[[#This Row],[Adjusted Salary]]),$G$109)</f>
        <v>107583.77781328086</v>
      </c>
      <c r="V144" s="71">
        <f>Tabella25[[#This Row],[1° Pillar deductions]]+(Tabella25[[#This Row],[Retirement assets]]/2)</f>
        <v>0</v>
      </c>
      <c r="W144" s="78">
        <f>Tabella25[[#This Row],[Salary and pension]]-Tabella25[[#This Row],[Pension deductions]]</f>
        <v>107583.77781328086</v>
      </c>
    </row>
    <row r="145" spans="9:23">
      <c r="I145" s="51">
        <f t="shared" si="3"/>
        <v>71</v>
      </c>
      <c r="J145" s="66">
        <f t="shared" ref="J145:J154" si="5">H72</f>
        <v>0</v>
      </c>
      <c r="K145" s="66">
        <f>Tabella25[[#This Row],[Adjusted Salary]]*$C$94+Tabella25[[#This Row],[Adjusted Salary]]*$C$98+Tabella25[[#This Row],[Adjusted Salary]]*$C$99</f>
        <v>0</v>
      </c>
      <c r="L145" s="66"/>
      <c r="M145" s="71"/>
      <c r="N145" s="66">
        <f>IF(Tabella25[[#This Row],[Age]]&lt;25,0, IF(MIN(Tabella25[[#This Row],[Adjusted Salary]]-$C$111, $C$112)&lt;0,0, MIN(Tabella25[[#This Row],[Adjusted Salary]]-$C$111,$C$112)))</f>
        <v>0</v>
      </c>
      <c r="O145" s="66">
        <f>IF(Tabella25[[#This Row],[Age]]&lt;25,0,IF(Tabella25[[#This Row],[Compulsory contributions]]=88200, Tabella25[[#This Row],[Adjusted Salary]]-$C$112-$C$111, 0))</f>
        <v>0</v>
      </c>
      <c r="P145" s="66">
        <f>Tabella25[[#This Row],[Compulsory contributions]]+Tabella25[[#This Row],[Over compulsory contributions]]</f>
        <v>0</v>
      </c>
      <c r="Q145" s="66">
        <f>Tabella25[[#This Row],[Contributions]]*Tabella25[[#This Row],[Retirements credits]]</f>
        <v>0</v>
      </c>
      <c r="R145" s="66"/>
      <c r="S145" s="66"/>
      <c r="T145" s="66"/>
      <c r="U145" s="177">
        <f>IF(Tabella25[[#This Row],[Age]]&lt;=$C$9,(Tabella25[[#This Row],[Adjusted Salary]]),$G$109)</f>
        <v>107583.77781328086</v>
      </c>
      <c r="V145" s="66">
        <f>Tabella25[[#This Row],[1° Pillar deductions]]+(Tabella25[[#This Row],[Retirement assets]]/2)</f>
        <v>0</v>
      </c>
      <c r="W145" s="177">
        <f>Tabella25[[#This Row],[Salary and pension]]-Tabella25[[#This Row],[Pension deductions]]</f>
        <v>107583.77781328086</v>
      </c>
    </row>
    <row r="146" spans="9:23">
      <c r="I146" s="51">
        <f t="shared" si="3"/>
        <v>72</v>
      </c>
      <c r="J146" s="66">
        <f t="shared" si="5"/>
        <v>0</v>
      </c>
      <c r="K146" s="66">
        <f>Tabella25[[#This Row],[Adjusted Salary]]*$C$94+Tabella25[[#This Row],[Adjusted Salary]]*$C$98+Tabella25[[#This Row],[Adjusted Salary]]*$C$99</f>
        <v>0</v>
      </c>
      <c r="L146" s="66"/>
      <c r="M146" s="71"/>
      <c r="N146" s="66">
        <f>IF(Tabella25[[#This Row],[Age]]&lt;25,0, IF(MIN(Tabella25[[#This Row],[Adjusted Salary]]-$C$111, $C$112)&lt;0,0, MIN(Tabella25[[#This Row],[Adjusted Salary]]-$C$111,$C$112)))</f>
        <v>0</v>
      </c>
      <c r="O146" s="66">
        <f>IF(Tabella25[[#This Row],[Age]]&lt;25,0,IF(Tabella25[[#This Row],[Compulsory contributions]]=88200, Tabella25[[#This Row],[Adjusted Salary]]-$C$112-$C$111, 0))</f>
        <v>0</v>
      </c>
      <c r="P146" s="66">
        <f>Tabella25[[#This Row],[Compulsory contributions]]+Tabella25[[#This Row],[Over compulsory contributions]]</f>
        <v>0</v>
      </c>
      <c r="Q146" s="66">
        <f>Tabella25[[#This Row],[Contributions]]*Tabella25[[#This Row],[Retirements credits]]</f>
        <v>0</v>
      </c>
      <c r="R146" s="66"/>
      <c r="S146" s="66"/>
      <c r="T146" s="66"/>
      <c r="U146" s="177">
        <f>IF(Tabella25[[#This Row],[Age]]&lt;=$C$9,(Tabella25[[#This Row],[Adjusted Salary]]),$G$109)</f>
        <v>107583.77781328086</v>
      </c>
      <c r="V146" s="66">
        <f>Tabella25[[#This Row],[1° Pillar deductions]]+(Tabella25[[#This Row],[Retirement assets]]/2)</f>
        <v>0</v>
      </c>
      <c r="W146" s="177">
        <f>Tabella25[[#This Row],[Salary and pension]]-Tabella25[[#This Row],[Pension deductions]]</f>
        <v>107583.77781328086</v>
      </c>
    </row>
    <row r="147" spans="9:23">
      <c r="I147" s="51">
        <f t="shared" si="3"/>
        <v>73</v>
      </c>
      <c r="J147" s="66">
        <f t="shared" si="5"/>
        <v>0</v>
      </c>
      <c r="K147" s="66">
        <f>Tabella25[[#This Row],[Adjusted Salary]]*$C$94+Tabella25[[#This Row],[Adjusted Salary]]*$C$98+Tabella25[[#This Row],[Adjusted Salary]]*$C$99</f>
        <v>0</v>
      </c>
      <c r="L147" s="66"/>
      <c r="M147" s="71"/>
      <c r="N147" s="66">
        <f>IF(Tabella25[[#This Row],[Age]]&lt;25,0, IF(MIN(Tabella25[[#This Row],[Adjusted Salary]]-$C$111, $C$112)&lt;0,0, MIN(Tabella25[[#This Row],[Adjusted Salary]]-$C$111,$C$112)))</f>
        <v>0</v>
      </c>
      <c r="O147" s="66">
        <f>IF(Tabella25[[#This Row],[Age]]&lt;25,0,IF(Tabella25[[#This Row],[Compulsory contributions]]=88200, Tabella25[[#This Row],[Adjusted Salary]]-$C$112-$C$111, 0))</f>
        <v>0</v>
      </c>
      <c r="P147" s="66">
        <f>Tabella25[[#This Row],[Compulsory contributions]]+Tabella25[[#This Row],[Over compulsory contributions]]</f>
        <v>0</v>
      </c>
      <c r="Q147" s="66">
        <f>Tabella25[[#This Row],[Contributions]]*Tabella25[[#This Row],[Retirements credits]]</f>
        <v>0</v>
      </c>
      <c r="R147" s="66"/>
      <c r="S147" s="66"/>
      <c r="T147" s="66"/>
      <c r="U147" s="177">
        <f>IF(Tabella25[[#This Row],[Age]]&lt;=$C$9,(Tabella25[[#This Row],[Adjusted Salary]]),$G$109)</f>
        <v>107583.77781328086</v>
      </c>
      <c r="V147" s="66">
        <f>Tabella25[[#This Row],[1° Pillar deductions]]+(Tabella25[[#This Row],[Retirement assets]]/2)</f>
        <v>0</v>
      </c>
      <c r="W147" s="177">
        <f>Tabella25[[#This Row],[Salary and pension]]-Tabella25[[#This Row],[Pension deductions]]</f>
        <v>107583.77781328086</v>
      </c>
    </row>
    <row r="148" spans="9:23">
      <c r="I148" s="51">
        <f t="shared" si="3"/>
        <v>74</v>
      </c>
      <c r="J148" s="66">
        <f t="shared" si="5"/>
        <v>0</v>
      </c>
      <c r="K148" s="66">
        <f>Tabella25[[#This Row],[Adjusted Salary]]*$C$94+Tabella25[[#This Row],[Adjusted Salary]]*$C$98+Tabella25[[#This Row],[Adjusted Salary]]*$C$99</f>
        <v>0</v>
      </c>
      <c r="L148" s="66"/>
      <c r="M148" s="71"/>
      <c r="N148" s="66">
        <f>IF(Tabella25[[#This Row],[Age]]&lt;25,0, IF(MIN(Tabella25[[#This Row],[Adjusted Salary]]-$C$111, $C$112)&lt;0,0, MIN(Tabella25[[#This Row],[Adjusted Salary]]-$C$111,$C$112)))</f>
        <v>0</v>
      </c>
      <c r="O148" s="66">
        <f>IF(Tabella25[[#This Row],[Age]]&lt;25,0,IF(Tabella25[[#This Row],[Compulsory contributions]]=88200, Tabella25[[#This Row],[Adjusted Salary]]-$C$112-$C$111, 0))</f>
        <v>0</v>
      </c>
      <c r="P148" s="66">
        <f>Tabella25[[#This Row],[Compulsory contributions]]+Tabella25[[#This Row],[Over compulsory contributions]]</f>
        <v>0</v>
      </c>
      <c r="Q148" s="66">
        <f>Tabella25[[#This Row],[Contributions]]*Tabella25[[#This Row],[Retirements credits]]</f>
        <v>0</v>
      </c>
      <c r="R148" s="66"/>
      <c r="S148" s="66"/>
      <c r="T148" s="66"/>
      <c r="U148" s="177">
        <f>IF(Tabella25[[#This Row],[Age]]&lt;=$C$9,(Tabella25[[#This Row],[Adjusted Salary]]),$G$109)</f>
        <v>107583.77781328086</v>
      </c>
      <c r="V148" s="66">
        <f>Tabella25[[#This Row],[1° Pillar deductions]]+(Tabella25[[#This Row],[Retirement assets]]/2)</f>
        <v>0</v>
      </c>
      <c r="W148" s="177">
        <f>Tabella25[[#This Row],[Salary and pension]]-Tabella25[[#This Row],[Pension deductions]]</f>
        <v>107583.77781328086</v>
      </c>
    </row>
    <row r="149" spans="9:23">
      <c r="I149" s="51">
        <f t="shared" si="3"/>
        <v>75</v>
      </c>
      <c r="J149" s="66">
        <f t="shared" si="5"/>
        <v>0</v>
      </c>
      <c r="K149" s="66">
        <f>Tabella25[[#This Row],[Adjusted Salary]]*$C$94+Tabella25[[#This Row],[Adjusted Salary]]*$C$98+Tabella25[[#This Row],[Adjusted Salary]]*$C$99</f>
        <v>0</v>
      </c>
      <c r="L149" s="66"/>
      <c r="M149" s="71"/>
      <c r="N149" s="66">
        <f>IF(Tabella25[[#This Row],[Age]]&lt;25,0, IF(MIN(Tabella25[[#This Row],[Adjusted Salary]]-$C$111, $C$112)&lt;0,0, MIN(Tabella25[[#This Row],[Adjusted Salary]]-$C$111,$C$112)))</f>
        <v>0</v>
      </c>
      <c r="O149" s="66">
        <f>IF(Tabella25[[#This Row],[Age]]&lt;25,0,IF(Tabella25[[#This Row],[Compulsory contributions]]=88200, Tabella25[[#This Row],[Adjusted Salary]]-$C$112-$C$111, 0))</f>
        <v>0</v>
      </c>
      <c r="P149" s="66">
        <f>Tabella25[[#This Row],[Compulsory contributions]]+Tabella25[[#This Row],[Over compulsory contributions]]</f>
        <v>0</v>
      </c>
      <c r="Q149" s="66">
        <f>Tabella25[[#This Row],[Contributions]]*Tabella25[[#This Row],[Retirements credits]]</f>
        <v>0</v>
      </c>
      <c r="R149" s="66"/>
      <c r="S149" s="66"/>
      <c r="T149" s="66"/>
      <c r="U149" s="177">
        <f>IF(Tabella25[[#This Row],[Age]]&lt;=$C$9,(Tabella25[[#This Row],[Adjusted Salary]]),$G$109)</f>
        <v>107583.77781328086</v>
      </c>
      <c r="V149" s="66">
        <f>Tabella25[[#This Row],[1° Pillar deductions]]+(Tabella25[[#This Row],[Retirement assets]]/2)</f>
        <v>0</v>
      </c>
      <c r="W149" s="177">
        <f>Tabella25[[#This Row],[Salary and pension]]-Tabella25[[#This Row],[Pension deductions]]</f>
        <v>107583.77781328086</v>
      </c>
    </row>
    <row r="150" spans="9:23">
      <c r="I150" s="51">
        <f t="shared" si="3"/>
        <v>76</v>
      </c>
      <c r="J150" s="66">
        <f t="shared" si="5"/>
        <v>0</v>
      </c>
      <c r="K150" s="66">
        <f>Tabella25[[#This Row],[Adjusted Salary]]*$C$94+Tabella25[[#This Row],[Adjusted Salary]]*$C$98+Tabella25[[#This Row],[Adjusted Salary]]*$C$99</f>
        <v>0</v>
      </c>
      <c r="L150" s="66"/>
      <c r="M150" s="71"/>
      <c r="N150" s="66">
        <f>IF(Tabella25[[#This Row],[Age]]&lt;25,0, IF(MIN(Tabella25[[#This Row],[Adjusted Salary]]-$C$111, $C$112)&lt;0,0, MIN(Tabella25[[#This Row],[Adjusted Salary]]-$C$111,$C$112)))</f>
        <v>0</v>
      </c>
      <c r="O150" s="66">
        <f>IF(Tabella25[[#This Row],[Age]]&lt;25,0,IF(Tabella25[[#This Row],[Compulsory contributions]]=88200, Tabella25[[#This Row],[Adjusted Salary]]-$C$112-$C$111, 0))</f>
        <v>0</v>
      </c>
      <c r="P150" s="66">
        <f>Tabella25[[#This Row],[Compulsory contributions]]+Tabella25[[#This Row],[Over compulsory contributions]]</f>
        <v>0</v>
      </c>
      <c r="Q150" s="66">
        <f>Tabella25[[#This Row],[Contributions]]*Tabella25[[#This Row],[Retirements credits]]</f>
        <v>0</v>
      </c>
      <c r="R150" s="66"/>
      <c r="S150" s="66"/>
      <c r="T150" s="66"/>
      <c r="U150" s="177">
        <f>IF(Tabella25[[#This Row],[Age]]&lt;=$C$9,(Tabella25[[#This Row],[Adjusted Salary]]),$G$109)</f>
        <v>107583.77781328086</v>
      </c>
      <c r="V150" s="66">
        <f>Tabella25[[#This Row],[1° Pillar deductions]]+(Tabella25[[#This Row],[Retirement assets]]/2)</f>
        <v>0</v>
      </c>
      <c r="W150" s="177">
        <f>Tabella25[[#This Row],[Salary and pension]]-Tabella25[[#This Row],[Pension deductions]]</f>
        <v>107583.77781328086</v>
      </c>
    </row>
    <row r="151" spans="9:23">
      <c r="I151" s="51">
        <f t="shared" si="3"/>
        <v>77</v>
      </c>
      <c r="J151" s="66">
        <f t="shared" si="5"/>
        <v>0</v>
      </c>
      <c r="K151" s="66">
        <f>Tabella25[[#This Row],[Adjusted Salary]]*$C$94+Tabella25[[#This Row],[Adjusted Salary]]*$C$98+Tabella25[[#This Row],[Adjusted Salary]]*$C$99</f>
        <v>0</v>
      </c>
      <c r="L151" s="66"/>
      <c r="M151" s="71"/>
      <c r="N151" s="66">
        <f>IF(Tabella25[[#This Row],[Age]]&lt;25,0, IF(MIN(Tabella25[[#This Row],[Adjusted Salary]]-$C$111, $C$112)&lt;0,0, MIN(Tabella25[[#This Row],[Adjusted Salary]]-$C$111,$C$112)))</f>
        <v>0</v>
      </c>
      <c r="O151" s="66">
        <f>IF(Tabella25[[#This Row],[Age]]&lt;25,0,IF(Tabella25[[#This Row],[Compulsory contributions]]=88200, Tabella25[[#This Row],[Adjusted Salary]]-$C$112-$C$111, 0))</f>
        <v>0</v>
      </c>
      <c r="P151" s="66">
        <f>Tabella25[[#This Row],[Compulsory contributions]]+Tabella25[[#This Row],[Over compulsory contributions]]</f>
        <v>0</v>
      </c>
      <c r="Q151" s="66">
        <f>Tabella25[[#This Row],[Contributions]]*Tabella25[[#This Row],[Retirements credits]]</f>
        <v>0</v>
      </c>
      <c r="R151" s="66"/>
      <c r="S151" s="66"/>
      <c r="T151" s="66"/>
      <c r="U151" s="177">
        <f>IF(Tabella25[[#This Row],[Age]]&lt;=$C$9,(Tabella25[[#This Row],[Adjusted Salary]]),$G$109)</f>
        <v>107583.77781328086</v>
      </c>
      <c r="V151" s="66">
        <f>Tabella25[[#This Row],[1° Pillar deductions]]+(Tabella25[[#This Row],[Retirement assets]]/2)</f>
        <v>0</v>
      </c>
      <c r="W151" s="177">
        <f>Tabella25[[#This Row],[Salary and pension]]-Tabella25[[#This Row],[Pension deductions]]</f>
        <v>107583.77781328086</v>
      </c>
    </row>
    <row r="152" spans="9:23">
      <c r="I152" s="51">
        <f t="shared" si="3"/>
        <v>78</v>
      </c>
      <c r="J152" s="66">
        <f t="shared" si="5"/>
        <v>0</v>
      </c>
      <c r="K152" s="66">
        <f>Tabella25[[#This Row],[Adjusted Salary]]*$C$94+Tabella25[[#This Row],[Adjusted Salary]]*$C$98+Tabella25[[#This Row],[Adjusted Salary]]*$C$99</f>
        <v>0</v>
      </c>
      <c r="L152" s="66"/>
      <c r="M152" s="71"/>
      <c r="N152" s="66">
        <f>IF(Tabella25[[#This Row],[Age]]&lt;25,0, IF(MIN(Tabella25[[#This Row],[Adjusted Salary]]-$C$111, $C$112)&lt;0,0, MIN(Tabella25[[#This Row],[Adjusted Salary]]-$C$111,$C$112)))</f>
        <v>0</v>
      </c>
      <c r="O152" s="66">
        <f>IF(Tabella25[[#This Row],[Age]]&lt;25,0,IF(Tabella25[[#This Row],[Compulsory contributions]]=88200, Tabella25[[#This Row],[Adjusted Salary]]-$C$112-$C$111, 0))</f>
        <v>0</v>
      </c>
      <c r="P152" s="66">
        <f>Tabella25[[#This Row],[Compulsory contributions]]+Tabella25[[#This Row],[Over compulsory contributions]]</f>
        <v>0</v>
      </c>
      <c r="Q152" s="66">
        <f>Tabella25[[#This Row],[Contributions]]*Tabella25[[#This Row],[Retirements credits]]</f>
        <v>0</v>
      </c>
      <c r="R152" s="66"/>
      <c r="S152" s="66"/>
      <c r="T152" s="66"/>
      <c r="U152" s="177">
        <f>IF(Tabella25[[#This Row],[Age]]&lt;=$C$9,(Tabella25[[#This Row],[Adjusted Salary]]),$G$109)</f>
        <v>107583.77781328086</v>
      </c>
      <c r="V152" s="66">
        <f>Tabella25[[#This Row],[1° Pillar deductions]]+(Tabella25[[#This Row],[Retirement assets]]/2)</f>
        <v>0</v>
      </c>
      <c r="W152" s="177">
        <f>Tabella25[[#This Row],[Salary and pension]]-Tabella25[[#This Row],[Pension deductions]]</f>
        <v>107583.77781328086</v>
      </c>
    </row>
    <row r="153" spans="9:23">
      <c r="I153" s="51">
        <f t="shared" si="3"/>
        <v>79</v>
      </c>
      <c r="J153" s="66">
        <f t="shared" si="5"/>
        <v>0</v>
      </c>
      <c r="K153" s="66">
        <f>Tabella25[[#This Row],[Adjusted Salary]]*$C$94+Tabella25[[#This Row],[Adjusted Salary]]*$C$98+Tabella25[[#This Row],[Adjusted Salary]]*$C$99</f>
        <v>0</v>
      </c>
      <c r="L153" s="66"/>
      <c r="M153" s="71"/>
      <c r="N153" s="66">
        <f>IF(Tabella25[[#This Row],[Age]]&lt;25,0, IF(MIN(Tabella25[[#This Row],[Adjusted Salary]]-$C$111, $C$112)&lt;0,0, MIN(Tabella25[[#This Row],[Adjusted Salary]]-$C$111,$C$112)))</f>
        <v>0</v>
      </c>
      <c r="O153" s="66">
        <f>IF(Tabella25[[#This Row],[Age]]&lt;25,0,IF(Tabella25[[#This Row],[Compulsory contributions]]=88200, Tabella25[[#This Row],[Adjusted Salary]]-$C$112-$C$111, 0))</f>
        <v>0</v>
      </c>
      <c r="P153" s="66">
        <f>Tabella25[[#This Row],[Compulsory contributions]]+Tabella25[[#This Row],[Over compulsory contributions]]</f>
        <v>0</v>
      </c>
      <c r="Q153" s="66">
        <f>Tabella25[[#This Row],[Contributions]]*Tabella25[[#This Row],[Retirements credits]]</f>
        <v>0</v>
      </c>
      <c r="R153" s="66"/>
      <c r="S153" s="66"/>
      <c r="T153" s="66"/>
      <c r="U153" s="177">
        <f>IF(Tabella25[[#This Row],[Age]]&lt;=$C$9,(Tabella25[[#This Row],[Adjusted Salary]]),$G$109)</f>
        <v>107583.77781328086</v>
      </c>
      <c r="V153" s="66">
        <f>Tabella25[[#This Row],[1° Pillar deductions]]+(Tabella25[[#This Row],[Retirement assets]]/2)</f>
        <v>0</v>
      </c>
      <c r="W153" s="177">
        <f>Tabella25[[#This Row],[Salary and pension]]-Tabella25[[#This Row],[Pension deductions]]</f>
        <v>107583.77781328086</v>
      </c>
    </row>
    <row r="154" spans="9:23">
      <c r="I154" s="51">
        <f t="shared" si="3"/>
        <v>80</v>
      </c>
      <c r="J154" s="66">
        <f t="shared" si="5"/>
        <v>0</v>
      </c>
      <c r="K154" s="66">
        <f>Tabella25[[#This Row],[Adjusted Salary]]*$C$94+Tabella25[[#This Row],[Adjusted Salary]]*$C$98+Tabella25[[#This Row],[Adjusted Salary]]*$C$99</f>
        <v>0</v>
      </c>
      <c r="L154" s="66"/>
      <c r="M154" s="71"/>
      <c r="N154" s="66">
        <f>IF(Tabella25[[#This Row],[Age]]&lt;25,0, IF(MIN(Tabella25[[#This Row],[Adjusted Salary]]-$C$111, $C$112)&lt;0,0, MIN(Tabella25[[#This Row],[Adjusted Salary]]-$C$111,$C$112)))</f>
        <v>0</v>
      </c>
      <c r="O154" s="66">
        <f>IF(Tabella25[[#This Row],[Age]]&lt;25,0,IF(Tabella25[[#This Row],[Compulsory contributions]]=88200, Tabella25[[#This Row],[Adjusted Salary]]-$C$112-$C$111, 0))</f>
        <v>0</v>
      </c>
      <c r="P154" s="66">
        <f>Tabella25[[#This Row],[Compulsory contributions]]+Tabella25[[#This Row],[Over compulsory contributions]]</f>
        <v>0</v>
      </c>
      <c r="Q154" s="66">
        <f>Tabella25[[#This Row],[Contributions]]*Tabella25[[#This Row],[Retirements credits]]</f>
        <v>0</v>
      </c>
      <c r="R154" s="66"/>
      <c r="S154" s="66"/>
      <c r="T154" s="66"/>
      <c r="U154" s="177">
        <f>IF(Tabella25[[#This Row],[Age]]&lt;=$C$9,(Tabella25[[#This Row],[Adjusted Salary]]),$G$109)</f>
        <v>107583.77781328086</v>
      </c>
      <c r="V154" s="66">
        <f>Tabella25[[#This Row],[1° Pillar deductions]]+(Tabella25[[#This Row],[Retirement assets]]/2)</f>
        <v>0</v>
      </c>
      <c r="W154" s="177">
        <f>Tabella25[[#This Row],[Salary and pension]]-Tabella25[[#This Row],[Pension deductions]]</f>
        <v>107583.77781328086</v>
      </c>
    </row>
    <row r="155" spans="9:23">
      <c r="I155" s="51" t="s">
        <v>135</v>
      </c>
      <c r="J155" s="73"/>
      <c r="K155" s="73"/>
      <c r="L155" s="73"/>
      <c r="M155" s="74"/>
      <c r="N155" s="73"/>
      <c r="O155" s="73"/>
      <c r="P155" s="73"/>
      <c r="Q155" s="66">
        <f>SUBTOTAL(109,Tabella25[Retirement assets])</f>
        <v>946020.46882187703</v>
      </c>
      <c r="R155" s="66">
        <f>SUBTOTAL(109,Tabella25[Interests])</f>
        <v>154329.20490284153</v>
      </c>
      <c r="S155" s="66">
        <f>S139</f>
        <v>1100349.6737247184</v>
      </c>
      <c r="T155" s="73"/>
      <c r="U155" s="73"/>
      <c r="V155" s="73"/>
      <c r="W155" s="73"/>
    </row>
  </sheetData>
  <phoneticPr fontId="7" type="noConversion"/>
  <dataValidations disablePrompts="1" count="1">
    <dataValidation type="list" allowBlank="1" showInputMessage="1" showErrorMessage="1" sqref="G94:H94" xr:uid="{9464C59F-4E51-274F-8785-4D08FE8E4E09}">
      <formula1>"Single, Pair"</formula1>
    </dataValidation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390F-561E-E84F-BACA-3750B90D0EBE}">
  <sheetPr>
    <tabColor rgb="FF00B0F0"/>
  </sheetPr>
  <dimension ref="B2:Y156"/>
  <sheetViews>
    <sheetView topLeftCell="I72" workbookViewId="0">
      <selection activeCell="V96" sqref="V96"/>
    </sheetView>
  </sheetViews>
  <sheetFormatPr baseColWidth="10" defaultColWidth="11" defaultRowHeight="16"/>
  <cols>
    <col min="2" max="2" width="36.5" customWidth="1"/>
    <col min="3" max="3" width="22.33203125" customWidth="1"/>
    <col min="4" max="6" width="24.1640625" customWidth="1"/>
    <col min="7" max="8" width="24" customWidth="1"/>
    <col min="9" max="9" width="26.33203125" customWidth="1"/>
    <col min="10" max="10" width="23.6640625" customWidth="1"/>
    <col min="11" max="11" width="21.6640625" customWidth="1"/>
    <col min="12" max="12" width="21.1640625" customWidth="1"/>
    <col min="13" max="13" width="4.1640625" customWidth="1"/>
    <col min="14" max="14" width="24.33203125" customWidth="1"/>
    <col min="15" max="15" width="28" customWidth="1"/>
    <col min="16" max="16" width="21.6640625" customWidth="1"/>
    <col min="17" max="17" width="24.1640625" customWidth="1"/>
    <col min="18" max="18" width="22.6640625" customWidth="1"/>
    <col min="19" max="19" width="24.5" customWidth="1"/>
    <col min="20" max="20" width="27" customWidth="1"/>
    <col min="21" max="21" width="8.1640625" customWidth="1"/>
    <col min="22" max="22" width="27.5" customWidth="1"/>
    <col min="23" max="23" width="22.1640625" customWidth="1"/>
    <col min="24" max="26" width="19.83203125" customWidth="1"/>
    <col min="27" max="27" width="18.83203125" customWidth="1"/>
    <col min="28" max="28" width="17.1640625" customWidth="1"/>
    <col min="29" max="29" width="8" customWidth="1"/>
    <col min="30" max="30" width="18.83203125" customWidth="1"/>
    <col min="31" max="31" width="22.1640625" customWidth="1"/>
    <col min="32" max="32" width="20.6640625" customWidth="1"/>
    <col min="33" max="35" width="20.1640625" customWidth="1"/>
    <col min="36" max="36" width="19.33203125" customWidth="1"/>
  </cols>
  <sheetData>
    <row r="2" spans="2:11">
      <c r="B2" s="7" t="s">
        <v>65</v>
      </c>
      <c r="C2" s="21"/>
      <c r="D2" s="21"/>
      <c r="E2" s="21"/>
      <c r="F2" s="21"/>
      <c r="G2" s="21"/>
      <c r="H2" s="21"/>
      <c r="I2" s="21"/>
      <c r="J2" s="21"/>
      <c r="K2" s="21"/>
    </row>
    <row r="4" spans="2:11">
      <c r="B4" s="7" t="s">
        <v>66</v>
      </c>
      <c r="C4" s="21"/>
    </row>
    <row r="5" spans="2:11">
      <c r="B5" s="26" t="s">
        <v>13</v>
      </c>
      <c r="C5" s="203">
        <f>'General overview'!C11</f>
        <v>22</v>
      </c>
    </row>
    <row r="6" spans="2:11">
      <c r="B6" s="26" t="s">
        <v>67</v>
      </c>
      <c r="C6" s="27">
        <f>IF('General overview'!C8="Yes",'General overview'!C10,0)</f>
        <v>70000</v>
      </c>
    </row>
    <row r="7" spans="2:11">
      <c r="B7" s="26" t="s">
        <v>68</v>
      </c>
      <c r="C7" s="29">
        <v>5.0000000000000001E-3</v>
      </c>
    </row>
    <row r="8" spans="2:11">
      <c r="B8" s="26" t="s">
        <v>69</v>
      </c>
      <c r="C8" s="29">
        <f>IF(C17&gt;0,C17,0.007)</f>
        <v>2.5165694671813371E-2</v>
      </c>
      <c r="K8" s="18"/>
    </row>
    <row r="9" spans="2:11" ht="17">
      <c r="B9" s="75" t="s">
        <v>70</v>
      </c>
      <c r="C9" s="76">
        <f>'General overview'!C12</f>
        <v>60</v>
      </c>
      <c r="K9" s="58"/>
    </row>
    <row r="10" spans="2:11" ht="17">
      <c r="B10" s="75" t="s">
        <v>4863</v>
      </c>
      <c r="C10" s="76">
        <f ca="1">YEAR(TODAY())</f>
        <v>2024</v>
      </c>
      <c r="K10" s="12"/>
    </row>
    <row r="11" spans="2:11">
      <c r="B11" s="30"/>
      <c r="C11" s="31"/>
      <c r="K11" s="59"/>
    </row>
    <row r="12" spans="2:11">
      <c r="B12" s="30"/>
      <c r="C12" s="31"/>
      <c r="K12" s="59"/>
    </row>
    <row r="13" spans="2:11">
      <c r="B13" s="30"/>
      <c r="C13" s="31"/>
    </row>
    <row r="14" spans="2:11" ht="17">
      <c r="B14" s="30" t="s">
        <v>4952</v>
      </c>
      <c r="C14" s="489">
        <f>C6</f>
        <v>70000</v>
      </c>
      <c r="K14" s="57"/>
    </row>
    <row r="15" spans="2:11" ht="17">
      <c r="B15" s="30" t="s">
        <v>4953</v>
      </c>
      <c r="C15" s="489">
        <f>'General overview'!C13</f>
        <v>180000</v>
      </c>
    </row>
    <row r="16" spans="2:11" ht="17">
      <c r="B16" s="30" t="s">
        <v>4954</v>
      </c>
      <c r="C16" s="490">
        <f>C9-C5</f>
        <v>38</v>
      </c>
      <c r="K16" s="60"/>
    </row>
    <row r="17" spans="2:13" ht="17">
      <c r="B17" s="30" t="s">
        <v>4955</v>
      </c>
      <c r="C17" s="311">
        <f>IF(C15&gt;0,RATE(C16,,-C14,C15),0)</f>
        <v>2.5165694671813371E-2</v>
      </c>
      <c r="K17" s="12"/>
    </row>
    <row r="18" spans="2:13">
      <c r="K18" s="60"/>
    </row>
    <row r="19" spans="2:13">
      <c r="K19" s="12"/>
    </row>
    <row r="20" spans="2:13">
      <c r="B20" s="23" t="s">
        <v>13</v>
      </c>
      <c r="C20" s="82" t="s">
        <v>16</v>
      </c>
      <c r="D20" s="25" t="s">
        <v>71</v>
      </c>
      <c r="E20" s="22" t="s">
        <v>72</v>
      </c>
      <c r="F20" s="22" t="s">
        <v>73</v>
      </c>
      <c r="G20" s="25" t="s">
        <v>74</v>
      </c>
      <c r="H20" s="25" t="s">
        <v>75</v>
      </c>
      <c r="I20" s="22" t="s">
        <v>76</v>
      </c>
      <c r="J20" s="79"/>
      <c r="M20" s="59"/>
    </row>
    <row r="21" spans="2:13">
      <c r="B21" s="80">
        <v>20</v>
      </c>
      <c r="C21" s="80">
        <f ca="1">IF(Tabella678[[#This Row],[Age]]=$C$5,$C$10,IF(Tabella678[[#This Row],[Age]]&lt;$C$5,$C$10-($C$5-Tabella678[[#This Row],[Age]]),IF(Tabella678[[#This Row],[Age]]&gt;$C$5,$C$10+Tabella678[[#This Row],[Age]]-$C$5)))</f>
        <v>2022</v>
      </c>
      <c r="D21" s="4">
        <f>IF(AND(Tabella678[[#This Row],[Age]]&gt;=$C$5, Tabella678[[#This Row],[Age]]&lt;=$C$9),$C$6,0)</f>
        <v>0</v>
      </c>
      <c r="E21" s="4">
        <f>IF(Tabella678[[#This Row],[Gross Base Salary]]=0,Tabella678[[#This Row],[Gross Base Salary]], IF(AND(Tabella678[[#This Row],[Gross Base Salary]]&gt;0,E20&gt;0),E20*(1+$C$7),Tabella678[[#This Row],[Gross Base Salary]]))</f>
        <v>0</v>
      </c>
      <c r="F21" s="4">
        <f>IF(Tabella678[[#This Row],[Gross Base Salary]]=0,Tabella678[[#This Row],[Gross Base Salary]], IF(AND(Tabella678[[#This Row],[Gross Base Salary]]&gt;0,F20&gt;0),F20*(1+$C$8),Tabella678[[#This Row],[Gross Base Salary]]))</f>
        <v>0</v>
      </c>
      <c r="G21" s="4">
        <f>Tabella678[[#This Row],[Salary + inflation]]+Tabella678[[#This Row],[Salary + salary increases]]-(Tabella678[[#This Row],[Gross Base Salary]]*2)</f>
        <v>0</v>
      </c>
      <c r="H21" s="4">
        <f>Tabella678[[#This Row],[Inflation + salary increases]]+Tabella678[[#This Row],[Gross Base Salary]]</f>
        <v>0</v>
      </c>
      <c r="I21" s="77">
        <f>IFERROR(IF('General overview'!$C$8="Yes",IF(Tabella678[[#This Row],[Age]]&lt;=$C$9,Tabella678[[#This Row],[Adjusted salary]],$G$110),0),0)</f>
        <v>0</v>
      </c>
      <c r="J21" s="24"/>
    </row>
    <row r="22" spans="2:13">
      <c r="B22" s="80">
        <v>21</v>
      </c>
      <c r="C22" s="80">
        <f ca="1">IF(Tabella678[[#This Row],[Age]]=$C$5,$C$10,IF(Tabella678[[#This Row],[Age]]&lt;$C$5,$C$10-($C$5-Tabella678[[#This Row],[Age]]),IF(Tabella678[[#This Row],[Age]]&gt;$C$5,$C$10+Tabella678[[#This Row],[Age]]-$C$5)))</f>
        <v>2023</v>
      </c>
      <c r="D22" s="4">
        <f>IF(AND(Tabella678[[#This Row],[Age]]&gt;=$C$5, Tabella678[[#This Row],[Age]]&lt;=$C$9),$C$6,0)</f>
        <v>0</v>
      </c>
      <c r="E22" s="4">
        <f>IF(Tabella678[[#This Row],[Gross Base Salary]]=0,Tabella678[[#This Row],[Gross Base Salary]], IF(AND(Tabella678[[#This Row],[Gross Base Salary]]&gt;0,E21&gt;0),E21*(1+$C$7),Tabella678[[#This Row],[Gross Base Salary]]))</f>
        <v>0</v>
      </c>
      <c r="F22" s="4">
        <f>IF(Tabella678[[#This Row],[Gross Base Salary]]=0,Tabella678[[#This Row],[Gross Base Salary]], IF(AND(Tabella678[[#This Row],[Gross Base Salary]]&gt;0,F21&gt;0),F21*(1+$C$8),Tabella678[[#This Row],[Gross Base Salary]]))</f>
        <v>0</v>
      </c>
      <c r="G22" s="4">
        <f>Tabella678[[#This Row],[Salary + inflation]]+Tabella678[[#This Row],[Salary + salary increases]]-(Tabella678[[#This Row],[Gross Base Salary]]*2)</f>
        <v>0</v>
      </c>
      <c r="H22" s="4">
        <f>Tabella678[[#This Row],[Inflation + salary increases]]+Tabella678[[#This Row],[Gross Base Salary]]</f>
        <v>0</v>
      </c>
      <c r="I22" s="36">
        <f>IFERROR(IF('General overview'!$C$8="Yes",IF(Tabella678[[#This Row],[Age]]&lt;=$C$9,Tabella678[[#This Row],[Adjusted salary]],$G$110),0),0)</f>
        <v>0</v>
      </c>
      <c r="J22" s="24"/>
      <c r="M22" s="61"/>
    </row>
    <row r="23" spans="2:13">
      <c r="B23" s="80">
        <v>22</v>
      </c>
      <c r="C23" s="80">
        <f ca="1">IF(Tabella678[[#This Row],[Age]]=$C$5,$C$10,IF(Tabella678[[#This Row],[Age]]&lt;$C$5,$C$10-($C$5-Tabella678[[#This Row],[Age]]),IF(Tabella678[[#This Row],[Age]]&gt;$C$5,$C$10+Tabella678[[#This Row],[Age]]-$C$5)))</f>
        <v>2024</v>
      </c>
      <c r="D23" s="4">
        <f>IF(AND(Tabella678[[#This Row],[Age]]&gt;=$C$5, Tabella678[[#This Row],[Age]]&lt;=$C$9),$C$6,0)</f>
        <v>70000</v>
      </c>
      <c r="E23" s="4">
        <f>IF(Tabella678[[#This Row],[Gross Base Salary]]=0,Tabella678[[#This Row],[Gross Base Salary]], IF(AND(Tabella678[[#This Row],[Gross Base Salary]]&gt;0,E22&gt;0),E22*(1+$C$7),Tabella678[[#This Row],[Gross Base Salary]]))</f>
        <v>70000</v>
      </c>
      <c r="F23" s="4">
        <f>IF(Tabella678[[#This Row],[Gross Base Salary]]=0,Tabella678[[#This Row],[Gross Base Salary]], IF(AND(Tabella678[[#This Row],[Gross Base Salary]]&gt;0,F22&gt;0),F22*(1+$C$8),Tabella678[[#This Row],[Gross Base Salary]]))</f>
        <v>70000</v>
      </c>
      <c r="G23" s="4">
        <f>Tabella678[[#This Row],[Salary + inflation]]+Tabella678[[#This Row],[Salary + salary increases]]-(Tabella678[[#This Row],[Gross Base Salary]]*2)</f>
        <v>0</v>
      </c>
      <c r="H23" s="4">
        <f>Tabella678[[#This Row],[Inflation + salary increases]]+Tabella678[[#This Row],[Gross Base Salary]]</f>
        <v>70000</v>
      </c>
      <c r="I23" s="36">
        <f>IFERROR(IF('General overview'!$C$8="Yes",IF(Tabella678[[#This Row],[Age]]&lt;=$C$9,Tabella678[[#This Row],[Adjusted salary]],$G$110),0),0)</f>
        <v>70000</v>
      </c>
      <c r="J23" s="24"/>
      <c r="M23" s="61"/>
    </row>
    <row r="24" spans="2:13">
      <c r="B24" s="80">
        <v>23</v>
      </c>
      <c r="C24" s="80">
        <f ca="1">IF(Tabella678[[#This Row],[Age]]=$C$5,$C$10,IF(Tabella678[[#This Row],[Age]]&lt;$C$5,$C$10-($C$5-Tabella678[[#This Row],[Age]]),IF(Tabella678[[#This Row],[Age]]&gt;$C$5,$C$10+Tabella678[[#This Row],[Age]]-$C$5)))</f>
        <v>2025</v>
      </c>
      <c r="D24" s="4">
        <f>IF(AND(Tabella678[[#This Row],[Age]]&gt;=$C$5, Tabella678[[#This Row],[Age]]&lt;=$C$9),$C$6,0)</f>
        <v>70000</v>
      </c>
      <c r="E24" s="4">
        <f>IF(Tabella678[[#This Row],[Gross Base Salary]]=0,Tabella678[[#This Row],[Gross Base Salary]], IF(AND(Tabella678[[#This Row],[Gross Base Salary]]&gt;0,E23&gt;0),E23*(1+$C$7),Tabella678[[#This Row],[Gross Base Salary]]))</f>
        <v>70349.999999999985</v>
      </c>
      <c r="F24" s="4">
        <f>IF(Tabella678[[#This Row],[Gross Base Salary]]=0,Tabella678[[#This Row],[Gross Base Salary]], IF(AND(Tabella678[[#This Row],[Gross Base Salary]]&gt;0,F23&gt;0),F23*(1+$C$8),Tabella678[[#This Row],[Gross Base Salary]]))</f>
        <v>71761.598627026935</v>
      </c>
      <c r="G24" s="4">
        <f>Tabella678[[#This Row],[Salary + inflation]]+Tabella678[[#This Row],[Salary + salary increases]]-(Tabella678[[#This Row],[Gross Base Salary]]*2)</f>
        <v>2111.5986270269204</v>
      </c>
      <c r="H24" s="4">
        <f>Tabella678[[#This Row],[Inflation + salary increases]]+Tabella678[[#This Row],[Gross Base Salary]]</f>
        <v>72111.59862702692</v>
      </c>
      <c r="I24" s="36">
        <f>IFERROR(IF('General overview'!$C$8="Yes",IF(Tabella678[[#This Row],[Age]]&lt;=$C$9,Tabella678[[#This Row],[Adjusted salary]],$G$110),0),0)</f>
        <v>72111.59862702692</v>
      </c>
      <c r="J24" s="24"/>
      <c r="M24" s="62"/>
    </row>
    <row r="25" spans="2:13">
      <c r="B25" s="80">
        <v>24</v>
      </c>
      <c r="C25" s="80">
        <f ca="1">IF(Tabella678[[#This Row],[Age]]=$C$5,$C$10,IF(Tabella678[[#This Row],[Age]]&lt;$C$5,$C$10-($C$5-Tabella678[[#This Row],[Age]]),IF(Tabella678[[#This Row],[Age]]&gt;$C$5,$C$10+Tabella678[[#This Row],[Age]]-$C$5)))</f>
        <v>2026</v>
      </c>
      <c r="D25" s="4">
        <f>IF(AND(Tabella678[[#This Row],[Age]]&gt;=$C$5, Tabella678[[#This Row],[Age]]&lt;=$C$9),$C$6,0)</f>
        <v>70000</v>
      </c>
      <c r="E25" s="4">
        <f>IF(Tabella678[[#This Row],[Gross Base Salary]]=0,Tabella678[[#This Row],[Gross Base Salary]], IF(AND(Tabella678[[#This Row],[Gross Base Salary]]&gt;0,E24&gt;0),E24*(1+$C$7),Tabella678[[#This Row],[Gross Base Salary]]))</f>
        <v>70701.749999999971</v>
      </c>
      <c r="F25" s="4">
        <f>IF(Tabella678[[#This Row],[Gross Base Salary]]=0,Tabella678[[#This Row],[Gross Base Salary]], IF(AND(Tabella678[[#This Row],[Gross Base Salary]]&gt;0,F24&gt;0),F24*(1+$C$8),Tabella678[[#This Row],[Gross Base Salary]]))</f>
        <v>73567.52910723591</v>
      </c>
      <c r="G25" s="4">
        <f>Tabella678[[#This Row],[Salary + inflation]]+Tabella678[[#This Row],[Salary + salary increases]]-(Tabella678[[#This Row],[Gross Base Salary]]*2)</f>
        <v>4269.2791072358959</v>
      </c>
      <c r="H25" s="4">
        <f>Tabella678[[#This Row],[Inflation + salary increases]]+Tabella678[[#This Row],[Gross Base Salary]]</f>
        <v>74269.279107235896</v>
      </c>
      <c r="I25" s="36">
        <f>IFERROR(IF('General overview'!$C$8="Yes",IF(Tabella678[[#This Row],[Age]]&lt;=$C$9,Tabella678[[#This Row],[Adjusted salary]],$G$110),0),0)</f>
        <v>74269.279107235896</v>
      </c>
      <c r="J25" s="24"/>
      <c r="M25" s="60"/>
    </row>
    <row r="26" spans="2:13">
      <c r="B26" s="80">
        <v>25</v>
      </c>
      <c r="C26" s="80">
        <f ca="1">IF(Tabella678[[#This Row],[Age]]=$C$5,$C$10,IF(Tabella678[[#This Row],[Age]]&lt;$C$5,$C$10-($C$5-Tabella678[[#This Row],[Age]]),IF(Tabella678[[#This Row],[Age]]&gt;$C$5,$C$10+Tabella678[[#This Row],[Age]]-$C$5)))</f>
        <v>2027</v>
      </c>
      <c r="D26" s="4">
        <f>IF(AND(Tabella678[[#This Row],[Age]]&gt;=$C$5, Tabella678[[#This Row],[Age]]&lt;=$C$9),$C$6,0)</f>
        <v>70000</v>
      </c>
      <c r="E26" s="4">
        <f>IF(Tabella678[[#This Row],[Gross Base Salary]]=0,Tabella678[[#This Row],[Gross Base Salary]], IF(AND(Tabella678[[#This Row],[Gross Base Salary]]&gt;0,E25&gt;0),E25*(1+$C$7),Tabella678[[#This Row],[Gross Base Salary]]))</f>
        <v>71055.258749999964</v>
      </c>
      <c r="F26" s="4">
        <f>IF(Tabella678[[#This Row],[Gross Base Salary]]=0,Tabella678[[#This Row],[Gross Base Salary]], IF(AND(Tabella678[[#This Row],[Gross Base Salary]]&gt;0,F25&gt;0),F25*(1+$C$8),Tabella678[[#This Row],[Gross Base Salary]]))</f>
        <v>75418.907082508347</v>
      </c>
      <c r="G26" s="4">
        <f>Tabella678[[#This Row],[Salary + inflation]]+Tabella678[[#This Row],[Salary + salary increases]]-(Tabella678[[#This Row],[Gross Base Salary]]*2)</f>
        <v>6474.1658325082972</v>
      </c>
      <c r="H26" s="4">
        <f>Tabella678[[#This Row],[Inflation + salary increases]]+Tabella678[[#This Row],[Gross Base Salary]]</f>
        <v>76474.165832508297</v>
      </c>
      <c r="I26" s="36">
        <f>IFERROR(IF('General overview'!$C$8="Yes",IF(Tabella678[[#This Row],[Age]]&lt;=$C$9,Tabella678[[#This Row],[Adjusted salary]],$G$110),0),0)</f>
        <v>76474.165832508297</v>
      </c>
      <c r="J26" s="24"/>
      <c r="M26" s="63"/>
    </row>
    <row r="27" spans="2:13">
      <c r="B27" s="80">
        <v>26</v>
      </c>
      <c r="C27" s="80">
        <f ca="1">IF(Tabella678[[#This Row],[Age]]=$C$5,$C$10,IF(Tabella678[[#This Row],[Age]]&lt;$C$5,$C$10-($C$5-Tabella678[[#This Row],[Age]]),IF(Tabella678[[#This Row],[Age]]&gt;$C$5,$C$10+Tabella678[[#This Row],[Age]]-$C$5)))</f>
        <v>2028</v>
      </c>
      <c r="D27" s="4">
        <f>IF(AND(Tabella678[[#This Row],[Age]]&gt;=$C$5, Tabella678[[#This Row],[Age]]&lt;=$C$9),$C$6,0)</f>
        <v>70000</v>
      </c>
      <c r="E27" s="4">
        <f>IF(Tabella678[[#This Row],[Gross Base Salary]]=0,Tabella678[[#This Row],[Gross Base Salary]], IF(AND(Tabella678[[#This Row],[Gross Base Salary]]&gt;0,E26&gt;0),E26*(1+$C$7),Tabella678[[#This Row],[Gross Base Salary]]))</f>
        <v>71410.535043749958</v>
      </c>
      <c r="F27" s="4">
        <f>IF(Tabella678[[#This Row],[Gross Base Salary]]=0,Tabella678[[#This Row],[Gross Base Salary]], IF(AND(Tabella678[[#This Row],[Gross Base Salary]]&gt;0,F26&gt;0),F26*(1+$C$8),Tabella678[[#This Row],[Gross Base Salary]]))</f>
        <v>77316.876270628607</v>
      </c>
      <c r="G27" s="4">
        <f>Tabella678[[#This Row],[Salary + inflation]]+Tabella678[[#This Row],[Salary + salary increases]]-(Tabella678[[#This Row],[Gross Base Salary]]*2)</f>
        <v>8727.4113143785507</v>
      </c>
      <c r="H27" s="4">
        <f>Tabella678[[#This Row],[Inflation + salary increases]]+Tabella678[[#This Row],[Gross Base Salary]]</f>
        <v>78727.411314378551</v>
      </c>
      <c r="I27" s="36">
        <f>IFERROR(IF('General overview'!$C$8="Yes",IF(Tabella678[[#This Row],[Age]]&lt;=$C$9,Tabella678[[#This Row],[Adjusted salary]],$G$110),0),0)</f>
        <v>78727.411314378551</v>
      </c>
      <c r="J27" s="24"/>
      <c r="M27" s="59"/>
    </row>
    <row r="28" spans="2:13">
      <c r="B28" s="80">
        <v>27</v>
      </c>
      <c r="C28" s="80">
        <f ca="1">IF(Tabella678[[#This Row],[Age]]=$C$5,$C$10,IF(Tabella678[[#This Row],[Age]]&lt;$C$5,$C$10-($C$5-Tabella678[[#This Row],[Age]]),IF(Tabella678[[#This Row],[Age]]&gt;$C$5,$C$10+Tabella678[[#This Row],[Age]]-$C$5)))</f>
        <v>2029</v>
      </c>
      <c r="D28" s="4">
        <f>IF(AND(Tabella678[[#This Row],[Age]]&gt;=$C$5, Tabella678[[#This Row],[Age]]&lt;=$C$9),$C$6,0)</f>
        <v>70000</v>
      </c>
      <c r="E28" s="4">
        <f>IF(Tabella678[[#This Row],[Gross Base Salary]]=0,Tabella678[[#This Row],[Gross Base Salary]], IF(AND(Tabella678[[#This Row],[Gross Base Salary]]&gt;0,E27&gt;0),E27*(1+$C$7),Tabella678[[#This Row],[Gross Base Salary]]))</f>
        <v>71767.587718968702</v>
      </c>
      <c r="F28" s="4">
        <f>IF(Tabella678[[#This Row],[Gross Base Salary]]=0,Tabella678[[#This Row],[Gross Base Salary]], IF(AND(Tabella678[[#This Row],[Gross Base Salary]]&gt;0,F27&gt;0),F27*(1+$C$8),Tabella678[[#This Row],[Gross Base Salary]]))</f>
        <v>79262.60917183361</v>
      </c>
      <c r="G28" s="4">
        <f>Tabella678[[#This Row],[Salary + inflation]]+Tabella678[[#This Row],[Salary + salary increases]]-(Tabella678[[#This Row],[Gross Base Salary]]*2)</f>
        <v>11030.196890802297</v>
      </c>
      <c r="H28" s="4">
        <f>Tabella678[[#This Row],[Inflation + salary increases]]+Tabella678[[#This Row],[Gross Base Salary]]</f>
        <v>81030.196890802297</v>
      </c>
      <c r="I28" s="36">
        <f>IFERROR(IF('General overview'!$C$8="Yes",IF(Tabella678[[#This Row],[Age]]&lt;=$C$9,Tabella678[[#This Row],[Adjusted salary]],$G$110),0),0)</f>
        <v>81030.196890802297</v>
      </c>
      <c r="J28" s="24"/>
    </row>
    <row r="29" spans="2:13">
      <c r="B29" s="80">
        <v>28</v>
      </c>
      <c r="C29" s="80">
        <f ca="1">IF(Tabella678[[#This Row],[Age]]=$C$5,$C$10,IF(Tabella678[[#This Row],[Age]]&lt;$C$5,$C$10-($C$5-Tabella678[[#This Row],[Age]]),IF(Tabella678[[#This Row],[Age]]&gt;$C$5,$C$10+Tabella678[[#This Row],[Age]]-$C$5)))</f>
        <v>2030</v>
      </c>
      <c r="D29" s="4">
        <f>IF(AND(Tabella678[[#This Row],[Age]]&gt;=$C$5, Tabella678[[#This Row],[Age]]&lt;=$C$9),$C$6,0)</f>
        <v>70000</v>
      </c>
      <c r="E29" s="4">
        <f>IF(Tabella678[[#This Row],[Gross Base Salary]]=0,Tabella678[[#This Row],[Gross Base Salary]], IF(AND(Tabella678[[#This Row],[Gross Base Salary]]&gt;0,E28&gt;0),E28*(1+$C$7),Tabella678[[#This Row],[Gross Base Salary]]))</f>
        <v>72126.425657563537</v>
      </c>
      <c r="F29" s="4">
        <f>IF(Tabella678[[#This Row],[Gross Base Salary]]=0,Tabella678[[#This Row],[Gross Base Salary]], IF(AND(Tabella678[[#This Row],[Gross Base Salary]]&gt;0,F28&gt;0),F28*(1+$C$8),Tabella678[[#This Row],[Gross Base Salary]]))</f>
        <v>81257.307793143249</v>
      </c>
      <c r="G29" s="4">
        <f>Tabella678[[#This Row],[Salary + inflation]]+Tabella678[[#This Row],[Salary + salary increases]]-(Tabella678[[#This Row],[Gross Base Salary]]*2)</f>
        <v>13383.733450706786</v>
      </c>
      <c r="H29" s="4">
        <f>Tabella678[[#This Row],[Inflation + salary increases]]+Tabella678[[#This Row],[Gross Base Salary]]</f>
        <v>83383.733450706786</v>
      </c>
      <c r="I29" s="36">
        <f>IFERROR(IF('General overview'!$C$8="Yes",IF(Tabella678[[#This Row],[Age]]&lt;=$C$9,Tabella678[[#This Row],[Adjusted salary]],$G$110),0),0)</f>
        <v>83383.733450706786</v>
      </c>
      <c r="J29" s="24"/>
    </row>
    <row r="30" spans="2:13">
      <c r="B30" s="80">
        <v>29</v>
      </c>
      <c r="C30" s="80">
        <f ca="1">IF(Tabella678[[#This Row],[Age]]=$C$5,$C$10,IF(Tabella678[[#This Row],[Age]]&lt;$C$5,$C$10-($C$5-Tabella678[[#This Row],[Age]]),IF(Tabella678[[#This Row],[Age]]&gt;$C$5,$C$10+Tabella678[[#This Row],[Age]]-$C$5)))</f>
        <v>2031</v>
      </c>
      <c r="D30" s="4">
        <f>IF(AND(Tabella678[[#This Row],[Age]]&gt;=$C$5, Tabella678[[#This Row],[Age]]&lt;=$C$9),$C$6,0)</f>
        <v>70000</v>
      </c>
      <c r="E30" s="4">
        <f>IF(Tabella678[[#This Row],[Gross Base Salary]]=0,Tabella678[[#This Row],[Gross Base Salary]], IF(AND(Tabella678[[#This Row],[Gross Base Salary]]&gt;0,E29&gt;0),E29*(1+$C$7),Tabella678[[#This Row],[Gross Base Salary]]))</f>
        <v>72487.057785851342</v>
      </c>
      <c r="F30" s="4">
        <f>IF(Tabella678[[#This Row],[Gross Base Salary]]=0,Tabella678[[#This Row],[Gross Base Salary]], IF(AND(Tabella678[[#This Row],[Gross Base Salary]]&gt;0,F29&gt;0),F29*(1+$C$8),Tabella678[[#This Row],[Gross Base Salary]]))</f>
        <v>83302.20439091904</v>
      </c>
      <c r="G30" s="4">
        <f>Tabella678[[#This Row],[Salary + inflation]]+Tabella678[[#This Row],[Salary + salary increases]]-(Tabella678[[#This Row],[Gross Base Salary]]*2)</f>
        <v>15789.262176770368</v>
      </c>
      <c r="H30" s="4">
        <f>Tabella678[[#This Row],[Inflation + salary increases]]+Tabella678[[#This Row],[Gross Base Salary]]</f>
        <v>85789.262176770368</v>
      </c>
      <c r="I30" s="36">
        <f>IFERROR(IF('General overview'!$C$8="Yes",IF(Tabella678[[#This Row],[Age]]&lt;=$C$9,Tabella678[[#This Row],[Adjusted salary]],$G$110),0),0)</f>
        <v>85789.262176770368</v>
      </c>
      <c r="J30" s="24"/>
    </row>
    <row r="31" spans="2:13">
      <c r="B31" s="80">
        <v>30</v>
      </c>
      <c r="C31" s="80">
        <f ca="1">IF(Tabella678[[#This Row],[Age]]=$C$5,$C$10,IF(Tabella678[[#This Row],[Age]]&lt;$C$5,$C$10-($C$5-Tabella678[[#This Row],[Age]]),IF(Tabella678[[#This Row],[Age]]&gt;$C$5,$C$10+Tabella678[[#This Row],[Age]]-$C$5)))</f>
        <v>2032</v>
      </c>
      <c r="D31" s="4">
        <f>IF(AND(Tabella678[[#This Row],[Age]]&gt;=$C$5, Tabella678[[#This Row],[Age]]&lt;=$C$9),$C$6,0)</f>
        <v>70000</v>
      </c>
      <c r="E31" s="4">
        <f>IF(Tabella678[[#This Row],[Gross Base Salary]]=0,Tabella678[[#This Row],[Gross Base Salary]], IF(AND(Tabella678[[#This Row],[Gross Base Salary]]&gt;0,E30&gt;0),E30*(1+$C$7),Tabella678[[#This Row],[Gross Base Salary]]))</f>
        <v>72849.493074780592</v>
      </c>
      <c r="F31" s="4">
        <f>IF(Tabella678[[#This Row],[Gross Base Salary]]=0,Tabella678[[#This Row],[Gross Base Salary]], IF(AND(Tabella678[[#This Row],[Gross Base Salary]]&gt;0,F30&gt;0),F30*(1+$C$8),Tabella678[[#This Row],[Gross Base Salary]]))</f>
        <v>85398.562232109893</v>
      </c>
      <c r="G31" s="4">
        <f>Tabella678[[#This Row],[Salary + inflation]]+Tabella678[[#This Row],[Salary + salary increases]]-(Tabella678[[#This Row],[Gross Base Salary]]*2)</f>
        <v>18248.055306890485</v>
      </c>
      <c r="H31" s="4">
        <f>Tabella678[[#This Row],[Inflation + salary increases]]+Tabella678[[#This Row],[Gross Base Salary]]</f>
        <v>88248.055306890485</v>
      </c>
      <c r="I31" s="36">
        <f>IFERROR(IF('General overview'!$C$8="Yes",IF(Tabella678[[#This Row],[Age]]&lt;=$C$9,Tabella678[[#This Row],[Adjusted salary]],$G$110),0),0)</f>
        <v>88248.055306890485</v>
      </c>
      <c r="J31" s="24"/>
    </row>
    <row r="32" spans="2:13">
      <c r="B32" s="80">
        <v>31</v>
      </c>
      <c r="C32" s="80">
        <f ca="1">IF(Tabella678[[#This Row],[Age]]=$C$5,$C$10,IF(Tabella678[[#This Row],[Age]]&lt;$C$5,$C$10-($C$5-Tabella678[[#This Row],[Age]]),IF(Tabella678[[#This Row],[Age]]&gt;$C$5,$C$10+Tabella678[[#This Row],[Age]]-$C$5)))</f>
        <v>2033</v>
      </c>
      <c r="D32" s="4">
        <f>IF(AND(Tabella678[[#This Row],[Age]]&gt;=$C$5, Tabella678[[#This Row],[Age]]&lt;=$C$9),$C$6,0)</f>
        <v>70000</v>
      </c>
      <c r="E32" s="4">
        <f>IF(Tabella678[[#This Row],[Gross Base Salary]]=0,Tabella678[[#This Row],[Gross Base Salary]], IF(AND(Tabella678[[#This Row],[Gross Base Salary]]&gt;0,E31&gt;0),E31*(1+$C$7),Tabella678[[#This Row],[Gross Base Salary]]))</f>
        <v>73213.740540154482</v>
      </c>
      <c r="F32" s="4">
        <f>IF(Tabella678[[#This Row],[Gross Base Salary]]=0,Tabella678[[#This Row],[Gross Base Salary]], IF(AND(Tabella678[[#This Row],[Gross Base Salary]]&gt;0,F31&gt;0),F31*(1+$C$8),Tabella678[[#This Row],[Gross Base Salary]]))</f>
        <v>87547.676374655013</v>
      </c>
      <c r="G32" s="4">
        <f>Tabella678[[#This Row],[Salary + inflation]]+Tabella678[[#This Row],[Salary + salary increases]]-(Tabella678[[#This Row],[Gross Base Salary]]*2)</f>
        <v>20761.416914809495</v>
      </c>
      <c r="H32" s="4">
        <f>Tabella678[[#This Row],[Inflation + salary increases]]+Tabella678[[#This Row],[Gross Base Salary]]</f>
        <v>90761.416914809495</v>
      </c>
      <c r="I32" s="36">
        <f>IFERROR(IF('General overview'!$C$8="Yes",IF(Tabella678[[#This Row],[Age]]&lt;=$C$9,Tabella678[[#This Row],[Adjusted salary]],$G$110),0),0)</f>
        <v>90761.416914809495</v>
      </c>
      <c r="J32" s="24"/>
    </row>
    <row r="33" spans="2:10">
      <c r="B33" s="80">
        <v>32</v>
      </c>
      <c r="C33" s="80">
        <f ca="1">IF(Tabella678[[#This Row],[Age]]=$C$5,$C$10,IF(Tabella678[[#This Row],[Age]]&lt;$C$5,$C$10-($C$5-Tabella678[[#This Row],[Age]]),IF(Tabella678[[#This Row],[Age]]&gt;$C$5,$C$10+Tabella678[[#This Row],[Age]]-$C$5)))</f>
        <v>2034</v>
      </c>
      <c r="D33" s="4">
        <f>IF(AND(Tabella678[[#This Row],[Age]]&gt;=$C$5, Tabella678[[#This Row],[Age]]&lt;=$C$9),$C$6,0)</f>
        <v>70000</v>
      </c>
      <c r="E33" s="4">
        <f>IF(Tabella678[[#This Row],[Gross Base Salary]]=0,Tabella678[[#This Row],[Gross Base Salary]], IF(AND(Tabella678[[#This Row],[Gross Base Salary]]&gt;0,E32&gt;0),E32*(1+$C$7),Tabella678[[#This Row],[Gross Base Salary]]))</f>
        <v>73579.809242855248</v>
      </c>
      <c r="F33" s="4">
        <f>IF(Tabella678[[#This Row],[Gross Base Salary]]=0,Tabella678[[#This Row],[Gross Base Salary]], IF(AND(Tabella678[[#This Row],[Gross Base Salary]]&gt;0,F32&gt;0),F32*(1+$C$8),Tabella678[[#This Row],[Gross Base Salary]]))</f>
        <v>89750.874467526301</v>
      </c>
      <c r="G33" s="4">
        <f>Tabella678[[#This Row],[Salary + inflation]]+Tabella678[[#This Row],[Salary + salary increases]]-(Tabella678[[#This Row],[Gross Base Salary]]*2)</f>
        <v>23330.683710381563</v>
      </c>
      <c r="H33" s="4">
        <f>Tabella678[[#This Row],[Inflation + salary increases]]+Tabella678[[#This Row],[Gross Base Salary]]</f>
        <v>93330.683710381563</v>
      </c>
      <c r="I33" s="36">
        <f>IFERROR(IF('General overview'!$C$8="Yes",IF(Tabella678[[#This Row],[Age]]&lt;=$C$9,Tabella678[[#This Row],[Adjusted salary]],$G$110),0),0)</f>
        <v>93330.683710381563</v>
      </c>
      <c r="J33" s="24"/>
    </row>
    <row r="34" spans="2:10">
      <c r="B34" s="80">
        <v>33</v>
      </c>
      <c r="C34" s="80">
        <f ca="1">IF(Tabella678[[#This Row],[Age]]=$C$5,$C$10,IF(Tabella678[[#This Row],[Age]]&lt;$C$5,$C$10-($C$5-Tabella678[[#This Row],[Age]]),IF(Tabella678[[#This Row],[Age]]&gt;$C$5,$C$10+Tabella678[[#This Row],[Age]]-$C$5)))</f>
        <v>2035</v>
      </c>
      <c r="D34" s="4">
        <f>IF(AND(Tabella678[[#This Row],[Age]]&gt;=$C$5, Tabella678[[#This Row],[Age]]&lt;=$C$9),$C$6,0)</f>
        <v>70000</v>
      </c>
      <c r="E34" s="4">
        <f>IF(Tabella678[[#This Row],[Gross Base Salary]]=0,Tabella678[[#This Row],[Gross Base Salary]], IF(AND(Tabella678[[#This Row],[Gross Base Salary]]&gt;0,E33&gt;0),E33*(1+$C$7),Tabella678[[#This Row],[Gross Base Salary]]))</f>
        <v>73947.708289069516</v>
      </c>
      <c r="F34" s="4">
        <f>IF(Tabella678[[#This Row],[Gross Base Salary]]=0,Tabella678[[#This Row],[Gross Base Salary]], IF(AND(Tabella678[[#This Row],[Gross Base Salary]]&gt;0,F33&gt;0),F33*(1+$C$8),Tabella678[[#This Row],[Gross Base Salary]]))</f>
        <v>92009.517570904311</v>
      </c>
      <c r="G34" s="4">
        <f>Tabella678[[#This Row],[Salary + inflation]]+Tabella678[[#This Row],[Salary + salary increases]]-(Tabella678[[#This Row],[Gross Base Salary]]*2)</f>
        <v>25957.225859973812</v>
      </c>
      <c r="H34" s="4">
        <f>Tabella678[[#This Row],[Inflation + salary increases]]+Tabella678[[#This Row],[Gross Base Salary]]</f>
        <v>95957.225859973812</v>
      </c>
      <c r="I34" s="36">
        <f>IFERROR(IF('General overview'!$C$8="Yes",IF(Tabella678[[#This Row],[Age]]&lt;=$C$9,Tabella678[[#This Row],[Adjusted salary]],$G$110),0),0)</f>
        <v>95957.225859973812</v>
      </c>
      <c r="J34" s="24"/>
    </row>
    <row r="35" spans="2:10">
      <c r="B35" s="80">
        <v>34</v>
      </c>
      <c r="C35" s="80">
        <f ca="1">IF(Tabella678[[#This Row],[Age]]=$C$5,$C$10,IF(Tabella678[[#This Row],[Age]]&lt;$C$5,$C$10-($C$5-Tabella678[[#This Row],[Age]]),IF(Tabella678[[#This Row],[Age]]&gt;$C$5,$C$10+Tabella678[[#This Row],[Age]]-$C$5)))</f>
        <v>2036</v>
      </c>
      <c r="D35" s="4">
        <f>IF(AND(Tabella678[[#This Row],[Age]]&gt;=$C$5, Tabella678[[#This Row],[Age]]&lt;=$C$9),$C$6,0)</f>
        <v>70000</v>
      </c>
      <c r="E35" s="4">
        <f>IF(Tabella678[[#This Row],[Gross Base Salary]]=0,Tabella678[[#This Row],[Gross Base Salary]], IF(AND(Tabella678[[#This Row],[Gross Base Salary]]&gt;0,E34&gt;0),E34*(1+$C$7),Tabella678[[#This Row],[Gross Base Salary]]))</f>
        <v>74317.446830514862</v>
      </c>
      <c r="F35" s="4">
        <f>IF(Tabella678[[#This Row],[Gross Base Salary]]=0,Tabella678[[#This Row],[Gross Base Salary]], IF(AND(Tabella678[[#This Row],[Gross Base Salary]]&gt;0,F34&gt;0),F34*(1+$C$8),Tabella678[[#This Row],[Gross Base Salary]]))</f>
        <v>94325.000996994524</v>
      </c>
      <c r="G35" s="4">
        <f>Tabella678[[#This Row],[Salary + inflation]]+Tabella678[[#This Row],[Salary + salary increases]]-(Tabella678[[#This Row],[Gross Base Salary]]*2)</f>
        <v>28642.447827509372</v>
      </c>
      <c r="H35" s="4">
        <f>Tabella678[[#This Row],[Inflation + salary increases]]+Tabella678[[#This Row],[Gross Base Salary]]</f>
        <v>98642.447827509372</v>
      </c>
      <c r="I35" s="36">
        <f>IFERROR(IF('General overview'!$C$8="Yes",IF(Tabella678[[#This Row],[Age]]&lt;=$C$9,Tabella678[[#This Row],[Adjusted salary]],$G$110),0),0)</f>
        <v>98642.447827509372</v>
      </c>
      <c r="J35" s="24"/>
    </row>
    <row r="36" spans="2:10">
      <c r="B36" s="80">
        <v>35</v>
      </c>
      <c r="C36" s="80">
        <f ca="1">IF(Tabella678[[#This Row],[Age]]=$C$5,$C$10,IF(Tabella678[[#This Row],[Age]]&lt;$C$5,$C$10-($C$5-Tabella678[[#This Row],[Age]]),IF(Tabella678[[#This Row],[Age]]&gt;$C$5,$C$10+Tabella678[[#This Row],[Age]]-$C$5)))</f>
        <v>2037</v>
      </c>
      <c r="D36" s="4">
        <f>IF(AND(Tabella678[[#This Row],[Age]]&gt;=$C$5, Tabella678[[#This Row],[Age]]&lt;=$C$9),$C$6,0)</f>
        <v>70000</v>
      </c>
      <c r="E36" s="4">
        <f>IF(Tabella678[[#This Row],[Gross Base Salary]]=0,Tabella678[[#This Row],[Gross Base Salary]], IF(AND(Tabella678[[#This Row],[Gross Base Salary]]&gt;0,E35&gt;0),E35*(1+$C$7),Tabella678[[#This Row],[Gross Base Salary]]))</f>
        <v>74689.03406466743</v>
      </c>
      <c r="F36" s="4">
        <f>IF(Tabella678[[#This Row],[Gross Base Salary]]=0,Tabella678[[#This Row],[Gross Base Salary]], IF(AND(Tabella678[[#This Row],[Gross Base Salary]]&gt;0,F35&gt;0),F35*(1+$C$8),Tabella678[[#This Row],[Gross Base Salary]]))</f>
        <v>96698.755172003366</v>
      </c>
      <c r="G36" s="4">
        <f>Tabella678[[#This Row],[Salary + inflation]]+Tabella678[[#This Row],[Salary + salary increases]]-(Tabella678[[#This Row],[Gross Base Salary]]*2)</f>
        <v>31387.789236670797</v>
      </c>
      <c r="H36" s="4">
        <f>Tabella678[[#This Row],[Inflation + salary increases]]+Tabella678[[#This Row],[Gross Base Salary]]</f>
        <v>101387.7892366708</v>
      </c>
      <c r="I36" s="36">
        <f>IFERROR(IF('General overview'!$C$8="Yes",IF(Tabella678[[#This Row],[Age]]&lt;=$C$9,Tabella678[[#This Row],[Adjusted salary]],$G$110),0),0)</f>
        <v>101387.7892366708</v>
      </c>
      <c r="J36" s="24"/>
    </row>
    <row r="37" spans="2:10">
      <c r="B37" s="80">
        <v>36</v>
      </c>
      <c r="C37" s="80">
        <f ca="1">IF(Tabella678[[#This Row],[Age]]=$C$5,$C$10,IF(Tabella678[[#This Row],[Age]]&lt;$C$5,$C$10-($C$5-Tabella678[[#This Row],[Age]]),IF(Tabella678[[#This Row],[Age]]&gt;$C$5,$C$10+Tabella678[[#This Row],[Age]]-$C$5)))</f>
        <v>2038</v>
      </c>
      <c r="D37" s="4">
        <f>IF(AND(Tabella678[[#This Row],[Age]]&gt;=$C$5, Tabella678[[#This Row],[Age]]&lt;=$C$9),$C$6,0)</f>
        <v>70000</v>
      </c>
      <c r="E37" s="4">
        <f>IF(Tabella678[[#This Row],[Gross Base Salary]]=0,Tabella678[[#This Row],[Gross Base Salary]], IF(AND(Tabella678[[#This Row],[Gross Base Salary]]&gt;0,E36&gt;0),E36*(1+$C$7),Tabella678[[#This Row],[Gross Base Salary]]))</f>
        <v>75062.479234990766</v>
      </c>
      <c r="F37" s="4">
        <f>IF(Tabella678[[#This Row],[Gross Base Salary]]=0,Tabella678[[#This Row],[Gross Base Salary]], IF(AND(Tabella678[[#This Row],[Gross Base Salary]]&gt;0,F36&gt;0),F36*(1+$C$8),Tabella678[[#This Row],[Gross Base Salary]]))</f>
        <v>99132.246519806431</v>
      </c>
      <c r="G37" s="4">
        <f>Tabella678[[#This Row],[Salary + inflation]]+Tabella678[[#This Row],[Salary + salary increases]]-(Tabella678[[#This Row],[Gross Base Salary]]*2)</f>
        <v>34194.725754797197</v>
      </c>
      <c r="H37" s="4">
        <f>Tabella678[[#This Row],[Inflation + salary increases]]+Tabella678[[#This Row],[Gross Base Salary]]</f>
        <v>104194.7257547972</v>
      </c>
      <c r="I37" s="36">
        <f>IFERROR(IF('General overview'!$C$8="Yes",IF(Tabella678[[#This Row],[Age]]&lt;=$C$9,Tabella678[[#This Row],[Adjusted salary]],$G$110),0),0)</f>
        <v>104194.7257547972</v>
      </c>
      <c r="J37" s="24"/>
    </row>
    <row r="38" spans="2:10">
      <c r="B38" s="80">
        <v>37</v>
      </c>
      <c r="C38" s="80">
        <f ca="1">IF(Tabella678[[#This Row],[Age]]=$C$5,$C$10,IF(Tabella678[[#This Row],[Age]]&lt;$C$5,$C$10-($C$5-Tabella678[[#This Row],[Age]]),IF(Tabella678[[#This Row],[Age]]&gt;$C$5,$C$10+Tabella678[[#This Row],[Age]]-$C$5)))</f>
        <v>2039</v>
      </c>
      <c r="D38" s="4">
        <f>IF(AND(Tabella678[[#This Row],[Age]]&gt;=$C$5, Tabella678[[#This Row],[Age]]&lt;=$C$9),$C$6,0)</f>
        <v>70000</v>
      </c>
      <c r="E38" s="4">
        <f>IF(Tabella678[[#This Row],[Gross Base Salary]]=0,Tabella678[[#This Row],[Gross Base Salary]], IF(AND(Tabella678[[#This Row],[Gross Base Salary]]&gt;0,E37&gt;0),E37*(1+$C$7),Tabella678[[#This Row],[Gross Base Salary]]))</f>
        <v>75437.791631165717</v>
      </c>
      <c r="F38" s="4">
        <f>IF(Tabella678[[#This Row],[Gross Base Salary]]=0,Tabella678[[#This Row],[Gross Base Salary]], IF(AND(Tabella678[[#This Row],[Gross Base Salary]]&gt;0,F37&gt;0),F37*(1+$C$8),Tabella678[[#This Row],[Gross Base Salary]]))</f>
        <v>101626.97836785481</v>
      </c>
      <c r="G38" s="4">
        <f>Tabella678[[#This Row],[Salary + inflation]]+Tabella678[[#This Row],[Salary + salary increases]]-(Tabella678[[#This Row],[Gross Base Salary]]*2)</f>
        <v>37064.769999020529</v>
      </c>
      <c r="H38" s="4">
        <f>Tabella678[[#This Row],[Inflation + salary increases]]+Tabella678[[#This Row],[Gross Base Salary]]</f>
        <v>107064.76999902053</v>
      </c>
      <c r="I38" s="36">
        <f>IFERROR(IF('General overview'!$C$8="Yes",IF(Tabella678[[#This Row],[Age]]&lt;=$C$9,Tabella678[[#This Row],[Adjusted salary]],$G$110),0),0)</f>
        <v>107064.76999902053</v>
      </c>
      <c r="J38" s="24"/>
    </row>
    <row r="39" spans="2:10">
      <c r="B39" s="80">
        <v>38</v>
      </c>
      <c r="C39" s="80">
        <f ca="1">IF(Tabella678[[#This Row],[Age]]=$C$5,$C$10,IF(Tabella678[[#This Row],[Age]]&lt;$C$5,$C$10-($C$5-Tabella678[[#This Row],[Age]]),IF(Tabella678[[#This Row],[Age]]&gt;$C$5,$C$10+Tabella678[[#This Row],[Age]]-$C$5)))</f>
        <v>2040</v>
      </c>
      <c r="D39" s="4">
        <f>IF(AND(Tabella678[[#This Row],[Age]]&gt;=$C$5, Tabella678[[#This Row],[Age]]&lt;=$C$9),$C$6,0)</f>
        <v>70000</v>
      </c>
      <c r="E39" s="4">
        <f>IF(Tabella678[[#This Row],[Gross Base Salary]]=0,Tabella678[[#This Row],[Gross Base Salary]], IF(AND(Tabella678[[#This Row],[Gross Base Salary]]&gt;0,E38&gt;0),E38*(1+$C$7),Tabella678[[#This Row],[Gross Base Salary]]))</f>
        <v>75814.980589321538</v>
      </c>
      <c r="F39" s="4">
        <f>IF(Tabella678[[#This Row],[Gross Base Salary]]=0,Tabella678[[#This Row],[Gross Base Salary]], IF(AND(Tabella678[[#This Row],[Gross Base Salary]]&gt;0,F38&gt;0),F38*(1+$C$8),Tabella678[[#This Row],[Gross Base Salary]]))</f>
        <v>104184.49187587922</v>
      </c>
      <c r="G39" s="4">
        <f>Tabella678[[#This Row],[Salary + inflation]]+Tabella678[[#This Row],[Salary + salary increases]]-(Tabella678[[#This Row],[Gross Base Salary]]*2)</f>
        <v>39999.472465200757</v>
      </c>
      <c r="H39" s="4">
        <f>Tabella678[[#This Row],[Inflation + salary increases]]+Tabella678[[#This Row],[Gross Base Salary]]</f>
        <v>109999.47246520076</v>
      </c>
      <c r="I39" s="36">
        <f>IFERROR(IF('General overview'!$C$8="Yes",IF(Tabella678[[#This Row],[Age]]&lt;=$C$9,Tabella678[[#This Row],[Adjusted salary]],$G$110),0),0)</f>
        <v>109999.47246520076</v>
      </c>
      <c r="J39" s="24"/>
    </row>
    <row r="40" spans="2:10">
      <c r="B40" s="80">
        <v>39</v>
      </c>
      <c r="C40" s="80">
        <f ca="1">IF(Tabella678[[#This Row],[Age]]=$C$5,$C$10,IF(Tabella678[[#This Row],[Age]]&lt;$C$5,$C$10-($C$5-Tabella678[[#This Row],[Age]]),IF(Tabella678[[#This Row],[Age]]&gt;$C$5,$C$10+Tabella678[[#This Row],[Age]]-$C$5)))</f>
        <v>2041</v>
      </c>
      <c r="D40" s="4">
        <f>IF(AND(Tabella678[[#This Row],[Age]]&gt;=$C$5, Tabella678[[#This Row],[Age]]&lt;=$C$9),$C$6,0)</f>
        <v>70000</v>
      </c>
      <c r="E40" s="4">
        <f>IF(Tabella678[[#This Row],[Gross Base Salary]]=0,Tabella678[[#This Row],[Gross Base Salary]], IF(AND(Tabella678[[#This Row],[Gross Base Salary]]&gt;0,E39&gt;0),E39*(1+$C$7),Tabella678[[#This Row],[Gross Base Salary]]))</f>
        <v>76194.055492268133</v>
      </c>
      <c r="F40" s="4">
        <f>IF(Tabella678[[#This Row],[Gross Base Salary]]=0,Tabella678[[#This Row],[Gross Base Salary]], IF(AND(Tabella678[[#This Row],[Gross Base Salary]]&gt;0,F39&gt;0),F39*(1+$C$8),Tabella678[[#This Row],[Gross Base Salary]]))</f>
        <v>106806.36698796561</v>
      </c>
      <c r="G40" s="4">
        <f>Tabella678[[#This Row],[Salary + inflation]]+Tabella678[[#This Row],[Salary + salary increases]]-(Tabella678[[#This Row],[Gross Base Salary]]*2)</f>
        <v>43000.422480233741</v>
      </c>
      <c r="H40" s="4">
        <f>Tabella678[[#This Row],[Inflation + salary increases]]+Tabella678[[#This Row],[Gross Base Salary]]</f>
        <v>113000.42248023374</v>
      </c>
      <c r="I40" s="36">
        <f>IFERROR(IF('General overview'!$C$8="Yes",IF(Tabella678[[#This Row],[Age]]&lt;=$C$9,Tabella678[[#This Row],[Adjusted salary]],$G$110),0),0)</f>
        <v>113000.42248023374</v>
      </c>
      <c r="J40" s="24"/>
    </row>
    <row r="41" spans="2:10">
      <c r="B41" s="80">
        <v>40</v>
      </c>
      <c r="C41" s="80">
        <f ca="1">IF(Tabella678[[#This Row],[Age]]=$C$5,$C$10,IF(Tabella678[[#This Row],[Age]]&lt;$C$5,$C$10-($C$5-Tabella678[[#This Row],[Age]]),IF(Tabella678[[#This Row],[Age]]&gt;$C$5,$C$10+Tabella678[[#This Row],[Age]]-$C$5)))</f>
        <v>2042</v>
      </c>
      <c r="D41" s="4">
        <f>IF(AND(Tabella678[[#This Row],[Age]]&gt;=$C$5, Tabella678[[#This Row],[Age]]&lt;=$C$9),$C$6,0)</f>
        <v>70000</v>
      </c>
      <c r="E41" s="4">
        <f>IF(Tabella678[[#This Row],[Gross Base Salary]]=0,Tabella678[[#This Row],[Gross Base Salary]], IF(AND(Tabella678[[#This Row],[Gross Base Salary]]&gt;0,E40&gt;0),E40*(1+$C$7),Tabella678[[#This Row],[Gross Base Salary]]))</f>
        <v>76575.025769729473</v>
      </c>
      <c r="F41" s="4">
        <f>IF(Tabella678[[#This Row],[Gross Base Salary]]=0,Tabella678[[#This Row],[Gross Base Salary]], IF(AND(Tabella678[[#This Row],[Gross Base Salary]]&gt;0,F40&gt;0),F40*(1+$C$8),Tabella678[[#This Row],[Gross Base Salary]]))</f>
        <v>109494.22340859039</v>
      </c>
      <c r="G41" s="4">
        <f>Tabella678[[#This Row],[Salary + inflation]]+Tabella678[[#This Row],[Salary + salary increases]]-(Tabella678[[#This Row],[Gross Base Salary]]*2)</f>
        <v>46069.249178319878</v>
      </c>
      <c r="H41" s="4">
        <f>Tabella678[[#This Row],[Inflation + salary increases]]+Tabella678[[#This Row],[Gross Base Salary]]</f>
        <v>116069.24917831988</v>
      </c>
      <c r="I41" s="36">
        <f>IFERROR(IF('General overview'!$C$8="Yes",IF(Tabella678[[#This Row],[Age]]&lt;=$C$9,Tabella678[[#This Row],[Adjusted salary]],$G$110),0),0)</f>
        <v>116069.24917831988</v>
      </c>
      <c r="J41" s="24"/>
    </row>
    <row r="42" spans="2:10">
      <c r="B42" s="80">
        <v>41</v>
      </c>
      <c r="C42" s="80">
        <f ca="1">IF(Tabella678[[#This Row],[Age]]=$C$5,$C$10,IF(Tabella678[[#This Row],[Age]]&lt;$C$5,$C$10-($C$5-Tabella678[[#This Row],[Age]]),IF(Tabella678[[#This Row],[Age]]&gt;$C$5,$C$10+Tabella678[[#This Row],[Age]]-$C$5)))</f>
        <v>2043</v>
      </c>
      <c r="D42" s="4">
        <f>IF(AND(Tabella678[[#This Row],[Age]]&gt;=$C$5, Tabella678[[#This Row],[Age]]&lt;=$C$9),$C$6,0)</f>
        <v>70000</v>
      </c>
      <c r="E42" s="4">
        <f>IF(Tabella678[[#This Row],[Gross Base Salary]]=0,Tabella678[[#This Row],[Gross Base Salary]], IF(AND(Tabella678[[#This Row],[Gross Base Salary]]&gt;0,E41&gt;0),E41*(1+$C$7),Tabella678[[#This Row],[Gross Base Salary]]))</f>
        <v>76957.900898578111</v>
      </c>
      <c r="F42" s="4">
        <f>IF(Tabella678[[#This Row],[Gross Base Salary]]=0,Tabella678[[#This Row],[Gross Base Salary]], IF(AND(Tabella678[[#This Row],[Gross Base Salary]]&gt;0,F41&gt;0),F41*(1+$C$8),Tabella678[[#This Row],[Gross Base Salary]]))</f>
        <v>112249.72160321829</v>
      </c>
      <c r="G42" s="4">
        <f>Tabella678[[#This Row],[Salary + inflation]]+Tabella678[[#This Row],[Salary + salary increases]]-(Tabella678[[#This Row],[Gross Base Salary]]*2)</f>
        <v>49207.622501796403</v>
      </c>
      <c r="H42" s="4">
        <f>Tabella678[[#This Row],[Inflation + salary increases]]+Tabella678[[#This Row],[Gross Base Salary]]</f>
        <v>119207.6225017964</v>
      </c>
      <c r="I42" s="36">
        <f>IFERROR(IF('General overview'!$C$8="Yes",IF(Tabella678[[#This Row],[Age]]&lt;=$C$9,Tabella678[[#This Row],[Adjusted salary]],$G$110),0),0)</f>
        <v>119207.6225017964</v>
      </c>
      <c r="J42" s="24"/>
    </row>
    <row r="43" spans="2:10">
      <c r="B43" s="80">
        <v>42</v>
      </c>
      <c r="C43" s="80">
        <f ca="1">IF(Tabella678[[#This Row],[Age]]=$C$5,$C$10,IF(Tabella678[[#This Row],[Age]]&lt;$C$5,$C$10-($C$5-Tabella678[[#This Row],[Age]]),IF(Tabella678[[#This Row],[Age]]&gt;$C$5,$C$10+Tabella678[[#This Row],[Age]]-$C$5)))</f>
        <v>2044</v>
      </c>
      <c r="D43" s="4">
        <f>IF(AND(Tabella678[[#This Row],[Age]]&gt;=$C$5, Tabella678[[#This Row],[Age]]&lt;=$C$9),$C$6,0)</f>
        <v>70000</v>
      </c>
      <c r="E43" s="4">
        <f>IF(Tabella678[[#This Row],[Gross Base Salary]]=0,Tabella678[[#This Row],[Gross Base Salary]], IF(AND(Tabella678[[#This Row],[Gross Base Salary]]&gt;0,E42&gt;0),E42*(1+$C$7),Tabella678[[#This Row],[Gross Base Salary]]))</f>
        <v>77342.690403070999</v>
      </c>
      <c r="F43" s="4">
        <f>IF(Tabella678[[#This Row],[Gross Base Salary]]=0,Tabella678[[#This Row],[Gross Base Salary]], IF(AND(Tabella678[[#This Row],[Gross Base Salary]]&gt;0,F42&gt;0),F42*(1+$C$8),Tabella678[[#This Row],[Gross Base Salary]]))</f>
        <v>115074.56382408092</v>
      </c>
      <c r="G43" s="4">
        <f>Tabella678[[#This Row],[Salary + inflation]]+Tabella678[[#This Row],[Salary + salary increases]]-(Tabella678[[#This Row],[Gross Base Salary]]*2)</f>
        <v>52417.25422715192</v>
      </c>
      <c r="H43" s="4">
        <f>Tabella678[[#This Row],[Inflation + salary increases]]+Tabella678[[#This Row],[Gross Base Salary]]</f>
        <v>122417.25422715192</v>
      </c>
      <c r="I43" s="36">
        <f>IFERROR(IF('General overview'!$C$8="Yes",IF(Tabella678[[#This Row],[Age]]&lt;=$C$9,Tabella678[[#This Row],[Adjusted salary]],$G$110),0),0)</f>
        <v>122417.25422715192</v>
      </c>
      <c r="J43" s="24"/>
    </row>
    <row r="44" spans="2:10">
      <c r="B44" s="80">
        <v>43</v>
      </c>
      <c r="C44" s="80">
        <f ca="1">IF(Tabella678[[#This Row],[Age]]=$C$5,$C$10,IF(Tabella678[[#This Row],[Age]]&lt;$C$5,$C$10-($C$5-Tabella678[[#This Row],[Age]]),IF(Tabella678[[#This Row],[Age]]&gt;$C$5,$C$10+Tabella678[[#This Row],[Age]]-$C$5)))</f>
        <v>2045</v>
      </c>
      <c r="D44" s="4">
        <f>IF(AND(Tabella678[[#This Row],[Age]]&gt;=$C$5, Tabella678[[#This Row],[Age]]&lt;=$C$9),$C$6,0)</f>
        <v>70000</v>
      </c>
      <c r="E44" s="4">
        <f>IF(Tabella678[[#This Row],[Gross Base Salary]]=0,Tabella678[[#This Row],[Gross Base Salary]], IF(AND(Tabella678[[#This Row],[Gross Base Salary]]&gt;0,E43&gt;0),E43*(1+$C$7),Tabella678[[#This Row],[Gross Base Salary]]))</f>
        <v>77729.403855086348</v>
      </c>
      <c r="F44" s="4">
        <f>IF(Tabella678[[#This Row],[Gross Base Salary]]=0,Tabella678[[#This Row],[Gross Base Salary]], IF(AND(Tabella678[[#This Row],[Gross Base Salary]]&gt;0,F43&gt;0),F43*(1+$C$8),Tabella678[[#This Row],[Gross Base Salary]]))</f>
        <v>117970.49516176984</v>
      </c>
      <c r="G44" s="4">
        <f>Tabella678[[#This Row],[Salary + inflation]]+Tabella678[[#This Row],[Salary + salary increases]]-(Tabella678[[#This Row],[Gross Base Salary]]*2)</f>
        <v>55699.899016856187</v>
      </c>
      <c r="H44" s="4">
        <f>Tabella678[[#This Row],[Inflation + salary increases]]+Tabella678[[#This Row],[Gross Base Salary]]</f>
        <v>125699.89901685619</v>
      </c>
      <c r="I44" s="36">
        <f>IFERROR(IF('General overview'!$C$8="Yes",IF(Tabella678[[#This Row],[Age]]&lt;=$C$9,Tabella678[[#This Row],[Adjusted salary]],$G$110),0),0)</f>
        <v>125699.89901685619</v>
      </c>
      <c r="J44" s="24"/>
    </row>
    <row r="45" spans="2:10">
      <c r="B45" s="80">
        <v>44</v>
      </c>
      <c r="C45" s="80">
        <f ca="1">IF(Tabella678[[#This Row],[Age]]=$C$5,$C$10,IF(Tabella678[[#This Row],[Age]]&lt;$C$5,$C$10-($C$5-Tabella678[[#This Row],[Age]]),IF(Tabella678[[#This Row],[Age]]&gt;$C$5,$C$10+Tabella678[[#This Row],[Age]]-$C$5)))</f>
        <v>2046</v>
      </c>
      <c r="D45" s="4">
        <f>IF(AND(Tabella678[[#This Row],[Age]]&gt;=$C$5, Tabella678[[#This Row],[Age]]&lt;=$C$9),$C$6,0)</f>
        <v>70000</v>
      </c>
      <c r="E45" s="4">
        <f>IF(Tabella678[[#This Row],[Gross Base Salary]]=0,Tabella678[[#This Row],[Gross Base Salary]], IF(AND(Tabella678[[#This Row],[Gross Base Salary]]&gt;0,E44&gt;0),E44*(1+$C$7),Tabella678[[#This Row],[Gross Base Salary]]))</f>
        <v>78118.050874361768</v>
      </c>
      <c r="F45" s="4">
        <f>IF(Tabella678[[#This Row],[Gross Base Salary]]=0,Tabella678[[#This Row],[Gross Base Salary]], IF(AND(Tabella678[[#This Row],[Gross Base Salary]]&gt;0,F44&gt;0),F44*(1+$C$8),Tabella678[[#This Row],[Gross Base Salary]]))</f>
        <v>120939.30462329356</v>
      </c>
      <c r="G45" s="4">
        <f>Tabella678[[#This Row],[Salary + inflation]]+Tabella678[[#This Row],[Salary + salary increases]]-(Tabella678[[#This Row],[Gross Base Salary]]*2)</f>
        <v>59057.355497655342</v>
      </c>
      <c r="H45" s="4">
        <f>Tabella678[[#This Row],[Inflation + salary increases]]+Tabella678[[#This Row],[Gross Base Salary]]</f>
        <v>129057.35549765534</v>
      </c>
      <c r="I45" s="36">
        <f>IFERROR(IF('General overview'!$C$8="Yes",IF(Tabella678[[#This Row],[Age]]&lt;=$C$9,Tabella678[[#This Row],[Adjusted salary]],$G$110),0),0)</f>
        <v>129057.35549765534</v>
      </c>
      <c r="J45" s="24"/>
    </row>
    <row r="46" spans="2:10">
      <c r="B46" s="80">
        <v>45</v>
      </c>
      <c r="C46" s="80">
        <f ca="1">IF(Tabella678[[#This Row],[Age]]=$C$5,$C$10,IF(Tabella678[[#This Row],[Age]]&lt;$C$5,$C$10-($C$5-Tabella678[[#This Row],[Age]]),IF(Tabella678[[#This Row],[Age]]&gt;$C$5,$C$10+Tabella678[[#This Row],[Age]]-$C$5)))</f>
        <v>2047</v>
      </c>
      <c r="D46" s="4">
        <f>IF(AND(Tabella678[[#This Row],[Age]]&gt;=$C$5, Tabella678[[#This Row],[Age]]&lt;=$C$9),$C$6,0)</f>
        <v>70000</v>
      </c>
      <c r="E46" s="4">
        <f>IF(Tabella678[[#This Row],[Gross Base Salary]]=0,Tabella678[[#This Row],[Gross Base Salary]], IF(AND(Tabella678[[#This Row],[Gross Base Salary]]&gt;0,E45&gt;0),E45*(1+$C$7),Tabella678[[#This Row],[Gross Base Salary]]))</f>
        <v>78508.641128733565</v>
      </c>
      <c r="F46" s="4">
        <f>IF(Tabella678[[#This Row],[Gross Base Salary]]=0,Tabella678[[#This Row],[Gross Base Salary]], IF(AND(Tabella678[[#This Row],[Gross Base Salary]]&gt;0,F45&gt;0),F45*(1+$C$8),Tabella678[[#This Row],[Gross Base Salary]]))</f>
        <v>123982.82623726479</v>
      </c>
      <c r="G46" s="4">
        <f>Tabella678[[#This Row],[Salary + inflation]]+Tabella678[[#This Row],[Salary + salary increases]]-(Tabella678[[#This Row],[Gross Base Salary]]*2)</f>
        <v>62491.467365998367</v>
      </c>
      <c r="H46" s="4">
        <f>Tabella678[[#This Row],[Inflation + salary increases]]+Tabella678[[#This Row],[Gross Base Salary]]</f>
        <v>132491.46736599837</v>
      </c>
      <c r="I46" s="36">
        <f>IFERROR(IF('General overview'!$C$8="Yes",IF(Tabella678[[#This Row],[Age]]&lt;=$C$9,Tabella678[[#This Row],[Adjusted salary]],$G$110),0),0)</f>
        <v>132491.46736599837</v>
      </c>
      <c r="J46" s="24"/>
    </row>
    <row r="47" spans="2:10">
      <c r="B47" s="80">
        <v>46</v>
      </c>
      <c r="C47" s="80">
        <f ca="1">IF(Tabella678[[#This Row],[Age]]=$C$5,$C$10,IF(Tabella678[[#This Row],[Age]]&lt;$C$5,$C$10-($C$5-Tabella678[[#This Row],[Age]]),IF(Tabella678[[#This Row],[Age]]&gt;$C$5,$C$10+Tabella678[[#This Row],[Age]]-$C$5)))</f>
        <v>2048</v>
      </c>
      <c r="D47" s="4">
        <f>IF(AND(Tabella678[[#This Row],[Age]]&gt;=$C$5, Tabella678[[#This Row],[Age]]&lt;=$C$9),$C$6,0)</f>
        <v>70000</v>
      </c>
      <c r="E47" s="4">
        <f>IF(Tabella678[[#This Row],[Gross Base Salary]]=0,Tabella678[[#This Row],[Gross Base Salary]], IF(AND(Tabella678[[#This Row],[Gross Base Salary]]&gt;0,E46&gt;0),E46*(1+$C$7),Tabella678[[#This Row],[Gross Base Salary]]))</f>
        <v>78901.18433437722</v>
      </c>
      <c r="F47" s="4">
        <f>IF(Tabella678[[#This Row],[Gross Base Salary]]=0,Tabella678[[#This Row],[Gross Base Salary]], IF(AND(Tabella678[[#This Row],[Gross Base Salary]]&gt;0,F46&gt;0),F46*(1+$C$8),Tabella678[[#This Row],[Gross Base Salary]]))</f>
        <v>127102.94018690028</v>
      </c>
      <c r="G47" s="4">
        <f>Tabella678[[#This Row],[Salary + inflation]]+Tabella678[[#This Row],[Salary + salary increases]]-(Tabella678[[#This Row],[Gross Base Salary]]*2)</f>
        <v>66004.124521277496</v>
      </c>
      <c r="H47" s="4">
        <f>Tabella678[[#This Row],[Inflation + salary increases]]+Tabella678[[#This Row],[Gross Base Salary]]</f>
        <v>136004.1245212775</v>
      </c>
      <c r="I47" s="36">
        <f>IFERROR(IF('General overview'!$C$8="Yes",IF(Tabella678[[#This Row],[Age]]&lt;=$C$9,Tabella678[[#This Row],[Adjusted salary]],$G$110),0),0)</f>
        <v>136004.1245212775</v>
      </c>
      <c r="J47" s="24"/>
    </row>
    <row r="48" spans="2:10">
      <c r="B48" s="80">
        <v>47</v>
      </c>
      <c r="C48" s="80">
        <f ca="1">IF(Tabella678[[#This Row],[Age]]=$C$5,$C$10,IF(Tabella678[[#This Row],[Age]]&lt;$C$5,$C$10-($C$5-Tabella678[[#This Row],[Age]]),IF(Tabella678[[#This Row],[Age]]&gt;$C$5,$C$10+Tabella678[[#This Row],[Age]]-$C$5)))</f>
        <v>2049</v>
      </c>
      <c r="D48" s="4">
        <f>IF(AND(Tabella678[[#This Row],[Age]]&gt;=$C$5, Tabella678[[#This Row],[Age]]&lt;=$C$9),$C$6,0)</f>
        <v>70000</v>
      </c>
      <c r="E48" s="4">
        <f>IF(Tabella678[[#This Row],[Gross Base Salary]]=0,Tabella678[[#This Row],[Gross Base Salary]], IF(AND(Tabella678[[#This Row],[Gross Base Salary]]&gt;0,E47&gt;0),E47*(1+$C$7),Tabella678[[#This Row],[Gross Base Salary]]))</f>
        <v>79295.6902560491</v>
      </c>
      <c r="F48" s="4">
        <f>IF(Tabella678[[#This Row],[Gross Base Salary]]=0,Tabella678[[#This Row],[Gross Base Salary]], IF(AND(Tabella678[[#This Row],[Gross Base Salary]]&gt;0,F47&gt;0),F47*(1+$C$8),Tabella678[[#This Row],[Gross Base Salary]]))</f>
        <v>130301.57397153355</v>
      </c>
      <c r="G48" s="4">
        <f>Tabella678[[#This Row],[Salary + inflation]]+Tabella678[[#This Row],[Salary + salary increases]]-(Tabella678[[#This Row],[Gross Base Salary]]*2)</f>
        <v>69597.264227582666</v>
      </c>
      <c r="H48" s="4">
        <f>Tabella678[[#This Row],[Inflation + salary increases]]+Tabella678[[#This Row],[Gross Base Salary]]</f>
        <v>139597.26422758267</v>
      </c>
      <c r="I48" s="36">
        <f>IFERROR(IF('General overview'!$C$8="Yes",IF(Tabella678[[#This Row],[Age]]&lt;=$C$9,Tabella678[[#This Row],[Adjusted salary]],$G$110),0),0)</f>
        <v>139597.26422758267</v>
      </c>
      <c r="J48" s="24"/>
    </row>
    <row r="49" spans="2:10">
      <c r="B49" s="80">
        <v>48</v>
      </c>
      <c r="C49" s="80">
        <f ca="1">IF(Tabella678[[#This Row],[Age]]=$C$5,$C$10,IF(Tabella678[[#This Row],[Age]]&lt;$C$5,$C$10-($C$5-Tabella678[[#This Row],[Age]]),IF(Tabella678[[#This Row],[Age]]&gt;$C$5,$C$10+Tabella678[[#This Row],[Age]]-$C$5)))</f>
        <v>2050</v>
      </c>
      <c r="D49" s="4">
        <f>IF(AND(Tabella678[[#This Row],[Age]]&gt;=$C$5, Tabella678[[#This Row],[Age]]&lt;=$C$9),$C$6,0)</f>
        <v>70000</v>
      </c>
      <c r="E49" s="4">
        <f>IF(Tabella678[[#This Row],[Gross Base Salary]]=0,Tabella678[[#This Row],[Gross Base Salary]], IF(AND(Tabella678[[#This Row],[Gross Base Salary]]&gt;0,E48&gt;0),E48*(1+$C$7),Tabella678[[#This Row],[Gross Base Salary]]))</f>
        <v>79692.168707329343</v>
      </c>
      <c r="F49" s="4">
        <f>IF(Tabella678[[#This Row],[Gross Base Salary]]=0,Tabella678[[#This Row],[Gross Base Salary]], IF(AND(Tabella678[[#This Row],[Gross Base Salary]]&gt;0,F48&gt;0),F48*(1+$C$8),Tabella678[[#This Row],[Gross Base Salary]]))</f>
        <v>133580.70359735785</v>
      </c>
      <c r="G49" s="4">
        <f>Tabella678[[#This Row],[Salary + inflation]]+Tabella678[[#This Row],[Salary + salary increases]]-(Tabella678[[#This Row],[Gross Base Salary]]*2)</f>
        <v>73272.872304687189</v>
      </c>
      <c r="H49" s="4">
        <f>Tabella678[[#This Row],[Inflation + salary increases]]+Tabella678[[#This Row],[Gross Base Salary]]</f>
        <v>143272.87230468719</v>
      </c>
      <c r="I49" s="36">
        <f>IFERROR(IF('General overview'!$C$8="Yes",IF(Tabella678[[#This Row],[Age]]&lt;=$C$9,Tabella678[[#This Row],[Adjusted salary]],$G$110),0),0)</f>
        <v>143272.87230468719</v>
      </c>
      <c r="J49" s="24"/>
    </row>
    <row r="50" spans="2:10">
      <c r="B50" s="80">
        <v>49</v>
      </c>
      <c r="C50" s="80">
        <f ca="1">IF(Tabella678[[#This Row],[Age]]=$C$5,$C$10,IF(Tabella678[[#This Row],[Age]]&lt;$C$5,$C$10-($C$5-Tabella678[[#This Row],[Age]]),IF(Tabella678[[#This Row],[Age]]&gt;$C$5,$C$10+Tabella678[[#This Row],[Age]]-$C$5)))</f>
        <v>2051</v>
      </c>
      <c r="D50" s="4">
        <f>IF(AND(Tabella678[[#This Row],[Age]]&gt;=$C$5, Tabella678[[#This Row],[Age]]&lt;=$C$9),$C$6,0)</f>
        <v>70000</v>
      </c>
      <c r="E50" s="4">
        <f>IF(Tabella678[[#This Row],[Gross Base Salary]]=0,Tabella678[[#This Row],[Gross Base Salary]], IF(AND(Tabella678[[#This Row],[Gross Base Salary]]&gt;0,E49&gt;0),E49*(1+$C$7),Tabella678[[#This Row],[Gross Base Salary]]))</f>
        <v>80090.629550865982</v>
      </c>
      <c r="F50" s="4">
        <f>IF(Tabella678[[#This Row],[Gross Base Salary]]=0,Tabella678[[#This Row],[Gross Base Salary]], IF(AND(Tabella678[[#This Row],[Gross Base Salary]]&gt;0,F49&gt;0),F49*(1+$C$8),Tabella678[[#This Row],[Gross Base Salary]]))</f>
        <v>136942.35479813494</v>
      </c>
      <c r="G50" s="4">
        <f>Tabella678[[#This Row],[Salary + inflation]]+Tabella678[[#This Row],[Salary + salary increases]]-(Tabella678[[#This Row],[Gross Base Salary]]*2)</f>
        <v>77032.984349000908</v>
      </c>
      <c r="H50" s="4">
        <f>Tabella678[[#This Row],[Inflation + salary increases]]+Tabella678[[#This Row],[Gross Base Salary]]</f>
        <v>147032.98434900091</v>
      </c>
      <c r="I50" s="36">
        <f>IFERROR(IF('General overview'!$C$8="Yes",IF(Tabella678[[#This Row],[Age]]&lt;=$C$9,Tabella678[[#This Row],[Adjusted salary]],$G$110),0),0)</f>
        <v>147032.98434900091</v>
      </c>
      <c r="J50" s="24"/>
    </row>
    <row r="51" spans="2:10">
      <c r="B51" s="80">
        <v>50</v>
      </c>
      <c r="C51" s="80">
        <f ca="1">IF(Tabella678[[#This Row],[Age]]=$C$5,$C$10,IF(Tabella678[[#This Row],[Age]]&lt;$C$5,$C$10-($C$5-Tabella678[[#This Row],[Age]]),IF(Tabella678[[#This Row],[Age]]&gt;$C$5,$C$10+Tabella678[[#This Row],[Age]]-$C$5)))</f>
        <v>2052</v>
      </c>
      <c r="D51" s="4">
        <f>IF(AND(Tabella678[[#This Row],[Age]]&gt;=$C$5, Tabella678[[#This Row],[Age]]&lt;=$C$9),$C$6,0)</f>
        <v>70000</v>
      </c>
      <c r="E51" s="4">
        <f>IF(Tabella678[[#This Row],[Gross Base Salary]]=0,Tabella678[[#This Row],[Gross Base Salary]], IF(AND(Tabella678[[#This Row],[Gross Base Salary]]&gt;0,E50&gt;0),E50*(1+$C$7),Tabella678[[#This Row],[Gross Base Salary]]))</f>
        <v>80491.082698620303</v>
      </c>
      <c r="F51" s="4">
        <f>IF(Tabella678[[#This Row],[Gross Base Salary]]=0,Tabella678[[#This Row],[Gross Base Salary]], IF(AND(Tabella678[[#This Row],[Gross Base Salary]]&gt;0,F50&gt;0),F50*(1+$C$8),Tabella678[[#This Row],[Gross Base Salary]]))</f>
        <v>140388.60428662394</v>
      </c>
      <c r="G51" s="4">
        <f>Tabella678[[#This Row],[Salary + inflation]]+Tabella678[[#This Row],[Salary + salary increases]]-(Tabella678[[#This Row],[Gross Base Salary]]*2)</f>
        <v>80879.686985244247</v>
      </c>
      <c r="H51" s="4">
        <f>Tabella678[[#This Row],[Inflation + salary increases]]+Tabella678[[#This Row],[Gross Base Salary]]</f>
        <v>150879.68698524425</v>
      </c>
      <c r="I51" s="36">
        <f>IFERROR(IF('General overview'!$C$8="Yes",IF(Tabella678[[#This Row],[Age]]&lt;=$C$9,Tabella678[[#This Row],[Adjusted salary]],$G$110),0),0)</f>
        <v>150879.68698524425</v>
      </c>
      <c r="J51" s="24"/>
    </row>
    <row r="52" spans="2:10">
      <c r="B52" s="80">
        <v>51</v>
      </c>
      <c r="C52" s="80">
        <f ca="1">IF(Tabella678[[#This Row],[Age]]=$C$5,$C$10,IF(Tabella678[[#This Row],[Age]]&lt;$C$5,$C$10-($C$5-Tabella678[[#This Row],[Age]]),IF(Tabella678[[#This Row],[Age]]&gt;$C$5,$C$10+Tabella678[[#This Row],[Age]]-$C$5)))</f>
        <v>2053</v>
      </c>
      <c r="D52" s="4">
        <f>IF(AND(Tabella678[[#This Row],[Age]]&gt;=$C$5, Tabella678[[#This Row],[Age]]&lt;=$C$9),$C$6,0)</f>
        <v>70000</v>
      </c>
      <c r="E52" s="4">
        <f>IF(Tabella678[[#This Row],[Gross Base Salary]]=0,Tabella678[[#This Row],[Gross Base Salary]], IF(AND(Tabella678[[#This Row],[Gross Base Salary]]&gt;0,E51&gt;0),E51*(1+$C$7),Tabella678[[#This Row],[Gross Base Salary]]))</f>
        <v>80893.538112113398</v>
      </c>
      <c r="F52" s="4">
        <f>IF(Tabella678[[#This Row],[Gross Base Salary]]=0,Tabella678[[#This Row],[Gross Base Salary]], IF(AND(Tabella678[[#This Row],[Gross Base Salary]]&gt;0,F51&gt;0),F51*(1+$C$8),Tabella678[[#This Row],[Gross Base Salary]]))</f>
        <v>143921.58103750314</v>
      </c>
      <c r="G52" s="4">
        <f>Tabella678[[#This Row],[Salary + inflation]]+Tabella678[[#This Row],[Salary + salary increases]]-(Tabella678[[#This Row],[Gross Base Salary]]*2)</f>
        <v>84815.119149616541</v>
      </c>
      <c r="H52" s="4">
        <f>Tabella678[[#This Row],[Inflation + salary increases]]+Tabella678[[#This Row],[Gross Base Salary]]</f>
        <v>154815.11914961654</v>
      </c>
      <c r="I52" s="36">
        <f>IFERROR(IF('General overview'!$C$8="Yes",IF(Tabella678[[#This Row],[Age]]&lt;=$C$9,Tabella678[[#This Row],[Adjusted salary]],$G$110),0),0)</f>
        <v>154815.11914961654</v>
      </c>
      <c r="J52" s="24"/>
    </row>
    <row r="53" spans="2:10">
      <c r="B53" s="80">
        <v>52</v>
      </c>
      <c r="C53" s="80">
        <f ca="1">IF(Tabella678[[#This Row],[Age]]=$C$5,$C$10,IF(Tabella678[[#This Row],[Age]]&lt;$C$5,$C$10-($C$5-Tabella678[[#This Row],[Age]]),IF(Tabella678[[#This Row],[Age]]&gt;$C$5,$C$10+Tabella678[[#This Row],[Age]]-$C$5)))</f>
        <v>2054</v>
      </c>
      <c r="D53" s="4">
        <f>IF(AND(Tabella678[[#This Row],[Age]]&gt;=$C$5, Tabella678[[#This Row],[Age]]&lt;=$C$9),$C$6,0)</f>
        <v>70000</v>
      </c>
      <c r="E53" s="4">
        <f>IF(Tabella678[[#This Row],[Gross Base Salary]]=0,Tabella678[[#This Row],[Gross Base Salary]], IF(AND(Tabella678[[#This Row],[Gross Base Salary]]&gt;0,E52&gt;0),E52*(1+$C$7),Tabella678[[#This Row],[Gross Base Salary]]))</f>
        <v>81298.005802673957</v>
      </c>
      <c r="F53" s="4">
        <f>IF(Tabella678[[#This Row],[Gross Base Salary]]=0,Tabella678[[#This Row],[Gross Base Salary]], IF(AND(Tabella678[[#This Row],[Gross Base Salary]]&gt;0,F52&gt;0),F52*(1+$C$8),Tabella678[[#This Row],[Gross Base Salary]]))</f>
        <v>147543.46760257758</v>
      </c>
      <c r="G53" s="4">
        <f>Tabella678[[#This Row],[Salary + inflation]]+Tabella678[[#This Row],[Salary + salary increases]]-(Tabella678[[#This Row],[Gross Base Salary]]*2)</f>
        <v>88841.473405251541</v>
      </c>
      <c r="H53" s="4">
        <f>Tabella678[[#This Row],[Inflation + salary increases]]+Tabella678[[#This Row],[Gross Base Salary]]</f>
        <v>158841.47340525154</v>
      </c>
      <c r="I53" s="36">
        <f>IFERROR(IF('General overview'!$C$8="Yes",IF(Tabella678[[#This Row],[Age]]&lt;=$C$9,Tabella678[[#This Row],[Adjusted salary]],$G$110),0),0)</f>
        <v>158841.47340525154</v>
      </c>
      <c r="J53" s="24"/>
    </row>
    <row r="54" spans="2:10">
      <c r="B54" s="80">
        <v>53</v>
      </c>
      <c r="C54" s="80">
        <f ca="1">IF(Tabella678[[#This Row],[Age]]=$C$5,$C$10,IF(Tabella678[[#This Row],[Age]]&lt;$C$5,$C$10-($C$5-Tabella678[[#This Row],[Age]]),IF(Tabella678[[#This Row],[Age]]&gt;$C$5,$C$10+Tabella678[[#This Row],[Age]]-$C$5)))</f>
        <v>2055</v>
      </c>
      <c r="D54" s="4">
        <f>IF(AND(Tabella678[[#This Row],[Age]]&gt;=$C$5, Tabella678[[#This Row],[Age]]&lt;=$C$9),$C$6,0)</f>
        <v>70000</v>
      </c>
      <c r="E54" s="4">
        <f>IF(Tabella678[[#This Row],[Gross Base Salary]]=0,Tabella678[[#This Row],[Gross Base Salary]], IF(AND(Tabella678[[#This Row],[Gross Base Salary]]&gt;0,E53&gt;0),E53*(1+$C$7),Tabella678[[#This Row],[Gross Base Salary]]))</f>
        <v>81704.495831687324</v>
      </c>
      <c r="F54" s="4">
        <f>IF(Tabella678[[#This Row],[Gross Base Salary]]=0,Tabella678[[#This Row],[Gross Base Salary]], IF(AND(Tabella678[[#This Row],[Gross Base Salary]]&gt;0,F53&gt;0),F53*(1+$C$8),Tabella678[[#This Row],[Gross Base Salary]]))</f>
        <v>151256.50145908463</v>
      </c>
      <c r="G54" s="4">
        <f>Tabella678[[#This Row],[Salary + inflation]]+Tabella678[[#This Row],[Salary + salary increases]]-(Tabella678[[#This Row],[Gross Base Salary]]*2)</f>
        <v>92960.997290771949</v>
      </c>
      <c r="H54" s="4">
        <f>Tabella678[[#This Row],[Inflation + salary increases]]+Tabella678[[#This Row],[Gross Base Salary]]</f>
        <v>162960.99729077195</v>
      </c>
      <c r="I54" s="36">
        <f>IFERROR(IF('General overview'!$C$8="Yes",IF(Tabella678[[#This Row],[Age]]&lt;=$C$9,Tabella678[[#This Row],[Adjusted salary]],$G$110),0),0)</f>
        <v>162960.99729077195</v>
      </c>
      <c r="J54" s="24"/>
    </row>
    <row r="55" spans="2:10">
      <c r="B55" s="80">
        <v>54</v>
      </c>
      <c r="C55" s="80">
        <f ca="1">IF(Tabella678[[#This Row],[Age]]=$C$5,$C$10,IF(Tabella678[[#This Row],[Age]]&lt;$C$5,$C$10-($C$5-Tabella678[[#This Row],[Age]]),IF(Tabella678[[#This Row],[Age]]&gt;$C$5,$C$10+Tabella678[[#This Row],[Age]]-$C$5)))</f>
        <v>2056</v>
      </c>
      <c r="D55" s="4">
        <f>IF(AND(Tabella678[[#This Row],[Age]]&gt;=$C$5, Tabella678[[#This Row],[Age]]&lt;=$C$9),$C$6,0)</f>
        <v>70000</v>
      </c>
      <c r="E55" s="4">
        <f>IF(Tabella678[[#This Row],[Gross Base Salary]]=0,Tabella678[[#This Row],[Gross Base Salary]], IF(AND(Tabella678[[#This Row],[Gross Base Salary]]&gt;0,E54&gt;0),E54*(1+$C$7),Tabella678[[#This Row],[Gross Base Salary]]))</f>
        <v>82113.018310845757</v>
      </c>
      <c r="F55" s="4">
        <f>IF(Tabella678[[#This Row],[Gross Base Salary]]=0,Tabella678[[#This Row],[Gross Base Salary]], IF(AND(Tabella678[[#This Row],[Gross Base Salary]]&gt;0,F54&gt;0),F54*(1+$C$8),Tabella678[[#This Row],[Gross Base Salary]]))</f>
        <v>155062.97639193063</v>
      </c>
      <c r="G55" s="4">
        <f>Tabella678[[#This Row],[Salary + inflation]]+Tabella678[[#This Row],[Salary + salary increases]]-(Tabella678[[#This Row],[Gross Base Salary]]*2)</f>
        <v>97175.99470277637</v>
      </c>
      <c r="H55" s="4">
        <f>Tabella678[[#This Row],[Inflation + salary increases]]+Tabella678[[#This Row],[Gross Base Salary]]</f>
        <v>167175.99470277637</v>
      </c>
      <c r="I55" s="36">
        <f>IFERROR(IF('General overview'!$C$8="Yes",IF(Tabella678[[#This Row],[Age]]&lt;=$C$9,Tabella678[[#This Row],[Adjusted salary]],$G$110),0),0)</f>
        <v>167175.99470277637</v>
      </c>
      <c r="J55" s="24"/>
    </row>
    <row r="56" spans="2:10">
      <c r="B56" s="80">
        <v>55</v>
      </c>
      <c r="C56" s="80">
        <f ca="1">IF(Tabella678[[#This Row],[Age]]=$C$5,$C$10,IF(Tabella678[[#This Row],[Age]]&lt;$C$5,$C$10-($C$5-Tabella678[[#This Row],[Age]]),IF(Tabella678[[#This Row],[Age]]&gt;$C$5,$C$10+Tabella678[[#This Row],[Age]]-$C$5)))</f>
        <v>2057</v>
      </c>
      <c r="D56" s="4">
        <f>IF(AND(Tabella678[[#This Row],[Age]]&gt;=$C$5, Tabella678[[#This Row],[Age]]&lt;=$C$9),$C$6,0)</f>
        <v>70000</v>
      </c>
      <c r="E56" s="4">
        <f>IF(Tabella678[[#This Row],[Gross Base Salary]]=0,Tabella678[[#This Row],[Gross Base Salary]], IF(AND(Tabella678[[#This Row],[Gross Base Salary]]&gt;0,E55&gt;0),E55*(1+$C$7),Tabella678[[#This Row],[Gross Base Salary]]))</f>
        <v>82523.583402399978</v>
      </c>
      <c r="F56" s="4">
        <f>IF(Tabella678[[#This Row],[Gross Base Salary]]=0,Tabella678[[#This Row],[Gross Base Salary]], IF(AND(Tabella678[[#This Row],[Gross Base Salary]]&gt;0,F55&gt;0),F55*(1+$C$8),Tabella678[[#This Row],[Gross Base Salary]]))</f>
        <v>158965.24391071254</v>
      </c>
      <c r="G56" s="4">
        <f>Tabella678[[#This Row],[Salary + inflation]]+Tabella678[[#This Row],[Salary + salary increases]]-(Tabella678[[#This Row],[Gross Base Salary]]*2)</f>
        <v>101488.8273131125</v>
      </c>
      <c r="H56" s="4">
        <f>Tabella678[[#This Row],[Inflation + salary increases]]+Tabella678[[#This Row],[Gross Base Salary]]</f>
        <v>171488.8273131125</v>
      </c>
      <c r="I56" s="36">
        <f>IFERROR(IF('General overview'!$C$8="Yes",IF(Tabella678[[#This Row],[Age]]&lt;=$C$9,Tabella678[[#This Row],[Adjusted salary]],$G$110),0),0)</f>
        <v>171488.8273131125</v>
      </c>
      <c r="J56" s="24"/>
    </row>
    <row r="57" spans="2:10">
      <c r="B57" s="80">
        <v>56</v>
      </c>
      <c r="C57" s="80">
        <f ca="1">IF(Tabella678[[#This Row],[Age]]=$C$5,$C$10,IF(Tabella678[[#This Row],[Age]]&lt;$C$5,$C$10-($C$5-Tabella678[[#This Row],[Age]]),IF(Tabella678[[#This Row],[Age]]&gt;$C$5,$C$10+Tabella678[[#This Row],[Age]]-$C$5)))</f>
        <v>2058</v>
      </c>
      <c r="D57" s="4">
        <f>IF(AND(Tabella678[[#This Row],[Age]]&gt;=$C$5, Tabella678[[#This Row],[Age]]&lt;=$C$9),$C$6,0)</f>
        <v>70000</v>
      </c>
      <c r="E57" s="4">
        <f>IF(Tabella678[[#This Row],[Gross Base Salary]]=0,Tabella678[[#This Row],[Gross Base Salary]], IF(AND(Tabella678[[#This Row],[Gross Base Salary]]&gt;0,E56&gt;0),E56*(1+$C$7),Tabella678[[#This Row],[Gross Base Salary]]))</f>
        <v>82936.201319411965</v>
      </c>
      <c r="F57" s="4">
        <f>IF(Tabella678[[#This Row],[Gross Base Salary]]=0,Tabella678[[#This Row],[Gross Base Salary]], IF(AND(Tabella678[[#This Row],[Gross Base Salary]]&gt;0,F56&gt;0),F56*(1+$C$8),Tabella678[[#This Row],[Gross Base Salary]]))</f>
        <v>162965.71470239986</v>
      </c>
      <c r="G57" s="4">
        <f>Tabella678[[#This Row],[Salary + inflation]]+Tabella678[[#This Row],[Salary + salary increases]]-(Tabella678[[#This Row],[Gross Base Salary]]*2)</f>
        <v>105901.91602181183</v>
      </c>
      <c r="H57" s="4">
        <f>Tabella678[[#This Row],[Inflation + salary increases]]+Tabella678[[#This Row],[Gross Base Salary]]</f>
        <v>175901.91602181183</v>
      </c>
      <c r="I57" s="36">
        <f>IFERROR(IF('General overview'!$C$8="Yes",IF(Tabella678[[#This Row],[Age]]&lt;=$C$9,Tabella678[[#This Row],[Adjusted salary]],$G$110),0),0)</f>
        <v>175901.91602181183</v>
      </c>
      <c r="J57" s="24"/>
    </row>
    <row r="58" spans="2:10">
      <c r="B58" s="80">
        <v>57</v>
      </c>
      <c r="C58" s="80">
        <f ca="1">IF(Tabella678[[#This Row],[Age]]=$C$5,$C$10,IF(Tabella678[[#This Row],[Age]]&lt;$C$5,$C$10-($C$5-Tabella678[[#This Row],[Age]]),IF(Tabella678[[#This Row],[Age]]&gt;$C$5,$C$10+Tabella678[[#This Row],[Age]]-$C$5)))</f>
        <v>2059</v>
      </c>
      <c r="D58" s="4">
        <f>IF(AND(Tabella678[[#This Row],[Age]]&gt;=$C$5, Tabella678[[#This Row],[Age]]&lt;=$C$9),$C$6,0)</f>
        <v>70000</v>
      </c>
      <c r="E58" s="4">
        <f>IF(Tabella678[[#This Row],[Gross Base Salary]]=0,Tabella678[[#This Row],[Gross Base Salary]], IF(AND(Tabella678[[#This Row],[Gross Base Salary]]&gt;0,E57&gt;0),E57*(1+$C$7),Tabella678[[#This Row],[Gross Base Salary]]))</f>
        <v>83350.882326009014</v>
      </c>
      <c r="F58" s="4">
        <f>IF(Tabella678[[#This Row],[Gross Base Salary]]=0,Tabella678[[#This Row],[Gross Base Salary]], IF(AND(Tabella678[[#This Row],[Gross Base Salary]]&gt;0,F57&gt;0),F57*(1+$C$8),Tabella678[[#This Row],[Gross Base Salary]]))</f>
        <v>167066.86012057427</v>
      </c>
      <c r="G58" s="4">
        <f>Tabella678[[#This Row],[Salary + inflation]]+Tabella678[[#This Row],[Salary + salary increases]]-(Tabella678[[#This Row],[Gross Base Salary]]*2)</f>
        <v>110417.74244658329</v>
      </c>
      <c r="H58" s="4">
        <f>Tabella678[[#This Row],[Inflation + salary increases]]+Tabella678[[#This Row],[Gross Base Salary]]</f>
        <v>180417.74244658329</v>
      </c>
      <c r="I58" s="36">
        <f>IFERROR(IF('General overview'!$C$8="Yes",IF(Tabella678[[#This Row],[Age]]&lt;=$C$9,Tabella678[[#This Row],[Adjusted salary]],$G$110),0),0)</f>
        <v>180417.74244658329</v>
      </c>
      <c r="J58" s="24"/>
    </row>
    <row r="59" spans="2:10">
      <c r="B59" s="80">
        <v>58</v>
      </c>
      <c r="C59" s="80">
        <f ca="1">IF(Tabella678[[#This Row],[Age]]=$C$5,$C$10,IF(Tabella678[[#This Row],[Age]]&lt;$C$5,$C$10-($C$5-Tabella678[[#This Row],[Age]]),IF(Tabella678[[#This Row],[Age]]&gt;$C$5,$C$10+Tabella678[[#This Row],[Age]]-$C$5)))</f>
        <v>2060</v>
      </c>
      <c r="D59" s="4">
        <f>IF(AND(Tabella678[[#This Row],[Age]]&gt;=$C$5, Tabella678[[#This Row],[Age]]&lt;=$C$9),$C$6,0)</f>
        <v>70000</v>
      </c>
      <c r="E59" s="4">
        <f>IF(Tabella678[[#This Row],[Gross Base Salary]]=0,Tabella678[[#This Row],[Gross Base Salary]], IF(AND(Tabella678[[#This Row],[Gross Base Salary]]&gt;0,E58&gt;0),E58*(1+$C$7),Tabella678[[#This Row],[Gross Base Salary]]))</f>
        <v>83767.636737639055</v>
      </c>
      <c r="F59" s="4">
        <f>IF(Tabella678[[#This Row],[Gross Base Salary]]=0,Tabella678[[#This Row],[Gross Base Salary]], IF(AND(Tabella678[[#This Row],[Gross Base Salary]]&gt;0,F58&gt;0),F58*(1+$C$8),Tabella678[[#This Row],[Gross Base Salary]]))</f>
        <v>171271.21371214718</v>
      </c>
      <c r="G59" s="4">
        <f>Tabella678[[#This Row],[Salary + inflation]]+Tabella678[[#This Row],[Salary + salary increases]]-(Tabella678[[#This Row],[Gross Base Salary]]*2)</f>
        <v>115038.85044978623</v>
      </c>
      <c r="H59" s="4">
        <f>Tabella678[[#This Row],[Inflation + salary increases]]+Tabella678[[#This Row],[Gross Base Salary]]</f>
        <v>185038.85044978623</v>
      </c>
      <c r="I59" s="36">
        <f>IFERROR(IF('General overview'!$C$8="Yes",IF(Tabella678[[#This Row],[Age]]&lt;=$C$9,Tabella678[[#This Row],[Adjusted salary]],$G$110),0),0)</f>
        <v>185038.85044978623</v>
      </c>
      <c r="J59" s="24"/>
    </row>
    <row r="60" spans="2:10">
      <c r="B60" s="80">
        <v>59</v>
      </c>
      <c r="C60" s="80">
        <f ca="1">IF(Tabella678[[#This Row],[Age]]=$C$5,$C$10,IF(Tabella678[[#This Row],[Age]]&lt;$C$5,$C$10-($C$5-Tabella678[[#This Row],[Age]]),IF(Tabella678[[#This Row],[Age]]&gt;$C$5,$C$10+Tabella678[[#This Row],[Age]]-$C$5)))</f>
        <v>2061</v>
      </c>
      <c r="D60" s="4">
        <f>IF(AND(Tabella678[[#This Row],[Age]]&gt;=$C$5, Tabella678[[#This Row],[Age]]&lt;=$C$9),$C$6,0)</f>
        <v>70000</v>
      </c>
      <c r="E60" s="4">
        <f>IF(Tabella678[[#This Row],[Gross Base Salary]]=0,Tabella678[[#This Row],[Gross Base Salary]], IF(AND(Tabella678[[#This Row],[Gross Base Salary]]&gt;0,E59&gt;0),E59*(1+$C$7),Tabella678[[#This Row],[Gross Base Salary]]))</f>
        <v>84186.474921327244</v>
      </c>
      <c r="F60" s="4">
        <f>IF(Tabella678[[#This Row],[Gross Base Salary]]=0,Tabella678[[#This Row],[Gross Base Salary]], IF(AND(Tabella678[[#This Row],[Gross Base Salary]]&gt;0,F59&gt;0),F59*(1+$C$8),Tabella678[[#This Row],[Gross Base Salary]]))</f>
        <v>175581.37278249796</v>
      </c>
      <c r="G60" s="4">
        <f>Tabella678[[#This Row],[Salary + inflation]]+Tabella678[[#This Row],[Salary + salary increases]]-(Tabella678[[#This Row],[Gross Base Salary]]*2)</f>
        <v>119767.84770382522</v>
      </c>
      <c r="H60" s="4">
        <f>Tabella678[[#This Row],[Inflation + salary increases]]+Tabella678[[#This Row],[Gross Base Salary]]</f>
        <v>189767.84770382522</v>
      </c>
      <c r="I60" s="36">
        <f>IFERROR(IF('General overview'!$C$8="Yes",IF(Tabella678[[#This Row],[Age]]&lt;=$C$9,Tabella678[[#This Row],[Adjusted salary]],$G$110),0),0)</f>
        <v>189767.84770382522</v>
      </c>
      <c r="J60" s="24"/>
    </row>
    <row r="61" spans="2:10">
      <c r="B61" s="80">
        <v>60</v>
      </c>
      <c r="C61" s="80">
        <f ca="1">IF(Tabella678[[#This Row],[Age]]=$C$5,$C$10,IF(Tabella678[[#This Row],[Age]]&lt;$C$5,$C$10-($C$5-Tabella678[[#This Row],[Age]]),IF(Tabella678[[#This Row],[Age]]&gt;$C$5,$C$10+Tabella678[[#This Row],[Age]]-$C$5)))</f>
        <v>2062</v>
      </c>
      <c r="D61" s="4">
        <f>IF(AND(Tabella678[[#This Row],[Age]]&gt;=$C$5, Tabella678[[#This Row],[Age]]&lt;=$C$9),$C$6,0)</f>
        <v>70000</v>
      </c>
      <c r="E61" s="4">
        <f>IF(Tabella678[[#This Row],[Gross Base Salary]]=0,Tabella678[[#This Row],[Gross Base Salary]], IF(AND(Tabella678[[#This Row],[Gross Base Salary]]&gt;0,E60&gt;0),E60*(1+$C$7),Tabella678[[#This Row],[Gross Base Salary]]))</f>
        <v>84607.407295933866</v>
      </c>
      <c r="F61" s="4">
        <f>IF(Tabella678[[#This Row],[Gross Base Salary]]=0,Tabella678[[#This Row],[Gross Base Salary]], IF(AND(Tabella678[[#This Row],[Gross Base Salary]]&gt;0,F60&gt;0),F60*(1+$C$8),Tabella678[[#This Row],[Gross Base Salary]]))</f>
        <v>180000.00000000012</v>
      </c>
      <c r="G61" s="4">
        <f>Tabella678[[#This Row],[Salary + inflation]]+Tabella678[[#This Row],[Salary + salary increases]]-(Tabella678[[#This Row],[Gross Base Salary]]*2)</f>
        <v>124607.40729593398</v>
      </c>
      <c r="H61" s="4">
        <f>Tabella678[[#This Row],[Inflation + salary increases]]+Tabella678[[#This Row],[Gross Base Salary]]</f>
        <v>194607.40729593398</v>
      </c>
      <c r="I61" s="36">
        <f>IFERROR(IF('General overview'!$C$8="Yes",IF(Tabella678[[#This Row],[Age]]&lt;=$C$9,Tabella678[[#This Row],[Adjusted salary]],$G$110),0),0)</f>
        <v>194607.40729593398</v>
      </c>
      <c r="J61" s="24"/>
    </row>
    <row r="62" spans="2:10">
      <c r="B62" s="80">
        <v>61</v>
      </c>
      <c r="C62" s="80">
        <f ca="1">IF(Tabella678[[#This Row],[Age]]=$C$5,$C$10,IF(Tabella678[[#This Row],[Age]]&lt;$C$5,$C$10-($C$5-Tabella678[[#This Row],[Age]]),IF(Tabella678[[#This Row],[Age]]&gt;$C$5,$C$10+Tabella678[[#This Row],[Age]]-$C$5)))</f>
        <v>2063</v>
      </c>
      <c r="D62" s="4">
        <f>IF(AND(Tabella678[[#This Row],[Age]]&gt;=$C$5, Tabella678[[#This Row],[Age]]&lt;=$C$9),$C$6,0)</f>
        <v>0</v>
      </c>
      <c r="E62" s="4">
        <f>IF(Tabella678[[#This Row],[Gross Base Salary]]=0,Tabella678[[#This Row],[Gross Base Salary]], IF(AND(Tabella678[[#This Row],[Gross Base Salary]]&gt;0,E61&gt;0),E61*(1+$C$7),Tabella678[[#This Row],[Gross Base Salary]]))</f>
        <v>0</v>
      </c>
      <c r="F62" s="4">
        <f>IF(Tabella678[[#This Row],[Gross Base Salary]]=0,Tabella678[[#This Row],[Gross Base Salary]], IF(AND(Tabella678[[#This Row],[Gross Base Salary]]&gt;0,F61&gt;0),F61*(1+$C$8),Tabella678[[#This Row],[Gross Base Salary]]))</f>
        <v>0</v>
      </c>
      <c r="G62" s="4">
        <f>Tabella678[[#This Row],[Salary + inflation]]+Tabella678[[#This Row],[Salary + salary increases]]-(Tabella678[[#This Row],[Gross Base Salary]]*2)</f>
        <v>0</v>
      </c>
      <c r="H62" s="4">
        <f>Tabella678[[#This Row],[Inflation + salary increases]]+Tabella678[[#This Row],[Gross Base Salary]]</f>
        <v>0</v>
      </c>
      <c r="I62" s="36">
        <f>IFERROR(IF('General overview'!$C$8="Yes",IF(Tabella678[[#This Row],[Age]]&lt;=$C$9,Tabella678[[#This Row],[Adjusted salary]],$G$110),0),0)</f>
        <v>73212.866902780079</v>
      </c>
      <c r="J62" s="24"/>
    </row>
    <row r="63" spans="2:10">
      <c r="B63" s="80">
        <v>62</v>
      </c>
      <c r="C63" s="80">
        <f ca="1">IF(Tabella678[[#This Row],[Age]]=$C$5,$C$10,IF(Tabella678[[#This Row],[Age]]&lt;$C$5,$C$10-($C$5-Tabella678[[#This Row],[Age]]),IF(Tabella678[[#This Row],[Age]]&gt;$C$5,$C$10+Tabella678[[#This Row],[Age]]-$C$5)))</f>
        <v>2064</v>
      </c>
      <c r="D63" s="4">
        <f>IF(AND(Tabella678[[#This Row],[Age]]&gt;=$C$5, Tabella678[[#This Row],[Age]]&lt;=$C$9),$C$6,0)</f>
        <v>0</v>
      </c>
      <c r="E63" s="4">
        <f>IF(Tabella678[[#This Row],[Gross Base Salary]]=0,Tabella678[[#This Row],[Gross Base Salary]], IF(AND(Tabella678[[#This Row],[Gross Base Salary]]&gt;0,E62&gt;0),E62*(1+$C$7),Tabella678[[#This Row],[Gross Base Salary]]))</f>
        <v>0</v>
      </c>
      <c r="F63" s="4">
        <f>IF(Tabella678[[#This Row],[Gross Base Salary]]=0,Tabella678[[#This Row],[Gross Base Salary]], IF(AND(Tabella678[[#This Row],[Gross Base Salary]]&gt;0,F62&gt;0),F62*(1+$C$8),Tabella678[[#This Row],[Gross Base Salary]]))</f>
        <v>0</v>
      </c>
      <c r="G63" s="4">
        <f>Tabella678[[#This Row],[Salary + inflation]]+Tabella678[[#This Row],[Salary + salary increases]]-(Tabella678[[#This Row],[Gross Base Salary]]*2)</f>
        <v>0</v>
      </c>
      <c r="H63" s="4">
        <f>Tabella678[[#This Row],[Inflation + salary increases]]+Tabella678[[#This Row],[Gross Base Salary]]</f>
        <v>0</v>
      </c>
      <c r="I63" s="36">
        <f>IFERROR(IF('General overview'!$C$8="Yes",IF(Tabella678[[#This Row],[Age]]&lt;=$C$9,Tabella678[[#This Row],[Adjusted salary]],$G$110),0),0)</f>
        <v>73212.866902780079</v>
      </c>
      <c r="J63" s="24"/>
    </row>
    <row r="64" spans="2:10">
      <c r="B64" s="80">
        <v>63</v>
      </c>
      <c r="C64" s="80">
        <f ca="1">IF(Tabella678[[#This Row],[Age]]=$C$5,$C$10,IF(Tabella678[[#This Row],[Age]]&lt;$C$5,$C$10-($C$5-Tabella678[[#This Row],[Age]]),IF(Tabella678[[#This Row],[Age]]&gt;$C$5,$C$10+Tabella678[[#This Row],[Age]]-$C$5)))</f>
        <v>2065</v>
      </c>
      <c r="D64" s="4">
        <f>IF(AND(Tabella678[[#This Row],[Age]]&gt;=$C$5, Tabella678[[#This Row],[Age]]&lt;=$C$9),$C$6,0)</f>
        <v>0</v>
      </c>
      <c r="E64" s="4">
        <f>IF(Tabella678[[#This Row],[Gross Base Salary]]=0,Tabella678[[#This Row],[Gross Base Salary]], IF(AND(Tabella678[[#This Row],[Gross Base Salary]]&gt;0,E63&gt;0),E63*(1+$C$7),Tabella678[[#This Row],[Gross Base Salary]]))</f>
        <v>0</v>
      </c>
      <c r="F64" s="4">
        <f>IF(Tabella678[[#This Row],[Gross Base Salary]]=0,Tabella678[[#This Row],[Gross Base Salary]], IF(AND(Tabella678[[#This Row],[Gross Base Salary]]&gt;0,F63&gt;0),F63*(1+$C$8),Tabella678[[#This Row],[Gross Base Salary]]))</f>
        <v>0</v>
      </c>
      <c r="G64" s="4">
        <f>Tabella678[[#This Row],[Salary + inflation]]+Tabella678[[#This Row],[Salary + salary increases]]-(Tabella678[[#This Row],[Gross Base Salary]]*2)</f>
        <v>0</v>
      </c>
      <c r="H64" s="4">
        <f>Tabella678[[#This Row],[Inflation + salary increases]]+Tabella678[[#This Row],[Gross Base Salary]]</f>
        <v>0</v>
      </c>
      <c r="I64" s="36">
        <f>IFERROR(IF('General overview'!$C$8="Yes",IF(Tabella678[[#This Row],[Age]]&lt;=$C$9,Tabella678[[#This Row],[Adjusted salary]],$G$110),0),0)</f>
        <v>73212.866902780079</v>
      </c>
      <c r="J64" s="24"/>
    </row>
    <row r="65" spans="2:10">
      <c r="B65" s="80">
        <v>64</v>
      </c>
      <c r="C65" s="80">
        <f ca="1">IF(Tabella678[[#This Row],[Age]]=$C$5,$C$10,IF(Tabella678[[#This Row],[Age]]&lt;$C$5,$C$10-($C$5-Tabella678[[#This Row],[Age]]),IF(Tabella678[[#This Row],[Age]]&gt;$C$5,$C$10+Tabella678[[#This Row],[Age]]-$C$5)))</f>
        <v>2066</v>
      </c>
      <c r="D65" s="4">
        <f>IF(AND(Tabella678[[#This Row],[Age]]&gt;=$C$5, Tabella678[[#This Row],[Age]]&lt;=$C$9),$C$6,0)</f>
        <v>0</v>
      </c>
      <c r="E65" s="4">
        <f>IF(Tabella678[[#This Row],[Gross Base Salary]]=0,Tabella678[[#This Row],[Gross Base Salary]], IF(AND(Tabella678[[#This Row],[Gross Base Salary]]&gt;0,E64&gt;0),E64*(1+$C$7),Tabella678[[#This Row],[Gross Base Salary]]))</f>
        <v>0</v>
      </c>
      <c r="F65" s="4">
        <f>IF(Tabella678[[#This Row],[Gross Base Salary]]=0,Tabella678[[#This Row],[Gross Base Salary]], IF(AND(Tabella678[[#This Row],[Gross Base Salary]]&gt;0,F64&gt;0),F64*(1+$C$8),Tabella678[[#This Row],[Gross Base Salary]]))</f>
        <v>0</v>
      </c>
      <c r="G65" s="4">
        <f>Tabella678[[#This Row],[Salary + inflation]]+Tabella678[[#This Row],[Salary + salary increases]]-(Tabella678[[#This Row],[Gross Base Salary]]*2)</f>
        <v>0</v>
      </c>
      <c r="H65" s="4">
        <f>Tabella678[[#This Row],[Inflation + salary increases]]+Tabella678[[#This Row],[Gross Base Salary]]</f>
        <v>0</v>
      </c>
      <c r="I65" s="36">
        <f>IFERROR(IF('General overview'!$C$8="Yes",IF(Tabella678[[#This Row],[Age]]&lt;=$C$9,Tabella678[[#This Row],[Adjusted salary]],$G$110),0),0)</f>
        <v>73212.866902780079</v>
      </c>
      <c r="J65" s="24"/>
    </row>
    <row r="66" spans="2:10">
      <c r="B66" s="80">
        <v>65</v>
      </c>
      <c r="C66" s="80">
        <f ca="1">IF(Tabella678[[#This Row],[Age]]=$C$5,$C$10,IF(Tabella678[[#This Row],[Age]]&lt;$C$5,$C$10-($C$5-Tabella678[[#This Row],[Age]]),IF(Tabella678[[#This Row],[Age]]&gt;$C$5,$C$10+Tabella678[[#This Row],[Age]]-$C$5)))</f>
        <v>2067</v>
      </c>
      <c r="D66" s="4">
        <f>IF(AND(Tabella678[[#This Row],[Age]]&gt;=$C$5, Tabella678[[#This Row],[Age]]&lt;=$C$9),$C$6,0)</f>
        <v>0</v>
      </c>
      <c r="E66" s="4">
        <f>IF(Tabella678[[#This Row],[Gross Base Salary]]=0,Tabella678[[#This Row],[Gross Base Salary]], IF(AND(Tabella678[[#This Row],[Gross Base Salary]]&gt;0,E65&gt;0),E65*(1+$C$7),Tabella678[[#This Row],[Gross Base Salary]]))</f>
        <v>0</v>
      </c>
      <c r="F66" s="4">
        <f>IF(Tabella678[[#This Row],[Gross Base Salary]]=0,Tabella678[[#This Row],[Gross Base Salary]], IF(AND(Tabella678[[#This Row],[Gross Base Salary]]&gt;0,F65&gt;0),F65*(1+$C$8),Tabella678[[#This Row],[Gross Base Salary]]))</f>
        <v>0</v>
      </c>
      <c r="G66" s="4">
        <f>Tabella678[[#This Row],[Salary + inflation]]+Tabella678[[#This Row],[Salary + salary increases]]-(Tabella678[[#This Row],[Gross Base Salary]]*2)</f>
        <v>0</v>
      </c>
      <c r="H66" s="4">
        <f>Tabella678[[#This Row],[Inflation + salary increases]]+Tabella678[[#This Row],[Gross Base Salary]]</f>
        <v>0</v>
      </c>
      <c r="I66" s="36">
        <f>IFERROR(IF('General overview'!$C$8="Yes",IF(Tabella678[[#This Row],[Age]]&lt;=$C$9,Tabella678[[#This Row],[Adjusted salary]],$G$110),0),0)</f>
        <v>73212.866902780079</v>
      </c>
      <c r="J66" s="24"/>
    </row>
    <row r="67" spans="2:10">
      <c r="B67" s="80">
        <v>66</v>
      </c>
      <c r="C67" s="80">
        <f ca="1">IF(Tabella678[[#This Row],[Age]]=$C$5,$C$10,IF(Tabella678[[#This Row],[Age]]&lt;$C$5,$C$10-($C$5-Tabella678[[#This Row],[Age]]),IF(Tabella678[[#This Row],[Age]]&gt;$C$5,$C$10+Tabella678[[#This Row],[Age]]-$C$5)))</f>
        <v>2068</v>
      </c>
      <c r="D67" s="4">
        <f>IF(AND(Tabella678[[#This Row],[Age]]&gt;=$C$5, Tabella678[[#This Row],[Age]]&lt;=$C$9),$C$6,0)</f>
        <v>0</v>
      </c>
      <c r="E67" s="4">
        <f>IF(Tabella678[[#This Row],[Gross Base Salary]]=0,Tabella678[[#This Row],[Gross Base Salary]], IF(AND(Tabella678[[#This Row],[Gross Base Salary]]&gt;0,E66&gt;0),E66*(1+$C$7),Tabella678[[#This Row],[Gross Base Salary]]))</f>
        <v>0</v>
      </c>
      <c r="F67" s="4">
        <f>IF(Tabella678[[#This Row],[Gross Base Salary]]=0,Tabella678[[#This Row],[Gross Base Salary]], IF(AND(Tabella678[[#This Row],[Gross Base Salary]]&gt;0,F66&gt;0),F66*(1+$C$8),Tabella678[[#This Row],[Gross Base Salary]]))</f>
        <v>0</v>
      </c>
      <c r="G67" s="4">
        <f>Tabella678[[#This Row],[Salary + inflation]]+Tabella678[[#This Row],[Salary + salary increases]]-(Tabella678[[#This Row],[Gross Base Salary]]*2)</f>
        <v>0</v>
      </c>
      <c r="H67" s="4">
        <f>Tabella678[[#This Row],[Inflation + salary increases]]+Tabella678[[#This Row],[Gross Base Salary]]</f>
        <v>0</v>
      </c>
      <c r="I67" s="36">
        <f>IFERROR(IF('General overview'!$C$8="Yes",IF(Tabella678[[#This Row],[Age]]&lt;=$C$9,Tabella678[[#This Row],[Adjusted salary]],$G$110),0),0)</f>
        <v>73212.866902780079</v>
      </c>
      <c r="J67" s="24"/>
    </row>
    <row r="68" spans="2:10">
      <c r="B68" s="80">
        <v>67</v>
      </c>
      <c r="C68" s="80">
        <f ca="1">IF(Tabella678[[#This Row],[Age]]=$C$5,$C$10,IF(Tabella678[[#This Row],[Age]]&lt;$C$5,$C$10-($C$5-Tabella678[[#This Row],[Age]]),IF(Tabella678[[#This Row],[Age]]&gt;$C$5,$C$10+Tabella678[[#This Row],[Age]]-$C$5)))</f>
        <v>2069</v>
      </c>
      <c r="D68" s="4">
        <f>IF(AND(Tabella678[[#This Row],[Age]]&gt;=$C$5, Tabella678[[#This Row],[Age]]&lt;=$C$9),$C$6,0)</f>
        <v>0</v>
      </c>
      <c r="E68" s="4">
        <f>IF(Tabella678[[#This Row],[Gross Base Salary]]=0,Tabella678[[#This Row],[Gross Base Salary]], IF(AND(Tabella678[[#This Row],[Gross Base Salary]]&gt;0,E67&gt;0),E67*(1+$C$7),Tabella678[[#This Row],[Gross Base Salary]]))</f>
        <v>0</v>
      </c>
      <c r="F68" s="4">
        <f>IF(Tabella678[[#This Row],[Gross Base Salary]]=0,Tabella678[[#This Row],[Gross Base Salary]], IF(AND(Tabella678[[#This Row],[Gross Base Salary]]&gt;0,F67&gt;0),F67*(1+$C$8),Tabella678[[#This Row],[Gross Base Salary]]))</f>
        <v>0</v>
      </c>
      <c r="G68" s="4">
        <f>Tabella678[[#This Row],[Salary + inflation]]+Tabella678[[#This Row],[Salary + salary increases]]-(Tabella678[[#This Row],[Gross Base Salary]]*2)</f>
        <v>0</v>
      </c>
      <c r="H68" s="4">
        <f>Tabella678[[#This Row],[Inflation + salary increases]]+Tabella678[[#This Row],[Gross Base Salary]]</f>
        <v>0</v>
      </c>
      <c r="I68" s="36">
        <f>IFERROR(IF('General overview'!$C$8="Yes",IF(Tabella678[[#This Row],[Age]]&lt;=$C$9,Tabella678[[#This Row],[Adjusted salary]],$G$110),0),0)</f>
        <v>73212.866902780079</v>
      </c>
      <c r="J68" s="24"/>
    </row>
    <row r="69" spans="2:10">
      <c r="B69" s="80">
        <v>68</v>
      </c>
      <c r="C69" s="80">
        <f ca="1">IF(Tabella678[[#This Row],[Age]]=$C$5,$C$10,IF(Tabella678[[#This Row],[Age]]&lt;$C$5,$C$10-($C$5-Tabella678[[#This Row],[Age]]),IF(Tabella678[[#This Row],[Age]]&gt;$C$5,$C$10+Tabella678[[#This Row],[Age]]-$C$5)))</f>
        <v>2070</v>
      </c>
      <c r="D69" s="4">
        <f>IF(AND(Tabella678[[#This Row],[Age]]&gt;=$C$5, Tabella678[[#This Row],[Age]]&lt;=$C$9),$C$6,0)</f>
        <v>0</v>
      </c>
      <c r="E69" s="4">
        <f>IF(Tabella678[[#This Row],[Gross Base Salary]]=0,Tabella678[[#This Row],[Gross Base Salary]], IF(AND(Tabella678[[#This Row],[Gross Base Salary]]&gt;0,E68&gt;0),E68*(1+$C$7),Tabella678[[#This Row],[Gross Base Salary]]))</f>
        <v>0</v>
      </c>
      <c r="F69" s="4">
        <f>IF(Tabella678[[#This Row],[Gross Base Salary]]=0,Tabella678[[#This Row],[Gross Base Salary]], IF(AND(Tabella678[[#This Row],[Gross Base Salary]]&gt;0,F68&gt;0),F68*(1+$C$8),Tabella678[[#This Row],[Gross Base Salary]]))</f>
        <v>0</v>
      </c>
      <c r="G69" s="4">
        <f>Tabella678[[#This Row],[Salary + inflation]]+Tabella678[[#This Row],[Salary + salary increases]]-(Tabella678[[#This Row],[Gross Base Salary]]*2)</f>
        <v>0</v>
      </c>
      <c r="H69" s="4">
        <f>Tabella678[[#This Row],[Inflation + salary increases]]+Tabella678[[#This Row],[Gross Base Salary]]</f>
        <v>0</v>
      </c>
      <c r="I69" s="36">
        <f>IFERROR(IF('General overview'!$C$8="Yes",IF(Tabella678[[#This Row],[Age]]&lt;=$C$9,Tabella678[[#This Row],[Adjusted salary]],$G$110),0),0)</f>
        <v>73212.866902780079</v>
      </c>
      <c r="J69" s="24"/>
    </row>
    <row r="70" spans="2:10">
      <c r="B70" s="80">
        <v>69</v>
      </c>
      <c r="C70" s="80">
        <f ca="1">IF(Tabella678[[#This Row],[Age]]=$C$5,$C$10,IF(Tabella678[[#This Row],[Age]]&lt;$C$5,$C$10-($C$5-Tabella678[[#This Row],[Age]]),IF(Tabella678[[#This Row],[Age]]&gt;$C$5,$C$10+Tabella678[[#This Row],[Age]]-$C$5)))</f>
        <v>2071</v>
      </c>
      <c r="D70" s="4">
        <f>IF(AND(Tabella678[[#This Row],[Age]]&gt;=$C$5, Tabella678[[#This Row],[Age]]&lt;=$C$9),$C$6,0)</f>
        <v>0</v>
      </c>
      <c r="E70" s="4">
        <f>IF(Tabella678[[#This Row],[Gross Base Salary]]=0,Tabella678[[#This Row],[Gross Base Salary]], IF(AND(Tabella678[[#This Row],[Gross Base Salary]]&gt;0,E69&gt;0),E69*(1+$C$7),Tabella678[[#This Row],[Gross Base Salary]]))</f>
        <v>0</v>
      </c>
      <c r="F70" s="4">
        <f>IF(Tabella678[[#This Row],[Gross Base Salary]]=0,Tabella678[[#This Row],[Gross Base Salary]], IF(AND(Tabella678[[#This Row],[Gross Base Salary]]&gt;0,F69&gt;0),F69*(1+$C$8),Tabella678[[#This Row],[Gross Base Salary]]))</f>
        <v>0</v>
      </c>
      <c r="G70" s="4">
        <f>Tabella678[[#This Row],[Salary + inflation]]+Tabella678[[#This Row],[Salary + salary increases]]-(Tabella678[[#This Row],[Gross Base Salary]]*2)</f>
        <v>0</v>
      </c>
      <c r="H70" s="4">
        <f>Tabella678[[#This Row],[Inflation + salary increases]]+Tabella678[[#This Row],[Gross Base Salary]]</f>
        <v>0</v>
      </c>
      <c r="I70" s="36">
        <f>IFERROR(IF('General overview'!$C$8="Yes",IF(Tabella678[[#This Row],[Age]]&lt;=$C$9,Tabella678[[#This Row],[Adjusted salary]],$G$110),0),0)</f>
        <v>73212.866902780079</v>
      </c>
      <c r="J70" s="24"/>
    </row>
    <row r="71" spans="2:10">
      <c r="B71" s="80">
        <v>70</v>
      </c>
      <c r="C71" s="80">
        <f ca="1">IF(Tabella678[[#This Row],[Age]]=$C$5,$C$10,IF(Tabella678[[#This Row],[Age]]&lt;$C$5,$C$10-($C$5-Tabella678[[#This Row],[Age]]),IF(Tabella678[[#This Row],[Age]]&gt;$C$5,$C$10+Tabella678[[#This Row],[Age]]-$C$5)))</f>
        <v>2072</v>
      </c>
      <c r="D71" s="4">
        <f>IF(AND(Tabella678[[#This Row],[Age]]&gt;=$C$5, Tabella678[[#This Row],[Age]]&lt;=$C$9),$C$6,0)</f>
        <v>0</v>
      </c>
      <c r="E71" s="4">
        <f>IF(Tabella678[[#This Row],[Gross Base Salary]]=0,Tabella678[[#This Row],[Gross Base Salary]], IF(AND(Tabella678[[#This Row],[Gross Base Salary]]&gt;0,E70&gt;0),E70*(1+$C$7),Tabella678[[#This Row],[Gross Base Salary]]))</f>
        <v>0</v>
      </c>
      <c r="F71" s="4">
        <f>IF(Tabella678[[#This Row],[Gross Base Salary]]=0,Tabella678[[#This Row],[Gross Base Salary]], IF(AND(Tabella678[[#This Row],[Gross Base Salary]]&gt;0,F70&gt;0),F70*(1+$C$8),Tabella678[[#This Row],[Gross Base Salary]]))</f>
        <v>0</v>
      </c>
      <c r="G71" s="4">
        <f>Tabella678[[#This Row],[Salary + inflation]]+Tabella678[[#This Row],[Salary + salary increases]]-(Tabella678[[#This Row],[Gross Base Salary]]*2)</f>
        <v>0</v>
      </c>
      <c r="H71" s="36">
        <f>Tabella678[[#This Row],[Inflation + salary increases]]+Tabella678[[#This Row],[Gross Base Salary]]</f>
        <v>0</v>
      </c>
      <c r="I71" s="36">
        <f>IFERROR(IF('General overview'!$C$8="Yes",IF(Tabella678[[#This Row],[Age]]&lt;=$C$9,Tabella678[[#This Row],[Adjusted salary]],$G$110),0),0)</f>
        <v>73212.866902780079</v>
      </c>
      <c r="J71" s="28"/>
    </row>
    <row r="72" spans="2:10">
      <c r="B72" s="80">
        <v>71</v>
      </c>
      <c r="C72" s="80">
        <f ca="1">IF(Tabella678[[#This Row],[Age]]=$C$5,$C$10,IF(Tabella678[[#This Row],[Age]]&lt;$C$5,$C$10-($C$5-Tabella678[[#This Row],[Age]]),IF(Tabella678[[#This Row],[Age]]&gt;$C$5,$C$10+Tabella678[[#This Row],[Age]]-$C$5)))</f>
        <v>2073</v>
      </c>
      <c r="D72" s="115">
        <f>IF(AND(Tabella678[[#This Row],[Age]]&gt;=$C$5, Tabella678[[#This Row],[Age]]&lt;=$C$9),$C$6,0)</f>
        <v>0</v>
      </c>
      <c r="E72" s="115">
        <f>Tabella678[[#This Row],[Gross Base Salary]]*(1+$C$7)</f>
        <v>0</v>
      </c>
      <c r="F72" s="115">
        <f>IF(Tabella678[[#This Row],[Gross Base Salary]]=0,Tabella678[[#This Row],[Gross Base Salary]], IF(AND(Tabella678[[#This Row],[Gross Base Salary]]&gt;0,F71&gt;0),F71*(1+$C$8),Tabella678[[#This Row],[Gross Base Salary]]))</f>
        <v>0</v>
      </c>
      <c r="G72" s="115">
        <f>Tabella678[[#This Row],[Salary + inflation]]+Tabella678[[#This Row],[Salary + salary increases]]-(Tabella678[[#This Row],[Gross Base Salary]]*2)</f>
        <v>0</v>
      </c>
      <c r="H72" s="115">
        <f>Tabella678[[#This Row],[Inflation + salary increases]]+Tabella678[[#This Row],[Gross Base Salary]]</f>
        <v>0</v>
      </c>
      <c r="I72" s="176">
        <f>IFERROR(IF('General overview'!$C$8="Yes",IF(Tabella678[[#This Row],[Age]]&lt;=$C$9,Tabella678[[#This Row],[Adjusted salary]],$G$110),0),0)</f>
        <v>73212.866902780079</v>
      </c>
    </row>
    <row r="73" spans="2:10">
      <c r="B73" s="80">
        <v>72</v>
      </c>
      <c r="C73" s="80">
        <f ca="1">IF(Tabella678[[#This Row],[Age]]=$C$5,$C$10,IF(Tabella678[[#This Row],[Age]]&lt;$C$5,$C$10-($C$5-Tabella678[[#This Row],[Age]]),IF(Tabella678[[#This Row],[Age]]&gt;$C$5,$C$10+Tabella678[[#This Row],[Age]]-$C$5)))</f>
        <v>2074</v>
      </c>
      <c r="D73" s="115">
        <f>IF(AND(Tabella678[[#This Row],[Age]]&gt;=$C$5, Tabella678[[#This Row],[Age]]&lt;=$C$9),$C$6,0)</f>
        <v>0</v>
      </c>
      <c r="E73" s="115">
        <f>Tabella678[[#This Row],[Gross Base Salary]]*(1+$C$7)</f>
        <v>0</v>
      </c>
      <c r="F73" s="115">
        <f>IF(Tabella678[[#This Row],[Gross Base Salary]]=0,Tabella678[[#This Row],[Gross Base Salary]], IF(AND(Tabella678[[#This Row],[Gross Base Salary]]&gt;0,F72&gt;0),F72*(1+$C$8),Tabella678[[#This Row],[Gross Base Salary]]))</f>
        <v>0</v>
      </c>
      <c r="G73" s="115">
        <f>Tabella678[[#This Row],[Salary + inflation]]+Tabella678[[#This Row],[Salary + salary increases]]-(Tabella678[[#This Row],[Gross Base Salary]]*2)</f>
        <v>0</v>
      </c>
      <c r="H73" s="115">
        <f>Tabella678[[#This Row],[Inflation + salary increases]]+Tabella678[[#This Row],[Gross Base Salary]]</f>
        <v>0</v>
      </c>
      <c r="I73" s="176">
        <f>IFERROR(IF('General overview'!$C$8="Yes",IF(Tabella678[[#This Row],[Age]]&lt;=$C$9,Tabella678[[#This Row],[Adjusted salary]],$G$110),0),0)</f>
        <v>73212.866902780079</v>
      </c>
    </row>
    <row r="74" spans="2:10">
      <c r="B74" s="80">
        <v>73</v>
      </c>
      <c r="C74" s="80">
        <f ca="1">IF(Tabella678[[#This Row],[Age]]=$C$5,$C$10,IF(Tabella678[[#This Row],[Age]]&lt;$C$5,$C$10-($C$5-Tabella678[[#This Row],[Age]]),IF(Tabella678[[#This Row],[Age]]&gt;$C$5,$C$10+Tabella678[[#This Row],[Age]]-$C$5)))</f>
        <v>2075</v>
      </c>
      <c r="D74" s="115">
        <f>IF(AND(Tabella678[[#This Row],[Age]]&gt;=$C$5, Tabella678[[#This Row],[Age]]&lt;=$C$9),$C$6,0)</f>
        <v>0</v>
      </c>
      <c r="E74" s="115">
        <f>Tabella678[[#This Row],[Gross Base Salary]]*(1+$C$7)</f>
        <v>0</v>
      </c>
      <c r="F74" s="115">
        <f>IF(Tabella678[[#This Row],[Gross Base Salary]]=0,Tabella678[[#This Row],[Gross Base Salary]], IF(AND(Tabella678[[#This Row],[Gross Base Salary]]&gt;0,F73&gt;0),F73*(1+$C$8),Tabella678[[#This Row],[Gross Base Salary]]))</f>
        <v>0</v>
      </c>
      <c r="G74" s="115">
        <f>Tabella678[[#This Row],[Salary + inflation]]+Tabella678[[#This Row],[Salary + salary increases]]-(Tabella678[[#This Row],[Gross Base Salary]]*2)</f>
        <v>0</v>
      </c>
      <c r="H74" s="115">
        <f>Tabella678[[#This Row],[Inflation + salary increases]]+Tabella678[[#This Row],[Gross Base Salary]]</f>
        <v>0</v>
      </c>
      <c r="I74" s="176">
        <f>IFERROR(IF('General overview'!$C$8="Yes",IF(Tabella678[[#This Row],[Age]]&lt;=$C$9,Tabella678[[#This Row],[Adjusted salary]],$G$110),0),0)</f>
        <v>73212.866902780079</v>
      </c>
    </row>
    <row r="75" spans="2:10">
      <c r="B75" s="80">
        <v>74</v>
      </c>
      <c r="C75" s="80">
        <f ca="1">IF(Tabella678[[#This Row],[Age]]=$C$5,$C$10,IF(Tabella678[[#This Row],[Age]]&lt;$C$5,$C$10-($C$5-Tabella678[[#This Row],[Age]]),IF(Tabella678[[#This Row],[Age]]&gt;$C$5,$C$10+Tabella678[[#This Row],[Age]]-$C$5)))</f>
        <v>2076</v>
      </c>
      <c r="D75" s="115">
        <f>IF(AND(Tabella678[[#This Row],[Age]]&gt;=$C$5, Tabella678[[#This Row],[Age]]&lt;=$C$9),$C$6,0)</f>
        <v>0</v>
      </c>
      <c r="E75" s="115">
        <f>Tabella678[[#This Row],[Gross Base Salary]]*(1+$C$7)</f>
        <v>0</v>
      </c>
      <c r="F75" s="115">
        <f>IF(Tabella678[[#This Row],[Gross Base Salary]]=0,Tabella678[[#This Row],[Gross Base Salary]], IF(AND(Tabella678[[#This Row],[Gross Base Salary]]&gt;0,F74&gt;0),F74*(1+$C$8),Tabella678[[#This Row],[Gross Base Salary]]))</f>
        <v>0</v>
      </c>
      <c r="G75" s="115">
        <f>Tabella678[[#This Row],[Salary + inflation]]+Tabella678[[#This Row],[Salary + salary increases]]-(Tabella678[[#This Row],[Gross Base Salary]]*2)</f>
        <v>0</v>
      </c>
      <c r="H75" s="115">
        <f>Tabella678[[#This Row],[Inflation + salary increases]]+Tabella678[[#This Row],[Gross Base Salary]]</f>
        <v>0</v>
      </c>
      <c r="I75" s="176">
        <f>IFERROR(IF('General overview'!$C$8="Yes",IF(Tabella678[[#This Row],[Age]]&lt;=$C$9,Tabella678[[#This Row],[Adjusted salary]],$G$110),0),0)</f>
        <v>73212.866902780079</v>
      </c>
    </row>
    <row r="76" spans="2:10">
      <c r="B76" s="80">
        <v>75</v>
      </c>
      <c r="C76" s="80">
        <f ca="1">IF(Tabella678[[#This Row],[Age]]=$C$5,$C$10,IF(Tabella678[[#This Row],[Age]]&lt;$C$5,$C$10-($C$5-Tabella678[[#This Row],[Age]]),IF(Tabella678[[#This Row],[Age]]&gt;$C$5,$C$10+Tabella678[[#This Row],[Age]]-$C$5)))</f>
        <v>2077</v>
      </c>
      <c r="D76" s="115">
        <f>IF(AND(Tabella678[[#This Row],[Age]]&gt;=$C$5, Tabella678[[#This Row],[Age]]&lt;=$C$9),$C$6,0)</f>
        <v>0</v>
      </c>
      <c r="E76" s="115">
        <f>Tabella678[[#This Row],[Gross Base Salary]]*(1+$C$7)</f>
        <v>0</v>
      </c>
      <c r="F76" s="115">
        <f>IF(Tabella678[[#This Row],[Gross Base Salary]]=0,Tabella678[[#This Row],[Gross Base Salary]], IF(AND(Tabella678[[#This Row],[Gross Base Salary]]&gt;0,F75&gt;0),F75*(1+$C$8),Tabella678[[#This Row],[Gross Base Salary]]))</f>
        <v>0</v>
      </c>
      <c r="G76" s="115">
        <f>Tabella678[[#This Row],[Salary + inflation]]+Tabella678[[#This Row],[Salary + salary increases]]-(Tabella678[[#This Row],[Gross Base Salary]]*2)</f>
        <v>0</v>
      </c>
      <c r="H76" s="115">
        <f>Tabella678[[#This Row],[Inflation + salary increases]]+Tabella678[[#This Row],[Gross Base Salary]]</f>
        <v>0</v>
      </c>
      <c r="I76" s="206">
        <f>IFERROR(IF('General overview'!$C$8="Yes",IF(Tabella678[[#This Row],[Age]]&lt;=$C$9,Tabella678[[#This Row],[Adjusted salary]],$G$110),0),0)</f>
        <v>73212.866902780079</v>
      </c>
    </row>
    <row r="77" spans="2:10">
      <c r="B77" s="80">
        <v>76</v>
      </c>
      <c r="C77" s="80">
        <f ca="1">IF(Tabella678[[#This Row],[Age]]=$C$5,$C$10,IF(Tabella678[[#This Row],[Age]]&lt;$C$5,$C$10-($C$5-Tabella678[[#This Row],[Age]]),IF(Tabella678[[#This Row],[Age]]&gt;$C$5,$C$10+Tabella678[[#This Row],[Age]]-$C$5)))</f>
        <v>2078</v>
      </c>
      <c r="D77" s="115">
        <f>IF(AND(Tabella678[[#This Row],[Age]]&gt;=$C$5, Tabella678[[#This Row],[Age]]&lt;=$C$9),$C$6,0)</f>
        <v>0</v>
      </c>
      <c r="E77" s="115">
        <f>Tabella678[[#This Row],[Gross Base Salary]]*(1+$C$7)</f>
        <v>0</v>
      </c>
      <c r="F77" s="115">
        <f>IF(Tabella678[[#This Row],[Gross Base Salary]]=0,Tabella678[[#This Row],[Gross Base Salary]], IF(AND(Tabella678[[#This Row],[Gross Base Salary]]&gt;0,F76&gt;0),F76*(1+$C$8),Tabella678[[#This Row],[Gross Base Salary]]))</f>
        <v>0</v>
      </c>
      <c r="G77" s="115">
        <f>Tabella678[[#This Row],[Salary + inflation]]+Tabella678[[#This Row],[Salary + salary increases]]-(Tabella678[[#This Row],[Gross Base Salary]]*2)</f>
        <v>0</v>
      </c>
      <c r="H77" s="115">
        <f>Tabella678[[#This Row],[Inflation + salary increases]]+Tabella678[[#This Row],[Gross Base Salary]]</f>
        <v>0</v>
      </c>
      <c r="I77" s="176">
        <f>IFERROR(IF('General overview'!$C$8="Yes",IF(Tabella678[[#This Row],[Age]]&lt;=$C$9,Tabella678[[#This Row],[Adjusted salary]],$G$110),0),0)</f>
        <v>73212.866902780079</v>
      </c>
    </row>
    <row r="78" spans="2:10">
      <c r="B78" s="80">
        <v>77</v>
      </c>
      <c r="C78" s="80">
        <f ca="1">IF(Tabella678[[#This Row],[Age]]=$C$5,$C$10,IF(Tabella678[[#This Row],[Age]]&lt;$C$5,$C$10-($C$5-Tabella678[[#This Row],[Age]]),IF(Tabella678[[#This Row],[Age]]&gt;$C$5,$C$10+Tabella678[[#This Row],[Age]]-$C$5)))</f>
        <v>2079</v>
      </c>
      <c r="D78" s="115">
        <f>IF(AND(Tabella678[[#This Row],[Age]]&gt;=$C$5, Tabella678[[#This Row],[Age]]&lt;=$C$9),$C$6,0)</f>
        <v>0</v>
      </c>
      <c r="E78" s="115">
        <f>Tabella678[[#This Row],[Gross Base Salary]]*(1+$C$7)</f>
        <v>0</v>
      </c>
      <c r="F78" s="115">
        <f>IF(Tabella678[[#This Row],[Gross Base Salary]]=0,Tabella678[[#This Row],[Gross Base Salary]], IF(AND(Tabella678[[#This Row],[Gross Base Salary]]&gt;0,F77&gt;0),F77*(1+$C$8),Tabella678[[#This Row],[Gross Base Salary]]))</f>
        <v>0</v>
      </c>
      <c r="G78" s="115">
        <f>Tabella678[[#This Row],[Salary + inflation]]+Tabella678[[#This Row],[Salary + salary increases]]-(Tabella678[[#This Row],[Gross Base Salary]]*2)</f>
        <v>0</v>
      </c>
      <c r="H78" s="115">
        <f>Tabella678[[#This Row],[Inflation + salary increases]]+Tabella678[[#This Row],[Gross Base Salary]]</f>
        <v>0</v>
      </c>
      <c r="I78" s="176">
        <f>IFERROR(IF('General overview'!$C$8="Yes",IF(Tabella678[[#This Row],[Age]]&lt;=$C$9,Tabella678[[#This Row],[Adjusted salary]],$G$110),0),0)</f>
        <v>73212.866902780079</v>
      </c>
    </row>
    <row r="79" spans="2:10">
      <c r="B79" s="80">
        <v>78</v>
      </c>
      <c r="C79" s="80">
        <f ca="1">IF(Tabella678[[#This Row],[Age]]=$C$5,$C$10,IF(Tabella678[[#This Row],[Age]]&lt;$C$5,$C$10-($C$5-Tabella678[[#This Row],[Age]]),IF(Tabella678[[#This Row],[Age]]&gt;$C$5,$C$10+Tabella678[[#This Row],[Age]]-$C$5)))</f>
        <v>2080</v>
      </c>
      <c r="D79" s="115">
        <f>IF(AND(Tabella678[[#This Row],[Age]]&gt;=$C$5, Tabella678[[#This Row],[Age]]&lt;=$C$9),$C$6,0)</f>
        <v>0</v>
      </c>
      <c r="E79" s="115">
        <f>Tabella678[[#This Row],[Gross Base Salary]]*(1+$C$7)</f>
        <v>0</v>
      </c>
      <c r="F79" s="115">
        <f>IF(Tabella678[[#This Row],[Gross Base Salary]]=0,Tabella678[[#This Row],[Gross Base Salary]], IF(AND(Tabella678[[#This Row],[Gross Base Salary]]&gt;0,F78&gt;0),F78*(1+$C$8),Tabella678[[#This Row],[Gross Base Salary]]))</f>
        <v>0</v>
      </c>
      <c r="G79" s="115">
        <f>Tabella678[[#This Row],[Salary + inflation]]+Tabella678[[#This Row],[Salary + salary increases]]-(Tabella678[[#This Row],[Gross Base Salary]]*2)</f>
        <v>0</v>
      </c>
      <c r="H79" s="115">
        <f>Tabella678[[#This Row],[Inflation + salary increases]]+Tabella678[[#This Row],[Gross Base Salary]]</f>
        <v>0</v>
      </c>
      <c r="I79" s="176">
        <f>IFERROR(IF('General overview'!$C$8="Yes",IF(Tabella678[[#This Row],[Age]]&lt;=$C$9,Tabella678[[#This Row],[Adjusted salary]],$G$110),0),0)</f>
        <v>73212.866902780079</v>
      </c>
    </row>
    <row r="80" spans="2:10">
      <c r="B80" s="80">
        <v>79</v>
      </c>
      <c r="C80" s="80">
        <f ca="1">IF(Tabella678[[#This Row],[Age]]=$C$5,$C$10,IF(Tabella678[[#This Row],[Age]]&lt;$C$5,$C$10-($C$5-Tabella678[[#This Row],[Age]]),IF(Tabella678[[#This Row],[Age]]&gt;$C$5,$C$10+Tabella678[[#This Row],[Age]]-$C$5)))</f>
        <v>2081</v>
      </c>
      <c r="D80" s="115">
        <f>IF(AND(Tabella678[[#This Row],[Age]]&gt;=$C$5, Tabella678[[#This Row],[Age]]&lt;=$C$9),$C$6,0)</f>
        <v>0</v>
      </c>
      <c r="E80" s="115">
        <f>Tabella678[[#This Row],[Gross Base Salary]]*(1+$C$7)</f>
        <v>0</v>
      </c>
      <c r="F80" s="115">
        <f>IF(Tabella678[[#This Row],[Gross Base Salary]]=0,Tabella678[[#This Row],[Gross Base Salary]], IF(AND(Tabella678[[#This Row],[Gross Base Salary]]&gt;0,F79&gt;0),F79*(1+$C$8),Tabella678[[#This Row],[Gross Base Salary]]))</f>
        <v>0</v>
      </c>
      <c r="G80" s="115">
        <f>Tabella678[[#This Row],[Salary + inflation]]+Tabella678[[#This Row],[Salary + salary increases]]-(Tabella678[[#This Row],[Gross Base Salary]]*2)</f>
        <v>0</v>
      </c>
      <c r="H80" s="115">
        <f>Tabella678[[#This Row],[Inflation + salary increases]]+Tabella678[[#This Row],[Gross Base Salary]]</f>
        <v>0</v>
      </c>
      <c r="I80" s="176">
        <f>IFERROR(IF('General overview'!$C$8="Yes",IF(Tabella678[[#This Row],[Age]]&lt;=$C$9,Tabella678[[#This Row],[Adjusted salary]],$G$110),0),0)</f>
        <v>73212.866902780079</v>
      </c>
    </row>
    <row r="81" spans="2:25">
      <c r="B81" s="80">
        <v>80</v>
      </c>
      <c r="C81" s="80">
        <f ca="1">IF(Tabella678[[#This Row],[Age]]=$C$5,$C$10,IF(Tabella678[[#This Row],[Age]]&lt;$C$5,$C$10-($C$5-Tabella678[[#This Row],[Age]]),IF(Tabella678[[#This Row],[Age]]&gt;$C$5,$C$10+Tabella678[[#This Row],[Age]]-$C$5)))</f>
        <v>2082</v>
      </c>
      <c r="D81" s="115">
        <f>IF(AND(Tabella678[[#This Row],[Age]]&gt;=$C$5, Tabella678[[#This Row],[Age]]&lt;=$C$9),$C$6,0)</f>
        <v>0</v>
      </c>
      <c r="E81" s="115">
        <f>Tabella678[[#This Row],[Gross Base Salary]]*(1+$C$7)</f>
        <v>0</v>
      </c>
      <c r="F81" s="115">
        <f>IF(Tabella678[[#This Row],[Gross Base Salary]]=0,Tabella678[[#This Row],[Gross Base Salary]], IF(AND(Tabella678[[#This Row],[Gross Base Salary]]&gt;0,F80&gt;0),F80*(1+$C$8),Tabella678[[#This Row],[Gross Base Salary]]))</f>
        <v>0</v>
      </c>
      <c r="G81" s="115">
        <f>Tabella678[[#This Row],[Salary + inflation]]+Tabella678[[#This Row],[Salary + salary increases]]-(Tabella678[[#This Row],[Gross Base Salary]]*2)</f>
        <v>0</v>
      </c>
      <c r="H81" s="115">
        <f>Tabella678[[#This Row],[Inflation + salary increases]]+Tabella678[[#This Row],[Gross Base Salary]]</f>
        <v>0</v>
      </c>
      <c r="I81" s="176">
        <f>IFERROR(IF('General overview'!$C$8="Yes",IF(Tabella678[[#This Row],[Age]]&lt;=$C$9,Tabella678[[#This Row],[Adjusted salary]],$G$110),0),0)</f>
        <v>73212.866902780079</v>
      </c>
    </row>
    <row r="82" spans="2:25">
      <c r="B82" s="80">
        <v>81</v>
      </c>
      <c r="C82" s="80">
        <f ca="1">IF(Tabella678[[#This Row],[Age]]=$C$5,$C$10,IF(Tabella678[[#This Row],[Age]]&lt;$C$5,$C$10-($C$5-Tabella678[[#This Row],[Age]]),IF(Tabella678[[#This Row],[Age]]&gt;$C$5,$C$10+Tabella678[[#This Row],[Age]]-$C$5)))</f>
        <v>2083</v>
      </c>
      <c r="D82" s="115">
        <f>IF(AND(Tabella678[[#This Row],[Age]]&gt;=$C$5, Tabella678[[#This Row],[Age]]&lt;=$C$9),$C$6,0)</f>
        <v>0</v>
      </c>
      <c r="E82" s="115">
        <f>Tabella678[[#This Row],[Gross Base Salary]]*(1+$C$7)</f>
        <v>0</v>
      </c>
      <c r="F82" s="115">
        <f>IF(Tabella678[[#This Row],[Gross Base Salary]]=0,Tabella678[[#This Row],[Gross Base Salary]], IF(AND(Tabella678[[#This Row],[Gross Base Salary]]&gt;0,F81&gt;0),F81*(1+$C$8),Tabella678[[#This Row],[Gross Base Salary]]))</f>
        <v>0</v>
      </c>
      <c r="G82" s="115">
        <f>Tabella678[[#This Row],[Salary + inflation]]+Tabella678[[#This Row],[Salary + salary increases]]-(Tabella678[[#This Row],[Gross Base Salary]]*2)</f>
        <v>0</v>
      </c>
      <c r="H82" s="115">
        <f>Tabella678[[#This Row],[Inflation + salary increases]]+Tabella678[[#This Row],[Gross Base Salary]]</f>
        <v>0</v>
      </c>
      <c r="I82" s="176">
        <f>IFERROR(IF('General overview'!$C$8="Yes",IF(Tabella678[[#This Row],[Age]]&lt;=$C$9,Tabella678[[#This Row],[Adjusted salary]],$G$110),0),0)</f>
        <v>73212.866902780079</v>
      </c>
    </row>
    <row r="83" spans="2:25">
      <c r="B83" s="80">
        <v>82</v>
      </c>
      <c r="C83" s="80">
        <f ca="1">IF(Tabella678[[#This Row],[Age]]=$C$5,$C$10,IF(Tabella678[[#This Row],[Age]]&lt;$C$5,$C$10-($C$5-Tabella678[[#This Row],[Age]]),IF(Tabella678[[#This Row],[Age]]&gt;$C$5,$C$10+Tabella678[[#This Row],[Age]]-$C$5)))</f>
        <v>2084</v>
      </c>
      <c r="D83" s="115">
        <f>IF(AND(Tabella678[[#This Row],[Age]]&gt;=$C$5, Tabella678[[#This Row],[Age]]&lt;=$C$9),$C$6,0)</f>
        <v>0</v>
      </c>
      <c r="E83" s="115">
        <f>Tabella678[[#This Row],[Gross Base Salary]]*(1+$C$7)</f>
        <v>0</v>
      </c>
      <c r="F83" s="115">
        <f>IF(Tabella678[[#This Row],[Gross Base Salary]]=0,Tabella678[[#This Row],[Gross Base Salary]], IF(AND(Tabella678[[#This Row],[Gross Base Salary]]&gt;0,F82&gt;0),F82*(1+$C$8),Tabella678[[#This Row],[Gross Base Salary]]))</f>
        <v>0</v>
      </c>
      <c r="G83" s="115">
        <f>Tabella678[[#This Row],[Salary + inflation]]+Tabella678[[#This Row],[Salary + salary increases]]-(Tabella678[[#This Row],[Gross Base Salary]]*2)</f>
        <v>0</v>
      </c>
      <c r="H83" s="115">
        <f>Tabella678[[#This Row],[Inflation + salary increases]]+Tabella678[[#This Row],[Gross Base Salary]]</f>
        <v>0</v>
      </c>
      <c r="I83" s="176">
        <f>IFERROR(IF('General overview'!$C$8="Yes",IF(Tabella678[[#This Row],[Age]]&lt;=$C$9,Tabella678[[#This Row],[Adjusted salary]],$G$110),0),0)</f>
        <v>73212.866902780079</v>
      </c>
    </row>
    <row r="84" spans="2:25">
      <c r="B84" s="80">
        <v>83</v>
      </c>
      <c r="C84" s="80">
        <f ca="1">IF(Tabella678[[#This Row],[Age]]=$C$5,$C$10,IF(Tabella678[[#This Row],[Age]]&lt;$C$5,$C$10-($C$5-Tabella678[[#This Row],[Age]]),IF(Tabella678[[#This Row],[Age]]&gt;$C$5,$C$10+Tabella678[[#This Row],[Age]]-$C$5)))</f>
        <v>2085</v>
      </c>
      <c r="D84" s="115">
        <f>IF(AND(Tabella678[[#This Row],[Age]]&gt;=$C$5, Tabella678[[#This Row],[Age]]&lt;=$C$9),$C$6,0)</f>
        <v>0</v>
      </c>
      <c r="E84" s="115">
        <f>Tabella678[[#This Row],[Gross Base Salary]]*(1+$C$7)</f>
        <v>0</v>
      </c>
      <c r="F84" s="115">
        <f>IF(Tabella678[[#This Row],[Gross Base Salary]]=0,Tabella678[[#This Row],[Gross Base Salary]], IF(AND(Tabella678[[#This Row],[Gross Base Salary]]&gt;0,F83&gt;0),F83*(1+$C$8),Tabella678[[#This Row],[Gross Base Salary]]))</f>
        <v>0</v>
      </c>
      <c r="G84" s="115">
        <f>Tabella678[[#This Row],[Salary + inflation]]+Tabella678[[#This Row],[Salary + salary increases]]-(Tabella678[[#This Row],[Gross Base Salary]]*2)</f>
        <v>0</v>
      </c>
      <c r="H84" s="115">
        <f>Tabella678[[#This Row],[Inflation + salary increases]]+Tabella678[[#This Row],[Gross Base Salary]]</f>
        <v>0</v>
      </c>
      <c r="I84" s="176">
        <f>IFERROR(IF('General overview'!$C$8="Yes",IF(Tabella678[[#This Row],[Age]]&lt;=$C$9,Tabella678[[#This Row],[Adjusted salary]],$G$110),0),0)</f>
        <v>73212.866902780079</v>
      </c>
    </row>
    <row r="88" spans="2:25">
      <c r="B88" s="7" t="s">
        <v>77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</row>
    <row r="90" spans="2:25">
      <c r="B90" s="7" t="s">
        <v>66</v>
      </c>
      <c r="C90" s="21"/>
    </row>
    <row r="91" spans="2:25">
      <c r="B91" s="26" t="s">
        <v>13</v>
      </c>
      <c r="C91" s="203">
        <f>C5</f>
        <v>22</v>
      </c>
    </row>
    <row r="92" spans="2:25">
      <c r="B92" s="26" t="s">
        <v>67</v>
      </c>
      <c r="C92" s="27">
        <f>C6</f>
        <v>70000</v>
      </c>
    </row>
    <row r="93" spans="2:25">
      <c r="B93" s="32"/>
      <c r="C93" s="31"/>
    </row>
    <row r="94" spans="2:25" ht="17">
      <c r="B94" s="33" t="s">
        <v>78</v>
      </c>
      <c r="C94" s="34"/>
      <c r="D94" s="7"/>
      <c r="F94" s="7" t="s">
        <v>79</v>
      </c>
      <c r="G94" s="7"/>
      <c r="H94" s="57"/>
      <c r="I94" s="7" t="s">
        <v>13</v>
      </c>
      <c r="J94" s="68" t="s">
        <v>16</v>
      </c>
      <c r="K94" s="7" t="s">
        <v>80</v>
      </c>
      <c r="L94" s="68" t="s">
        <v>81</v>
      </c>
      <c r="M94" s="68" t="s">
        <v>82</v>
      </c>
      <c r="N94" s="68" t="s">
        <v>83</v>
      </c>
      <c r="O94" s="68" t="s">
        <v>84</v>
      </c>
      <c r="P94" s="68" t="s">
        <v>85</v>
      </c>
      <c r="Q94" s="68" t="s">
        <v>86</v>
      </c>
      <c r="R94" s="68" t="s">
        <v>87</v>
      </c>
      <c r="S94" s="68" t="s">
        <v>88</v>
      </c>
      <c r="T94" s="68" t="s">
        <v>89</v>
      </c>
      <c r="U94" s="68" t="s">
        <v>90</v>
      </c>
      <c r="V94" s="68" t="s">
        <v>91</v>
      </c>
      <c r="W94" s="68" t="s">
        <v>49</v>
      </c>
      <c r="X94" s="68" t="s">
        <v>92</v>
      </c>
      <c r="Y94" s="18"/>
    </row>
    <row r="95" spans="2:25">
      <c r="B95" s="2" t="s">
        <v>93</v>
      </c>
      <c r="C95" s="35">
        <v>5.2999999999999999E-2</v>
      </c>
      <c r="D95" s="36">
        <f>C95*C92</f>
        <v>3710</v>
      </c>
      <c r="F95" s="14" t="s">
        <v>94</v>
      </c>
      <c r="G95" s="50" t="s">
        <v>12</v>
      </c>
      <c r="H95" s="58"/>
      <c r="I95" s="51">
        <f t="shared" ref="I95:I126" si="0">B21</f>
        <v>20</v>
      </c>
      <c r="J95" s="51">
        <f ca="1">IF(Tabella2579[[#This Row],[Age]]=$C$5,$C$10,IF(Tabella2579[[#This Row],[Age]]&lt;$C$5,$C$10-($C$5-Tabella2579[[#This Row],[Age]]),IF(Tabella2579[[#This Row],[Age]]&gt;$C$5,$C$10+Tabella2579[[#This Row],[Age]]-$C$5)))</f>
        <v>2022</v>
      </c>
      <c r="K95" s="64">
        <f t="shared" ref="K95:K126" si="1">H21</f>
        <v>0</v>
      </c>
      <c r="L95" s="64">
        <f>Tabella2579[[#This Row],[Adjusted Salary]]*$C$95+Tabella2579[[#This Row],[Adjusted Salary]]*$C$99+Tabella2579[[#This Row],[Adjusted Salary]]*$C$100</f>
        <v>0</v>
      </c>
      <c r="M95" s="64"/>
      <c r="N95" s="69">
        <v>0</v>
      </c>
      <c r="O95" s="72">
        <f>IF(Tabella2579[[#This Row],[Age]]&lt;25,0, IF(MIN(Tabella2579[[#This Row],[Adjusted Salary]]-$C$112, $C$113)&lt;0,0, MIN(Tabella2579[[#This Row],[Adjusted Salary]]-$C$112,$C$113)))</f>
        <v>0</v>
      </c>
      <c r="P95" s="72">
        <f>IF(Tabella2579[[#This Row],[Age]]&lt;25,0,IF(Tabella2579[[#This Row],[Compulsory contributions]]=88200, Tabella2579[[#This Row],[Adjusted Salary]]-$C$113-$C$112, 0))</f>
        <v>0</v>
      </c>
      <c r="Q95" s="72">
        <f>Tabella2579[[#This Row],[Compulsory contributions]]+Tabella2579[[#This Row],[Over compulsory contributions]]</f>
        <v>0</v>
      </c>
      <c r="R95" s="72">
        <f>Tabella2579[[#This Row],[Contributions]]*Tabella2579[[#This Row],[Retirements credits]]</f>
        <v>0</v>
      </c>
      <c r="S95" s="72">
        <v>0</v>
      </c>
      <c r="T95" s="72">
        <f>Tabella2579[[#This Row],[Retirement assets]]</f>
        <v>0</v>
      </c>
      <c r="U95" s="72"/>
      <c r="V95" s="77">
        <f>IF('General overview'!$C$8="No",0,IF(Tabella2579[[#This Row],[Age]]&lt;=$C$9,(Tabella2579[[#This Row],[Adjusted Salary]]),$G$110))</f>
        <v>0</v>
      </c>
      <c r="W95" s="72">
        <f>Tabella2579[[#This Row],[1° Pillar deductions]]+(Tabella2579[[#This Row],[Retirement assets]]/2)</f>
        <v>0</v>
      </c>
      <c r="X95" s="77">
        <f>Tabella2579[[#This Row],[Salary and pension]]-Tabella2579[[#This Row],[Pension deductions]]</f>
        <v>0</v>
      </c>
      <c r="Y95" s="58"/>
    </row>
    <row r="96" spans="2:25">
      <c r="B96" s="37" t="s">
        <v>95</v>
      </c>
      <c r="C96" s="38">
        <v>4.3499999999999997E-2</v>
      </c>
      <c r="D96" s="4">
        <f>C96*C92</f>
        <v>3045</v>
      </c>
      <c r="F96" s="2" t="s">
        <v>96</v>
      </c>
      <c r="G96" s="4">
        <v>1260</v>
      </c>
      <c r="H96" s="12"/>
      <c r="I96" s="51">
        <f t="shared" si="0"/>
        <v>21</v>
      </c>
      <c r="J96" s="51">
        <f ca="1">IF(Tabella2579[[#This Row],[Age]]=$C$5,$C$10,IF(Tabella2579[[#This Row],[Age]]&lt;$C$5,$C$10-($C$5-Tabella2579[[#This Row],[Age]]),IF(Tabella2579[[#This Row],[Age]]&gt;$C$5,$C$10+Tabella2579[[#This Row],[Age]]-$C$5)))</f>
        <v>2023</v>
      </c>
      <c r="K96" s="65">
        <f t="shared" si="1"/>
        <v>0</v>
      </c>
      <c r="L96" s="65">
        <f>Tabella2579[[#This Row],[Adjusted Salary]]*$C$95+Tabella2579[[#This Row],[Adjusted Salary]]*$C$99+Tabella2579[[#This Row],[Adjusted Salary]]*$C$100</f>
        <v>0</v>
      </c>
      <c r="M96" s="65"/>
      <c r="N96" s="69">
        <v>0</v>
      </c>
      <c r="O96" s="72">
        <f>IF(Tabella2579[[#This Row],[Age]]&lt;25,0, IF(MIN(Tabella2579[[#This Row],[Adjusted Salary]]-$C$112, $C$113)&lt;0,0, MIN(Tabella2579[[#This Row],[Adjusted Salary]]-$C$112,$C$113)))</f>
        <v>0</v>
      </c>
      <c r="P96" s="72">
        <f>IF(Tabella2579[[#This Row],[Age]]&lt;25,0,IF(Tabella2579[[#This Row],[Compulsory contributions]]=88200, Tabella2579[[#This Row],[Adjusted Salary]]-$C$113-$C$112, 0))</f>
        <v>0</v>
      </c>
      <c r="Q96" s="72">
        <f>Tabella2579[[#This Row],[Compulsory contributions]]+Tabella2579[[#This Row],[Over compulsory contributions]]</f>
        <v>0</v>
      </c>
      <c r="R96" s="72">
        <f>Tabella2579[[#This Row],[Contributions]]*Tabella2579[[#This Row],[Retirements credits]]</f>
        <v>0</v>
      </c>
      <c r="S96" s="72">
        <f>T95*$G$102</f>
        <v>0</v>
      </c>
      <c r="T96" s="72">
        <f>T95+Tabella2579[[#This Row],[Retirement assets]]+Tabella2579[[#This Row],[Interests]]</f>
        <v>0</v>
      </c>
      <c r="U96" s="72"/>
      <c r="V96" s="77">
        <f>IF('General overview'!$C$8="No",0,IF(Tabella2579[[#This Row],[Age]]&lt;=$C$9,(Tabella2579[[#This Row],[Adjusted Salary]]),$G$110))</f>
        <v>0</v>
      </c>
      <c r="W96" s="72">
        <f>Tabella2579[[#This Row],[1° Pillar deductions]]+(Tabella2579[[#This Row],[Retirement assets]]/2)</f>
        <v>0</v>
      </c>
      <c r="X96" s="77">
        <f>Tabella2579[[#This Row],[Salary and pension]]-Tabella2579[[#This Row],[Pension deductions]]</f>
        <v>0</v>
      </c>
      <c r="Y96" s="12"/>
    </row>
    <row r="97" spans="2:25">
      <c r="B97" s="37" t="s">
        <v>97</v>
      </c>
      <c r="C97" s="38">
        <v>7.0000000000000001E-3</v>
      </c>
      <c r="D97" s="4">
        <f>C97*C92</f>
        <v>490</v>
      </c>
      <c r="F97" s="2" t="s">
        <v>98</v>
      </c>
      <c r="G97" s="36">
        <v>2520</v>
      </c>
      <c r="H97" s="59"/>
      <c r="I97" s="51">
        <f t="shared" si="0"/>
        <v>22</v>
      </c>
      <c r="J97" s="51">
        <f ca="1">IF(Tabella2579[[#This Row],[Age]]=$C$5,$C$10,IF(Tabella2579[[#This Row],[Age]]&lt;$C$5,$C$10-($C$5-Tabella2579[[#This Row],[Age]]),IF(Tabella2579[[#This Row],[Age]]&gt;$C$5,$C$10+Tabella2579[[#This Row],[Age]]-$C$5)))</f>
        <v>2024</v>
      </c>
      <c r="K97" s="65">
        <f t="shared" si="1"/>
        <v>70000</v>
      </c>
      <c r="L97" s="65">
        <f>Tabella2579[[#This Row],[Adjusted Salary]]*$C$95+Tabella2579[[#This Row],[Adjusted Salary]]*$C$99+Tabella2579[[#This Row],[Adjusted Salary]]*$C$100</f>
        <v>5530</v>
      </c>
      <c r="M97" s="65"/>
      <c r="N97" s="69">
        <v>0</v>
      </c>
      <c r="O97" s="72">
        <f>IF(Tabella2579[[#This Row],[Age]]&lt;25,0, IF(MIN(Tabella2579[[#This Row],[Adjusted Salary]]-$C$112, $C$113)&lt;0,0, MIN(Tabella2579[[#This Row],[Adjusted Salary]]-$C$112,$C$113)))</f>
        <v>0</v>
      </c>
      <c r="P97" s="72">
        <f>IF(Tabella2579[[#This Row],[Age]]&lt;25,0,IF(Tabella2579[[#This Row],[Compulsory contributions]]=88200, Tabella2579[[#This Row],[Adjusted Salary]]-$C$113-$C$112, 0))</f>
        <v>0</v>
      </c>
      <c r="Q97" s="72">
        <f>Tabella2579[[#This Row],[Compulsory contributions]]+Tabella2579[[#This Row],[Over compulsory contributions]]</f>
        <v>0</v>
      </c>
      <c r="R97" s="72">
        <f>Tabella2579[[#This Row],[Contributions]]*Tabella2579[[#This Row],[Retirements credits]]</f>
        <v>0</v>
      </c>
      <c r="S97" s="72">
        <f t="shared" ref="S97:S140" si="2">T96*$G$102</f>
        <v>0</v>
      </c>
      <c r="T97" s="72">
        <f>T96+Tabella2579[[#This Row],[Retirement assets]]+Tabella2579[[#This Row],[Interests]]</f>
        <v>0</v>
      </c>
      <c r="U97" s="72"/>
      <c r="V97" s="77">
        <f>IF('General overview'!$C$8="No",0,IF(Tabella2579[[#This Row],[Age]]&lt;=$C$9,(Tabella2579[[#This Row],[Adjusted Salary]]),$G$110))</f>
        <v>70000</v>
      </c>
      <c r="W97" s="72">
        <f>Tabella2579[[#This Row],[1° Pillar deductions]]+(Tabella2579[[#This Row],[Retirement assets]]/2)</f>
        <v>5530</v>
      </c>
      <c r="X97" s="77">
        <f>Tabella2579[[#This Row],[Salary and pension]]-Tabella2579[[#This Row],[Pension deductions]]</f>
        <v>64470</v>
      </c>
      <c r="Y97" s="59"/>
    </row>
    <row r="98" spans="2:25">
      <c r="B98" s="37" t="s">
        <v>99</v>
      </c>
      <c r="C98" s="38">
        <v>2.5000000000000001E-3</v>
      </c>
      <c r="D98" s="4">
        <f>C98*C92</f>
        <v>175</v>
      </c>
      <c r="F98" s="2" t="s">
        <v>100</v>
      </c>
      <c r="G98" s="36">
        <f>G97*1.5</f>
        <v>3780</v>
      </c>
      <c r="H98" s="59"/>
      <c r="I98" s="51">
        <f t="shared" si="0"/>
        <v>23</v>
      </c>
      <c r="J98" s="51">
        <f ca="1">IF(Tabella2579[[#This Row],[Age]]=$C$5,$C$10,IF(Tabella2579[[#This Row],[Age]]&lt;$C$5,$C$10-($C$5-Tabella2579[[#This Row],[Age]]),IF(Tabella2579[[#This Row],[Age]]&gt;$C$5,$C$10+Tabella2579[[#This Row],[Age]]-$C$5)))</f>
        <v>2025</v>
      </c>
      <c r="K98" s="65">
        <f t="shared" si="1"/>
        <v>72111.59862702692</v>
      </c>
      <c r="L98" s="65">
        <f>Tabella2579[[#This Row],[Adjusted Salary]]*$C$95+Tabella2579[[#This Row],[Adjusted Salary]]*$C$99+Tabella2579[[#This Row],[Adjusted Salary]]*$C$100</f>
        <v>5696.8162915351268</v>
      </c>
      <c r="M98" s="65"/>
      <c r="N98" s="69">
        <v>0</v>
      </c>
      <c r="O98" s="72">
        <f>IF(Tabella2579[[#This Row],[Age]]&lt;25,0, IF(MIN(Tabella2579[[#This Row],[Adjusted Salary]]-$C$112, $C$113)&lt;0,0, MIN(Tabella2579[[#This Row],[Adjusted Salary]]-$C$112,$C$113)))</f>
        <v>0</v>
      </c>
      <c r="P98" s="72">
        <f>IF(Tabella2579[[#This Row],[Age]]&lt;25,0,IF(Tabella2579[[#This Row],[Compulsory contributions]]=88200, Tabella2579[[#This Row],[Adjusted Salary]]-$C$113-$C$112, 0))</f>
        <v>0</v>
      </c>
      <c r="Q98" s="72">
        <f>Tabella2579[[#This Row],[Compulsory contributions]]+Tabella2579[[#This Row],[Over compulsory contributions]]</f>
        <v>0</v>
      </c>
      <c r="R98" s="72">
        <f>Tabella2579[[#This Row],[Contributions]]*Tabella2579[[#This Row],[Retirements credits]]</f>
        <v>0</v>
      </c>
      <c r="S98" s="72">
        <f t="shared" si="2"/>
        <v>0</v>
      </c>
      <c r="T98" s="72">
        <f>T97+Tabella2579[[#This Row],[Retirement assets]]+Tabella2579[[#This Row],[Interests]]</f>
        <v>0</v>
      </c>
      <c r="U98" s="72"/>
      <c r="V98" s="77">
        <f>IF('General overview'!$C$8="No",0,IF(Tabella2579[[#This Row],[Age]]&lt;=$C$9,(Tabella2579[[#This Row],[Adjusted Salary]]),$G$110))</f>
        <v>72111.59862702692</v>
      </c>
      <c r="W98" s="72">
        <f>Tabella2579[[#This Row],[1° Pillar deductions]]+(Tabella2579[[#This Row],[Retirement assets]]/2)</f>
        <v>5696.8162915351268</v>
      </c>
      <c r="X98" s="77">
        <f>Tabella2579[[#This Row],[Salary and pension]]-Tabella2579[[#This Row],[Pension deductions]]</f>
        <v>66414.782335491793</v>
      </c>
      <c r="Y98" s="59"/>
    </row>
    <row r="99" spans="2:25">
      <c r="B99" s="2" t="s">
        <v>101</v>
      </c>
      <c r="C99" s="39">
        <v>1.0999999999999999E-2</v>
      </c>
      <c r="D99" s="36">
        <f>IF(C92&lt;=148200, C92*C99, C99*148200)</f>
        <v>770</v>
      </c>
      <c r="I99" s="51">
        <f t="shared" si="0"/>
        <v>24</v>
      </c>
      <c r="J99" s="51">
        <f ca="1">IF(Tabella2579[[#This Row],[Age]]=$C$5,$C$10,IF(Tabella2579[[#This Row],[Age]]&lt;$C$5,$C$10-($C$5-Tabella2579[[#This Row],[Age]]),IF(Tabella2579[[#This Row],[Age]]&gt;$C$5,$C$10+Tabella2579[[#This Row],[Age]]-$C$5)))</f>
        <v>2026</v>
      </c>
      <c r="K99" s="66">
        <f t="shared" si="1"/>
        <v>74269.279107235896</v>
      </c>
      <c r="L99" s="66">
        <f>Tabella2579[[#This Row],[Adjusted Salary]]*$C$95+Tabella2579[[#This Row],[Adjusted Salary]]*$C$99+Tabella2579[[#This Row],[Adjusted Salary]]*$C$100</f>
        <v>5867.2730494716352</v>
      </c>
      <c r="M99" s="66"/>
      <c r="N99" s="69">
        <v>0</v>
      </c>
      <c r="O99" s="72">
        <f>IF(Tabella2579[[#This Row],[Age]]&lt;25,0, IF(MIN(Tabella2579[[#This Row],[Adjusted Salary]]-$C$112, $C$113)&lt;0,0, MIN(Tabella2579[[#This Row],[Adjusted Salary]]-$C$112,$C$113)))</f>
        <v>0</v>
      </c>
      <c r="P99" s="72">
        <f>IF(Tabella2579[[#This Row],[Age]]&lt;25,0,IF(Tabella2579[[#This Row],[Compulsory contributions]]=88200, Tabella2579[[#This Row],[Adjusted Salary]]-$C$113-$C$112, 0))</f>
        <v>0</v>
      </c>
      <c r="Q99" s="72">
        <f>Tabella2579[[#This Row],[Compulsory contributions]]+Tabella2579[[#This Row],[Over compulsory contributions]]</f>
        <v>0</v>
      </c>
      <c r="R99" s="72">
        <f>Tabella2579[[#This Row],[Contributions]]*Tabella2579[[#This Row],[Retirements credits]]</f>
        <v>0</v>
      </c>
      <c r="S99" s="72">
        <f t="shared" si="2"/>
        <v>0</v>
      </c>
      <c r="T99" s="72">
        <f>T98+Tabella2579[[#This Row],[Retirement assets]]+Tabella2579[[#This Row],[Interests]]</f>
        <v>0</v>
      </c>
      <c r="U99" s="72"/>
      <c r="V99" s="77">
        <f>IF('General overview'!$C$8="No",0,IF(Tabella2579[[#This Row],[Age]]&lt;=$C$9,(Tabella2579[[#This Row],[Adjusted Salary]]),$G$110))</f>
        <v>74269.279107235896</v>
      </c>
      <c r="W99" s="72">
        <f>Tabella2579[[#This Row],[1° Pillar deductions]]+(Tabella2579[[#This Row],[Retirement assets]]/2)</f>
        <v>5867.2730494716352</v>
      </c>
      <c r="X99" s="77">
        <f>Tabella2579[[#This Row],[Salary and pension]]-Tabella2579[[#This Row],[Pension deductions]]</f>
        <v>68402.006057764258</v>
      </c>
    </row>
    <row r="100" spans="2:25">
      <c r="B100" s="40" t="s">
        <v>102</v>
      </c>
      <c r="C100" s="44">
        <v>1.4999999999999999E-2</v>
      </c>
      <c r="D100" s="41">
        <f>C100*C92</f>
        <v>1050</v>
      </c>
      <c r="F100" s="7" t="s">
        <v>103</v>
      </c>
      <c r="G100" s="7"/>
      <c r="H100" s="57"/>
      <c r="I100" s="51">
        <f t="shared" si="0"/>
        <v>25</v>
      </c>
      <c r="J100" s="51">
        <f ca="1">IF(Tabella2579[[#This Row],[Age]]=$C$5,$C$10,IF(Tabella2579[[#This Row],[Age]]&lt;$C$5,$C$10-($C$5-Tabella2579[[#This Row],[Age]]),IF(Tabella2579[[#This Row],[Age]]&gt;$C$5,$C$10+Tabella2579[[#This Row],[Age]]-$C$5)))</f>
        <v>2027</v>
      </c>
      <c r="K100" s="66">
        <f t="shared" si="1"/>
        <v>76474.165832508297</v>
      </c>
      <c r="L100" s="66">
        <f>Tabella2579[[#This Row],[Adjusted Salary]]*$C$95+Tabella2579[[#This Row],[Adjusted Salary]]*$C$99+Tabella2579[[#This Row],[Adjusted Salary]]*$C$100</f>
        <v>6041.4591007681556</v>
      </c>
      <c r="M100" s="66"/>
      <c r="N100" s="70">
        <v>7.0000000000000007E-2</v>
      </c>
      <c r="O100" s="71">
        <f>IF(Tabella2579[[#This Row],[Age]]&lt;25,0, IF(MIN(Tabella2579[[#This Row],[Adjusted Salary]]-$C$112, $C$113)&lt;0,0, MIN(Tabella2579[[#This Row],[Adjusted Salary]]-$C$112,$C$113)))</f>
        <v>50014.165832508297</v>
      </c>
      <c r="P100" s="71">
        <f>IF(Tabella2579[[#This Row],[Age]]&lt;25,0,IF(Tabella2579[[#This Row],[Compulsory contributions]]=88200, Tabella2579[[#This Row],[Adjusted Salary]]-$C$113-$C$112, 0))</f>
        <v>0</v>
      </c>
      <c r="Q100" s="71">
        <f>Tabella2579[[#This Row],[Compulsory contributions]]+Tabella2579[[#This Row],[Over compulsory contributions]]</f>
        <v>50014.165832508297</v>
      </c>
      <c r="R100" s="71">
        <f>Tabella2579[[#This Row],[Contributions]]*Tabella2579[[#This Row],[Retirements credits]]</f>
        <v>3500.9916082755813</v>
      </c>
      <c r="S100" s="72">
        <f t="shared" si="2"/>
        <v>0</v>
      </c>
      <c r="T100" s="72">
        <f>T99+Tabella2579[[#This Row],[Retirement assets]]+Tabella2579[[#This Row],[Interests]]</f>
        <v>3500.9916082755813</v>
      </c>
      <c r="U100" s="72"/>
      <c r="V100" s="77">
        <f>IF('General overview'!$C$8="No",0,IF(Tabella2579[[#This Row],[Age]]&lt;=$C$9,(Tabella2579[[#This Row],[Adjusted Salary]]),$G$110))</f>
        <v>76474.165832508297</v>
      </c>
      <c r="W100" s="72">
        <f>Tabella2579[[#This Row],[1° Pillar deductions]]+(Tabella2579[[#This Row],[Retirement assets]]/2)</f>
        <v>7791.954904905946</v>
      </c>
      <c r="X100" s="77">
        <f>Tabella2579[[#This Row],[Salary and pension]]-Tabella2579[[#This Row],[Pension deductions]]</f>
        <v>68682.210927602355</v>
      </c>
      <c r="Y100" s="57"/>
    </row>
    <row r="101" spans="2:25">
      <c r="B101" s="2"/>
      <c r="C101" s="42">
        <f>SUM(C95,C99,C100)</f>
        <v>7.9000000000000001E-2</v>
      </c>
      <c r="D101" s="2"/>
      <c r="F101" s="14" t="s">
        <v>104</v>
      </c>
      <c r="G101" s="2">
        <f>IF(C91&gt;=25,C91,25)</f>
        <v>25</v>
      </c>
      <c r="I101" s="51">
        <f t="shared" si="0"/>
        <v>26</v>
      </c>
      <c r="J101" s="51">
        <f ca="1">IF(Tabella2579[[#This Row],[Age]]=$C$5,$C$10,IF(Tabella2579[[#This Row],[Age]]&lt;$C$5,$C$10-($C$5-Tabella2579[[#This Row],[Age]]),IF(Tabella2579[[#This Row],[Age]]&gt;$C$5,$C$10+Tabella2579[[#This Row],[Age]]-$C$5)))</f>
        <v>2028</v>
      </c>
      <c r="K101" s="66">
        <f t="shared" si="1"/>
        <v>78727.411314378551</v>
      </c>
      <c r="L101" s="66">
        <f>Tabella2579[[#This Row],[Adjusted Salary]]*$C$95+Tabella2579[[#This Row],[Adjusted Salary]]*$C$99+Tabella2579[[#This Row],[Adjusted Salary]]*$C$100</f>
        <v>6219.4654938359054</v>
      </c>
      <c r="M101" s="66"/>
      <c r="N101" s="70">
        <v>7.0000000000000007E-2</v>
      </c>
      <c r="O101" s="71">
        <f>IF(Tabella2579[[#This Row],[Age]]&lt;25,0, IF(MIN(Tabella2579[[#This Row],[Adjusted Salary]]-$C$112, $C$113)&lt;0,0, MIN(Tabella2579[[#This Row],[Adjusted Salary]]-$C$112,$C$113)))</f>
        <v>52267.411314378551</v>
      </c>
      <c r="P101" s="71">
        <f>IF(Tabella2579[[#This Row],[Age]]&lt;25,0,IF(Tabella2579[[#This Row],[Compulsory contributions]]=88200, Tabella2579[[#This Row],[Adjusted Salary]]-$C$113-$C$112, 0))</f>
        <v>0</v>
      </c>
      <c r="Q101" s="71">
        <f>Tabella2579[[#This Row],[Compulsory contributions]]+Tabella2579[[#This Row],[Over compulsory contributions]]</f>
        <v>52267.411314378551</v>
      </c>
      <c r="R101" s="71">
        <f>Tabella2579[[#This Row],[Contributions]]*Tabella2579[[#This Row],[Retirements credits]]</f>
        <v>3658.7187920064989</v>
      </c>
      <c r="S101" s="72">
        <f t="shared" si="2"/>
        <v>43.762395103444767</v>
      </c>
      <c r="T101" s="72">
        <f>T100+Tabella2579[[#This Row],[Retirement assets]]+Tabella2579[[#This Row],[Interests]]</f>
        <v>7203.4727953855245</v>
      </c>
      <c r="U101" s="72"/>
      <c r="V101" s="77">
        <f>IF('General overview'!$C$8="No",0,IF(Tabella2579[[#This Row],[Age]]&lt;=$C$9,(Tabella2579[[#This Row],[Adjusted Salary]]),$G$110))</f>
        <v>78727.411314378551</v>
      </c>
      <c r="W101" s="72">
        <f>Tabella2579[[#This Row],[1° Pillar deductions]]+(Tabella2579[[#This Row],[Retirement assets]]/2)</f>
        <v>8048.8248898391548</v>
      </c>
      <c r="X101" s="77">
        <f>Tabella2579[[#This Row],[Salary and pension]]-Tabella2579[[#This Row],[Pension deductions]]</f>
        <v>70678.58642453939</v>
      </c>
    </row>
    <row r="102" spans="2:25">
      <c r="B102" s="2"/>
      <c r="C102" s="43"/>
      <c r="D102" s="36">
        <f>SUM(D95+D99+D100)</f>
        <v>5530</v>
      </c>
      <c r="F102" s="14" t="s">
        <v>105</v>
      </c>
      <c r="G102" s="39">
        <v>1.2500000000000001E-2</v>
      </c>
      <c r="H102" s="60"/>
      <c r="I102" s="51">
        <f t="shared" si="0"/>
        <v>27</v>
      </c>
      <c r="J102" s="51">
        <f ca="1">IF(Tabella2579[[#This Row],[Age]]=$C$5,$C$10,IF(Tabella2579[[#This Row],[Age]]&lt;$C$5,$C$10-($C$5-Tabella2579[[#This Row],[Age]]),IF(Tabella2579[[#This Row],[Age]]&gt;$C$5,$C$10+Tabella2579[[#This Row],[Age]]-$C$5)))</f>
        <v>2029</v>
      </c>
      <c r="K102" s="67">
        <f t="shared" si="1"/>
        <v>81030.196890802297</v>
      </c>
      <c r="L102" s="67">
        <f>Tabella2579[[#This Row],[Adjusted Salary]]*$C$95+Tabella2579[[#This Row],[Adjusted Salary]]*$C$99+Tabella2579[[#This Row],[Adjusted Salary]]*$C$100</f>
        <v>6401.3855543733816</v>
      </c>
      <c r="M102" s="67"/>
      <c r="N102" s="70">
        <v>7.0000000000000007E-2</v>
      </c>
      <c r="O102" s="71">
        <f>IF(Tabella2579[[#This Row],[Age]]&lt;25,0, IF(MIN(Tabella2579[[#This Row],[Adjusted Salary]]-$C$112, $C$113)&lt;0,0, MIN(Tabella2579[[#This Row],[Adjusted Salary]]-$C$112,$C$113)))</f>
        <v>54570.196890802297</v>
      </c>
      <c r="P102" s="71">
        <f>IF(Tabella2579[[#This Row],[Age]]&lt;25,0,IF(Tabella2579[[#This Row],[Compulsory contributions]]=88200, Tabella2579[[#This Row],[Adjusted Salary]]-$C$113-$C$112, 0))</f>
        <v>0</v>
      </c>
      <c r="Q102" s="71">
        <f>Tabella2579[[#This Row],[Compulsory contributions]]+Tabella2579[[#This Row],[Over compulsory contributions]]</f>
        <v>54570.196890802297</v>
      </c>
      <c r="R102" s="71">
        <f>Tabella2579[[#This Row],[Contributions]]*Tabella2579[[#This Row],[Retirements credits]]</f>
        <v>3819.9137823561614</v>
      </c>
      <c r="S102" s="72">
        <f t="shared" si="2"/>
        <v>90.043409942319059</v>
      </c>
      <c r="T102" s="72">
        <f>T101+Tabella2579[[#This Row],[Retirement assets]]+Tabella2579[[#This Row],[Interests]]</f>
        <v>11113.429987684005</v>
      </c>
      <c r="U102" s="72"/>
      <c r="V102" s="77">
        <f>IF('General overview'!$C$8="No",0,IF(Tabella2579[[#This Row],[Age]]&lt;=$C$9,(Tabella2579[[#This Row],[Adjusted Salary]]),$G$110))</f>
        <v>81030.196890802297</v>
      </c>
      <c r="W102" s="72">
        <f>Tabella2579[[#This Row],[1° Pillar deductions]]+(Tabella2579[[#This Row],[Retirement assets]]/2)</f>
        <v>8311.3424455514614</v>
      </c>
      <c r="X102" s="77">
        <f>Tabella2579[[#This Row],[Salary and pension]]-Tabella2579[[#This Row],[Pension deductions]]</f>
        <v>72718.854445250836</v>
      </c>
      <c r="Y102" s="60"/>
    </row>
    <row r="103" spans="2:25">
      <c r="F103" s="2" t="s">
        <v>106</v>
      </c>
      <c r="G103" s="4">
        <f>Tabella2579[[#Totals],[Comulated assets]]</f>
        <v>594895.10151147156</v>
      </c>
      <c r="H103" s="12"/>
      <c r="I103" s="51">
        <f t="shared" si="0"/>
        <v>28</v>
      </c>
      <c r="J103" s="51">
        <f ca="1">IF(Tabella2579[[#This Row],[Age]]=$C$5,$C$10,IF(Tabella2579[[#This Row],[Age]]&lt;$C$5,$C$10-($C$5-Tabella2579[[#This Row],[Age]]),IF(Tabella2579[[#This Row],[Age]]&gt;$C$5,$C$10+Tabella2579[[#This Row],[Age]]-$C$5)))</f>
        <v>2030</v>
      </c>
      <c r="K103" s="65">
        <f t="shared" si="1"/>
        <v>83383.733450706786</v>
      </c>
      <c r="L103" s="65">
        <f>Tabella2579[[#This Row],[Adjusted Salary]]*$C$95+Tabella2579[[#This Row],[Adjusted Salary]]*$C$99+Tabella2579[[#This Row],[Adjusted Salary]]*$C$100</f>
        <v>6587.3149426058362</v>
      </c>
      <c r="M103" s="65"/>
      <c r="N103" s="70">
        <v>7.0000000000000007E-2</v>
      </c>
      <c r="O103" s="71">
        <f>IF(Tabella2579[[#This Row],[Age]]&lt;25,0, IF(MIN(Tabella2579[[#This Row],[Adjusted Salary]]-$C$112, $C$113)&lt;0,0, MIN(Tabella2579[[#This Row],[Adjusted Salary]]-$C$112,$C$113)))</f>
        <v>56923.733450706786</v>
      </c>
      <c r="P103" s="71">
        <f>IF(Tabella2579[[#This Row],[Age]]&lt;25,0,IF(Tabella2579[[#This Row],[Compulsory contributions]]=88200, Tabella2579[[#This Row],[Adjusted Salary]]-$C$113-$C$112, 0))</f>
        <v>0</v>
      </c>
      <c r="Q103" s="71">
        <f>Tabella2579[[#This Row],[Compulsory contributions]]+Tabella2579[[#This Row],[Over compulsory contributions]]</f>
        <v>56923.733450706786</v>
      </c>
      <c r="R103" s="71">
        <f>Tabella2579[[#This Row],[Contributions]]*Tabella2579[[#This Row],[Retirements credits]]</f>
        <v>3984.6613415494753</v>
      </c>
      <c r="S103" s="72">
        <f t="shared" si="2"/>
        <v>138.91787484605007</v>
      </c>
      <c r="T103" s="72">
        <f>T102+Tabella2579[[#This Row],[Retirement assets]]+Tabella2579[[#This Row],[Interests]]</f>
        <v>15237.009204079532</v>
      </c>
      <c r="U103" s="72"/>
      <c r="V103" s="77">
        <f>IF('General overview'!$C$8="No",0,IF(Tabella2579[[#This Row],[Age]]&lt;=$C$9,(Tabella2579[[#This Row],[Adjusted Salary]]),$G$110))</f>
        <v>83383.733450706786</v>
      </c>
      <c r="W103" s="72">
        <f>Tabella2579[[#This Row],[1° Pillar deductions]]+(Tabella2579[[#This Row],[Retirement assets]]/2)</f>
        <v>8579.6456133805732</v>
      </c>
      <c r="X103" s="77">
        <f>Tabella2579[[#This Row],[Salary and pension]]-Tabella2579[[#This Row],[Pension deductions]]</f>
        <v>74804.087837326209</v>
      </c>
      <c r="Y103" s="12"/>
    </row>
    <row r="104" spans="2:25">
      <c r="B104" s="7" t="s">
        <v>107</v>
      </c>
      <c r="C104" s="21"/>
      <c r="D104" s="21"/>
      <c r="F104" s="2" t="s">
        <v>108</v>
      </c>
      <c r="G104" s="52">
        <v>6.8000000000000005E-2</v>
      </c>
      <c r="H104" s="60"/>
      <c r="I104" s="51">
        <f t="shared" si="0"/>
        <v>29</v>
      </c>
      <c r="J104" s="51">
        <f ca="1">IF(Tabella2579[[#This Row],[Age]]=$C$5,$C$10,IF(Tabella2579[[#This Row],[Age]]&lt;$C$5,$C$10-($C$5-Tabella2579[[#This Row],[Age]]),IF(Tabella2579[[#This Row],[Age]]&gt;$C$5,$C$10+Tabella2579[[#This Row],[Age]]-$C$5)))</f>
        <v>2031</v>
      </c>
      <c r="K104" s="67">
        <f t="shared" si="1"/>
        <v>85789.262176770368</v>
      </c>
      <c r="L104" s="67">
        <f>Tabella2579[[#This Row],[Adjusted Salary]]*$C$95+Tabella2579[[#This Row],[Adjusted Salary]]*$C$99+Tabella2579[[#This Row],[Adjusted Salary]]*$C$100</f>
        <v>6777.3517119648586</v>
      </c>
      <c r="M104" s="67"/>
      <c r="N104" s="70">
        <v>7.0000000000000007E-2</v>
      </c>
      <c r="O104" s="71">
        <f>IF(Tabella2579[[#This Row],[Age]]&lt;25,0, IF(MIN(Tabella2579[[#This Row],[Adjusted Salary]]-$C$112, $C$113)&lt;0,0, MIN(Tabella2579[[#This Row],[Adjusted Salary]]-$C$112,$C$113)))</f>
        <v>59329.262176770368</v>
      </c>
      <c r="P104" s="71">
        <f>IF(Tabella2579[[#This Row],[Age]]&lt;25,0,IF(Tabella2579[[#This Row],[Compulsory contributions]]=88200, Tabella2579[[#This Row],[Adjusted Salary]]-$C$113-$C$112, 0))</f>
        <v>0</v>
      </c>
      <c r="Q104" s="71">
        <f>Tabella2579[[#This Row],[Compulsory contributions]]+Tabella2579[[#This Row],[Over compulsory contributions]]</f>
        <v>59329.262176770368</v>
      </c>
      <c r="R104" s="71">
        <f>Tabella2579[[#This Row],[Contributions]]*Tabella2579[[#This Row],[Retirements credits]]</f>
        <v>4153.0483523739258</v>
      </c>
      <c r="S104" s="72">
        <f t="shared" si="2"/>
        <v>190.46261505099415</v>
      </c>
      <c r="T104" s="72">
        <f>T103+Tabella2579[[#This Row],[Retirement assets]]+Tabella2579[[#This Row],[Interests]]</f>
        <v>19580.520171504453</v>
      </c>
      <c r="U104" s="72"/>
      <c r="V104" s="77">
        <f>IF('General overview'!$C$8="No",0,IF(Tabella2579[[#This Row],[Age]]&lt;=$C$9,(Tabella2579[[#This Row],[Adjusted Salary]]),$G$110))</f>
        <v>85789.262176770368</v>
      </c>
      <c r="W104" s="72">
        <f>Tabella2579[[#This Row],[1° Pillar deductions]]+(Tabella2579[[#This Row],[Retirement assets]]/2)</f>
        <v>8853.8758881518224</v>
      </c>
      <c r="X104" s="77">
        <f>Tabella2579[[#This Row],[Salary and pension]]-Tabella2579[[#This Row],[Pension deductions]]</f>
        <v>76935.386288618552</v>
      </c>
      <c r="Y104" s="60"/>
    </row>
    <row r="105" spans="2:25">
      <c r="B105" s="2" t="s">
        <v>109</v>
      </c>
      <c r="C105" s="2"/>
      <c r="D105" s="2"/>
      <c r="F105" s="2" t="s">
        <v>110</v>
      </c>
      <c r="G105" s="4">
        <f>G103*G104</f>
        <v>40452.866902780072</v>
      </c>
      <c r="H105" s="12"/>
      <c r="I105" s="51">
        <f t="shared" si="0"/>
        <v>30</v>
      </c>
      <c r="J105" s="51">
        <f ca="1">IF(Tabella2579[[#This Row],[Age]]=$C$5,$C$10,IF(Tabella2579[[#This Row],[Age]]&lt;$C$5,$C$10-($C$5-Tabella2579[[#This Row],[Age]]),IF(Tabella2579[[#This Row],[Age]]&gt;$C$5,$C$10+Tabella2579[[#This Row],[Age]]-$C$5)))</f>
        <v>2032</v>
      </c>
      <c r="K105" s="65">
        <f t="shared" si="1"/>
        <v>88248.055306890485</v>
      </c>
      <c r="L105" s="65">
        <f>Tabella2579[[#This Row],[Adjusted Salary]]*$C$95+Tabella2579[[#This Row],[Adjusted Salary]]*$C$99+Tabella2579[[#This Row],[Adjusted Salary]]*$C$100</f>
        <v>6971.5963692443474</v>
      </c>
      <c r="M105" s="65"/>
      <c r="N105" s="70">
        <v>7.0000000000000007E-2</v>
      </c>
      <c r="O105" s="71">
        <f>IF(Tabella2579[[#This Row],[Age]]&lt;25,0, IF(MIN(Tabella2579[[#This Row],[Adjusted Salary]]-$C$112, $C$113)&lt;0,0, MIN(Tabella2579[[#This Row],[Adjusted Salary]]-$C$112,$C$113)))</f>
        <v>61788.055306890485</v>
      </c>
      <c r="P105" s="71">
        <f>IF(Tabella2579[[#This Row],[Age]]&lt;25,0,IF(Tabella2579[[#This Row],[Compulsory contributions]]=88200, Tabella2579[[#This Row],[Adjusted Salary]]-$C$113-$C$112, 0))</f>
        <v>0</v>
      </c>
      <c r="Q105" s="71">
        <f>Tabella2579[[#This Row],[Compulsory contributions]]+Tabella2579[[#This Row],[Over compulsory contributions]]</f>
        <v>61788.055306890485</v>
      </c>
      <c r="R105" s="71">
        <f>Tabella2579[[#This Row],[Contributions]]*Tabella2579[[#This Row],[Retirements credits]]</f>
        <v>4325.1638714823339</v>
      </c>
      <c r="S105" s="72">
        <f t="shared" si="2"/>
        <v>244.75650214380568</v>
      </c>
      <c r="T105" s="72">
        <f>T104+Tabella2579[[#This Row],[Retirement assets]]+Tabella2579[[#This Row],[Interests]]</f>
        <v>24150.440545130594</v>
      </c>
      <c r="U105" s="72"/>
      <c r="V105" s="77">
        <f>IF('General overview'!$C$8="No",0,IF(Tabella2579[[#This Row],[Age]]&lt;=$C$9,(Tabella2579[[#This Row],[Adjusted Salary]]),$G$110))</f>
        <v>88248.055306890485</v>
      </c>
      <c r="W105" s="72">
        <f>Tabella2579[[#This Row],[1° Pillar deductions]]+(Tabella2579[[#This Row],[Retirement assets]]/2)</f>
        <v>9134.1783049855148</v>
      </c>
      <c r="X105" s="77">
        <f>Tabella2579[[#This Row],[Salary and pension]]-Tabella2579[[#This Row],[Pension deductions]]</f>
        <v>79113.87700190497</v>
      </c>
      <c r="Y105" s="12"/>
    </row>
    <row r="106" spans="2:25">
      <c r="B106" s="37" t="s">
        <v>111</v>
      </c>
      <c r="C106" s="45">
        <v>7.0000000000000007E-2</v>
      </c>
      <c r="D106" s="2"/>
      <c r="F106" s="53" t="s">
        <v>112</v>
      </c>
      <c r="G106" s="36">
        <f>G105/12</f>
        <v>3371.0722418983391</v>
      </c>
      <c r="H106" s="59"/>
      <c r="I106" s="51">
        <f t="shared" si="0"/>
        <v>31</v>
      </c>
      <c r="J106" s="51">
        <f ca="1">IF(Tabella2579[[#This Row],[Age]]=$C$5,$C$10,IF(Tabella2579[[#This Row],[Age]]&lt;$C$5,$C$10-($C$5-Tabella2579[[#This Row],[Age]]),IF(Tabella2579[[#This Row],[Age]]&gt;$C$5,$C$10+Tabella2579[[#This Row],[Age]]-$C$5)))</f>
        <v>2033</v>
      </c>
      <c r="K106" s="65">
        <f t="shared" si="1"/>
        <v>90761.416914809495</v>
      </c>
      <c r="L106" s="65">
        <f>Tabella2579[[#This Row],[Adjusted Salary]]*$C$95+Tabella2579[[#This Row],[Adjusted Salary]]*$C$99+Tabella2579[[#This Row],[Adjusted Salary]]*$C$100</f>
        <v>7170.1519362699491</v>
      </c>
      <c r="M106" s="65"/>
      <c r="N106" s="70">
        <v>7.0000000000000007E-2</v>
      </c>
      <c r="O106" s="71">
        <f>IF(Tabella2579[[#This Row],[Age]]&lt;25,0, IF(MIN(Tabella2579[[#This Row],[Adjusted Salary]]-$C$112, $C$113)&lt;0,0, MIN(Tabella2579[[#This Row],[Adjusted Salary]]-$C$112,$C$113)))</f>
        <v>64301.416914809495</v>
      </c>
      <c r="P106" s="71">
        <f>IF(Tabella2579[[#This Row],[Age]]&lt;25,0,IF(Tabella2579[[#This Row],[Compulsory contributions]]=88200, Tabella2579[[#This Row],[Adjusted Salary]]-$C$113-$C$112, 0))</f>
        <v>0</v>
      </c>
      <c r="Q106" s="71">
        <f>Tabella2579[[#This Row],[Compulsory contributions]]+Tabella2579[[#This Row],[Over compulsory contributions]]</f>
        <v>64301.416914809495</v>
      </c>
      <c r="R106" s="71">
        <f>Tabella2579[[#This Row],[Contributions]]*Tabella2579[[#This Row],[Retirements credits]]</f>
        <v>4501.0991840366651</v>
      </c>
      <c r="S106" s="72">
        <f t="shared" si="2"/>
        <v>301.88050681413245</v>
      </c>
      <c r="T106" s="72">
        <f>T105+Tabella2579[[#This Row],[Retirement assets]]+Tabella2579[[#This Row],[Interests]]</f>
        <v>28953.420235981393</v>
      </c>
      <c r="U106" s="72"/>
      <c r="V106" s="77">
        <f>IF('General overview'!$C$8="No",0,IF(Tabella2579[[#This Row],[Age]]&lt;=$C$9,(Tabella2579[[#This Row],[Adjusted Salary]]),$G$110))</f>
        <v>90761.416914809495</v>
      </c>
      <c r="W106" s="72">
        <f>Tabella2579[[#This Row],[1° Pillar deductions]]+(Tabella2579[[#This Row],[Retirement assets]]/2)</f>
        <v>9420.7015282882821</v>
      </c>
      <c r="X106" s="77">
        <f>Tabella2579[[#This Row],[Salary and pension]]-Tabella2579[[#This Row],[Pension deductions]]</f>
        <v>81340.715386521217</v>
      </c>
      <c r="Y106" s="59"/>
    </row>
    <row r="107" spans="2:25">
      <c r="B107" s="37" t="s">
        <v>113</v>
      </c>
      <c r="C107" s="45">
        <v>0.1</v>
      </c>
      <c r="D107" s="2"/>
      <c r="I107" s="51">
        <f t="shared" si="0"/>
        <v>32</v>
      </c>
      <c r="J107" s="51">
        <f ca="1">IF(Tabella2579[[#This Row],[Age]]=$C$5,$C$10,IF(Tabella2579[[#This Row],[Age]]&lt;$C$5,$C$10-($C$5-Tabella2579[[#This Row],[Age]]),IF(Tabella2579[[#This Row],[Age]]&gt;$C$5,$C$10+Tabella2579[[#This Row],[Age]]-$C$5)))</f>
        <v>2034</v>
      </c>
      <c r="K107" s="66">
        <f t="shared" si="1"/>
        <v>93330.683710381563</v>
      </c>
      <c r="L107" s="66">
        <f>Tabella2579[[#This Row],[Adjusted Salary]]*$C$95+Tabella2579[[#This Row],[Adjusted Salary]]*$C$99+Tabella2579[[#This Row],[Adjusted Salary]]*$C$100</f>
        <v>7373.124013120143</v>
      </c>
      <c r="M107" s="66"/>
      <c r="N107" s="70">
        <v>7.0000000000000007E-2</v>
      </c>
      <c r="O107" s="71">
        <f>IF(Tabella2579[[#This Row],[Age]]&lt;25,0, IF(MIN(Tabella2579[[#This Row],[Adjusted Salary]]-$C$112, $C$113)&lt;0,0, MIN(Tabella2579[[#This Row],[Adjusted Salary]]-$C$112,$C$113)))</f>
        <v>66870.683710381563</v>
      </c>
      <c r="P107" s="71">
        <f>IF(Tabella2579[[#This Row],[Age]]&lt;25,0,IF(Tabella2579[[#This Row],[Compulsory contributions]]=88200, Tabella2579[[#This Row],[Adjusted Salary]]-$C$113-$C$112, 0))</f>
        <v>0</v>
      </c>
      <c r="Q107" s="71">
        <f>Tabella2579[[#This Row],[Compulsory contributions]]+Tabella2579[[#This Row],[Over compulsory contributions]]</f>
        <v>66870.683710381563</v>
      </c>
      <c r="R107" s="71">
        <f>Tabella2579[[#This Row],[Contributions]]*Tabella2579[[#This Row],[Retirements credits]]</f>
        <v>4680.9478597267098</v>
      </c>
      <c r="S107" s="72">
        <f t="shared" si="2"/>
        <v>361.91775294976742</v>
      </c>
      <c r="T107" s="72">
        <f>T106+Tabella2579[[#This Row],[Retirement assets]]+Tabella2579[[#This Row],[Interests]]</f>
        <v>33996.28584865787</v>
      </c>
      <c r="U107" s="72"/>
      <c r="V107" s="77">
        <f>IF('General overview'!$C$8="No",0,IF(Tabella2579[[#This Row],[Age]]&lt;=$C$9,(Tabella2579[[#This Row],[Adjusted Salary]]),$G$110))</f>
        <v>93330.683710381563</v>
      </c>
      <c r="W107" s="72">
        <f>Tabella2579[[#This Row],[1° Pillar deductions]]+(Tabella2579[[#This Row],[Retirement assets]]/2)</f>
        <v>9713.5979429834988</v>
      </c>
      <c r="X107" s="77">
        <f>Tabella2579[[#This Row],[Salary and pension]]-Tabella2579[[#This Row],[Pension deductions]]</f>
        <v>83617.085767398064</v>
      </c>
    </row>
    <row r="108" spans="2:25">
      <c r="B108" s="37" t="s">
        <v>114</v>
      </c>
      <c r="C108" s="45">
        <v>0.15</v>
      </c>
      <c r="D108" s="2"/>
      <c r="F108" s="48" t="s">
        <v>115</v>
      </c>
      <c r="G108" s="49">
        <f>IF(G95="Single",G97*13,G98)</f>
        <v>32760</v>
      </c>
      <c r="H108" s="61"/>
      <c r="I108" s="51">
        <f t="shared" si="0"/>
        <v>33</v>
      </c>
      <c r="J108" s="51">
        <f ca="1">IF(Tabella2579[[#This Row],[Age]]=$C$5,$C$10,IF(Tabella2579[[#This Row],[Age]]&lt;$C$5,$C$10-($C$5-Tabella2579[[#This Row],[Age]]),IF(Tabella2579[[#This Row],[Age]]&gt;$C$5,$C$10+Tabella2579[[#This Row],[Age]]-$C$5)))</f>
        <v>2035</v>
      </c>
      <c r="K108" s="66">
        <f t="shared" si="1"/>
        <v>95957.225859973812</v>
      </c>
      <c r="L108" s="66">
        <f>Tabella2579[[#This Row],[Adjusted Salary]]*$C$95+Tabella2579[[#This Row],[Adjusted Salary]]*$C$99+Tabella2579[[#This Row],[Adjusted Salary]]*$C$100</f>
        <v>7580.6208429379312</v>
      </c>
      <c r="M108" s="66"/>
      <c r="N108" s="70">
        <v>7.0000000000000007E-2</v>
      </c>
      <c r="O108" s="71">
        <f>IF(Tabella2579[[#This Row],[Age]]&lt;25,0, IF(MIN(Tabella2579[[#This Row],[Adjusted Salary]]-$C$112, $C$113)&lt;0,0, MIN(Tabella2579[[#This Row],[Adjusted Salary]]-$C$112,$C$113)))</f>
        <v>69497.225859973812</v>
      </c>
      <c r="P108" s="71">
        <f>IF(Tabella2579[[#This Row],[Age]]&lt;25,0,IF(Tabella2579[[#This Row],[Compulsory contributions]]=88200, Tabella2579[[#This Row],[Adjusted Salary]]-$C$113-$C$112, 0))</f>
        <v>0</v>
      </c>
      <c r="Q108" s="71">
        <f>Tabella2579[[#This Row],[Compulsory contributions]]+Tabella2579[[#This Row],[Over compulsory contributions]]</f>
        <v>69497.225859973812</v>
      </c>
      <c r="R108" s="71">
        <f>Tabella2579[[#This Row],[Contributions]]*Tabella2579[[#This Row],[Retirements credits]]</f>
        <v>4864.8058101981669</v>
      </c>
      <c r="S108" s="72">
        <f t="shared" si="2"/>
        <v>424.9535731082234</v>
      </c>
      <c r="T108" s="72">
        <f>T107+Tabella2579[[#This Row],[Retirement assets]]+Tabella2579[[#This Row],[Interests]]</f>
        <v>39286.045231964257</v>
      </c>
      <c r="U108" s="72"/>
      <c r="V108" s="77">
        <f>IF('General overview'!$C$8="No",0,IF(Tabella2579[[#This Row],[Age]]&lt;=$C$9,(Tabella2579[[#This Row],[Adjusted Salary]]),$G$110))</f>
        <v>95957.225859973812</v>
      </c>
      <c r="W108" s="72">
        <f>Tabella2579[[#This Row],[1° Pillar deductions]]+(Tabella2579[[#This Row],[Retirement assets]]/2)</f>
        <v>10013.023748037014</v>
      </c>
      <c r="X108" s="77">
        <f>Tabella2579[[#This Row],[Salary and pension]]-Tabella2579[[#This Row],[Pension deductions]]</f>
        <v>85944.2021119368</v>
      </c>
      <c r="Y108" s="61"/>
    </row>
    <row r="109" spans="2:25">
      <c r="B109" s="37" t="s">
        <v>116</v>
      </c>
      <c r="C109" s="45">
        <v>0.18</v>
      </c>
      <c r="D109" s="2"/>
      <c r="F109" s="48" t="s">
        <v>117</v>
      </c>
      <c r="G109" s="49">
        <f>G105</f>
        <v>40452.866902780072</v>
      </c>
      <c r="H109" s="61"/>
      <c r="I109" s="51">
        <f t="shared" si="0"/>
        <v>34</v>
      </c>
      <c r="J109" s="51">
        <f ca="1">IF(Tabella2579[[#This Row],[Age]]=$C$5,$C$10,IF(Tabella2579[[#This Row],[Age]]&lt;$C$5,$C$10-($C$5-Tabella2579[[#This Row],[Age]]),IF(Tabella2579[[#This Row],[Age]]&gt;$C$5,$C$10+Tabella2579[[#This Row],[Age]]-$C$5)))</f>
        <v>2036</v>
      </c>
      <c r="K109" s="66">
        <f t="shared" si="1"/>
        <v>98642.447827509372</v>
      </c>
      <c r="L109" s="66">
        <f>Tabella2579[[#This Row],[Adjusted Salary]]*$C$95+Tabella2579[[#This Row],[Adjusted Salary]]*$C$99+Tabella2579[[#This Row],[Adjusted Salary]]*$C$100</f>
        <v>7792.7533783732406</v>
      </c>
      <c r="M109" s="66"/>
      <c r="N109" s="70">
        <v>7.0000000000000007E-2</v>
      </c>
      <c r="O109" s="71">
        <f>IF(Tabella2579[[#This Row],[Age]]&lt;25,0, IF(MIN(Tabella2579[[#This Row],[Adjusted Salary]]-$C$112, $C$113)&lt;0,0, MIN(Tabella2579[[#This Row],[Adjusted Salary]]-$C$112,$C$113)))</f>
        <v>72182.447827509372</v>
      </c>
      <c r="P109" s="71">
        <f>IF(Tabella2579[[#This Row],[Age]]&lt;25,0,IF(Tabella2579[[#This Row],[Compulsory contributions]]=88200, Tabella2579[[#This Row],[Adjusted Salary]]-$C$113-$C$112, 0))</f>
        <v>0</v>
      </c>
      <c r="Q109" s="71">
        <f>Tabella2579[[#This Row],[Compulsory contributions]]+Tabella2579[[#This Row],[Over compulsory contributions]]</f>
        <v>72182.447827509372</v>
      </c>
      <c r="R109" s="71">
        <f>Tabella2579[[#This Row],[Contributions]]*Tabella2579[[#This Row],[Retirements credits]]</f>
        <v>5052.7713479256563</v>
      </c>
      <c r="S109" s="72">
        <f t="shared" si="2"/>
        <v>491.07556539955323</v>
      </c>
      <c r="T109" s="72">
        <f>T108+Tabella2579[[#This Row],[Retirement assets]]+Tabella2579[[#This Row],[Interests]]</f>
        <v>44829.892145289465</v>
      </c>
      <c r="U109" s="72"/>
      <c r="V109" s="77">
        <f>IF('General overview'!$C$8="No",0,IF(Tabella2579[[#This Row],[Age]]&lt;=$C$9,(Tabella2579[[#This Row],[Adjusted Salary]]),$G$110))</f>
        <v>98642.447827509372</v>
      </c>
      <c r="W109" s="72">
        <f>Tabella2579[[#This Row],[1° Pillar deductions]]+(Tabella2579[[#This Row],[Retirement assets]]/2)</f>
        <v>10319.139052336068</v>
      </c>
      <c r="X109" s="77">
        <f>Tabella2579[[#This Row],[Salary and pension]]-Tabella2579[[#This Row],[Pension deductions]]</f>
        <v>88323.308775173296</v>
      </c>
      <c r="Y109" s="61"/>
    </row>
    <row r="110" spans="2:25">
      <c r="B110" s="2" t="s">
        <v>118</v>
      </c>
      <c r="C110" s="4">
        <v>22680</v>
      </c>
      <c r="D110" s="2"/>
      <c r="F110" s="8" t="s">
        <v>119</v>
      </c>
      <c r="G110" s="54">
        <f>SUM(G108:G109)</f>
        <v>73212.866902780079</v>
      </c>
      <c r="H110" s="62"/>
      <c r="I110" s="51">
        <f t="shared" si="0"/>
        <v>35</v>
      </c>
      <c r="J110" s="51">
        <f ca="1">IF(Tabella2579[[#This Row],[Age]]=$C$5,$C$10,IF(Tabella2579[[#This Row],[Age]]&lt;$C$5,$C$10-($C$5-Tabella2579[[#This Row],[Age]]),IF(Tabella2579[[#This Row],[Age]]&gt;$C$5,$C$10+Tabella2579[[#This Row],[Age]]-$C$5)))</f>
        <v>2037</v>
      </c>
      <c r="K110" s="66">
        <f t="shared" si="1"/>
        <v>101387.7892366708</v>
      </c>
      <c r="L110" s="66">
        <f>Tabella2579[[#This Row],[Adjusted Salary]]*$C$95+Tabella2579[[#This Row],[Adjusted Salary]]*$C$99+Tabella2579[[#This Row],[Adjusted Salary]]*$C$100</f>
        <v>8009.6353496969932</v>
      </c>
      <c r="M110" s="66"/>
      <c r="N110" s="70">
        <v>0.1</v>
      </c>
      <c r="O110" s="71">
        <f>IF(Tabella2579[[#This Row],[Age]]&lt;25,0, IF(MIN(Tabella2579[[#This Row],[Adjusted Salary]]-$C$112, $C$113)&lt;0,0, MIN(Tabella2579[[#This Row],[Adjusted Salary]]-$C$112,$C$113)))</f>
        <v>74927.789236670797</v>
      </c>
      <c r="P110" s="71">
        <f>IF(Tabella2579[[#This Row],[Age]]&lt;25,0,IF(Tabella2579[[#This Row],[Compulsory contributions]]=88200, Tabella2579[[#This Row],[Adjusted Salary]]-$C$113-$C$112, 0))</f>
        <v>0</v>
      </c>
      <c r="Q110" s="71">
        <f>Tabella2579[[#This Row],[Compulsory contributions]]+Tabella2579[[#This Row],[Over compulsory contributions]]</f>
        <v>74927.789236670797</v>
      </c>
      <c r="R110" s="71">
        <f>Tabella2579[[#This Row],[Contributions]]*Tabella2579[[#This Row],[Retirements credits]]</f>
        <v>7492.7789236670797</v>
      </c>
      <c r="S110" s="72">
        <f t="shared" si="2"/>
        <v>560.37365181611835</v>
      </c>
      <c r="T110" s="72">
        <f>T109+Tabella2579[[#This Row],[Retirement assets]]+Tabella2579[[#This Row],[Interests]]</f>
        <v>52883.044720772661</v>
      </c>
      <c r="U110" s="72"/>
      <c r="V110" s="77">
        <f>IF('General overview'!$C$8="No",0,IF(Tabella2579[[#This Row],[Age]]&lt;=$C$9,(Tabella2579[[#This Row],[Adjusted Salary]]),$G$110))</f>
        <v>101387.7892366708</v>
      </c>
      <c r="W110" s="72">
        <f>Tabella2579[[#This Row],[1° Pillar deductions]]+(Tabella2579[[#This Row],[Retirement assets]]/2)</f>
        <v>11756.024811530533</v>
      </c>
      <c r="X110" s="77">
        <f>Tabella2579[[#This Row],[Salary and pension]]-Tabella2579[[#This Row],[Pension deductions]]</f>
        <v>89631.764425140267</v>
      </c>
      <c r="Y110" s="62"/>
    </row>
    <row r="111" spans="2:25">
      <c r="B111" s="2" t="s">
        <v>120</v>
      </c>
      <c r="C111" s="4"/>
      <c r="D111" s="43"/>
      <c r="F111" s="2" t="s">
        <v>121</v>
      </c>
      <c r="G111" s="52">
        <v>0.01</v>
      </c>
      <c r="H111" s="60"/>
      <c r="I111" s="51">
        <f t="shared" si="0"/>
        <v>36</v>
      </c>
      <c r="J111" s="51">
        <f ca="1">IF(Tabella2579[[#This Row],[Age]]=$C$5,$C$10,IF(Tabella2579[[#This Row],[Age]]&lt;$C$5,$C$10-($C$5-Tabella2579[[#This Row],[Age]]),IF(Tabella2579[[#This Row],[Age]]&gt;$C$5,$C$10+Tabella2579[[#This Row],[Age]]-$C$5)))</f>
        <v>2038</v>
      </c>
      <c r="K111" s="67">
        <f t="shared" si="1"/>
        <v>104194.7257547972</v>
      </c>
      <c r="L111" s="67">
        <f>Tabella2579[[#This Row],[Adjusted Salary]]*$C$95+Tabella2579[[#This Row],[Adjusted Salary]]*$C$99+Tabella2579[[#This Row],[Adjusted Salary]]*$C$100</f>
        <v>8231.3833346289794</v>
      </c>
      <c r="M111" s="67"/>
      <c r="N111" s="70">
        <v>0.1</v>
      </c>
      <c r="O111" s="71">
        <f>IF(Tabella2579[[#This Row],[Age]]&lt;25,0, IF(MIN(Tabella2579[[#This Row],[Adjusted Salary]]-$C$112, $C$113)&lt;0,0, MIN(Tabella2579[[#This Row],[Adjusted Salary]]-$C$112,$C$113)))</f>
        <v>77734.725754797197</v>
      </c>
      <c r="P111" s="71">
        <f>IF(Tabella2579[[#This Row],[Age]]&lt;25,0,IF(Tabella2579[[#This Row],[Compulsory contributions]]=88200, Tabella2579[[#This Row],[Adjusted Salary]]-$C$113-$C$112, 0))</f>
        <v>0</v>
      </c>
      <c r="Q111" s="71">
        <f>Tabella2579[[#This Row],[Compulsory contributions]]+Tabella2579[[#This Row],[Over compulsory contributions]]</f>
        <v>77734.725754797197</v>
      </c>
      <c r="R111" s="71">
        <f>Tabella2579[[#This Row],[Contributions]]*Tabella2579[[#This Row],[Retirements credits]]</f>
        <v>7773.47257547972</v>
      </c>
      <c r="S111" s="72">
        <f t="shared" si="2"/>
        <v>661.03805900965835</v>
      </c>
      <c r="T111" s="72">
        <f>T110+Tabella2579[[#This Row],[Retirement assets]]+Tabella2579[[#This Row],[Interests]]</f>
        <v>61317.55535526204</v>
      </c>
      <c r="U111" s="72"/>
      <c r="V111" s="77">
        <f>IF('General overview'!$C$8="No",0,IF(Tabella2579[[#This Row],[Age]]&lt;=$C$9,(Tabella2579[[#This Row],[Adjusted Salary]]),$G$110))</f>
        <v>104194.7257547972</v>
      </c>
      <c r="W111" s="72">
        <f>Tabella2579[[#This Row],[1° Pillar deductions]]+(Tabella2579[[#This Row],[Retirement assets]]/2)</f>
        <v>12118.119622368838</v>
      </c>
      <c r="X111" s="77">
        <f>Tabella2579[[#This Row],[Salary and pension]]-Tabella2579[[#This Row],[Pension deductions]]</f>
        <v>92076.606132428366</v>
      </c>
      <c r="Y111" s="60"/>
    </row>
    <row r="112" spans="2:25">
      <c r="B112" s="37" t="s">
        <v>122</v>
      </c>
      <c r="C112" s="4">
        <v>26460</v>
      </c>
      <c r="D112" s="43"/>
      <c r="F112" s="2" t="s">
        <v>123</v>
      </c>
      <c r="G112" s="55">
        <f>65-C91</f>
        <v>43</v>
      </c>
      <c r="H112" s="63"/>
      <c r="I112" s="51">
        <f t="shared" si="0"/>
        <v>37</v>
      </c>
      <c r="J112" s="51">
        <f ca="1">IF(Tabella2579[[#This Row],[Age]]=$C$5,$C$10,IF(Tabella2579[[#This Row],[Age]]&lt;$C$5,$C$10-($C$5-Tabella2579[[#This Row],[Age]]),IF(Tabella2579[[#This Row],[Age]]&gt;$C$5,$C$10+Tabella2579[[#This Row],[Age]]-$C$5)))</f>
        <v>2039</v>
      </c>
      <c r="K112" s="66">
        <f t="shared" si="1"/>
        <v>107064.76999902053</v>
      </c>
      <c r="L112" s="66">
        <f>Tabella2579[[#This Row],[Adjusted Salary]]*$C$95+Tabella2579[[#This Row],[Adjusted Salary]]*$C$99+Tabella2579[[#This Row],[Adjusted Salary]]*$C$100</f>
        <v>8458.116829922621</v>
      </c>
      <c r="M112" s="66"/>
      <c r="N112" s="70">
        <v>0.1</v>
      </c>
      <c r="O112" s="71">
        <f>IF(Tabella2579[[#This Row],[Age]]&lt;25,0, IF(MIN(Tabella2579[[#This Row],[Adjusted Salary]]-$C$112, $C$113)&lt;0,0, MIN(Tabella2579[[#This Row],[Adjusted Salary]]-$C$112,$C$113)))</f>
        <v>80604.769999020529</v>
      </c>
      <c r="P112" s="71">
        <f>IF(Tabella2579[[#This Row],[Age]]&lt;25,0,IF(Tabella2579[[#This Row],[Compulsory contributions]]=88200, Tabella2579[[#This Row],[Adjusted Salary]]-$C$113-$C$112, 0))</f>
        <v>0</v>
      </c>
      <c r="Q112" s="71">
        <f>Tabella2579[[#This Row],[Compulsory contributions]]+Tabella2579[[#This Row],[Over compulsory contributions]]</f>
        <v>80604.769999020529</v>
      </c>
      <c r="R112" s="71">
        <f>Tabella2579[[#This Row],[Contributions]]*Tabella2579[[#This Row],[Retirements credits]]</f>
        <v>8060.4769999020536</v>
      </c>
      <c r="S112" s="72">
        <f t="shared" si="2"/>
        <v>766.4694419407756</v>
      </c>
      <c r="T112" s="72">
        <f>T111+Tabella2579[[#This Row],[Retirement assets]]+Tabella2579[[#This Row],[Interests]]</f>
        <v>70144.501797104866</v>
      </c>
      <c r="U112" s="72"/>
      <c r="V112" s="77">
        <f>IF('General overview'!$C$8="No",0,IF(Tabella2579[[#This Row],[Age]]&lt;=$C$9,(Tabella2579[[#This Row],[Adjusted Salary]]),$G$110))</f>
        <v>107064.76999902053</v>
      </c>
      <c r="W112" s="72">
        <f>Tabella2579[[#This Row],[1° Pillar deductions]]+(Tabella2579[[#This Row],[Retirement assets]]/2)</f>
        <v>12488.355329873648</v>
      </c>
      <c r="X112" s="77">
        <f>Tabella2579[[#This Row],[Salary and pension]]-Tabella2579[[#This Row],[Pension deductions]]</f>
        <v>94576.414669146878</v>
      </c>
      <c r="Y112" s="63"/>
    </row>
    <row r="113" spans="2:25">
      <c r="B113" s="37" t="s">
        <v>124</v>
      </c>
      <c r="C113" s="4">
        <v>88200</v>
      </c>
      <c r="D113" s="43"/>
      <c r="F113" s="3" t="s">
        <v>125</v>
      </c>
      <c r="G113" s="56" t="e">
        <f>#REF!/(1+#REF!)^#REF!</f>
        <v>#REF!</v>
      </c>
      <c r="H113" s="59"/>
      <c r="I113" s="51">
        <f t="shared" si="0"/>
        <v>38</v>
      </c>
      <c r="J113" s="51">
        <f ca="1">IF(Tabella2579[[#This Row],[Age]]=$C$5,$C$10,IF(Tabella2579[[#This Row],[Age]]&lt;$C$5,$C$10-($C$5-Tabella2579[[#This Row],[Age]]),IF(Tabella2579[[#This Row],[Age]]&gt;$C$5,$C$10+Tabella2579[[#This Row],[Age]]-$C$5)))</f>
        <v>2040</v>
      </c>
      <c r="K113" s="65">
        <f t="shared" si="1"/>
        <v>109999.47246520076</v>
      </c>
      <c r="L113" s="65">
        <f>Tabella2579[[#This Row],[Adjusted Salary]]*$C$95+Tabella2579[[#This Row],[Adjusted Salary]]*$C$99+Tabella2579[[#This Row],[Adjusted Salary]]*$C$100</f>
        <v>8689.9583247508599</v>
      </c>
      <c r="M113" s="65"/>
      <c r="N113" s="70">
        <v>0.1</v>
      </c>
      <c r="O113" s="71">
        <f>IF(Tabella2579[[#This Row],[Age]]&lt;25,0, IF(MIN(Tabella2579[[#This Row],[Adjusted Salary]]-$C$112, $C$113)&lt;0,0, MIN(Tabella2579[[#This Row],[Adjusted Salary]]-$C$112,$C$113)))</f>
        <v>83539.472465200757</v>
      </c>
      <c r="P113" s="71">
        <f>IF(Tabella2579[[#This Row],[Age]]&lt;25,0,IF(Tabella2579[[#This Row],[Compulsory contributions]]=88200, Tabella2579[[#This Row],[Adjusted Salary]]-$C$113-$C$112, 0))</f>
        <v>0</v>
      </c>
      <c r="Q113" s="71">
        <f>Tabella2579[[#This Row],[Compulsory contributions]]+Tabella2579[[#This Row],[Over compulsory contributions]]</f>
        <v>83539.472465200757</v>
      </c>
      <c r="R113" s="71">
        <f>Tabella2579[[#This Row],[Contributions]]*Tabella2579[[#This Row],[Retirements credits]]</f>
        <v>8353.9472465200761</v>
      </c>
      <c r="S113" s="72">
        <f t="shared" si="2"/>
        <v>876.80627246381084</v>
      </c>
      <c r="T113" s="72">
        <f>T112+Tabella2579[[#This Row],[Retirement assets]]+Tabella2579[[#This Row],[Interests]]</f>
        <v>79375.255316088762</v>
      </c>
      <c r="U113" s="72"/>
      <c r="V113" s="77">
        <f>IF('General overview'!$C$8="No",0,IF(Tabella2579[[#This Row],[Age]]&lt;=$C$9,(Tabella2579[[#This Row],[Adjusted Salary]]),$G$110))</f>
        <v>109999.47246520076</v>
      </c>
      <c r="W113" s="72">
        <f>Tabella2579[[#This Row],[1° Pillar deductions]]+(Tabella2579[[#This Row],[Retirement assets]]/2)</f>
        <v>12866.931948010897</v>
      </c>
      <c r="X113" s="77">
        <f>Tabella2579[[#This Row],[Salary and pension]]-Tabella2579[[#This Row],[Pension deductions]]</f>
        <v>97132.54051718986</v>
      </c>
      <c r="Y113" s="59"/>
    </row>
    <row r="114" spans="2:25">
      <c r="B114" s="2" t="s">
        <v>126</v>
      </c>
      <c r="C114" s="4">
        <f>MIN(C92-C112, C113)</f>
        <v>43540</v>
      </c>
      <c r="D114" s="46"/>
      <c r="I114" s="51">
        <f t="shared" si="0"/>
        <v>39</v>
      </c>
      <c r="J114" s="51">
        <f ca="1">IF(Tabella2579[[#This Row],[Age]]=$C$5,$C$10,IF(Tabella2579[[#This Row],[Age]]&lt;$C$5,$C$10-($C$5-Tabella2579[[#This Row],[Age]]),IF(Tabella2579[[#This Row],[Age]]&gt;$C$5,$C$10+Tabella2579[[#This Row],[Age]]-$C$5)))</f>
        <v>2041</v>
      </c>
      <c r="K114" s="66">
        <f t="shared" si="1"/>
        <v>113000.42248023374</v>
      </c>
      <c r="L114" s="66">
        <f>Tabella2579[[#This Row],[Adjusted Salary]]*$C$95+Tabella2579[[#This Row],[Adjusted Salary]]*$C$99+Tabella2579[[#This Row],[Adjusted Salary]]*$C$100</f>
        <v>8927.0333759384648</v>
      </c>
      <c r="M114" s="66"/>
      <c r="N114" s="70">
        <v>0.1</v>
      </c>
      <c r="O114" s="71">
        <f>IF(Tabella2579[[#This Row],[Age]]&lt;25,0, IF(MIN(Tabella2579[[#This Row],[Adjusted Salary]]-$C$112, $C$113)&lt;0,0, MIN(Tabella2579[[#This Row],[Adjusted Salary]]-$C$112,$C$113)))</f>
        <v>86540.422480233741</v>
      </c>
      <c r="P114" s="71">
        <f>IF(Tabella2579[[#This Row],[Age]]&lt;25,0,IF(Tabella2579[[#This Row],[Compulsory contributions]]=88200, Tabella2579[[#This Row],[Adjusted Salary]]-$C$113-$C$112, 0))</f>
        <v>0</v>
      </c>
      <c r="Q114" s="71">
        <f>Tabella2579[[#This Row],[Compulsory contributions]]+Tabella2579[[#This Row],[Over compulsory contributions]]</f>
        <v>86540.422480233741</v>
      </c>
      <c r="R114" s="71">
        <f>Tabella2579[[#This Row],[Contributions]]*Tabella2579[[#This Row],[Retirements credits]]</f>
        <v>8654.0422480233738</v>
      </c>
      <c r="S114" s="72">
        <f t="shared" si="2"/>
        <v>992.19069145110961</v>
      </c>
      <c r="T114" s="72">
        <f>T113+Tabella2579[[#This Row],[Retirement assets]]+Tabella2579[[#This Row],[Interests]]</f>
        <v>89021.488255563236</v>
      </c>
      <c r="U114" s="72"/>
      <c r="V114" s="77">
        <f>IF('General overview'!$C$8="No",0,IF(Tabella2579[[#This Row],[Age]]&lt;=$C$9,(Tabella2579[[#This Row],[Adjusted Salary]]),$G$110))</f>
        <v>113000.42248023374</v>
      </c>
      <c r="W114" s="72">
        <f>Tabella2579[[#This Row],[1° Pillar deductions]]+(Tabella2579[[#This Row],[Retirement assets]]/2)</f>
        <v>13254.054499950151</v>
      </c>
      <c r="X114" s="77">
        <f>Tabella2579[[#This Row],[Salary and pension]]-Tabella2579[[#This Row],[Pension deductions]]</f>
        <v>99746.367980283598</v>
      </c>
    </row>
    <row r="115" spans="2:25">
      <c r="B115" s="2" t="s">
        <v>127</v>
      </c>
      <c r="C115" s="10">
        <f>IF(C114=88200, C92-C113, 0)</f>
        <v>0</v>
      </c>
      <c r="D115" s="4"/>
      <c r="I115" s="51">
        <f t="shared" si="0"/>
        <v>40</v>
      </c>
      <c r="J115" s="51">
        <f ca="1">IF(Tabella2579[[#This Row],[Age]]=$C$5,$C$10,IF(Tabella2579[[#This Row],[Age]]&lt;$C$5,$C$10-($C$5-Tabella2579[[#This Row],[Age]]),IF(Tabella2579[[#This Row],[Age]]&gt;$C$5,$C$10+Tabella2579[[#This Row],[Age]]-$C$5)))</f>
        <v>2042</v>
      </c>
      <c r="K115" s="66">
        <f t="shared" si="1"/>
        <v>116069.24917831988</v>
      </c>
      <c r="L115" s="66">
        <f>Tabella2579[[#This Row],[Adjusted Salary]]*$C$95+Tabella2579[[#This Row],[Adjusted Salary]]*$C$99+Tabella2579[[#This Row],[Adjusted Salary]]*$C$100</f>
        <v>9169.4706850872699</v>
      </c>
      <c r="M115" s="66"/>
      <c r="N115" s="70">
        <v>0.1</v>
      </c>
      <c r="O115" s="71">
        <f>IF(Tabella2579[[#This Row],[Age]]&lt;25,0, IF(MIN(Tabella2579[[#This Row],[Adjusted Salary]]-$C$112, $C$113)&lt;0,0, MIN(Tabella2579[[#This Row],[Adjusted Salary]]-$C$112,$C$113)))</f>
        <v>88200</v>
      </c>
      <c r="P115" s="71">
        <f>IF(Tabella2579[[#This Row],[Age]]&lt;25,0,IF(Tabella2579[[#This Row],[Compulsory contributions]]=88200, Tabella2579[[#This Row],[Adjusted Salary]]-$C$113-$C$112, 0))</f>
        <v>1409.2491783198784</v>
      </c>
      <c r="Q115" s="71">
        <f>Tabella2579[[#This Row],[Compulsory contributions]]+Tabella2579[[#This Row],[Over compulsory contributions]]</f>
        <v>89609.249178319878</v>
      </c>
      <c r="R115" s="71">
        <f>Tabella2579[[#This Row],[Contributions]]*Tabella2579[[#This Row],[Retirements credits]]</f>
        <v>8960.9249178319878</v>
      </c>
      <c r="S115" s="72">
        <f t="shared" si="2"/>
        <v>1112.7686031945404</v>
      </c>
      <c r="T115" s="72">
        <f>T114+Tabella2579[[#This Row],[Retirement assets]]+Tabella2579[[#This Row],[Interests]]</f>
        <v>99095.181776589758</v>
      </c>
      <c r="U115" s="72"/>
      <c r="V115" s="77">
        <f>IF('General overview'!$C$8="No",0,IF(Tabella2579[[#This Row],[Age]]&lt;=$C$9,(Tabella2579[[#This Row],[Adjusted Salary]]),$G$110))</f>
        <v>116069.24917831988</v>
      </c>
      <c r="W115" s="72">
        <f>Tabella2579[[#This Row],[1° Pillar deductions]]+(Tabella2579[[#This Row],[Retirement assets]]/2)</f>
        <v>13649.933144003264</v>
      </c>
      <c r="X115" s="77">
        <f>Tabella2579[[#This Row],[Salary and pension]]-Tabella2579[[#This Row],[Pension deductions]]</f>
        <v>102419.31603431661</v>
      </c>
    </row>
    <row r="116" spans="2:25">
      <c r="B116" s="2" t="s">
        <v>128</v>
      </c>
      <c r="C116" s="10"/>
      <c r="D116" s="36" t="b">
        <f>IF(AND(C91&gt;=25, C91&lt;=34), C106*C114, IF(AND(C91&gt;=35, C91&lt;=44), C114*C107, IF(AND(C91&gt;=45, C91&lt;=54), C114*C108, IF(AND(C91&gt;=55, C91&lt;=64), C114*C109))))</f>
        <v>0</v>
      </c>
      <c r="I116" s="51">
        <f t="shared" si="0"/>
        <v>41</v>
      </c>
      <c r="J116" s="51">
        <f ca="1">IF(Tabella2579[[#This Row],[Age]]=$C$5,$C$10,IF(Tabella2579[[#This Row],[Age]]&lt;$C$5,$C$10-($C$5-Tabella2579[[#This Row],[Age]]),IF(Tabella2579[[#This Row],[Age]]&gt;$C$5,$C$10+Tabella2579[[#This Row],[Age]]-$C$5)))</f>
        <v>2043</v>
      </c>
      <c r="K116" s="66">
        <f t="shared" si="1"/>
        <v>119207.6225017964</v>
      </c>
      <c r="L116" s="66">
        <f>Tabella2579[[#This Row],[Adjusted Salary]]*$C$95+Tabella2579[[#This Row],[Adjusted Salary]]*$C$99+Tabella2579[[#This Row],[Adjusted Salary]]*$C$100</f>
        <v>9417.4021776419158</v>
      </c>
      <c r="M116" s="66"/>
      <c r="N116" s="70">
        <v>0.1</v>
      </c>
      <c r="O116" s="71">
        <f>IF(Tabella2579[[#This Row],[Age]]&lt;25,0, IF(MIN(Tabella2579[[#This Row],[Adjusted Salary]]-$C$112, $C$113)&lt;0,0, MIN(Tabella2579[[#This Row],[Adjusted Salary]]-$C$112,$C$113)))</f>
        <v>88200</v>
      </c>
      <c r="P116" s="71">
        <f>IF(Tabella2579[[#This Row],[Age]]&lt;25,0,IF(Tabella2579[[#This Row],[Compulsory contributions]]=88200, Tabella2579[[#This Row],[Adjusted Salary]]-$C$113-$C$112, 0))</f>
        <v>4547.6225017964025</v>
      </c>
      <c r="Q116" s="71">
        <f>Tabella2579[[#This Row],[Compulsory contributions]]+Tabella2579[[#This Row],[Over compulsory contributions]]</f>
        <v>92747.622501796403</v>
      </c>
      <c r="R116" s="71">
        <f>Tabella2579[[#This Row],[Contributions]]*Tabella2579[[#This Row],[Retirements credits]]</f>
        <v>9274.7622501796413</v>
      </c>
      <c r="S116" s="72">
        <f t="shared" si="2"/>
        <v>1238.689772207372</v>
      </c>
      <c r="T116" s="72">
        <f>T115+Tabella2579[[#This Row],[Retirement assets]]+Tabella2579[[#This Row],[Interests]]</f>
        <v>109608.63379897678</v>
      </c>
      <c r="U116" s="72"/>
      <c r="V116" s="77">
        <f>IF('General overview'!$C$8="No",0,IF(Tabella2579[[#This Row],[Age]]&lt;=$C$9,(Tabella2579[[#This Row],[Adjusted Salary]]),$G$110))</f>
        <v>119207.6225017964</v>
      </c>
      <c r="W116" s="72">
        <f>Tabella2579[[#This Row],[1° Pillar deductions]]+(Tabella2579[[#This Row],[Retirement assets]]/2)</f>
        <v>14054.783302731736</v>
      </c>
      <c r="X116" s="77">
        <f>Tabella2579[[#This Row],[Salary and pension]]-Tabella2579[[#This Row],[Pension deductions]]</f>
        <v>105152.83919906466</v>
      </c>
    </row>
    <row r="117" spans="2:25">
      <c r="B117" s="2" t="s">
        <v>129</v>
      </c>
      <c r="C117" s="10" t="b">
        <f>IF(ISNUMBER(C115), IF(AND(C91&gt;=25, C91&lt;=34), C115*C106, IF(AND(C91&gt;=35, C91&lt;=44), C107*C115, IF(AND(C91&gt;=45, C91&lt;=54), C108*C115, IF(AND(C91&gt;=55, C91&lt;=64), C109*C115)))),  "")</f>
        <v>0</v>
      </c>
      <c r="D117" s="36" t="b">
        <f>IF(ISNUMBER(C115), IF(AND(C91&gt;=25, C91&lt;=34), C115*C106, IF(AND(C91&gt;=35, C91&lt;=44), C107*C115, IF(AND(C91&gt;=45, C91&lt;=54), C108*C115, IF(AND(C91&gt;=55, C91&lt;=64), C109*C115)))),  "")</f>
        <v>0</v>
      </c>
      <c r="I117" s="51">
        <f t="shared" si="0"/>
        <v>42</v>
      </c>
      <c r="J117" s="51">
        <f ca="1">IF(Tabella2579[[#This Row],[Age]]=$C$5,$C$10,IF(Tabella2579[[#This Row],[Age]]&lt;$C$5,$C$10-($C$5-Tabella2579[[#This Row],[Age]]),IF(Tabella2579[[#This Row],[Age]]&gt;$C$5,$C$10+Tabella2579[[#This Row],[Age]]-$C$5)))</f>
        <v>2044</v>
      </c>
      <c r="K117" s="66">
        <f t="shared" si="1"/>
        <v>122417.25422715192</v>
      </c>
      <c r="L117" s="66">
        <f>Tabella2579[[#This Row],[Adjusted Salary]]*$C$95+Tabella2579[[#This Row],[Adjusted Salary]]*$C$99+Tabella2579[[#This Row],[Adjusted Salary]]*$C$100</f>
        <v>9670.9630839450019</v>
      </c>
      <c r="M117" s="66"/>
      <c r="N117" s="70">
        <v>0.1</v>
      </c>
      <c r="O117" s="71">
        <f>IF(Tabella2579[[#This Row],[Age]]&lt;25,0, IF(MIN(Tabella2579[[#This Row],[Adjusted Salary]]-$C$112, $C$113)&lt;0,0, MIN(Tabella2579[[#This Row],[Adjusted Salary]]-$C$112,$C$113)))</f>
        <v>88200</v>
      </c>
      <c r="P117" s="71">
        <f>IF(Tabella2579[[#This Row],[Age]]&lt;25,0,IF(Tabella2579[[#This Row],[Compulsory contributions]]=88200, Tabella2579[[#This Row],[Adjusted Salary]]-$C$113-$C$112, 0))</f>
        <v>7757.2542271519196</v>
      </c>
      <c r="Q117" s="71">
        <f>Tabella2579[[#This Row],[Compulsory contributions]]+Tabella2579[[#This Row],[Over compulsory contributions]]</f>
        <v>95957.25422715192</v>
      </c>
      <c r="R117" s="71">
        <f>Tabella2579[[#This Row],[Contributions]]*Tabella2579[[#This Row],[Retirements credits]]</f>
        <v>9595.7254227151916</v>
      </c>
      <c r="S117" s="72">
        <f t="shared" si="2"/>
        <v>1370.1079224872099</v>
      </c>
      <c r="T117" s="72">
        <f>T116+Tabella2579[[#This Row],[Retirement assets]]+Tabella2579[[#This Row],[Interests]]</f>
        <v>120574.46714417917</v>
      </c>
      <c r="U117" s="72"/>
      <c r="V117" s="77">
        <f>IF('General overview'!$C$8="No",0,IF(Tabella2579[[#This Row],[Age]]&lt;=$C$9,(Tabella2579[[#This Row],[Adjusted Salary]]),$G$110))</f>
        <v>122417.25422715192</v>
      </c>
      <c r="W117" s="72">
        <f>Tabella2579[[#This Row],[1° Pillar deductions]]+(Tabella2579[[#This Row],[Retirement assets]]/2)</f>
        <v>14468.825795302597</v>
      </c>
      <c r="X117" s="77">
        <f>Tabella2579[[#This Row],[Salary and pension]]-Tabella2579[[#This Row],[Pension deductions]]</f>
        <v>107948.42843184932</v>
      </c>
    </row>
    <row r="118" spans="2:25">
      <c r="B118" s="40" t="s">
        <v>130</v>
      </c>
      <c r="C118" s="47"/>
      <c r="D118" s="41">
        <f>SUM(D116:D117)</f>
        <v>0</v>
      </c>
      <c r="I118" s="51">
        <f t="shared" si="0"/>
        <v>43</v>
      </c>
      <c r="J118" s="51">
        <f ca="1">IF(Tabella2579[[#This Row],[Age]]=$C$5,$C$10,IF(Tabella2579[[#This Row],[Age]]&lt;$C$5,$C$10-($C$5-Tabella2579[[#This Row],[Age]]),IF(Tabella2579[[#This Row],[Age]]&gt;$C$5,$C$10+Tabella2579[[#This Row],[Age]]-$C$5)))</f>
        <v>2045</v>
      </c>
      <c r="K118" s="66">
        <f t="shared" si="1"/>
        <v>125699.89901685619</v>
      </c>
      <c r="L118" s="66">
        <f>Tabella2579[[#This Row],[Adjusted Salary]]*$C$95+Tabella2579[[#This Row],[Adjusted Salary]]*$C$99+Tabella2579[[#This Row],[Adjusted Salary]]*$C$100</f>
        <v>9930.2920223316378</v>
      </c>
      <c r="M118" s="66"/>
      <c r="N118" s="70">
        <v>0.1</v>
      </c>
      <c r="O118" s="71">
        <f>IF(Tabella2579[[#This Row],[Age]]&lt;25,0, IF(MIN(Tabella2579[[#This Row],[Adjusted Salary]]-$C$112, $C$113)&lt;0,0, MIN(Tabella2579[[#This Row],[Adjusted Salary]]-$C$112,$C$113)))</f>
        <v>88200</v>
      </c>
      <c r="P118" s="71">
        <f>IF(Tabella2579[[#This Row],[Age]]&lt;25,0,IF(Tabella2579[[#This Row],[Compulsory contributions]]=88200, Tabella2579[[#This Row],[Adjusted Salary]]-$C$113-$C$112, 0))</f>
        <v>11039.899016856187</v>
      </c>
      <c r="Q118" s="71">
        <f>Tabella2579[[#This Row],[Compulsory contributions]]+Tabella2579[[#This Row],[Over compulsory contributions]]</f>
        <v>99239.899016856187</v>
      </c>
      <c r="R118" s="71">
        <f>Tabella2579[[#This Row],[Contributions]]*Tabella2579[[#This Row],[Retirements credits]]</f>
        <v>9923.9899016856198</v>
      </c>
      <c r="S118" s="72">
        <f t="shared" si="2"/>
        <v>1507.1808393022397</v>
      </c>
      <c r="T118" s="72">
        <f>T117+Tabella2579[[#This Row],[Retirement assets]]+Tabella2579[[#This Row],[Interests]]</f>
        <v>132005.63788516703</v>
      </c>
      <c r="U118" s="72"/>
      <c r="V118" s="77">
        <f>IF('General overview'!$C$8="No",0,IF(Tabella2579[[#This Row],[Age]]&lt;=$C$9,(Tabella2579[[#This Row],[Adjusted Salary]]),$G$110))</f>
        <v>125699.89901685619</v>
      </c>
      <c r="W118" s="72">
        <f>Tabella2579[[#This Row],[1° Pillar deductions]]+(Tabella2579[[#This Row],[Retirement assets]]/2)</f>
        <v>14892.286973174447</v>
      </c>
      <c r="X118" s="77">
        <f>Tabella2579[[#This Row],[Salary and pension]]-Tabella2579[[#This Row],[Pension deductions]]</f>
        <v>110807.61204368174</v>
      </c>
    </row>
    <row r="119" spans="2:25">
      <c r="B119" s="2" t="s">
        <v>131</v>
      </c>
      <c r="C119" s="10"/>
      <c r="D119" s="36">
        <f>D118/2</f>
        <v>0</v>
      </c>
      <c r="I119" s="51">
        <f t="shared" si="0"/>
        <v>44</v>
      </c>
      <c r="J119" s="51">
        <f ca="1">IF(Tabella2579[[#This Row],[Age]]=$C$5,$C$10,IF(Tabella2579[[#This Row],[Age]]&lt;$C$5,$C$10-($C$5-Tabella2579[[#This Row],[Age]]),IF(Tabella2579[[#This Row],[Age]]&gt;$C$5,$C$10+Tabella2579[[#This Row],[Age]]-$C$5)))</f>
        <v>2046</v>
      </c>
      <c r="K119" s="66">
        <f t="shared" si="1"/>
        <v>129057.35549765534</v>
      </c>
      <c r="L119" s="66">
        <f>Tabella2579[[#This Row],[Adjusted Salary]]*$C$95+Tabella2579[[#This Row],[Adjusted Salary]]*$C$99+Tabella2579[[#This Row],[Adjusted Salary]]*$C$100</f>
        <v>10195.531084314773</v>
      </c>
      <c r="M119" s="66"/>
      <c r="N119" s="70">
        <v>0.1</v>
      </c>
      <c r="O119" s="71">
        <f>IF(Tabella2579[[#This Row],[Age]]&lt;25,0, IF(MIN(Tabella2579[[#This Row],[Adjusted Salary]]-$C$112, $C$113)&lt;0,0, MIN(Tabella2579[[#This Row],[Adjusted Salary]]-$C$112,$C$113)))</f>
        <v>88200</v>
      </c>
      <c r="P119" s="71">
        <f>IF(Tabella2579[[#This Row],[Age]]&lt;25,0,IF(Tabella2579[[#This Row],[Compulsory contributions]]=88200, Tabella2579[[#This Row],[Adjusted Salary]]-$C$113-$C$112, 0))</f>
        <v>14397.355497655342</v>
      </c>
      <c r="Q119" s="71">
        <f>Tabella2579[[#This Row],[Compulsory contributions]]+Tabella2579[[#This Row],[Over compulsory contributions]]</f>
        <v>102597.35549765534</v>
      </c>
      <c r="R119" s="71">
        <f>Tabella2579[[#This Row],[Contributions]]*Tabella2579[[#This Row],[Retirements credits]]</f>
        <v>10259.735549765535</v>
      </c>
      <c r="S119" s="72">
        <f t="shared" si="2"/>
        <v>1650.0704735645879</v>
      </c>
      <c r="T119" s="72">
        <f>T118+Tabella2579[[#This Row],[Retirement assets]]+Tabella2579[[#This Row],[Interests]]</f>
        <v>143915.44390849714</v>
      </c>
      <c r="U119" s="72"/>
      <c r="V119" s="77">
        <f>IF('General overview'!$C$8="No",0,IF(Tabella2579[[#This Row],[Age]]&lt;=$C$9,(Tabella2579[[#This Row],[Adjusted Salary]]),$G$110))</f>
        <v>129057.35549765534</v>
      </c>
      <c r="W119" s="72">
        <f>Tabella2579[[#This Row],[1° Pillar deductions]]+(Tabella2579[[#This Row],[Retirement assets]]/2)</f>
        <v>15325.398859197539</v>
      </c>
      <c r="X119" s="77">
        <f>Tabella2579[[#This Row],[Salary and pension]]-Tabella2579[[#This Row],[Pension deductions]]</f>
        <v>113731.95663845781</v>
      </c>
    </row>
    <row r="120" spans="2:25">
      <c r="I120" s="51">
        <f t="shared" si="0"/>
        <v>45</v>
      </c>
      <c r="J120" s="51">
        <f ca="1">IF(Tabella2579[[#This Row],[Age]]=$C$5,$C$10,IF(Tabella2579[[#This Row],[Age]]&lt;$C$5,$C$10-($C$5-Tabella2579[[#This Row],[Age]]),IF(Tabella2579[[#This Row],[Age]]&gt;$C$5,$C$10+Tabella2579[[#This Row],[Age]]-$C$5)))</f>
        <v>2047</v>
      </c>
      <c r="K120" s="66">
        <f t="shared" si="1"/>
        <v>132491.46736599837</v>
      </c>
      <c r="L120" s="66">
        <f>Tabella2579[[#This Row],[Adjusted Salary]]*$C$95+Tabella2579[[#This Row],[Adjusted Salary]]*$C$99+Tabella2579[[#This Row],[Adjusted Salary]]*$C$100</f>
        <v>10466.825921913869</v>
      </c>
      <c r="M120" s="66"/>
      <c r="N120" s="70">
        <v>0.15</v>
      </c>
      <c r="O120" s="71">
        <f>IF(Tabella2579[[#This Row],[Age]]&lt;25,0, IF(MIN(Tabella2579[[#This Row],[Adjusted Salary]]-$C$112, $C$113)&lt;0,0, MIN(Tabella2579[[#This Row],[Adjusted Salary]]-$C$112,$C$113)))</f>
        <v>88200</v>
      </c>
      <c r="P120" s="71">
        <f>IF(Tabella2579[[#This Row],[Age]]&lt;25,0,IF(Tabella2579[[#This Row],[Compulsory contributions]]=88200, Tabella2579[[#This Row],[Adjusted Salary]]-$C$113-$C$112, 0))</f>
        <v>17831.467365998367</v>
      </c>
      <c r="Q120" s="71">
        <f>Tabella2579[[#This Row],[Compulsory contributions]]+Tabella2579[[#This Row],[Over compulsory contributions]]</f>
        <v>106031.46736599837</v>
      </c>
      <c r="R120" s="71">
        <f>Tabella2579[[#This Row],[Contributions]]*Tabella2579[[#This Row],[Retirements credits]]</f>
        <v>15904.720104899754</v>
      </c>
      <c r="S120" s="72">
        <f t="shared" si="2"/>
        <v>1798.9430488562143</v>
      </c>
      <c r="T120" s="72">
        <f>T119+Tabella2579[[#This Row],[Retirement assets]]+Tabella2579[[#This Row],[Interests]]</f>
        <v>161619.10706225311</v>
      </c>
      <c r="U120" s="72"/>
      <c r="V120" s="77">
        <f>IF('General overview'!$C$8="No",0,IF(Tabella2579[[#This Row],[Age]]&lt;=$C$9,(Tabella2579[[#This Row],[Adjusted Salary]]),$G$110))</f>
        <v>132491.46736599837</v>
      </c>
      <c r="W120" s="72">
        <f>Tabella2579[[#This Row],[1° Pillar deductions]]+(Tabella2579[[#This Row],[Retirement assets]]/2)</f>
        <v>18419.185974363747</v>
      </c>
      <c r="X120" s="77">
        <f>Tabella2579[[#This Row],[Salary and pension]]-Tabella2579[[#This Row],[Pension deductions]]</f>
        <v>114072.28139163462</v>
      </c>
    </row>
    <row r="121" spans="2:25">
      <c r="B121" s="7" t="s">
        <v>119</v>
      </c>
      <c r="C121" s="7"/>
      <c r="D121" s="49">
        <f>D102+D119</f>
        <v>5530</v>
      </c>
      <c r="I121" s="51">
        <f t="shared" si="0"/>
        <v>46</v>
      </c>
      <c r="J121" s="51">
        <f ca="1">IF(Tabella2579[[#This Row],[Age]]=$C$5,$C$10,IF(Tabella2579[[#This Row],[Age]]&lt;$C$5,$C$10-($C$5-Tabella2579[[#This Row],[Age]]),IF(Tabella2579[[#This Row],[Age]]&gt;$C$5,$C$10+Tabella2579[[#This Row],[Age]]-$C$5)))</f>
        <v>2048</v>
      </c>
      <c r="K121" s="66">
        <f t="shared" si="1"/>
        <v>136004.1245212775</v>
      </c>
      <c r="L121" s="66">
        <f>Tabella2579[[#This Row],[Adjusted Salary]]*$C$95+Tabella2579[[#This Row],[Adjusted Salary]]*$C$99+Tabella2579[[#This Row],[Adjusted Salary]]*$C$100</f>
        <v>10744.325837180921</v>
      </c>
      <c r="M121" s="66"/>
      <c r="N121" s="70">
        <v>0.15</v>
      </c>
      <c r="O121" s="71">
        <f>IF(Tabella2579[[#This Row],[Age]]&lt;25,0, IF(MIN(Tabella2579[[#This Row],[Adjusted Salary]]-$C$112, $C$113)&lt;0,0, MIN(Tabella2579[[#This Row],[Adjusted Salary]]-$C$112,$C$113)))</f>
        <v>88200</v>
      </c>
      <c r="P121" s="71">
        <f>IF(Tabella2579[[#This Row],[Age]]&lt;25,0,IF(Tabella2579[[#This Row],[Compulsory contributions]]=88200, Tabella2579[[#This Row],[Adjusted Salary]]-$C$113-$C$112, 0))</f>
        <v>21344.124521277496</v>
      </c>
      <c r="Q121" s="71">
        <f>Tabella2579[[#This Row],[Compulsory contributions]]+Tabella2579[[#This Row],[Over compulsory contributions]]</f>
        <v>109544.1245212775</v>
      </c>
      <c r="R121" s="71">
        <f>Tabella2579[[#This Row],[Contributions]]*Tabella2579[[#This Row],[Retirements credits]]</f>
        <v>16431.618678191622</v>
      </c>
      <c r="S121" s="72">
        <f t="shared" si="2"/>
        <v>2020.2388382781639</v>
      </c>
      <c r="T121" s="72">
        <f>T120+Tabella2579[[#This Row],[Retirement assets]]+Tabella2579[[#This Row],[Interests]]</f>
        <v>180070.96457872289</v>
      </c>
      <c r="U121" s="72"/>
      <c r="V121" s="77">
        <f>IF('General overview'!$C$8="No",0,IF(Tabella2579[[#This Row],[Age]]&lt;=$C$9,(Tabella2579[[#This Row],[Adjusted Salary]]),$G$110))</f>
        <v>136004.1245212775</v>
      </c>
      <c r="W121" s="72">
        <f>Tabella2579[[#This Row],[1° Pillar deductions]]+(Tabella2579[[#This Row],[Retirement assets]]/2)</f>
        <v>18960.13517627673</v>
      </c>
      <c r="X121" s="77">
        <f>Tabella2579[[#This Row],[Salary and pension]]-Tabella2579[[#This Row],[Pension deductions]]</f>
        <v>117043.98934500077</v>
      </c>
    </row>
    <row r="122" spans="2:25">
      <c r="I122" s="51">
        <f t="shared" si="0"/>
        <v>47</v>
      </c>
      <c r="J122" s="51">
        <f ca="1">IF(Tabella2579[[#This Row],[Age]]=$C$5,$C$10,IF(Tabella2579[[#This Row],[Age]]&lt;$C$5,$C$10-($C$5-Tabella2579[[#This Row],[Age]]),IF(Tabella2579[[#This Row],[Age]]&gt;$C$5,$C$10+Tabella2579[[#This Row],[Age]]-$C$5)))</f>
        <v>2049</v>
      </c>
      <c r="K122" s="66">
        <f t="shared" si="1"/>
        <v>139597.26422758267</v>
      </c>
      <c r="L122" s="66">
        <f>Tabella2579[[#This Row],[Adjusted Salary]]*$C$95+Tabella2579[[#This Row],[Adjusted Salary]]*$C$99+Tabella2579[[#This Row],[Adjusted Salary]]*$C$100</f>
        <v>11028.183873979029</v>
      </c>
      <c r="M122" s="66"/>
      <c r="N122" s="70">
        <v>0.15</v>
      </c>
      <c r="O122" s="71">
        <f>IF(Tabella2579[[#This Row],[Age]]&lt;25,0, IF(MIN(Tabella2579[[#This Row],[Adjusted Salary]]-$C$112, $C$113)&lt;0,0, MIN(Tabella2579[[#This Row],[Adjusted Salary]]-$C$112,$C$113)))</f>
        <v>88200</v>
      </c>
      <c r="P122" s="71">
        <f>IF(Tabella2579[[#This Row],[Age]]&lt;25,0,IF(Tabella2579[[#This Row],[Compulsory contributions]]=88200, Tabella2579[[#This Row],[Adjusted Salary]]-$C$113-$C$112, 0))</f>
        <v>24937.264227582666</v>
      </c>
      <c r="Q122" s="71">
        <f>Tabella2579[[#This Row],[Compulsory contributions]]+Tabella2579[[#This Row],[Over compulsory contributions]]</f>
        <v>113137.26422758267</v>
      </c>
      <c r="R122" s="71">
        <f>Tabella2579[[#This Row],[Contributions]]*Tabella2579[[#This Row],[Retirements credits]]</f>
        <v>16970.589634137399</v>
      </c>
      <c r="S122" s="72">
        <f t="shared" si="2"/>
        <v>2250.8870572340361</v>
      </c>
      <c r="T122" s="72">
        <f>T121+Tabella2579[[#This Row],[Retirement assets]]+Tabella2579[[#This Row],[Interests]]</f>
        <v>199292.44127009434</v>
      </c>
      <c r="U122" s="72"/>
      <c r="V122" s="77">
        <f>IF('General overview'!$C$8="No",0,IF(Tabella2579[[#This Row],[Age]]&lt;=$C$9,(Tabella2579[[#This Row],[Adjusted Salary]]),$G$110))</f>
        <v>139597.26422758267</v>
      </c>
      <c r="W122" s="72">
        <f>Tabella2579[[#This Row],[1° Pillar deductions]]+(Tabella2579[[#This Row],[Retirement assets]]/2)</f>
        <v>19513.478691047727</v>
      </c>
      <c r="X122" s="77">
        <f>Tabella2579[[#This Row],[Salary and pension]]-Tabella2579[[#This Row],[Pension deductions]]</f>
        <v>120083.78553653494</v>
      </c>
    </row>
    <row r="123" spans="2:25">
      <c r="B123" s="7" t="s">
        <v>132</v>
      </c>
      <c r="C123" s="7"/>
      <c r="D123" s="22" t="s">
        <v>133</v>
      </c>
      <c r="I123" s="51">
        <f t="shared" si="0"/>
        <v>48</v>
      </c>
      <c r="J123" s="51">
        <f ca="1">IF(Tabella2579[[#This Row],[Age]]=$C$5,$C$10,IF(Tabella2579[[#This Row],[Age]]&lt;$C$5,$C$10-($C$5-Tabella2579[[#This Row],[Age]]),IF(Tabella2579[[#This Row],[Age]]&gt;$C$5,$C$10+Tabella2579[[#This Row],[Age]]-$C$5)))</f>
        <v>2050</v>
      </c>
      <c r="K123" s="66">
        <f t="shared" si="1"/>
        <v>143272.87230468719</v>
      </c>
      <c r="L123" s="66">
        <f>Tabella2579[[#This Row],[Adjusted Salary]]*$C$95+Tabella2579[[#This Row],[Adjusted Salary]]*$C$99+Tabella2579[[#This Row],[Adjusted Salary]]*$C$100</f>
        <v>11318.556912070288</v>
      </c>
      <c r="M123" s="66"/>
      <c r="N123" s="70">
        <v>0.15</v>
      </c>
      <c r="O123" s="71">
        <f>IF(Tabella2579[[#This Row],[Age]]&lt;25,0, IF(MIN(Tabella2579[[#This Row],[Adjusted Salary]]-$C$112, $C$113)&lt;0,0, MIN(Tabella2579[[#This Row],[Adjusted Salary]]-$C$112,$C$113)))</f>
        <v>88200</v>
      </c>
      <c r="P123" s="71">
        <f>IF(Tabella2579[[#This Row],[Age]]&lt;25,0,IF(Tabella2579[[#This Row],[Compulsory contributions]]=88200, Tabella2579[[#This Row],[Adjusted Salary]]-$C$113-$C$112, 0))</f>
        <v>28612.872304687189</v>
      </c>
      <c r="Q123" s="71">
        <f>Tabella2579[[#This Row],[Compulsory contributions]]+Tabella2579[[#This Row],[Over compulsory contributions]]</f>
        <v>116812.87230468719</v>
      </c>
      <c r="R123" s="71">
        <f>Tabella2579[[#This Row],[Contributions]]*Tabella2579[[#This Row],[Retirements credits]]</f>
        <v>17521.930845703078</v>
      </c>
      <c r="S123" s="72">
        <f t="shared" si="2"/>
        <v>2491.1555158761794</v>
      </c>
      <c r="T123" s="72">
        <f>T122+Tabella2579[[#This Row],[Retirement assets]]+Tabella2579[[#This Row],[Interests]]</f>
        <v>219305.52763167361</v>
      </c>
      <c r="U123" s="72"/>
      <c r="V123" s="77">
        <f>IF('General overview'!$C$8="No",0,IF(Tabella2579[[#This Row],[Age]]&lt;=$C$9,(Tabella2579[[#This Row],[Adjusted Salary]]),$G$110))</f>
        <v>143272.87230468719</v>
      </c>
      <c r="W123" s="72">
        <f>Tabella2579[[#This Row],[1° Pillar deductions]]+(Tabella2579[[#This Row],[Retirement assets]]/2)</f>
        <v>20079.522334921829</v>
      </c>
      <c r="X123" s="77">
        <f>Tabella2579[[#This Row],[Salary and pension]]-Tabella2579[[#This Row],[Pension deductions]]</f>
        <v>123193.34996976536</v>
      </c>
    </row>
    <row r="124" spans="2:25">
      <c r="B124" s="2" t="s">
        <v>134</v>
      </c>
      <c r="C124" s="4">
        <v>7258</v>
      </c>
      <c r="D124" s="4">
        <v>0</v>
      </c>
      <c r="I124" s="51">
        <f t="shared" si="0"/>
        <v>49</v>
      </c>
      <c r="J124" s="51">
        <f ca="1">IF(Tabella2579[[#This Row],[Age]]=$C$5,$C$10,IF(Tabella2579[[#This Row],[Age]]&lt;$C$5,$C$10-($C$5-Tabella2579[[#This Row],[Age]]),IF(Tabella2579[[#This Row],[Age]]&gt;$C$5,$C$10+Tabella2579[[#This Row],[Age]]-$C$5)))</f>
        <v>2051</v>
      </c>
      <c r="K124" s="66">
        <f t="shared" si="1"/>
        <v>147032.98434900091</v>
      </c>
      <c r="L124" s="66">
        <f>Tabella2579[[#This Row],[Adjusted Salary]]*$C$95+Tabella2579[[#This Row],[Adjusted Salary]]*$C$99+Tabella2579[[#This Row],[Adjusted Salary]]*$C$100</f>
        <v>11615.605763571071</v>
      </c>
      <c r="M124" s="66"/>
      <c r="N124" s="70">
        <v>0.15</v>
      </c>
      <c r="O124" s="71">
        <f>IF(Tabella2579[[#This Row],[Age]]&lt;25,0, IF(MIN(Tabella2579[[#This Row],[Adjusted Salary]]-$C$112, $C$113)&lt;0,0, MIN(Tabella2579[[#This Row],[Adjusted Salary]]-$C$112,$C$113)))</f>
        <v>88200</v>
      </c>
      <c r="P124" s="71">
        <f>IF(Tabella2579[[#This Row],[Age]]&lt;25,0,IF(Tabella2579[[#This Row],[Compulsory contributions]]=88200, Tabella2579[[#This Row],[Adjusted Salary]]-$C$113-$C$112, 0))</f>
        <v>32372.984349000908</v>
      </c>
      <c r="Q124" s="71">
        <f>Tabella2579[[#This Row],[Compulsory contributions]]+Tabella2579[[#This Row],[Over compulsory contributions]]</f>
        <v>120572.98434900091</v>
      </c>
      <c r="R124" s="71">
        <f>Tabella2579[[#This Row],[Contributions]]*Tabella2579[[#This Row],[Retirements credits]]</f>
        <v>18085.947652350136</v>
      </c>
      <c r="S124" s="72">
        <f t="shared" si="2"/>
        <v>2741.3190953959202</v>
      </c>
      <c r="T124" s="72">
        <f>T123+Tabella2579[[#This Row],[Retirement assets]]+Tabella2579[[#This Row],[Interests]]</f>
        <v>240132.79437941965</v>
      </c>
      <c r="U124" s="72"/>
      <c r="V124" s="77">
        <f>IF('General overview'!$C$8="No",0,IF(Tabella2579[[#This Row],[Age]]&lt;=$C$9,(Tabella2579[[#This Row],[Adjusted Salary]]),$G$110))</f>
        <v>147032.98434900091</v>
      </c>
      <c r="W124" s="72">
        <f>Tabella2579[[#This Row],[1° Pillar deductions]]+(Tabella2579[[#This Row],[Retirement assets]]/2)</f>
        <v>20658.579589746139</v>
      </c>
      <c r="X124" s="77">
        <f>Tabella2579[[#This Row],[Salary and pension]]-Tabella2579[[#This Row],[Pension deductions]]</f>
        <v>126374.40475925477</v>
      </c>
    </row>
    <row r="125" spans="2:25">
      <c r="I125" s="51">
        <f t="shared" si="0"/>
        <v>50</v>
      </c>
      <c r="J125" s="51">
        <f ca="1">IF(Tabella2579[[#This Row],[Age]]=$C$5,$C$10,IF(Tabella2579[[#This Row],[Age]]&lt;$C$5,$C$10-($C$5-Tabella2579[[#This Row],[Age]]),IF(Tabella2579[[#This Row],[Age]]&gt;$C$5,$C$10+Tabella2579[[#This Row],[Age]]-$C$5)))</f>
        <v>2052</v>
      </c>
      <c r="K125" s="66">
        <f t="shared" si="1"/>
        <v>150879.68698524425</v>
      </c>
      <c r="L125" s="66">
        <f>Tabella2579[[#This Row],[Adjusted Salary]]*$C$95+Tabella2579[[#This Row],[Adjusted Salary]]*$C$99+Tabella2579[[#This Row],[Adjusted Salary]]*$C$100</f>
        <v>11919.495271834294</v>
      </c>
      <c r="M125" s="66"/>
      <c r="N125" s="70">
        <v>0.15</v>
      </c>
      <c r="O125" s="71">
        <f>IF(Tabella2579[[#This Row],[Age]]&lt;25,0, IF(MIN(Tabella2579[[#This Row],[Adjusted Salary]]-$C$112, $C$113)&lt;0,0, MIN(Tabella2579[[#This Row],[Adjusted Salary]]-$C$112,$C$113)))</f>
        <v>88200</v>
      </c>
      <c r="P125" s="71">
        <f>IF(Tabella2579[[#This Row],[Age]]&lt;25,0,IF(Tabella2579[[#This Row],[Compulsory contributions]]=88200, Tabella2579[[#This Row],[Adjusted Salary]]-$C$113-$C$112, 0))</f>
        <v>36219.686985244247</v>
      </c>
      <c r="Q125" s="71">
        <f>Tabella2579[[#This Row],[Compulsory contributions]]+Tabella2579[[#This Row],[Over compulsory contributions]]</f>
        <v>124419.68698524425</v>
      </c>
      <c r="R125" s="71">
        <f>Tabella2579[[#This Row],[Contributions]]*Tabella2579[[#This Row],[Retirements credits]]</f>
        <v>18662.953047786636</v>
      </c>
      <c r="S125" s="72">
        <f t="shared" si="2"/>
        <v>3001.6599297427456</v>
      </c>
      <c r="T125" s="72">
        <f>T124+Tabella2579[[#This Row],[Retirement assets]]+Tabella2579[[#This Row],[Interests]]</f>
        <v>261797.40735694903</v>
      </c>
      <c r="U125" s="72"/>
      <c r="V125" s="77">
        <f>IF('General overview'!$C$8="No",0,IF(Tabella2579[[#This Row],[Age]]&lt;=$C$9,(Tabella2579[[#This Row],[Adjusted Salary]]),$G$110))</f>
        <v>150879.68698524425</v>
      </c>
      <c r="W125" s="72">
        <f>Tabella2579[[#This Row],[1° Pillar deductions]]+(Tabella2579[[#This Row],[Retirement assets]]/2)</f>
        <v>21250.971795727612</v>
      </c>
      <c r="X125" s="77">
        <f>Tabella2579[[#This Row],[Salary and pension]]-Tabella2579[[#This Row],[Pension deductions]]</f>
        <v>129628.71518951663</v>
      </c>
    </row>
    <row r="126" spans="2:25">
      <c r="I126" s="51">
        <f t="shared" si="0"/>
        <v>51</v>
      </c>
      <c r="J126" s="51">
        <f ca="1">IF(Tabella2579[[#This Row],[Age]]=$C$5,$C$10,IF(Tabella2579[[#This Row],[Age]]&lt;$C$5,$C$10-($C$5-Tabella2579[[#This Row],[Age]]),IF(Tabella2579[[#This Row],[Age]]&gt;$C$5,$C$10+Tabella2579[[#This Row],[Age]]-$C$5)))</f>
        <v>2053</v>
      </c>
      <c r="K126" s="66">
        <f t="shared" si="1"/>
        <v>154815.11914961654</v>
      </c>
      <c r="L126" s="66">
        <f>Tabella2579[[#This Row],[Adjusted Salary]]*$C$95+Tabella2579[[#This Row],[Adjusted Salary]]*$C$99+Tabella2579[[#This Row],[Adjusted Salary]]*$C$100</f>
        <v>12230.394412819705</v>
      </c>
      <c r="M126" s="66"/>
      <c r="N126" s="70">
        <v>0.15</v>
      </c>
      <c r="O126" s="71">
        <f>IF(Tabella2579[[#This Row],[Age]]&lt;25,0, IF(MIN(Tabella2579[[#This Row],[Adjusted Salary]]-$C$112, $C$113)&lt;0,0, MIN(Tabella2579[[#This Row],[Adjusted Salary]]-$C$112,$C$113)))</f>
        <v>88200</v>
      </c>
      <c r="P126" s="71">
        <f>IF(Tabella2579[[#This Row],[Age]]&lt;25,0,IF(Tabella2579[[#This Row],[Compulsory contributions]]=88200, Tabella2579[[#This Row],[Adjusted Salary]]-$C$113-$C$112, 0))</f>
        <v>40155.119149616541</v>
      </c>
      <c r="Q126" s="71">
        <f>Tabella2579[[#This Row],[Compulsory contributions]]+Tabella2579[[#This Row],[Over compulsory contributions]]</f>
        <v>128355.11914961654</v>
      </c>
      <c r="R126" s="71">
        <f>Tabella2579[[#This Row],[Contributions]]*Tabella2579[[#This Row],[Retirements credits]]</f>
        <v>19253.26787244248</v>
      </c>
      <c r="S126" s="72">
        <f t="shared" si="2"/>
        <v>3272.467591961863</v>
      </c>
      <c r="T126" s="72">
        <f>T125+Tabella2579[[#This Row],[Retirement assets]]+Tabella2579[[#This Row],[Interests]]</f>
        <v>284323.14282135334</v>
      </c>
      <c r="U126" s="72"/>
      <c r="V126" s="77">
        <f>IF('General overview'!$C$8="No",0,IF(Tabella2579[[#This Row],[Age]]&lt;=$C$9,(Tabella2579[[#This Row],[Adjusted Salary]]),$G$110))</f>
        <v>154815.11914961654</v>
      </c>
      <c r="W126" s="72">
        <f>Tabella2579[[#This Row],[1° Pillar deductions]]+(Tabella2579[[#This Row],[Retirement assets]]/2)</f>
        <v>21857.028349040946</v>
      </c>
      <c r="X126" s="77">
        <f>Tabella2579[[#This Row],[Salary and pension]]-Tabella2579[[#This Row],[Pension deductions]]</f>
        <v>132958.09080057559</v>
      </c>
    </row>
    <row r="127" spans="2:25">
      <c r="I127" s="51">
        <f t="shared" ref="I127:I155" si="3">B53</f>
        <v>52</v>
      </c>
      <c r="J127" s="51">
        <f ca="1">IF(Tabella2579[[#This Row],[Age]]=$C$5,$C$10,IF(Tabella2579[[#This Row],[Age]]&lt;$C$5,$C$10-($C$5-Tabella2579[[#This Row],[Age]]),IF(Tabella2579[[#This Row],[Age]]&gt;$C$5,$C$10+Tabella2579[[#This Row],[Age]]-$C$5)))</f>
        <v>2054</v>
      </c>
      <c r="K127" s="66">
        <f t="shared" ref="K127:K155" si="4">H53</f>
        <v>158841.47340525154</v>
      </c>
      <c r="L127" s="66">
        <f>Tabella2579[[#This Row],[Adjusted Salary]]*$C$95+Tabella2579[[#This Row],[Adjusted Salary]]*$C$99+Tabella2579[[#This Row],[Adjusted Salary]]*$C$100</f>
        <v>12548.476399014871</v>
      </c>
      <c r="M127" s="66"/>
      <c r="N127" s="70">
        <v>0.15</v>
      </c>
      <c r="O127" s="71">
        <f>IF(Tabella2579[[#This Row],[Age]]&lt;25,0, IF(MIN(Tabella2579[[#This Row],[Adjusted Salary]]-$C$112, $C$113)&lt;0,0, MIN(Tabella2579[[#This Row],[Adjusted Salary]]-$C$112,$C$113)))</f>
        <v>88200</v>
      </c>
      <c r="P127" s="71">
        <f>IF(Tabella2579[[#This Row],[Age]]&lt;25,0,IF(Tabella2579[[#This Row],[Compulsory contributions]]=88200, Tabella2579[[#This Row],[Adjusted Salary]]-$C$113-$C$112, 0))</f>
        <v>44181.473405251541</v>
      </c>
      <c r="Q127" s="71">
        <f>Tabella2579[[#This Row],[Compulsory contributions]]+Tabella2579[[#This Row],[Over compulsory contributions]]</f>
        <v>132381.47340525154</v>
      </c>
      <c r="R127" s="71">
        <f>Tabella2579[[#This Row],[Contributions]]*Tabella2579[[#This Row],[Retirements credits]]</f>
        <v>19857.221010787729</v>
      </c>
      <c r="S127" s="72">
        <f t="shared" si="2"/>
        <v>3554.039285266917</v>
      </c>
      <c r="T127" s="72">
        <f>T126+Tabella2579[[#This Row],[Retirement assets]]+Tabella2579[[#This Row],[Interests]]</f>
        <v>307734.40311740793</v>
      </c>
      <c r="U127" s="72"/>
      <c r="V127" s="77">
        <f>IF('General overview'!$C$8="No",0,IF(Tabella2579[[#This Row],[Age]]&lt;=$C$9,(Tabella2579[[#This Row],[Adjusted Salary]]),$G$110))</f>
        <v>158841.47340525154</v>
      </c>
      <c r="W127" s="72">
        <f>Tabella2579[[#This Row],[1° Pillar deductions]]+(Tabella2579[[#This Row],[Retirement assets]]/2)</f>
        <v>22477.086904408738</v>
      </c>
      <c r="X127" s="77">
        <f>Tabella2579[[#This Row],[Salary and pension]]-Tabella2579[[#This Row],[Pension deductions]]</f>
        <v>136364.38650084281</v>
      </c>
    </row>
    <row r="128" spans="2:25">
      <c r="I128" s="51">
        <f t="shared" si="3"/>
        <v>53</v>
      </c>
      <c r="J128" s="51">
        <f ca="1">IF(Tabella2579[[#This Row],[Age]]=$C$5,$C$10,IF(Tabella2579[[#This Row],[Age]]&lt;$C$5,$C$10-($C$5-Tabella2579[[#This Row],[Age]]),IF(Tabella2579[[#This Row],[Age]]&gt;$C$5,$C$10+Tabella2579[[#This Row],[Age]]-$C$5)))</f>
        <v>2055</v>
      </c>
      <c r="K128" s="66">
        <f t="shared" si="4"/>
        <v>162960.99729077195</v>
      </c>
      <c r="L128" s="66">
        <f>Tabella2579[[#This Row],[Adjusted Salary]]*$C$95+Tabella2579[[#This Row],[Adjusted Salary]]*$C$99+Tabella2579[[#This Row],[Adjusted Salary]]*$C$100</f>
        <v>12873.918785970982</v>
      </c>
      <c r="M128" s="66"/>
      <c r="N128" s="70">
        <v>0.15</v>
      </c>
      <c r="O128" s="71">
        <f>IF(Tabella2579[[#This Row],[Age]]&lt;25,0, IF(MIN(Tabella2579[[#This Row],[Adjusted Salary]]-$C$112, $C$113)&lt;0,0, MIN(Tabella2579[[#This Row],[Adjusted Salary]]-$C$112,$C$113)))</f>
        <v>88200</v>
      </c>
      <c r="P128" s="71">
        <f>IF(Tabella2579[[#This Row],[Age]]&lt;25,0,IF(Tabella2579[[#This Row],[Compulsory contributions]]=88200, Tabella2579[[#This Row],[Adjusted Salary]]-$C$113-$C$112, 0))</f>
        <v>48300.997290771949</v>
      </c>
      <c r="Q128" s="71">
        <f>Tabella2579[[#This Row],[Compulsory contributions]]+Tabella2579[[#This Row],[Over compulsory contributions]]</f>
        <v>136500.99729077195</v>
      </c>
      <c r="R128" s="71">
        <f>Tabella2579[[#This Row],[Contributions]]*Tabella2579[[#This Row],[Retirements credits]]</f>
        <v>20475.149593615792</v>
      </c>
      <c r="S128" s="72">
        <f t="shared" si="2"/>
        <v>3846.6800389675991</v>
      </c>
      <c r="T128" s="72">
        <f>T127+Tabella2579[[#This Row],[Retirement assets]]+Tabella2579[[#This Row],[Interests]]</f>
        <v>332056.23274999129</v>
      </c>
      <c r="U128" s="72"/>
      <c r="V128" s="77">
        <f>IF('General overview'!$C$8="No",0,IF(Tabella2579[[#This Row],[Age]]&lt;=$C$9,(Tabella2579[[#This Row],[Adjusted Salary]]),$G$110))</f>
        <v>162960.99729077195</v>
      </c>
      <c r="W128" s="72">
        <f>Tabella2579[[#This Row],[1° Pillar deductions]]+(Tabella2579[[#This Row],[Retirement assets]]/2)</f>
        <v>23111.493582778879</v>
      </c>
      <c r="X128" s="77">
        <f>Tabella2579[[#This Row],[Salary and pension]]-Tabella2579[[#This Row],[Pension deductions]]</f>
        <v>139849.50370799308</v>
      </c>
    </row>
    <row r="129" spans="9:24">
      <c r="I129" s="51">
        <f t="shared" si="3"/>
        <v>54</v>
      </c>
      <c r="J129" s="51">
        <f ca="1">IF(Tabella2579[[#This Row],[Age]]=$C$5,$C$10,IF(Tabella2579[[#This Row],[Age]]&lt;$C$5,$C$10-($C$5-Tabella2579[[#This Row],[Age]]),IF(Tabella2579[[#This Row],[Age]]&gt;$C$5,$C$10+Tabella2579[[#This Row],[Age]]-$C$5)))</f>
        <v>2056</v>
      </c>
      <c r="K129" s="66">
        <f t="shared" si="4"/>
        <v>167175.99470277637</v>
      </c>
      <c r="L129" s="66">
        <f>Tabella2579[[#This Row],[Adjusted Salary]]*$C$95+Tabella2579[[#This Row],[Adjusted Salary]]*$C$99+Tabella2579[[#This Row],[Adjusted Salary]]*$C$100</f>
        <v>13206.903581519333</v>
      </c>
      <c r="M129" s="66"/>
      <c r="N129" s="70">
        <v>0.15</v>
      </c>
      <c r="O129" s="71">
        <f>IF(Tabella2579[[#This Row],[Age]]&lt;25,0, IF(MIN(Tabella2579[[#This Row],[Adjusted Salary]]-$C$112, $C$113)&lt;0,0, MIN(Tabella2579[[#This Row],[Adjusted Salary]]-$C$112,$C$113)))</f>
        <v>88200</v>
      </c>
      <c r="P129" s="71">
        <f>IF(Tabella2579[[#This Row],[Age]]&lt;25,0,IF(Tabella2579[[#This Row],[Compulsory contributions]]=88200, Tabella2579[[#This Row],[Adjusted Salary]]-$C$113-$C$112, 0))</f>
        <v>52515.99470277637</v>
      </c>
      <c r="Q129" s="71">
        <f>Tabella2579[[#This Row],[Compulsory contributions]]+Tabella2579[[#This Row],[Over compulsory contributions]]</f>
        <v>140715.99470277637</v>
      </c>
      <c r="R129" s="71">
        <f>Tabella2579[[#This Row],[Contributions]]*Tabella2579[[#This Row],[Retirements credits]]</f>
        <v>21107.399205416456</v>
      </c>
      <c r="S129" s="72">
        <f t="shared" si="2"/>
        <v>4150.7029093748915</v>
      </c>
      <c r="T129" s="72">
        <f>T128+Tabella2579[[#This Row],[Retirement assets]]+Tabella2579[[#This Row],[Interests]]</f>
        <v>357314.33486478264</v>
      </c>
      <c r="U129" s="72"/>
      <c r="V129" s="77">
        <f>IF('General overview'!$C$8="No",0,IF(Tabella2579[[#This Row],[Age]]&lt;=$C$9,(Tabella2579[[#This Row],[Adjusted Salary]]),$G$110))</f>
        <v>167175.99470277637</v>
      </c>
      <c r="W129" s="72">
        <f>Tabella2579[[#This Row],[1° Pillar deductions]]+(Tabella2579[[#This Row],[Retirement assets]]/2)</f>
        <v>23760.603184227562</v>
      </c>
      <c r="X129" s="77">
        <f>Tabella2579[[#This Row],[Salary and pension]]-Tabella2579[[#This Row],[Pension deductions]]</f>
        <v>143415.3915185488</v>
      </c>
    </row>
    <row r="130" spans="9:24">
      <c r="I130" s="51">
        <f t="shared" si="3"/>
        <v>55</v>
      </c>
      <c r="J130" s="51">
        <f ca="1">IF(Tabella2579[[#This Row],[Age]]=$C$5,$C$10,IF(Tabella2579[[#This Row],[Age]]&lt;$C$5,$C$10-($C$5-Tabella2579[[#This Row],[Age]]),IF(Tabella2579[[#This Row],[Age]]&gt;$C$5,$C$10+Tabella2579[[#This Row],[Age]]-$C$5)))</f>
        <v>2057</v>
      </c>
      <c r="K130" s="66">
        <f t="shared" si="4"/>
        <v>171488.8273131125</v>
      </c>
      <c r="L130" s="66">
        <f>Tabella2579[[#This Row],[Adjusted Salary]]*$C$95+Tabella2579[[#This Row],[Adjusted Salary]]*$C$99+Tabella2579[[#This Row],[Adjusted Salary]]*$C$100</f>
        <v>13547.617357735888</v>
      </c>
      <c r="M130" s="66"/>
      <c r="N130" s="70">
        <v>0.18</v>
      </c>
      <c r="O130" s="71">
        <f>IF(Tabella2579[[#This Row],[Age]]&lt;25,0, IF(MIN(Tabella2579[[#This Row],[Adjusted Salary]]-$C$112, $C$113)&lt;0,0, MIN(Tabella2579[[#This Row],[Adjusted Salary]]-$C$112,$C$113)))</f>
        <v>88200</v>
      </c>
      <c r="P130" s="71">
        <f>IF(Tabella2579[[#This Row],[Age]]&lt;25,0,IF(Tabella2579[[#This Row],[Compulsory contributions]]=88200, Tabella2579[[#This Row],[Adjusted Salary]]-$C$113-$C$112, 0))</f>
        <v>56828.827313112502</v>
      </c>
      <c r="Q130" s="71">
        <f>Tabella2579[[#This Row],[Compulsory contributions]]+Tabella2579[[#This Row],[Over compulsory contributions]]</f>
        <v>145028.8273131125</v>
      </c>
      <c r="R130" s="71">
        <f>Tabella2579[[#This Row],[Contributions]]*Tabella2579[[#This Row],[Retirements credits]]</f>
        <v>26105.18891636025</v>
      </c>
      <c r="S130" s="72">
        <f t="shared" si="2"/>
        <v>4466.4291858097831</v>
      </c>
      <c r="T130" s="72">
        <f>T129+Tabella2579[[#This Row],[Retirement assets]]+Tabella2579[[#This Row],[Interests]]</f>
        <v>387885.9529669527</v>
      </c>
      <c r="U130" s="72"/>
      <c r="V130" s="77">
        <f>IF('General overview'!$C$8="No",0,IF(Tabella2579[[#This Row],[Age]]&lt;=$C$9,(Tabella2579[[#This Row],[Adjusted Salary]]),$G$110))</f>
        <v>171488.8273131125</v>
      </c>
      <c r="W130" s="72">
        <f>Tabella2579[[#This Row],[1° Pillar deductions]]+(Tabella2579[[#This Row],[Retirement assets]]/2)</f>
        <v>26600.211815916013</v>
      </c>
      <c r="X130" s="77">
        <f>Tabella2579[[#This Row],[Salary and pension]]-Tabella2579[[#This Row],[Pension deductions]]</f>
        <v>144888.6154971965</v>
      </c>
    </row>
    <row r="131" spans="9:24">
      <c r="I131" s="51">
        <f t="shared" si="3"/>
        <v>56</v>
      </c>
      <c r="J131" s="51">
        <f ca="1">IF(Tabella2579[[#This Row],[Age]]=$C$5,$C$10,IF(Tabella2579[[#This Row],[Age]]&lt;$C$5,$C$10-($C$5-Tabella2579[[#This Row],[Age]]),IF(Tabella2579[[#This Row],[Age]]&gt;$C$5,$C$10+Tabella2579[[#This Row],[Age]]-$C$5)))</f>
        <v>2058</v>
      </c>
      <c r="K131" s="66">
        <f t="shared" si="4"/>
        <v>175901.91602181183</v>
      </c>
      <c r="L131" s="66">
        <f>Tabella2579[[#This Row],[Adjusted Salary]]*$C$95+Tabella2579[[#This Row],[Adjusted Salary]]*$C$99+Tabella2579[[#This Row],[Adjusted Salary]]*$C$100</f>
        <v>13896.251365723136</v>
      </c>
      <c r="M131" s="66"/>
      <c r="N131" s="70">
        <v>0.18</v>
      </c>
      <c r="O131" s="71">
        <f>IF(Tabella2579[[#This Row],[Age]]&lt;25,0, IF(MIN(Tabella2579[[#This Row],[Adjusted Salary]]-$C$112, $C$113)&lt;0,0, MIN(Tabella2579[[#This Row],[Adjusted Salary]]-$C$112,$C$113)))</f>
        <v>88200</v>
      </c>
      <c r="P131" s="71">
        <f>IF(Tabella2579[[#This Row],[Age]]&lt;25,0,IF(Tabella2579[[#This Row],[Compulsory contributions]]=88200, Tabella2579[[#This Row],[Adjusted Salary]]-$C$113-$C$112, 0))</f>
        <v>61241.916021811834</v>
      </c>
      <c r="Q131" s="71">
        <f>Tabella2579[[#This Row],[Compulsory contributions]]+Tabella2579[[#This Row],[Over compulsory contributions]]</f>
        <v>149441.91602181183</v>
      </c>
      <c r="R131" s="71">
        <f>Tabella2579[[#This Row],[Contributions]]*Tabella2579[[#This Row],[Retirements credits]]</f>
        <v>26899.54488392613</v>
      </c>
      <c r="S131" s="72">
        <f t="shared" si="2"/>
        <v>4848.5744120869085</v>
      </c>
      <c r="T131" s="72">
        <f>T130+Tabella2579[[#This Row],[Retirement assets]]+Tabella2579[[#This Row],[Interests]]</f>
        <v>419634.07226296572</v>
      </c>
      <c r="U131" s="72"/>
      <c r="V131" s="77">
        <f>IF('General overview'!$C$8="No",0,IF(Tabella2579[[#This Row],[Age]]&lt;=$C$9,(Tabella2579[[#This Row],[Adjusted Salary]]),$G$110))</f>
        <v>175901.91602181183</v>
      </c>
      <c r="W131" s="72">
        <f>Tabella2579[[#This Row],[1° Pillar deductions]]+(Tabella2579[[#This Row],[Retirement assets]]/2)</f>
        <v>27346.023807686201</v>
      </c>
      <c r="X131" s="77">
        <f>Tabella2579[[#This Row],[Salary and pension]]-Tabella2579[[#This Row],[Pension deductions]]</f>
        <v>148555.89221412563</v>
      </c>
    </row>
    <row r="132" spans="9:24">
      <c r="I132" s="51">
        <f t="shared" si="3"/>
        <v>57</v>
      </c>
      <c r="J132" s="51">
        <f ca="1">IF(Tabella2579[[#This Row],[Age]]=$C$5,$C$10,IF(Tabella2579[[#This Row],[Age]]&lt;$C$5,$C$10-($C$5-Tabella2579[[#This Row],[Age]]),IF(Tabella2579[[#This Row],[Age]]&gt;$C$5,$C$10+Tabella2579[[#This Row],[Age]]-$C$5)))</f>
        <v>2059</v>
      </c>
      <c r="K132" s="66">
        <f t="shared" si="4"/>
        <v>180417.74244658329</v>
      </c>
      <c r="L132" s="66">
        <f>Tabella2579[[#This Row],[Adjusted Salary]]*$C$95+Tabella2579[[#This Row],[Adjusted Salary]]*$C$99+Tabella2579[[#This Row],[Adjusted Salary]]*$C$100</f>
        <v>14253.00165328008</v>
      </c>
      <c r="M132" s="66"/>
      <c r="N132" s="70">
        <v>0.18</v>
      </c>
      <c r="O132" s="71">
        <f>IF(Tabella2579[[#This Row],[Age]]&lt;25,0, IF(MIN(Tabella2579[[#This Row],[Adjusted Salary]]-$C$112, $C$113)&lt;0,0, MIN(Tabella2579[[#This Row],[Adjusted Salary]]-$C$112,$C$113)))</f>
        <v>88200</v>
      </c>
      <c r="P132" s="71">
        <f>IF(Tabella2579[[#This Row],[Age]]&lt;25,0,IF(Tabella2579[[#This Row],[Compulsory contributions]]=88200, Tabella2579[[#This Row],[Adjusted Salary]]-$C$113-$C$112, 0))</f>
        <v>65757.742446583288</v>
      </c>
      <c r="Q132" s="71">
        <f>Tabella2579[[#This Row],[Compulsory contributions]]+Tabella2579[[#This Row],[Over compulsory contributions]]</f>
        <v>153957.74244658329</v>
      </c>
      <c r="R132" s="71">
        <f>Tabella2579[[#This Row],[Contributions]]*Tabella2579[[#This Row],[Retirements credits]]</f>
        <v>27712.393640384991</v>
      </c>
      <c r="S132" s="72">
        <f t="shared" si="2"/>
        <v>5245.4259032870723</v>
      </c>
      <c r="T132" s="72">
        <f>T131+Tabella2579[[#This Row],[Retirement assets]]+Tabella2579[[#This Row],[Interests]]</f>
        <v>452591.89180663781</v>
      </c>
      <c r="U132" s="72"/>
      <c r="V132" s="77">
        <f>IF('General overview'!$C$8="No",0,IF(Tabella2579[[#This Row],[Age]]&lt;=$C$9,(Tabella2579[[#This Row],[Adjusted Salary]]),$G$110))</f>
        <v>180417.74244658329</v>
      </c>
      <c r="W132" s="72">
        <f>Tabella2579[[#This Row],[1° Pillar deductions]]+(Tabella2579[[#This Row],[Retirement assets]]/2)</f>
        <v>28109.198473472577</v>
      </c>
      <c r="X132" s="77">
        <f>Tabella2579[[#This Row],[Salary and pension]]-Tabella2579[[#This Row],[Pension deductions]]</f>
        <v>152308.5439731107</v>
      </c>
    </row>
    <row r="133" spans="9:24">
      <c r="I133" s="51">
        <f t="shared" si="3"/>
        <v>58</v>
      </c>
      <c r="J133" s="51">
        <f ca="1">IF(Tabella2579[[#This Row],[Age]]=$C$5,$C$10,IF(Tabella2579[[#This Row],[Age]]&lt;$C$5,$C$10-($C$5-Tabella2579[[#This Row],[Age]]),IF(Tabella2579[[#This Row],[Age]]&gt;$C$5,$C$10+Tabella2579[[#This Row],[Age]]-$C$5)))</f>
        <v>2060</v>
      </c>
      <c r="K133" s="66">
        <f t="shared" si="4"/>
        <v>185038.85044978623</v>
      </c>
      <c r="L133" s="66">
        <f>Tabella2579[[#This Row],[Adjusted Salary]]*$C$95+Tabella2579[[#This Row],[Adjusted Salary]]*$C$99+Tabella2579[[#This Row],[Adjusted Salary]]*$C$100</f>
        <v>14618.06918553311</v>
      </c>
      <c r="M133" s="66"/>
      <c r="N133" s="70">
        <v>0.18</v>
      </c>
      <c r="O133" s="71">
        <f>IF(Tabella2579[[#This Row],[Age]]&lt;25,0, IF(MIN(Tabella2579[[#This Row],[Adjusted Salary]]-$C$112, $C$113)&lt;0,0, MIN(Tabella2579[[#This Row],[Adjusted Salary]]-$C$112,$C$113)))</f>
        <v>88200</v>
      </c>
      <c r="P133" s="71">
        <f>IF(Tabella2579[[#This Row],[Age]]&lt;25,0,IF(Tabella2579[[#This Row],[Compulsory contributions]]=88200, Tabella2579[[#This Row],[Adjusted Salary]]-$C$113-$C$112, 0))</f>
        <v>70378.85044978623</v>
      </c>
      <c r="Q133" s="71">
        <f>Tabella2579[[#This Row],[Compulsory contributions]]+Tabella2579[[#This Row],[Over compulsory contributions]]</f>
        <v>158578.85044978623</v>
      </c>
      <c r="R133" s="71">
        <f>Tabella2579[[#This Row],[Contributions]]*Tabella2579[[#This Row],[Retirements credits]]</f>
        <v>28544.193080961519</v>
      </c>
      <c r="S133" s="72">
        <f t="shared" si="2"/>
        <v>5657.3986475829734</v>
      </c>
      <c r="T133" s="72">
        <f>T132+Tabella2579[[#This Row],[Retirement assets]]+Tabella2579[[#This Row],[Interests]]</f>
        <v>486793.48353518231</v>
      </c>
      <c r="U133" s="72"/>
      <c r="V133" s="77">
        <f>IF('General overview'!$C$8="No",0,IF(Tabella2579[[#This Row],[Age]]&lt;=$C$9,(Tabella2579[[#This Row],[Adjusted Salary]]),$G$110))</f>
        <v>185038.85044978623</v>
      </c>
      <c r="W133" s="72">
        <f>Tabella2579[[#This Row],[1° Pillar deductions]]+(Tabella2579[[#This Row],[Retirement assets]]/2)</f>
        <v>28890.165726013867</v>
      </c>
      <c r="X133" s="77">
        <f>Tabella2579[[#This Row],[Salary and pension]]-Tabella2579[[#This Row],[Pension deductions]]</f>
        <v>156148.68472377237</v>
      </c>
    </row>
    <row r="134" spans="9:24">
      <c r="I134" s="51">
        <f t="shared" si="3"/>
        <v>59</v>
      </c>
      <c r="J134" s="51">
        <f ca="1">IF(Tabella2579[[#This Row],[Age]]=$C$5,$C$10,IF(Tabella2579[[#This Row],[Age]]&lt;$C$5,$C$10-($C$5-Tabella2579[[#This Row],[Age]]),IF(Tabella2579[[#This Row],[Age]]&gt;$C$5,$C$10+Tabella2579[[#This Row],[Age]]-$C$5)))</f>
        <v>2061</v>
      </c>
      <c r="K134" s="66">
        <f t="shared" si="4"/>
        <v>189767.84770382522</v>
      </c>
      <c r="L134" s="66">
        <f>Tabella2579[[#This Row],[Adjusted Salary]]*$C$95+Tabella2579[[#This Row],[Adjusted Salary]]*$C$99+Tabella2579[[#This Row],[Adjusted Salary]]*$C$100</f>
        <v>14991.659968602191</v>
      </c>
      <c r="M134" s="66"/>
      <c r="N134" s="70">
        <v>0.18</v>
      </c>
      <c r="O134" s="71">
        <f>IF(Tabella2579[[#This Row],[Age]]&lt;25,0, IF(MIN(Tabella2579[[#This Row],[Adjusted Salary]]-$C$112, $C$113)&lt;0,0, MIN(Tabella2579[[#This Row],[Adjusted Salary]]-$C$112,$C$113)))</f>
        <v>88200</v>
      </c>
      <c r="P134" s="71">
        <f>IF(Tabella2579[[#This Row],[Age]]&lt;25,0,IF(Tabella2579[[#This Row],[Compulsory contributions]]=88200, Tabella2579[[#This Row],[Adjusted Salary]]-$C$113-$C$112, 0))</f>
        <v>75107.847703825217</v>
      </c>
      <c r="Q134" s="71">
        <f>Tabella2579[[#This Row],[Compulsory contributions]]+Tabella2579[[#This Row],[Over compulsory contributions]]</f>
        <v>163307.84770382522</v>
      </c>
      <c r="R134" s="71">
        <f>Tabella2579[[#This Row],[Contributions]]*Tabella2579[[#This Row],[Retirements credits]]</f>
        <v>29395.412586688537</v>
      </c>
      <c r="S134" s="72">
        <f t="shared" si="2"/>
        <v>6084.9185441897789</v>
      </c>
      <c r="T134" s="72">
        <f>T133+Tabella2579[[#This Row],[Retirement assets]]+Tabella2579[[#This Row],[Interests]]</f>
        <v>522273.81466606061</v>
      </c>
      <c r="U134" s="72"/>
      <c r="V134" s="77">
        <f>IF('General overview'!$C$8="No",0,IF(Tabella2579[[#This Row],[Age]]&lt;=$C$9,(Tabella2579[[#This Row],[Adjusted Salary]]),$G$110))</f>
        <v>189767.84770382522</v>
      </c>
      <c r="W134" s="72">
        <f>Tabella2579[[#This Row],[1° Pillar deductions]]+(Tabella2579[[#This Row],[Retirement assets]]/2)</f>
        <v>29689.366261946459</v>
      </c>
      <c r="X134" s="77">
        <f>Tabella2579[[#This Row],[Salary and pension]]-Tabella2579[[#This Row],[Pension deductions]]</f>
        <v>160078.48144187877</v>
      </c>
    </row>
    <row r="135" spans="9:24">
      <c r="I135" s="51">
        <f t="shared" si="3"/>
        <v>60</v>
      </c>
      <c r="J135" s="51">
        <f ca="1">IF(Tabella2579[[#This Row],[Age]]=$C$5,$C$10,IF(Tabella2579[[#This Row],[Age]]&lt;$C$5,$C$10-($C$5-Tabella2579[[#This Row],[Age]]),IF(Tabella2579[[#This Row],[Age]]&gt;$C$5,$C$10+Tabella2579[[#This Row],[Age]]-$C$5)))</f>
        <v>2062</v>
      </c>
      <c r="K135" s="66">
        <f t="shared" si="4"/>
        <v>194607.40729593398</v>
      </c>
      <c r="L135" s="66">
        <f>Tabella2579[[#This Row],[Adjusted Salary]]*$C$95+Tabella2579[[#This Row],[Adjusted Salary]]*$C$99+Tabella2579[[#This Row],[Adjusted Salary]]*$C$100</f>
        <v>15373.985176378785</v>
      </c>
      <c r="M135" s="66"/>
      <c r="N135" s="70">
        <v>0.18</v>
      </c>
      <c r="O135" s="71">
        <f>IF(Tabella2579[[#This Row],[Age]]&lt;25,0, IF(MIN(Tabella2579[[#This Row],[Adjusted Salary]]-$C$112, $C$113)&lt;0,0, MIN(Tabella2579[[#This Row],[Adjusted Salary]]-$C$112,$C$113)))</f>
        <v>88200</v>
      </c>
      <c r="P135" s="71">
        <f>IF(Tabella2579[[#This Row],[Age]]&lt;25,0,IF(Tabella2579[[#This Row],[Compulsory contributions]]=88200, Tabella2579[[#This Row],[Adjusted Salary]]-$C$113-$C$112, 0))</f>
        <v>79947.407295933983</v>
      </c>
      <c r="Q135" s="71">
        <f>Tabella2579[[#This Row],[Compulsory contributions]]+Tabella2579[[#This Row],[Over compulsory contributions]]</f>
        <v>168147.40729593398</v>
      </c>
      <c r="R135" s="71">
        <f>Tabella2579[[#This Row],[Contributions]]*Tabella2579[[#This Row],[Retirements credits]]</f>
        <v>30266.533313268115</v>
      </c>
      <c r="S135" s="72">
        <f t="shared" si="2"/>
        <v>6528.422683325758</v>
      </c>
      <c r="T135" s="72">
        <f>T134+Tabella2579[[#This Row],[Retirement assets]]+Tabella2579[[#This Row],[Interests]]</f>
        <v>559068.77066265442</v>
      </c>
      <c r="U135" s="72"/>
      <c r="V135" s="77">
        <f>IF('General overview'!$C$8="No",0,IF(Tabella2579[[#This Row],[Age]]&lt;=$C$9,(Tabella2579[[#This Row],[Adjusted Salary]]),$G$110))</f>
        <v>194607.40729593398</v>
      </c>
      <c r="W135" s="72">
        <f>Tabella2579[[#This Row],[1° Pillar deductions]]+(Tabella2579[[#This Row],[Retirement assets]]/2)</f>
        <v>30507.251833012844</v>
      </c>
      <c r="X135" s="77">
        <f>Tabella2579[[#This Row],[Salary and pension]]-Tabella2579[[#This Row],[Pension deductions]]</f>
        <v>164100.15546292113</v>
      </c>
    </row>
    <row r="136" spans="9:24">
      <c r="I136" s="51">
        <f t="shared" si="3"/>
        <v>61</v>
      </c>
      <c r="J136" s="51">
        <f ca="1">IF(Tabella2579[[#This Row],[Age]]=$C$5,$C$10,IF(Tabella2579[[#This Row],[Age]]&lt;$C$5,$C$10-($C$5-Tabella2579[[#This Row],[Age]]),IF(Tabella2579[[#This Row],[Age]]&gt;$C$5,$C$10+Tabella2579[[#This Row],[Age]]-$C$5)))</f>
        <v>2063</v>
      </c>
      <c r="K136" s="66">
        <f t="shared" si="4"/>
        <v>0</v>
      </c>
      <c r="L136" s="66">
        <f>Tabella2579[[#This Row],[Adjusted Salary]]*$C$95+Tabella2579[[#This Row],[Adjusted Salary]]*$C$99+Tabella2579[[#This Row],[Adjusted Salary]]*$C$100</f>
        <v>0</v>
      </c>
      <c r="M136" s="66"/>
      <c r="N136" s="70">
        <v>0.18</v>
      </c>
      <c r="O136" s="71">
        <f>IF(Tabella2579[[#This Row],[Age]]&lt;25,0, IF(MIN(Tabella2579[[#This Row],[Adjusted Salary]]-$C$112, $C$113)&lt;0,0, MIN(Tabella2579[[#This Row],[Adjusted Salary]]-$C$112,$C$113)))</f>
        <v>0</v>
      </c>
      <c r="P136" s="71">
        <f>IF(Tabella2579[[#This Row],[Age]]&lt;25,0,IF(Tabella2579[[#This Row],[Compulsory contributions]]=88200, Tabella2579[[#This Row],[Adjusted Salary]]-$C$113-$C$112, 0))</f>
        <v>0</v>
      </c>
      <c r="Q136" s="71">
        <f>Tabella2579[[#This Row],[Compulsory contributions]]+Tabella2579[[#This Row],[Over compulsory contributions]]</f>
        <v>0</v>
      </c>
      <c r="R136" s="71">
        <f>Tabella2579[[#This Row],[Contributions]]*Tabella2579[[#This Row],[Retirements credits]]</f>
        <v>0</v>
      </c>
      <c r="S136" s="72">
        <f t="shared" si="2"/>
        <v>6988.3596332831803</v>
      </c>
      <c r="T136" s="72">
        <f>T135+Tabella2579[[#This Row],[Retirement assets]]+Tabella2579[[#This Row],[Interests]]</f>
        <v>566057.13029593765</v>
      </c>
      <c r="U136" s="72"/>
      <c r="V136" s="77">
        <f>IF('General overview'!$C$8="No",0,IF(Tabella2579[[#This Row],[Age]]&lt;=$C$9,(Tabella2579[[#This Row],[Adjusted Salary]]),$G$110))</f>
        <v>73212.866902780079</v>
      </c>
      <c r="W136" s="72">
        <f>Tabella2579[[#This Row],[1° Pillar deductions]]+(Tabella2579[[#This Row],[Retirement assets]]/2)</f>
        <v>0</v>
      </c>
      <c r="X136" s="77">
        <f>Tabella2579[[#This Row],[Salary and pension]]-Tabella2579[[#This Row],[Pension deductions]]</f>
        <v>73212.866902780079</v>
      </c>
    </row>
    <row r="137" spans="9:24">
      <c r="I137" s="51">
        <f t="shared" si="3"/>
        <v>62</v>
      </c>
      <c r="J137" s="51">
        <f ca="1">IF(Tabella2579[[#This Row],[Age]]=$C$5,$C$10,IF(Tabella2579[[#This Row],[Age]]&lt;$C$5,$C$10-($C$5-Tabella2579[[#This Row],[Age]]),IF(Tabella2579[[#This Row],[Age]]&gt;$C$5,$C$10+Tabella2579[[#This Row],[Age]]-$C$5)))</f>
        <v>2064</v>
      </c>
      <c r="K137" s="66">
        <f t="shared" si="4"/>
        <v>0</v>
      </c>
      <c r="L137" s="66">
        <f>Tabella2579[[#This Row],[Adjusted Salary]]*$C$95+Tabella2579[[#This Row],[Adjusted Salary]]*$C$99+Tabella2579[[#This Row],[Adjusted Salary]]*$C$100</f>
        <v>0</v>
      </c>
      <c r="M137" s="66"/>
      <c r="N137" s="70">
        <v>0.18</v>
      </c>
      <c r="O137" s="71">
        <f>IF(Tabella2579[[#This Row],[Age]]&lt;25,0, IF(MIN(Tabella2579[[#This Row],[Adjusted Salary]]-$C$112, $C$113)&lt;0,0, MIN(Tabella2579[[#This Row],[Adjusted Salary]]-$C$112,$C$113)))</f>
        <v>0</v>
      </c>
      <c r="P137" s="71">
        <f>IF(Tabella2579[[#This Row],[Age]]&lt;25,0,IF(Tabella2579[[#This Row],[Compulsory contributions]]=88200, Tabella2579[[#This Row],[Adjusted Salary]]-$C$113-$C$112, 0))</f>
        <v>0</v>
      </c>
      <c r="Q137" s="71">
        <f>Tabella2579[[#This Row],[Compulsory contributions]]+Tabella2579[[#This Row],[Over compulsory contributions]]</f>
        <v>0</v>
      </c>
      <c r="R137" s="71">
        <f>Tabella2579[[#This Row],[Contributions]]*Tabella2579[[#This Row],[Retirements credits]]</f>
        <v>0</v>
      </c>
      <c r="S137" s="72">
        <f t="shared" si="2"/>
        <v>7075.714128699221</v>
      </c>
      <c r="T137" s="72">
        <f>T136+Tabella2579[[#This Row],[Retirement assets]]+Tabella2579[[#This Row],[Interests]]</f>
        <v>573132.84442463692</v>
      </c>
      <c r="U137" s="72"/>
      <c r="V137" s="77">
        <f>IF('General overview'!$C$8="No",0,IF(Tabella2579[[#This Row],[Age]]&lt;=$C$9,(Tabella2579[[#This Row],[Adjusted Salary]]),$G$110))</f>
        <v>73212.866902780079</v>
      </c>
      <c r="W137" s="72">
        <f>Tabella2579[[#This Row],[1° Pillar deductions]]+(Tabella2579[[#This Row],[Retirement assets]]/2)</f>
        <v>0</v>
      </c>
      <c r="X137" s="77">
        <f>Tabella2579[[#This Row],[Salary and pension]]-Tabella2579[[#This Row],[Pension deductions]]</f>
        <v>73212.866902780079</v>
      </c>
    </row>
    <row r="138" spans="9:24">
      <c r="I138" s="51">
        <f t="shared" si="3"/>
        <v>63</v>
      </c>
      <c r="J138" s="51">
        <f ca="1">IF(Tabella2579[[#This Row],[Age]]=$C$5,$C$10,IF(Tabella2579[[#This Row],[Age]]&lt;$C$5,$C$10-($C$5-Tabella2579[[#This Row],[Age]]),IF(Tabella2579[[#This Row],[Age]]&gt;$C$5,$C$10+Tabella2579[[#This Row],[Age]]-$C$5)))</f>
        <v>2065</v>
      </c>
      <c r="K138" s="66">
        <f t="shared" si="4"/>
        <v>0</v>
      </c>
      <c r="L138" s="66">
        <f>Tabella2579[[#This Row],[Adjusted Salary]]*$C$95+Tabella2579[[#This Row],[Adjusted Salary]]*$C$99+Tabella2579[[#This Row],[Adjusted Salary]]*$C$100</f>
        <v>0</v>
      </c>
      <c r="M138" s="66"/>
      <c r="N138" s="70">
        <v>0.18</v>
      </c>
      <c r="O138" s="71">
        <f>IF(Tabella2579[[#This Row],[Age]]&lt;25,0, IF(MIN(Tabella2579[[#This Row],[Adjusted Salary]]-$C$112, $C$113)&lt;0,0, MIN(Tabella2579[[#This Row],[Adjusted Salary]]-$C$112,$C$113)))</f>
        <v>0</v>
      </c>
      <c r="P138" s="71">
        <f>IF(Tabella2579[[#This Row],[Age]]&lt;25,0,IF(Tabella2579[[#This Row],[Compulsory contributions]]=88200, Tabella2579[[#This Row],[Adjusted Salary]]-$C$113-$C$112, 0))</f>
        <v>0</v>
      </c>
      <c r="Q138" s="71">
        <f>Tabella2579[[#This Row],[Compulsory contributions]]+Tabella2579[[#This Row],[Over compulsory contributions]]</f>
        <v>0</v>
      </c>
      <c r="R138" s="71">
        <f>Tabella2579[[#This Row],[Contributions]]*Tabella2579[[#This Row],[Retirements credits]]</f>
        <v>0</v>
      </c>
      <c r="S138" s="72">
        <f t="shared" si="2"/>
        <v>7164.1605553079617</v>
      </c>
      <c r="T138" s="72">
        <f>T137+Tabella2579[[#This Row],[Retirement assets]]+Tabella2579[[#This Row],[Interests]]</f>
        <v>580297.0049799449</v>
      </c>
      <c r="U138" s="72"/>
      <c r="V138" s="77">
        <f>IF('General overview'!$C$8="No",0,IF(Tabella2579[[#This Row],[Age]]&lt;=$C$9,(Tabella2579[[#This Row],[Adjusted Salary]]),$G$110))</f>
        <v>73212.866902780079</v>
      </c>
      <c r="W138" s="72">
        <f>Tabella2579[[#This Row],[1° Pillar deductions]]+(Tabella2579[[#This Row],[Retirement assets]]/2)</f>
        <v>0</v>
      </c>
      <c r="X138" s="77">
        <f>Tabella2579[[#This Row],[Salary and pension]]-Tabella2579[[#This Row],[Pension deductions]]</f>
        <v>73212.866902780079</v>
      </c>
    </row>
    <row r="139" spans="9:24">
      <c r="I139" s="51">
        <f t="shared" si="3"/>
        <v>64</v>
      </c>
      <c r="J139" s="51">
        <f ca="1">IF(Tabella2579[[#This Row],[Age]]=$C$5,$C$10,IF(Tabella2579[[#This Row],[Age]]&lt;$C$5,$C$10-($C$5-Tabella2579[[#This Row],[Age]]),IF(Tabella2579[[#This Row],[Age]]&gt;$C$5,$C$10+Tabella2579[[#This Row],[Age]]-$C$5)))</f>
        <v>2066</v>
      </c>
      <c r="K139" s="66">
        <f t="shared" si="4"/>
        <v>0</v>
      </c>
      <c r="L139" s="66">
        <f>Tabella2579[[#This Row],[Adjusted Salary]]*$C$95+Tabella2579[[#This Row],[Adjusted Salary]]*$C$99+Tabella2579[[#This Row],[Adjusted Salary]]*$C$100</f>
        <v>0</v>
      </c>
      <c r="M139" s="66"/>
      <c r="N139" s="70">
        <v>0.18</v>
      </c>
      <c r="O139" s="71">
        <f>IF(Tabella2579[[#This Row],[Age]]&lt;25,0, IF(MIN(Tabella2579[[#This Row],[Adjusted Salary]]-$C$112, $C$113)&lt;0,0, MIN(Tabella2579[[#This Row],[Adjusted Salary]]-$C$112,$C$113)))</f>
        <v>0</v>
      </c>
      <c r="P139" s="71">
        <f>IF(Tabella2579[[#This Row],[Age]]&lt;25,0,IF(Tabella2579[[#This Row],[Compulsory contributions]]=88200, Tabella2579[[#This Row],[Adjusted Salary]]-$C$113-$C$112, 0))</f>
        <v>0</v>
      </c>
      <c r="Q139" s="71">
        <f>Tabella2579[[#This Row],[Compulsory contributions]]+Tabella2579[[#This Row],[Over compulsory contributions]]</f>
        <v>0</v>
      </c>
      <c r="R139" s="71">
        <f>Tabella2579[[#This Row],[Contributions]]*Tabella2579[[#This Row],[Retirements credits]]</f>
        <v>0</v>
      </c>
      <c r="S139" s="72">
        <f t="shared" si="2"/>
        <v>7253.7125622493113</v>
      </c>
      <c r="T139" s="72">
        <f>T138+Tabella2579[[#This Row],[Retirement assets]]+Tabella2579[[#This Row],[Interests]]</f>
        <v>587550.71754219418</v>
      </c>
      <c r="U139" s="72"/>
      <c r="V139" s="77">
        <f>IF('General overview'!$C$8="No",0,IF(Tabella2579[[#This Row],[Age]]&lt;=$C$9,(Tabella2579[[#This Row],[Adjusted Salary]]),$G$110))</f>
        <v>73212.866902780079</v>
      </c>
      <c r="W139" s="72">
        <f>Tabella2579[[#This Row],[1° Pillar deductions]]+(Tabella2579[[#This Row],[Retirement assets]]/2)</f>
        <v>0</v>
      </c>
      <c r="X139" s="77">
        <f>Tabella2579[[#This Row],[Salary and pension]]-Tabella2579[[#This Row],[Pension deductions]]</f>
        <v>73212.866902780079</v>
      </c>
    </row>
    <row r="140" spans="9:24">
      <c r="I140" s="51">
        <f t="shared" si="3"/>
        <v>65</v>
      </c>
      <c r="J140" s="51">
        <f ca="1">IF(Tabella2579[[#This Row],[Age]]=$C$5,$C$10,IF(Tabella2579[[#This Row],[Age]]&lt;$C$5,$C$10-($C$5-Tabella2579[[#This Row],[Age]]),IF(Tabella2579[[#This Row],[Age]]&gt;$C$5,$C$10+Tabella2579[[#This Row],[Age]]-$C$5)))</f>
        <v>2067</v>
      </c>
      <c r="K140" s="66">
        <f t="shared" si="4"/>
        <v>0</v>
      </c>
      <c r="L140" s="66">
        <f>Tabella2579[[#This Row],[Adjusted Salary]]*$C$95+Tabella2579[[#This Row],[Adjusted Salary]]*$C$99+Tabella2579[[#This Row],[Adjusted Salary]]*$C$100</f>
        <v>0</v>
      </c>
      <c r="M140" s="66"/>
      <c r="N140" s="70">
        <v>0.18</v>
      </c>
      <c r="O140" s="71">
        <f>IF(Tabella2579[[#This Row],[Age]]&lt;25,0, IF(MIN(Tabella2579[[#This Row],[Adjusted Salary]]-$C$112, $C$113)&lt;0,0, MIN(Tabella2579[[#This Row],[Adjusted Salary]]-$C$112,$C$113)))</f>
        <v>0</v>
      </c>
      <c r="P140" s="71">
        <f>IF(Tabella2579[[#This Row],[Age]]&lt;25,0,IF(Tabella2579[[#This Row],[Compulsory contributions]]=88200, Tabella2579[[#This Row],[Adjusted Salary]]-$C$113-$C$112, 0))</f>
        <v>0</v>
      </c>
      <c r="Q140" s="71">
        <f>Tabella2579[[#This Row],[Compulsory contributions]]+Tabella2579[[#This Row],[Over compulsory contributions]]</f>
        <v>0</v>
      </c>
      <c r="R140" s="71">
        <f>Tabella2579[[#This Row],[Contributions]]*Tabella2579[[#This Row],[Retirements credits]]</f>
        <v>0</v>
      </c>
      <c r="S140" s="72">
        <f t="shared" si="2"/>
        <v>7344.3839692774272</v>
      </c>
      <c r="T140" s="72">
        <f>T139+Tabella2579[[#This Row],[Retirement assets]]+Tabella2579[[#This Row],[Interests]]</f>
        <v>594895.10151147156</v>
      </c>
      <c r="U140" s="72"/>
      <c r="V140" s="77">
        <f>IF('General overview'!$C$8="No",0,IF(Tabella2579[[#This Row],[Age]]&lt;=$C$9,(Tabella2579[[#This Row],[Adjusted Salary]]),$G$110))</f>
        <v>73212.866902780079</v>
      </c>
      <c r="W140" s="72">
        <f>Tabella2579[[#This Row],[1° Pillar deductions]]+(Tabella2579[[#This Row],[Retirement assets]]/2)</f>
        <v>0</v>
      </c>
      <c r="X140" s="77">
        <f>Tabella2579[[#This Row],[Salary and pension]]-Tabella2579[[#This Row],[Pension deductions]]</f>
        <v>73212.866902780079</v>
      </c>
    </row>
    <row r="141" spans="9:24">
      <c r="I141" s="51">
        <f t="shared" si="3"/>
        <v>66</v>
      </c>
      <c r="J141" s="51">
        <f ca="1">IF(Tabella2579[[#This Row],[Age]]=$C$5,$C$10,IF(Tabella2579[[#This Row],[Age]]&lt;$C$5,$C$10-($C$5-Tabella2579[[#This Row],[Age]]),IF(Tabella2579[[#This Row],[Age]]&gt;$C$5,$C$10+Tabella2579[[#This Row],[Age]]-$C$5)))</f>
        <v>2068</v>
      </c>
      <c r="K141" s="66">
        <f t="shared" si="4"/>
        <v>0</v>
      </c>
      <c r="L141" s="66">
        <f>Tabella2579[[#This Row],[Adjusted Salary]]*$C$95+Tabella2579[[#This Row],[Adjusted Salary]]*$C$99+Tabella2579[[#This Row],[Adjusted Salary]]*$C$100</f>
        <v>0</v>
      </c>
      <c r="M141" s="66"/>
      <c r="N141" s="71"/>
      <c r="O141" s="71">
        <f>IF(Tabella2579[[#This Row],[Age]]&lt;25,0, IF(MIN(Tabella2579[[#This Row],[Adjusted Salary]]-$C$112, $C$113)&lt;0,0, MIN(Tabella2579[[#This Row],[Adjusted Salary]]-$C$112,$C$113)))</f>
        <v>0</v>
      </c>
      <c r="P141" s="71">
        <f>IF(Tabella2579[[#This Row],[Age]]&lt;25,0,IF(Tabella2579[[#This Row],[Compulsory contributions]]=88200, Tabella2579[[#This Row],[Adjusted Salary]]-$C$113-$C$112, 0))</f>
        <v>0</v>
      </c>
      <c r="Q141" s="71">
        <f>Tabella2579[[#This Row],[Compulsory contributions]]+Tabella2579[[#This Row],[Over compulsory contributions]]</f>
        <v>0</v>
      </c>
      <c r="R141" s="71">
        <f>Tabella2579[[#This Row],[Contributions]]*Tabella2579[[#This Row],[Retirements credits]]</f>
        <v>0</v>
      </c>
      <c r="S141" s="71"/>
      <c r="T141" s="71"/>
      <c r="U141" s="71"/>
      <c r="V141" s="78">
        <f>IF('General overview'!$C$8="No",0,IF(Tabella2579[[#This Row],[Age]]&lt;=$C$9,(Tabella2579[[#This Row],[Adjusted Salary]]),$G$110))</f>
        <v>73212.866902780079</v>
      </c>
      <c r="W141" s="71">
        <f>Tabella2579[[#This Row],[1° Pillar deductions]]+(Tabella2579[[#This Row],[Retirement assets]]/2)</f>
        <v>0</v>
      </c>
      <c r="X141" s="78">
        <f>Tabella2579[[#This Row],[Salary and pension]]-Tabella2579[[#This Row],[Pension deductions]]</f>
        <v>73212.866902780079</v>
      </c>
    </row>
    <row r="142" spans="9:24">
      <c r="I142" s="51">
        <f t="shared" si="3"/>
        <v>67</v>
      </c>
      <c r="J142" s="51">
        <f ca="1">IF(Tabella2579[[#This Row],[Age]]=$C$5,$C$10,IF(Tabella2579[[#This Row],[Age]]&lt;$C$5,$C$10-($C$5-Tabella2579[[#This Row],[Age]]),IF(Tabella2579[[#This Row],[Age]]&gt;$C$5,$C$10+Tabella2579[[#This Row],[Age]]-$C$5)))</f>
        <v>2069</v>
      </c>
      <c r="K142" s="66">
        <f t="shared" si="4"/>
        <v>0</v>
      </c>
      <c r="L142" s="66">
        <f>Tabella2579[[#This Row],[Adjusted Salary]]*$C$95+Tabella2579[[#This Row],[Adjusted Salary]]*$C$99+Tabella2579[[#This Row],[Adjusted Salary]]*$C$100</f>
        <v>0</v>
      </c>
      <c r="M142" s="66"/>
      <c r="N142" s="71"/>
      <c r="O142" s="71">
        <f>IF(Tabella2579[[#This Row],[Age]]&lt;25,0, IF(MIN(Tabella2579[[#This Row],[Adjusted Salary]]-$C$112, $C$113)&lt;0,0, MIN(Tabella2579[[#This Row],[Adjusted Salary]]-$C$112,$C$113)))</f>
        <v>0</v>
      </c>
      <c r="P142" s="71">
        <f>IF(Tabella2579[[#This Row],[Age]]&lt;25,0,IF(Tabella2579[[#This Row],[Compulsory contributions]]=88200, Tabella2579[[#This Row],[Adjusted Salary]]-$C$113-$C$112, 0))</f>
        <v>0</v>
      </c>
      <c r="Q142" s="71">
        <f>Tabella2579[[#This Row],[Compulsory contributions]]+Tabella2579[[#This Row],[Over compulsory contributions]]</f>
        <v>0</v>
      </c>
      <c r="R142" s="71">
        <f>Tabella2579[[#This Row],[Contributions]]*Tabella2579[[#This Row],[Retirements credits]]</f>
        <v>0</v>
      </c>
      <c r="S142" s="71"/>
      <c r="T142" s="71"/>
      <c r="U142" s="71"/>
      <c r="V142" s="78">
        <f>IF('General overview'!$C$8="No",0,IF(Tabella2579[[#This Row],[Age]]&lt;=$C$9,(Tabella2579[[#This Row],[Adjusted Salary]]),$G$110))</f>
        <v>73212.866902780079</v>
      </c>
      <c r="W142" s="71">
        <f>Tabella2579[[#This Row],[1° Pillar deductions]]+(Tabella2579[[#This Row],[Retirement assets]]/2)</f>
        <v>0</v>
      </c>
      <c r="X142" s="78">
        <f>Tabella2579[[#This Row],[Salary and pension]]-Tabella2579[[#This Row],[Pension deductions]]</f>
        <v>73212.866902780079</v>
      </c>
    </row>
    <row r="143" spans="9:24">
      <c r="I143" s="51">
        <f t="shared" si="3"/>
        <v>68</v>
      </c>
      <c r="J143" s="51">
        <f ca="1">IF(Tabella2579[[#This Row],[Age]]=$C$5,$C$10,IF(Tabella2579[[#This Row],[Age]]&lt;$C$5,$C$10-($C$5-Tabella2579[[#This Row],[Age]]),IF(Tabella2579[[#This Row],[Age]]&gt;$C$5,$C$10+Tabella2579[[#This Row],[Age]]-$C$5)))</f>
        <v>2070</v>
      </c>
      <c r="K143" s="66">
        <f t="shared" si="4"/>
        <v>0</v>
      </c>
      <c r="L143" s="66">
        <f>Tabella2579[[#This Row],[Adjusted Salary]]*$C$95+Tabella2579[[#This Row],[Adjusted Salary]]*$C$99+Tabella2579[[#This Row],[Adjusted Salary]]*$C$100</f>
        <v>0</v>
      </c>
      <c r="M143" s="66"/>
      <c r="N143" s="71"/>
      <c r="O143" s="71">
        <f>IF(Tabella2579[[#This Row],[Age]]&lt;25,0, IF(MIN(Tabella2579[[#This Row],[Adjusted Salary]]-$C$112, $C$113)&lt;0,0, MIN(Tabella2579[[#This Row],[Adjusted Salary]]-$C$112,$C$113)))</f>
        <v>0</v>
      </c>
      <c r="P143" s="71">
        <f>IF(Tabella2579[[#This Row],[Age]]&lt;25,0,IF(Tabella2579[[#This Row],[Compulsory contributions]]=88200, Tabella2579[[#This Row],[Adjusted Salary]]-$C$113-$C$112, 0))</f>
        <v>0</v>
      </c>
      <c r="Q143" s="71">
        <f>Tabella2579[[#This Row],[Compulsory contributions]]+Tabella2579[[#This Row],[Over compulsory contributions]]</f>
        <v>0</v>
      </c>
      <c r="R143" s="71">
        <f>Tabella2579[[#This Row],[Contributions]]*Tabella2579[[#This Row],[Retirements credits]]</f>
        <v>0</v>
      </c>
      <c r="S143" s="71"/>
      <c r="T143" s="71"/>
      <c r="U143" s="71"/>
      <c r="V143" s="78">
        <f>IF('General overview'!$C$8="No",0,IF(Tabella2579[[#This Row],[Age]]&lt;=$C$9,(Tabella2579[[#This Row],[Adjusted Salary]]),$G$110))</f>
        <v>73212.866902780079</v>
      </c>
      <c r="W143" s="71">
        <f>Tabella2579[[#This Row],[1° Pillar deductions]]+(Tabella2579[[#This Row],[Retirement assets]]/2)</f>
        <v>0</v>
      </c>
      <c r="X143" s="78">
        <f>Tabella2579[[#This Row],[Salary and pension]]-Tabella2579[[#This Row],[Pension deductions]]</f>
        <v>73212.866902780079</v>
      </c>
    </row>
    <row r="144" spans="9:24">
      <c r="I144" s="51">
        <f t="shared" si="3"/>
        <v>69</v>
      </c>
      <c r="J144" s="51">
        <f ca="1">IF(Tabella2579[[#This Row],[Age]]=$C$5,$C$10,IF(Tabella2579[[#This Row],[Age]]&lt;$C$5,$C$10-($C$5-Tabella2579[[#This Row],[Age]]),IF(Tabella2579[[#This Row],[Age]]&gt;$C$5,$C$10+Tabella2579[[#This Row],[Age]]-$C$5)))</f>
        <v>2071</v>
      </c>
      <c r="K144" s="66">
        <f t="shared" si="4"/>
        <v>0</v>
      </c>
      <c r="L144" s="66">
        <f>Tabella2579[[#This Row],[Adjusted Salary]]*$C$95+Tabella2579[[#This Row],[Adjusted Salary]]*$C$99+Tabella2579[[#This Row],[Adjusted Salary]]*$C$100</f>
        <v>0</v>
      </c>
      <c r="M144" s="66"/>
      <c r="N144" s="71"/>
      <c r="O144" s="71">
        <f>IF(Tabella2579[[#This Row],[Age]]&lt;25,0, IF(MIN(Tabella2579[[#This Row],[Adjusted Salary]]-$C$112, $C$113)&lt;0,0, MIN(Tabella2579[[#This Row],[Adjusted Salary]]-$C$112,$C$113)))</f>
        <v>0</v>
      </c>
      <c r="P144" s="71">
        <f>IF(Tabella2579[[#This Row],[Age]]&lt;25,0,IF(Tabella2579[[#This Row],[Compulsory contributions]]=88200, Tabella2579[[#This Row],[Adjusted Salary]]-$C$113-$C$112, 0))</f>
        <v>0</v>
      </c>
      <c r="Q144" s="71">
        <f>Tabella2579[[#This Row],[Compulsory contributions]]+Tabella2579[[#This Row],[Over compulsory contributions]]</f>
        <v>0</v>
      </c>
      <c r="R144" s="71">
        <f>Tabella2579[[#This Row],[Contributions]]*Tabella2579[[#This Row],[Retirements credits]]</f>
        <v>0</v>
      </c>
      <c r="S144" s="71"/>
      <c r="T144" s="71"/>
      <c r="U144" s="71"/>
      <c r="V144" s="78">
        <f>IF('General overview'!$C$8="No",0,IF(Tabella2579[[#This Row],[Age]]&lt;=$C$9,(Tabella2579[[#This Row],[Adjusted Salary]]),$G$110))</f>
        <v>73212.866902780079</v>
      </c>
      <c r="W144" s="71">
        <f>Tabella2579[[#This Row],[1° Pillar deductions]]+(Tabella2579[[#This Row],[Retirement assets]]/2)</f>
        <v>0</v>
      </c>
      <c r="X144" s="78">
        <f>Tabella2579[[#This Row],[Salary and pension]]-Tabella2579[[#This Row],[Pension deductions]]</f>
        <v>73212.866902780079</v>
      </c>
    </row>
    <row r="145" spans="9:24">
      <c r="I145" s="51">
        <f t="shared" si="3"/>
        <v>70</v>
      </c>
      <c r="J145" s="51">
        <f ca="1">IF(Tabella2579[[#This Row],[Age]]=$C$5,$C$10,IF(Tabella2579[[#This Row],[Age]]&lt;$C$5,$C$10-($C$5-Tabella2579[[#This Row],[Age]]),IF(Tabella2579[[#This Row],[Age]]&gt;$C$5,$C$10+Tabella2579[[#This Row],[Age]]-$C$5)))</f>
        <v>2072</v>
      </c>
      <c r="K145" s="66">
        <f t="shared" si="4"/>
        <v>0</v>
      </c>
      <c r="L145" s="66">
        <f>Tabella2579[[#This Row],[Adjusted Salary]]*$C$95+Tabella2579[[#This Row],[Adjusted Salary]]*$C$99+Tabella2579[[#This Row],[Adjusted Salary]]*$C$100</f>
        <v>0</v>
      </c>
      <c r="M145" s="66"/>
      <c r="N145" s="71"/>
      <c r="O145" s="71">
        <f>IF(Tabella2579[[#This Row],[Age]]&lt;25,0, IF(MIN(Tabella2579[[#This Row],[Adjusted Salary]]-$C$112, $C$113)&lt;0,0, MIN(Tabella2579[[#This Row],[Adjusted Salary]]-$C$112,$C$113)))</f>
        <v>0</v>
      </c>
      <c r="P145" s="71">
        <f>IF(Tabella2579[[#This Row],[Age]]&lt;25,0,IF(Tabella2579[[#This Row],[Compulsory contributions]]=88200, Tabella2579[[#This Row],[Adjusted Salary]]-$C$113-$C$112, 0))</f>
        <v>0</v>
      </c>
      <c r="Q145" s="71">
        <f>Tabella2579[[#This Row],[Compulsory contributions]]+Tabella2579[[#This Row],[Over compulsory contributions]]</f>
        <v>0</v>
      </c>
      <c r="R145" s="71">
        <f>Tabella2579[[#This Row],[Contributions]]*Tabella2579[[#This Row],[Retirements credits]]</f>
        <v>0</v>
      </c>
      <c r="S145" s="71"/>
      <c r="T145" s="71"/>
      <c r="U145" s="71"/>
      <c r="V145" s="78">
        <f>IF('General overview'!$C$8="No",0,IF(Tabella2579[[#This Row],[Age]]&lt;=$C$9,(Tabella2579[[#This Row],[Adjusted Salary]]),$G$110))</f>
        <v>73212.866902780079</v>
      </c>
      <c r="W145" s="71">
        <f>Tabella2579[[#This Row],[1° Pillar deductions]]+(Tabella2579[[#This Row],[Retirement assets]]/2)</f>
        <v>0</v>
      </c>
      <c r="X145" s="78">
        <f>Tabella2579[[#This Row],[Salary and pension]]-Tabella2579[[#This Row],[Pension deductions]]</f>
        <v>73212.866902780079</v>
      </c>
    </row>
    <row r="146" spans="9:24">
      <c r="I146" s="51">
        <f t="shared" si="3"/>
        <v>71</v>
      </c>
      <c r="J146" s="51">
        <f ca="1">IF(Tabella2579[[#This Row],[Age]]=$C$5,$C$10,IF(Tabella2579[[#This Row],[Age]]&lt;$C$5,$C$10-($C$5-Tabella2579[[#This Row],[Age]]),IF(Tabella2579[[#This Row],[Age]]&gt;$C$5,$C$10+Tabella2579[[#This Row],[Age]]-$C$5)))</f>
        <v>2073</v>
      </c>
      <c r="K146" s="66">
        <f t="shared" si="4"/>
        <v>0</v>
      </c>
      <c r="L146" s="66">
        <f>Tabella2579[[#This Row],[Adjusted Salary]]*$C$95+Tabella2579[[#This Row],[Adjusted Salary]]*$C$99+Tabella2579[[#This Row],[Adjusted Salary]]*$C$100</f>
        <v>0</v>
      </c>
      <c r="M146" s="66"/>
      <c r="N146" s="71"/>
      <c r="O146" s="66">
        <f>IF(Tabella2579[[#This Row],[Age]]&lt;25,0, IF(MIN(Tabella2579[[#This Row],[Adjusted Salary]]-$C$112, $C$113)&lt;0,0, MIN(Tabella2579[[#This Row],[Adjusted Salary]]-$C$112,$C$113)))</f>
        <v>0</v>
      </c>
      <c r="P146" s="66">
        <f>IF(Tabella2579[[#This Row],[Age]]&lt;25,0,IF(Tabella2579[[#This Row],[Compulsory contributions]]=88200, Tabella2579[[#This Row],[Adjusted Salary]]-$C$113-$C$112, 0))</f>
        <v>0</v>
      </c>
      <c r="Q146" s="66">
        <f>Tabella2579[[#This Row],[Compulsory contributions]]+Tabella2579[[#This Row],[Over compulsory contributions]]</f>
        <v>0</v>
      </c>
      <c r="R146" s="66">
        <f>Tabella2579[[#This Row],[Contributions]]*Tabella2579[[#This Row],[Retirements credits]]</f>
        <v>0</v>
      </c>
      <c r="S146" s="66"/>
      <c r="T146" s="66"/>
      <c r="U146" s="66"/>
      <c r="V146" s="177">
        <f>IF('General overview'!$C$8="No",0,IF(Tabella2579[[#This Row],[Age]]&lt;=$C$9,(Tabella2579[[#This Row],[Adjusted Salary]]),$G$110))</f>
        <v>73212.866902780079</v>
      </c>
      <c r="W146" s="66">
        <f>Tabella2579[[#This Row],[1° Pillar deductions]]+(Tabella2579[[#This Row],[Retirement assets]]/2)</f>
        <v>0</v>
      </c>
      <c r="X146" s="177">
        <f>Tabella2579[[#This Row],[Salary and pension]]-Tabella2579[[#This Row],[Pension deductions]]</f>
        <v>73212.866902780079</v>
      </c>
    </row>
    <row r="147" spans="9:24">
      <c r="I147" s="51">
        <f t="shared" si="3"/>
        <v>72</v>
      </c>
      <c r="J147" s="51">
        <f ca="1">IF(Tabella2579[[#This Row],[Age]]=$C$5,$C$10,IF(Tabella2579[[#This Row],[Age]]&lt;$C$5,$C$10-($C$5-Tabella2579[[#This Row],[Age]]),IF(Tabella2579[[#This Row],[Age]]&gt;$C$5,$C$10+Tabella2579[[#This Row],[Age]]-$C$5)))</f>
        <v>2074</v>
      </c>
      <c r="K147" s="66">
        <f t="shared" si="4"/>
        <v>0</v>
      </c>
      <c r="L147" s="66">
        <f>Tabella2579[[#This Row],[Adjusted Salary]]*$C$95+Tabella2579[[#This Row],[Adjusted Salary]]*$C$99+Tabella2579[[#This Row],[Adjusted Salary]]*$C$100</f>
        <v>0</v>
      </c>
      <c r="M147" s="66"/>
      <c r="N147" s="71"/>
      <c r="O147" s="66">
        <f>IF(Tabella2579[[#This Row],[Age]]&lt;25,0, IF(MIN(Tabella2579[[#This Row],[Adjusted Salary]]-$C$112, $C$113)&lt;0,0, MIN(Tabella2579[[#This Row],[Adjusted Salary]]-$C$112,$C$113)))</f>
        <v>0</v>
      </c>
      <c r="P147" s="66">
        <f>IF(Tabella2579[[#This Row],[Age]]&lt;25,0,IF(Tabella2579[[#This Row],[Compulsory contributions]]=88200, Tabella2579[[#This Row],[Adjusted Salary]]-$C$113-$C$112, 0))</f>
        <v>0</v>
      </c>
      <c r="Q147" s="66">
        <f>Tabella2579[[#This Row],[Compulsory contributions]]+Tabella2579[[#This Row],[Over compulsory contributions]]</f>
        <v>0</v>
      </c>
      <c r="R147" s="66">
        <f>Tabella2579[[#This Row],[Contributions]]*Tabella2579[[#This Row],[Retirements credits]]</f>
        <v>0</v>
      </c>
      <c r="S147" s="66"/>
      <c r="T147" s="66"/>
      <c r="U147" s="66"/>
      <c r="V147" s="177">
        <f>IF('General overview'!$C$8="No",0,IF(Tabella2579[[#This Row],[Age]]&lt;=$C$9,(Tabella2579[[#This Row],[Adjusted Salary]]),$G$110))</f>
        <v>73212.866902780079</v>
      </c>
      <c r="W147" s="66">
        <f>Tabella2579[[#This Row],[1° Pillar deductions]]+(Tabella2579[[#This Row],[Retirement assets]]/2)</f>
        <v>0</v>
      </c>
      <c r="X147" s="177">
        <f>Tabella2579[[#This Row],[Salary and pension]]-Tabella2579[[#This Row],[Pension deductions]]</f>
        <v>73212.866902780079</v>
      </c>
    </row>
    <row r="148" spans="9:24">
      <c r="I148" s="51">
        <f t="shared" si="3"/>
        <v>73</v>
      </c>
      <c r="J148" s="51">
        <f ca="1">IF(Tabella2579[[#This Row],[Age]]=$C$5,$C$10,IF(Tabella2579[[#This Row],[Age]]&lt;$C$5,$C$10-($C$5-Tabella2579[[#This Row],[Age]]),IF(Tabella2579[[#This Row],[Age]]&gt;$C$5,$C$10+Tabella2579[[#This Row],[Age]]-$C$5)))</f>
        <v>2075</v>
      </c>
      <c r="K148" s="66">
        <f t="shared" si="4"/>
        <v>0</v>
      </c>
      <c r="L148" s="66">
        <f>Tabella2579[[#This Row],[Adjusted Salary]]*$C$95+Tabella2579[[#This Row],[Adjusted Salary]]*$C$99+Tabella2579[[#This Row],[Adjusted Salary]]*$C$100</f>
        <v>0</v>
      </c>
      <c r="M148" s="66"/>
      <c r="N148" s="71"/>
      <c r="O148" s="66">
        <f>IF(Tabella2579[[#This Row],[Age]]&lt;25,0, IF(MIN(Tabella2579[[#This Row],[Adjusted Salary]]-$C$112, $C$113)&lt;0,0, MIN(Tabella2579[[#This Row],[Adjusted Salary]]-$C$112,$C$113)))</f>
        <v>0</v>
      </c>
      <c r="P148" s="66">
        <f>IF(Tabella2579[[#This Row],[Age]]&lt;25,0,IF(Tabella2579[[#This Row],[Compulsory contributions]]=88200, Tabella2579[[#This Row],[Adjusted Salary]]-$C$113-$C$112, 0))</f>
        <v>0</v>
      </c>
      <c r="Q148" s="66">
        <f>Tabella2579[[#This Row],[Compulsory contributions]]+Tabella2579[[#This Row],[Over compulsory contributions]]</f>
        <v>0</v>
      </c>
      <c r="R148" s="66">
        <f>Tabella2579[[#This Row],[Contributions]]*Tabella2579[[#This Row],[Retirements credits]]</f>
        <v>0</v>
      </c>
      <c r="S148" s="66"/>
      <c r="T148" s="66"/>
      <c r="U148" s="66"/>
      <c r="V148" s="177">
        <f>IF('General overview'!$C$8="No",0,IF(Tabella2579[[#This Row],[Age]]&lt;=$C$9,(Tabella2579[[#This Row],[Adjusted Salary]]),$G$110))</f>
        <v>73212.866902780079</v>
      </c>
      <c r="W148" s="66">
        <f>Tabella2579[[#This Row],[1° Pillar deductions]]+(Tabella2579[[#This Row],[Retirement assets]]/2)</f>
        <v>0</v>
      </c>
      <c r="X148" s="177">
        <f>Tabella2579[[#This Row],[Salary and pension]]-Tabella2579[[#This Row],[Pension deductions]]</f>
        <v>73212.866902780079</v>
      </c>
    </row>
    <row r="149" spans="9:24">
      <c r="I149" s="51">
        <f t="shared" si="3"/>
        <v>74</v>
      </c>
      <c r="J149" s="51">
        <f ca="1">IF(Tabella2579[[#This Row],[Age]]=$C$5,$C$10,IF(Tabella2579[[#This Row],[Age]]&lt;$C$5,$C$10-($C$5-Tabella2579[[#This Row],[Age]]),IF(Tabella2579[[#This Row],[Age]]&gt;$C$5,$C$10+Tabella2579[[#This Row],[Age]]-$C$5)))</f>
        <v>2076</v>
      </c>
      <c r="K149" s="66">
        <f t="shared" si="4"/>
        <v>0</v>
      </c>
      <c r="L149" s="66">
        <f>Tabella2579[[#This Row],[Adjusted Salary]]*$C$95+Tabella2579[[#This Row],[Adjusted Salary]]*$C$99+Tabella2579[[#This Row],[Adjusted Salary]]*$C$100</f>
        <v>0</v>
      </c>
      <c r="M149" s="66"/>
      <c r="N149" s="71"/>
      <c r="O149" s="66">
        <f>IF(Tabella2579[[#This Row],[Age]]&lt;25,0, IF(MIN(Tabella2579[[#This Row],[Adjusted Salary]]-$C$112, $C$113)&lt;0,0, MIN(Tabella2579[[#This Row],[Adjusted Salary]]-$C$112,$C$113)))</f>
        <v>0</v>
      </c>
      <c r="P149" s="66">
        <f>IF(Tabella2579[[#This Row],[Age]]&lt;25,0,IF(Tabella2579[[#This Row],[Compulsory contributions]]=88200, Tabella2579[[#This Row],[Adjusted Salary]]-$C$113-$C$112, 0))</f>
        <v>0</v>
      </c>
      <c r="Q149" s="66">
        <f>Tabella2579[[#This Row],[Compulsory contributions]]+Tabella2579[[#This Row],[Over compulsory contributions]]</f>
        <v>0</v>
      </c>
      <c r="R149" s="66">
        <f>Tabella2579[[#This Row],[Contributions]]*Tabella2579[[#This Row],[Retirements credits]]</f>
        <v>0</v>
      </c>
      <c r="S149" s="66"/>
      <c r="T149" s="66"/>
      <c r="U149" s="66"/>
      <c r="V149" s="177">
        <f>IF('General overview'!$C$8="No",0,IF(Tabella2579[[#This Row],[Age]]&lt;=$C$9,(Tabella2579[[#This Row],[Adjusted Salary]]),$G$110))</f>
        <v>73212.866902780079</v>
      </c>
      <c r="W149" s="66">
        <f>Tabella2579[[#This Row],[1° Pillar deductions]]+(Tabella2579[[#This Row],[Retirement assets]]/2)</f>
        <v>0</v>
      </c>
      <c r="X149" s="177">
        <f>Tabella2579[[#This Row],[Salary and pension]]-Tabella2579[[#This Row],[Pension deductions]]</f>
        <v>73212.866902780079</v>
      </c>
    </row>
    <row r="150" spans="9:24">
      <c r="I150" s="51">
        <f t="shared" si="3"/>
        <v>75</v>
      </c>
      <c r="J150" s="51">
        <f ca="1">IF(Tabella2579[[#This Row],[Age]]=$C$5,$C$10,IF(Tabella2579[[#This Row],[Age]]&lt;$C$5,$C$10-($C$5-Tabella2579[[#This Row],[Age]]),IF(Tabella2579[[#This Row],[Age]]&gt;$C$5,$C$10+Tabella2579[[#This Row],[Age]]-$C$5)))</f>
        <v>2077</v>
      </c>
      <c r="K150" s="66">
        <f t="shared" si="4"/>
        <v>0</v>
      </c>
      <c r="L150" s="66">
        <f>Tabella2579[[#This Row],[Adjusted Salary]]*$C$95+Tabella2579[[#This Row],[Adjusted Salary]]*$C$99+Tabella2579[[#This Row],[Adjusted Salary]]*$C$100</f>
        <v>0</v>
      </c>
      <c r="M150" s="66"/>
      <c r="N150" s="71"/>
      <c r="O150" s="66">
        <f>IF(Tabella2579[[#This Row],[Age]]&lt;25,0, IF(MIN(Tabella2579[[#This Row],[Adjusted Salary]]-$C$112, $C$113)&lt;0,0, MIN(Tabella2579[[#This Row],[Adjusted Salary]]-$C$112,$C$113)))</f>
        <v>0</v>
      </c>
      <c r="P150" s="66">
        <f>IF(Tabella2579[[#This Row],[Age]]&lt;25,0,IF(Tabella2579[[#This Row],[Compulsory contributions]]=88200, Tabella2579[[#This Row],[Adjusted Salary]]-$C$113-$C$112, 0))</f>
        <v>0</v>
      </c>
      <c r="Q150" s="66">
        <f>Tabella2579[[#This Row],[Compulsory contributions]]+Tabella2579[[#This Row],[Over compulsory contributions]]</f>
        <v>0</v>
      </c>
      <c r="R150" s="66">
        <f>Tabella2579[[#This Row],[Contributions]]*Tabella2579[[#This Row],[Retirements credits]]</f>
        <v>0</v>
      </c>
      <c r="S150" s="66"/>
      <c r="T150" s="66"/>
      <c r="U150" s="66"/>
      <c r="V150" s="177">
        <f>IF('General overview'!$C$8="No",0,IF(Tabella2579[[#This Row],[Age]]&lt;=$C$9,(Tabella2579[[#This Row],[Adjusted Salary]]),$G$110))</f>
        <v>73212.866902780079</v>
      </c>
      <c r="W150" s="66">
        <f>Tabella2579[[#This Row],[1° Pillar deductions]]+(Tabella2579[[#This Row],[Retirement assets]]/2)</f>
        <v>0</v>
      </c>
      <c r="X150" s="177">
        <f>Tabella2579[[#This Row],[Salary and pension]]-Tabella2579[[#This Row],[Pension deductions]]</f>
        <v>73212.866902780079</v>
      </c>
    </row>
    <row r="151" spans="9:24">
      <c r="I151" s="51">
        <f t="shared" si="3"/>
        <v>76</v>
      </c>
      <c r="J151" s="51">
        <f ca="1">IF(Tabella2579[[#This Row],[Age]]=$C$5,$C$10,IF(Tabella2579[[#This Row],[Age]]&lt;$C$5,$C$10-($C$5-Tabella2579[[#This Row],[Age]]),IF(Tabella2579[[#This Row],[Age]]&gt;$C$5,$C$10+Tabella2579[[#This Row],[Age]]-$C$5)))</f>
        <v>2078</v>
      </c>
      <c r="K151" s="66">
        <f t="shared" si="4"/>
        <v>0</v>
      </c>
      <c r="L151" s="66">
        <f>Tabella2579[[#This Row],[Adjusted Salary]]*$C$95+Tabella2579[[#This Row],[Adjusted Salary]]*$C$99+Tabella2579[[#This Row],[Adjusted Salary]]*$C$100</f>
        <v>0</v>
      </c>
      <c r="M151" s="66"/>
      <c r="N151" s="71"/>
      <c r="O151" s="66">
        <f>IF(Tabella2579[[#This Row],[Age]]&lt;25,0, IF(MIN(Tabella2579[[#This Row],[Adjusted Salary]]-$C$112, $C$113)&lt;0,0, MIN(Tabella2579[[#This Row],[Adjusted Salary]]-$C$112,$C$113)))</f>
        <v>0</v>
      </c>
      <c r="P151" s="66">
        <f>IF(Tabella2579[[#This Row],[Age]]&lt;25,0,IF(Tabella2579[[#This Row],[Compulsory contributions]]=88200, Tabella2579[[#This Row],[Adjusted Salary]]-$C$113-$C$112, 0))</f>
        <v>0</v>
      </c>
      <c r="Q151" s="66">
        <f>Tabella2579[[#This Row],[Compulsory contributions]]+Tabella2579[[#This Row],[Over compulsory contributions]]</f>
        <v>0</v>
      </c>
      <c r="R151" s="66">
        <f>Tabella2579[[#This Row],[Contributions]]*Tabella2579[[#This Row],[Retirements credits]]</f>
        <v>0</v>
      </c>
      <c r="S151" s="66"/>
      <c r="T151" s="66"/>
      <c r="U151" s="66"/>
      <c r="V151" s="177">
        <f>IF('General overview'!$C$8="No",0,IF(Tabella2579[[#This Row],[Age]]&lt;=$C$9,(Tabella2579[[#This Row],[Adjusted Salary]]),$G$110))</f>
        <v>73212.866902780079</v>
      </c>
      <c r="W151" s="66">
        <f>Tabella2579[[#This Row],[1° Pillar deductions]]+(Tabella2579[[#This Row],[Retirement assets]]/2)</f>
        <v>0</v>
      </c>
      <c r="X151" s="177">
        <f>Tabella2579[[#This Row],[Salary and pension]]-Tabella2579[[#This Row],[Pension deductions]]</f>
        <v>73212.866902780079</v>
      </c>
    </row>
    <row r="152" spans="9:24">
      <c r="I152" s="51">
        <f t="shared" si="3"/>
        <v>77</v>
      </c>
      <c r="J152" s="51">
        <f ca="1">IF(Tabella2579[[#This Row],[Age]]=$C$5,$C$10,IF(Tabella2579[[#This Row],[Age]]&lt;$C$5,$C$10-($C$5-Tabella2579[[#This Row],[Age]]),IF(Tabella2579[[#This Row],[Age]]&gt;$C$5,$C$10+Tabella2579[[#This Row],[Age]]-$C$5)))</f>
        <v>2079</v>
      </c>
      <c r="K152" s="66">
        <f t="shared" si="4"/>
        <v>0</v>
      </c>
      <c r="L152" s="66">
        <f>Tabella2579[[#This Row],[Adjusted Salary]]*$C$95+Tabella2579[[#This Row],[Adjusted Salary]]*$C$99+Tabella2579[[#This Row],[Adjusted Salary]]*$C$100</f>
        <v>0</v>
      </c>
      <c r="M152" s="66"/>
      <c r="N152" s="71"/>
      <c r="O152" s="66">
        <f>IF(Tabella2579[[#This Row],[Age]]&lt;25,0, IF(MIN(Tabella2579[[#This Row],[Adjusted Salary]]-$C$112, $C$113)&lt;0,0, MIN(Tabella2579[[#This Row],[Adjusted Salary]]-$C$112,$C$113)))</f>
        <v>0</v>
      </c>
      <c r="P152" s="66">
        <f>IF(Tabella2579[[#This Row],[Age]]&lt;25,0,IF(Tabella2579[[#This Row],[Compulsory contributions]]=88200, Tabella2579[[#This Row],[Adjusted Salary]]-$C$113-$C$112, 0))</f>
        <v>0</v>
      </c>
      <c r="Q152" s="66">
        <f>Tabella2579[[#This Row],[Compulsory contributions]]+Tabella2579[[#This Row],[Over compulsory contributions]]</f>
        <v>0</v>
      </c>
      <c r="R152" s="66">
        <f>Tabella2579[[#This Row],[Contributions]]*Tabella2579[[#This Row],[Retirements credits]]</f>
        <v>0</v>
      </c>
      <c r="S152" s="66"/>
      <c r="T152" s="66"/>
      <c r="U152" s="66"/>
      <c r="V152" s="177">
        <f>IF('General overview'!$C$8="No",0,IF(Tabella2579[[#This Row],[Age]]&lt;=$C$9,(Tabella2579[[#This Row],[Adjusted Salary]]),$G$110))</f>
        <v>73212.866902780079</v>
      </c>
      <c r="W152" s="66">
        <f>Tabella2579[[#This Row],[1° Pillar deductions]]+(Tabella2579[[#This Row],[Retirement assets]]/2)</f>
        <v>0</v>
      </c>
      <c r="X152" s="177">
        <f>Tabella2579[[#This Row],[Salary and pension]]-Tabella2579[[#This Row],[Pension deductions]]</f>
        <v>73212.866902780079</v>
      </c>
    </row>
    <row r="153" spans="9:24">
      <c r="I153" s="51">
        <f t="shared" si="3"/>
        <v>78</v>
      </c>
      <c r="J153" s="51">
        <f ca="1">IF(Tabella2579[[#This Row],[Age]]=$C$5,$C$10,IF(Tabella2579[[#This Row],[Age]]&lt;$C$5,$C$10-($C$5-Tabella2579[[#This Row],[Age]]),IF(Tabella2579[[#This Row],[Age]]&gt;$C$5,$C$10+Tabella2579[[#This Row],[Age]]-$C$5)))</f>
        <v>2080</v>
      </c>
      <c r="K153" s="66">
        <f t="shared" si="4"/>
        <v>0</v>
      </c>
      <c r="L153" s="66">
        <f>Tabella2579[[#This Row],[Adjusted Salary]]*$C$95+Tabella2579[[#This Row],[Adjusted Salary]]*$C$99+Tabella2579[[#This Row],[Adjusted Salary]]*$C$100</f>
        <v>0</v>
      </c>
      <c r="M153" s="66"/>
      <c r="N153" s="71"/>
      <c r="O153" s="66">
        <f>IF(Tabella2579[[#This Row],[Age]]&lt;25,0, IF(MIN(Tabella2579[[#This Row],[Adjusted Salary]]-$C$112, $C$113)&lt;0,0, MIN(Tabella2579[[#This Row],[Adjusted Salary]]-$C$112,$C$113)))</f>
        <v>0</v>
      </c>
      <c r="P153" s="66">
        <f>IF(Tabella2579[[#This Row],[Age]]&lt;25,0,IF(Tabella2579[[#This Row],[Compulsory contributions]]=88200, Tabella2579[[#This Row],[Adjusted Salary]]-$C$113-$C$112, 0))</f>
        <v>0</v>
      </c>
      <c r="Q153" s="66">
        <f>Tabella2579[[#This Row],[Compulsory contributions]]+Tabella2579[[#This Row],[Over compulsory contributions]]</f>
        <v>0</v>
      </c>
      <c r="R153" s="66">
        <f>Tabella2579[[#This Row],[Contributions]]*Tabella2579[[#This Row],[Retirements credits]]</f>
        <v>0</v>
      </c>
      <c r="S153" s="66"/>
      <c r="T153" s="66"/>
      <c r="U153" s="66"/>
      <c r="V153" s="177">
        <f>IF('General overview'!$C$8="No",0,IF(Tabella2579[[#This Row],[Age]]&lt;=$C$9,(Tabella2579[[#This Row],[Adjusted Salary]]),$G$110))</f>
        <v>73212.866902780079</v>
      </c>
      <c r="W153" s="66">
        <f>Tabella2579[[#This Row],[1° Pillar deductions]]+(Tabella2579[[#This Row],[Retirement assets]]/2)</f>
        <v>0</v>
      </c>
      <c r="X153" s="177">
        <f>Tabella2579[[#This Row],[Salary and pension]]-Tabella2579[[#This Row],[Pension deductions]]</f>
        <v>73212.866902780079</v>
      </c>
    </row>
    <row r="154" spans="9:24">
      <c r="I154" s="51">
        <f t="shared" si="3"/>
        <v>79</v>
      </c>
      <c r="J154" s="51">
        <f ca="1">IF(Tabella2579[[#This Row],[Age]]=$C$5,$C$10,IF(Tabella2579[[#This Row],[Age]]&lt;$C$5,$C$10-($C$5-Tabella2579[[#This Row],[Age]]),IF(Tabella2579[[#This Row],[Age]]&gt;$C$5,$C$10+Tabella2579[[#This Row],[Age]]-$C$5)))</f>
        <v>2081</v>
      </c>
      <c r="K154" s="66">
        <f t="shared" si="4"/>
        <v>0</v>
      </c>
      <c r="L154" s="66">
        <f>Tabella2579[[#This Row],[Adjusted Salary]]*$C$95+Tabella2579[[#This Row],[Adjusted Salary]]*$C$99+Tabella2579[[#This Row],[Adjusted Salary]]*$C$100</f>
        <v>0</v>
      </c>
      <c r="M154" s="66"/>
      <c r="N154" s="71"/>
      <c r="O154" s="66">
        <f>IF(Tabella2579[[#This Row],[Age]]&lt;25,0, IF(MIN(Tabella2579[[#This Row],[Adjusted Salary]]-$C$112, $C$113)&lt;0,0, MIN(Tabella2579[[#This Row],[Adjusted Salary]]-$C$112,$C$113)))</f>
        <v>0</v>
      </c>
      <c r="P154" s="66">
        <f>IF(Tabella2579[[#This Row],[Age]]&lt;25,0,IF(Tabella2579[[#This Row],[Compulsory contributions]]=88200, Tabella2579[[#This Row],[Adjusted Salary]]-$C$113-$C$112, 0))</f>
        <v>0</v>
      </c>
      <c r="Q154" s="66">
        <f>Tabella2579[[#This Row],[Compulsory contributions]]+Tabella2579[[#This Row],[Over compulsory contributions]]</f>
        <v>0</v>
      </c>
      <c r="R154" s="66">
        <f>Tabella2579[[#This Row],[Contributions]]*Tabella2579[[#This Row],[Retirements credits]]</f>
        <v>0</v>
      </c>
      <c r="S154" s="66"/>
      <c r="T154" s="66"/>
      <c r="U154" s="66"/>
      <c r="V154" s="177">
        <f>IF('General overview'!$C$8="No",0,IF(Tabella2579[[#This Row],[Age]]&lt;=$C$9,(Tabella2579[[#This Row],[Adjusted Salary]]),$G$110))</f>
        <v>73212.866902780079</v>
      </c>
      <c r="W154" s="66">
        <f>Tabella2579[[#This Row],[1° Pillar deductions]]+(Tabella2579[[#This Row],[Retirement assets]]/2)</f>
        <v>0</v>
      </c>
      <c r="X154" s="177">
        <f>Tabella2579[[#This Row],[Salary and pension]]-Tabella2579[[#This Row],[Pension deductions]]</f>
        <v>73212.866902780079</v>
      </c>
    </row>
    <row r="155" spans="9:24">
      <c r="I155" s="51">
        <f t="shared" si="3"/>
        <v>80</v>
      </c>
      <c r="J155" s="51">
        <f ca="1">IF(Tabella2579[[#This Row],[Age]]=$C$5,$C$10,IF(Tabella2579[[#This Row],[Age]]&lt;$C$5,$C$10-($C$5-Tabella2579[[#This Row],[Age]]),IF(Tabella2579[[#This Row],[Age]]&gt;$C$5,$C$10+Tabella2579[[#This Row],[Age]]-$C$5)))</f>
        <v>2082</v>
      </c>
      <c r="K155" s="66">
        <f t="shared" si="4"/>
        <v>0</v>
      </c>
      <c r="L155" s="66">
        <f>Tabella2579[[#This Row],[Adjusted Salary]]*$C$95+Tabella2579[[#This Row],[Adjusted Salary]]*$C$99+Tabella2579[[#This Row],[Adjusted Salary]]*$C$100</f>
        <v>0</v>
      </c>
      <c r="M155" s="66"/>
      <c r="N155" s="71"/>
      <c r="O155" s="66">
        <f>IF(Tabella2579[[#This Row],[Age]]&lt;25,0, IF(MIN(Tabella2579[[#This Row],[Adjusted Salary]]-$C$112, $C$113)&lt;0,0, MIN(Tabella2579[[#This Row],[Adjusted Salary]]-$C$112,$C$113)))</f>
        <v>0</v>
      </c>
      <c r="P155" s="66">
        <f>IF(Tabella2579[[#This Row],[Age]]&lt;25,0,IF(Tabella2579[[#This Row],[Compulsory contributions]]=88200, Tabella2579[[#This Row],[Adjusted Salary]]-$C$113-$C$112, 0))</f>
        <v>0</v>
      </c>
      <c r="Q155" s="66">
        <f>Tabella2579[[#This Row],[Compulsory contributions]]+Tabella2579[[#This Row],[Over compulsory contributions]]</f>
        <v>0</v>
      </c>
      <c r="R155" s="66">
        <f>Tabella2579[[#This Row],[Contributions]]*Tabella2579[[#This Row],[Retirements credits]]</f>
        <v>0</v>
      </c>
      <c r="S155" s="66"/>
      <c r="T155" s="66"/>
      <c r="U155" s="66"/>
      <c r="V155" s="177">
        <f>IF('General overview'!$C$8="No",0,IF(Tabella2579[[#This Row],[Age]]&lt;=$C$9,(Tabella2579[[#This Row],[Adjusted Salary]]),$G$110))</f>
        <v>73212.866902780079</v>
      </c>
      <c r="W155" s="66">
        <f>Tabella2579[[#This Row],[1° Pillar deductions]]+(Tabella2579[[#This Row],[Retirement assets]]/2)</f>
        <v>0</v>
      </c>
      <c r="X155" s="177">
        <f>Tabella2579[[#This Row],[Salary and pension]]-Tabella2579[[#This Row],[Pension deductions]]</f>
        <v>73212.866902780079</v>
      </c>
    </row>
    <row r="156" spans="9:24">
      <c r="I156" s="51" t="s">
        <v>135</v>
      </c>
      <c r="J156" s="51"/>
      <c r="K156" s="73"/>
      <c r="L156" s="73"/>
      <c r="M156" s="73"/>
      <c r="N156" s="74"/>
      <c r="O156" s="73"/>
      <c r="P156" s="73"/>
      <c r="Q156" s="73"/>
      <c r="R156" s="66">
        <f>SUBTOTAL(109,Tabella2579[Retirement assets])</f>
        <v>484086.04205262207</v>
      </c>
      <c r="S156" s="66">
        <f>SUBTOTAL(109,Tabella2579[Interests])</f>
        <v>110809.05945884963</v>
      </c>
      <c r="T156" s="66">
        <f>T140</f>
        <v>594895.10151147156</v>
      </c>
      <c r="U156" s="73"/>
      <c r="V156" s="73"/>
      <c r="W156" s="73"/>
      <c r="X156" s="73"/>
    </row>
  </sheetData>
  <dataValidations count="1">
    <dataValidation type="list" allowBlank="1" showInputMessage="1" showErrorMessage="1" sqref="G95:H95" xr:uid="{54DD0A55-4B17-5A4F-8E74-1F8DD385EC93}">
      <formula1>"Single, Pair"</formula1>
    </dataValidation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D918E-62E4-5A43-83EB-1A931428D438}">
  <dimension ref="B4:BA7996"/>
  <sheetViews>
    <sheetView zoomScale="116" zoomScaleNormal="100" workbookViewId="0">
      <selection activeCell="C10" sqref="C10"/>
    </sheetView>
  </sheetViews>
  <sheetFormatPr baseColWidth="10" defaultColWidth="11" defaultRowHeight="16"/>
  <cols>
    <col min="2" max="2" width="33.6640625" customWidth="1"/>
    <col min="3" max="4" width="20.33203125" customWidth="1"/>
    <col min="5" max="5" width="21.6640625" customWidth="1"/>
    <col min="6" max="6" width="18" customWidth="1"/>
    <col min="7" max="7" width="6.6640625" customWidth="1"/>
    <col min="8" max="8" width="20" customWidth="1"/>
    <col min="9" max="9" width="20.5" customWidth="1"/>
    <col min="10" max="10" width="21.5" customWidth="1"/>
    <col min="11" max="11" width="20.33203125" customWidth="1"/>
    <col min="12" max="12" width="17.83203125" customWidth="1"/>
    <col min="13" max="13" width="20.33203125" customWidth="1"/>
    <col min="14" max="14" width="17.83203125" customWidth="1"/>
    <col min="15" max="15" width="21.33203125" customWidth="1"/>
    <col min="16" max="16" width="21" customWidth="1"/>
    <col min="17" max="17" width="22.1640625" customWidth="1"/>
    <col min="18" max="18" width="22.5" customWidth="1"/>
    <col min="19" max="19" width="21.1640625" customWidth="1"/>
    <col min="20" max="20" width="19.33203125" customWidth="1"/>
    <col min="21" max="21" width="22.1640625" customWidth="1"/>
    <col min="23" max="49" width="20.1640625" customWidth="1"/>
    <col min="50" max="50" width="21.83203125" customWidth="1"/>
    <col min="51" max="51" width="19" customWidth="1"/>
    <col min="52" max="53" width="20" customWidth="1"/>
  </cols>
  <sheetData>
    <row r="4" spans="2:53">
      <c r="B4" s="7" t="s">
        <v>51</v>
      </c>
      <c r="C4" s="21"/>
      <c r="L4" s="23" t="s">
        <v>13</v>
      </c>
      <c r="M4" s="23" t="s">
        <v>76</v>
      </c>
      <c r="N4" s="82" t="s">
        <v>81</v>
      </c>
      <c r="O4" s="23" t="s">
        <v>107</v>
      </c>
      <c r="P4" s="23" t="s">
        <v>2496</v>
      </c>
      <c r="Q4" s="82" t="s">
        <v>2497</v>
      </c>
      <c r="R4" s="82" t="s">
        <v>2498</v>
      </c>
      <c r="S4" s="82" t="s">
        <v>2499</v>
      </c>
      <c r="T4" s="82" t="s">
        <v>2500</v>
      </c>
      <c r="U4" s="82" t="s">
        <v>2501</v>
      </c>
      <c r="Y4" s="23" t="s">
        <v>13</v>
      </c>
      <c r="Z4" s="108" t="s">
        <v>2497</v>
      </c>
      <c r="AA4" s="108" t="s">
        <v>141</v>
      </c>
      <c r="AB4" s="108" t="s">
        <v>136</v>
      </c>
      <c r="AC4" s="108" t="s">
        <v>142</v>
      </c>
      <c r="AD4" s="108" t="s">
        <v>158</v>
      </c>
      <c r="AE4" s="108" t="s">
        <v>138</v>
      </c>
      <c r="AF4" s="108" t="s">
        <v>156</v>
      </c>
      <c r="AG4" s="108" t="s">
        <v>151</v>
      </c>
      <c r="AH4" s="108" t="s">
        <v>137</v>
      </c>
      <c r="AI4" s="108" t="s">
        <v>143</v>
      </c>
      <c r="AJ4" s="108" t="s">
        <v>155</v>
      </c>
      <c r="AK4" s="108" t="s">
        <v>154</v>
      </c>
      <c r="AL4" s="108" t="s">
        <v>160</v>
      </c>
      <c r="AM4" s="108" t="s">
        <v>144</v>
      </c>
      <c r="AN4" s="108" t="s">
        <v>152</v>
      </c>
      <c r="AO4" s="108" t="s">
        <v>149</v>
      </c>
      <c r="AP4" s="108" t="s">
        <v>2502</v>
      </c>
      <c r="AQ4" s="108" t="s">
        <v>140</v>
      </c>
      <c r="AR4" s="108" t="s">
        <v>153</v>
      </c>
      <c r="AS4" s="108" t="s">
        <v>147</v>
      </c>
      <c r="AT4" s="108" t="s">
        <v>148</v>
      </c>
      <c r="AU4" s="108" t="s">
        <v>146</v>
      </c>
      <c r="AV4" s="108" t="s">
        <v>157</v>
      </c>
      <c r="AW4" s="108" t="s">
        <v>145</v>
      </c>
      <c r="AX4" s="108" t="s">
        <v>150</v>
      </c>
      <c r="AY4" s="108" t="s">
        <v>139</v>
      </c>
      <c r="AZ4" s="108" t="s">
        <v>2503</v>
      </c>
      <c r="BA4" s="108" t="s">
        <v>2504</v>
      </c>
    </row>
    <row r="5" spans="2:53">
      <c r="L5" s="80">
        <v>20</v>
      </c>
      <c r="M5" s="27">
        <f ca="1">'Income and Pension'!$K21</f>
        <v>0</v>
      </c>
      <c r="N5" s="27">
        <f>SUM('Income and Pension'!$K94,'Partner Income and Pension'!L95)</f>
        <v>0</v>
      </c>
      <c r="O5" s="27">
        <f>SUM('Income and Pension'!$Q94,'Partner Income and Pension'!R95)</f>
        <v>0</v>
      </c>
      <c r="P5" s="27">
        <f>IF(SUMIF('CF Timeline'!$C$4:$BC$4,Tabella2[[#This Row],[Age]],'CF Timeline'!$C$43:$BC$43)&lt;7258, SUMIF('CF Timeline'!$C$4:$BC$4,Tabella2[[#This Row],[Age]],'CF Timeline'!$C$43:$BC$43), 7258)</f>
        <v>0</v>
      </c>
      <c r="Q5" s="27">
        <f ca="1">Tabella2[[#This Row],[Salary and Pension]]-Tabella2[[#This Row],[1° Pillar deductions]]-Tabella2[[#This Row],[2° Pillar deductions]]-Tabella2[[#This Row],[3° Pillar deductions]]</f>
        <v>0</v>
      </c>
      <c r="R5" s="46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5" s="83">
        <f ca="1">Tabella2[[#This Row],[Cantonal taxes]]*$E$8/100</f>
        <v>0</v>
      </c>
      <c r="U5" s="107">
        <f ca="1">Tabella2[[#This Row],[Federal taxes]]+Tabella2[[#This Row],[Cantonal taxes]]+Tabella2[[#This Row],[Comunal taxes]]</f>
        <v>0</v>
      </c>
      <c r="Y5" s="80">
        <v>20</v>
      </c>
      <c r="Z5" s="27">
        <f ca="1">Tabella2[[#This Row],[Taxable salary]]</f>
        <v>0</v>
      </c>
      <c r="AA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5" s="27">
        <f ca="1">IF(Tabella13[[#This Row],[Taxable salary]]&lt;$R$142,$S$141+((Tabella13[[#This Row],[Taxable salary]]-$R$141)/100)*$T$141, IF(Tabella13[[#This Row],[Taxable salary]]&lt;$R$143,S142+((Tabella13[[#This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0</v>
      </c>
      <c r="AE5" s="27">
        <f ca="1">IF(Tabella13[[#This Row],[Taxable salary]]&lt;$R$161,Tabella13[[#This Row],[Taxable salary]]*S160,IF(Tabella13[[#This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0</v>
      </c>
      <c r="AF5" s="27">
        <f ca="1">IF(Tabella13[[#This Row],[Taxable salary]]&lt;$R$180,Tabella13[[#This Row],[Taxable salary]]*S179,IF(Tabella13[[#This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salary]]&gt;R196,Tabella13[[#This Row],[Taxable salary]]*$S$196))))))))))))))))))</f>
        <v>0</v>
      </c>
      <c r="AG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5" s="46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5" s="83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5" s="83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5" s="83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salary]]*S304))))))))))))</f>
        <v>0</v>
      </c>
      <c r="AL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5" s="83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0</v>
      </c>
      <c r="AN5" s="83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0</v>
      </c>
      <c r="AO5" s="83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5" s="83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5" s="83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5" s="83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salary]]*$S$489,IF(Q477&lt;$R$491,Tabella13[[#This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5" s="83">
        <f ca="1">Tabella13[[#This Row],[Taxable salary]]*$S$503</f>
        <v>0</v>
      </c>
      <c r="AU5" s="83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5" s="83">
        <f ca="1">Tabella13[[#This Row],[Taxable salary]]*$S$606</f>
        <v>0</v>
      </c>
      <c r="AY5" s="83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5" s="83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salary]]*S653)))))))))))))</f>
        <v>0</v>
      </c>
      <c r="BA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0</v>
      </c>
    </row>
    <row r="6" spans="2:53">
      <c r="B6" s="7" t="s">
        <v>66</v>
      </c>
      <c r="C6" s="21" t="s">
        <v>82</v>
      </c>
      <c r="D6" s="21" t="s">
        <v>2505</v>
      </c>
      <c r="E6" s="21" t="s">
        <v>2506</v>
      </c>
      <c r="L6" s="80">
        <v>21</v>
      </c>
      <c r="M6" s="27">
        <f ca="1">'Income and Pension'!$K22</f>
        <v>0</v>
      </c>
      <c r="N6" s="27">
        <f>SUM('Income and Pension'!$K95,'Partner Income and Pension'!L96)</f>
        <v>0</v>
      </c>
      <c r="O6" s="27">
        <f>SUM('Income and Pension'!$Q95,'Partner Income and Pension'!R96)</f>
        <v>0</v>
      </c>
      <c r="P6" s="27">
        <f>IF(SUMIF('CF Timeline'!$C$4:$BC$4,Tabella2[[#This Row],[Age]],'CF Timeline'!$C$43:$BC$43)&lt;7258, SUMIF('CF Timeline'!$C$4:$BC$4,Tabella2[[#This Row],[Age]],'CF Timeline'!$C$43:$BC$43), 7258)</f>
        <v>0</v>
      </c>
      <c r="Q6" s="27">
        <f ca="1">Tabella2[[#This Row],[Salary and Pension]]-Tabella2[[#This Row],[1° Pillar deductions]]-Tabella2[[#This Row],[2° Pillar deductions]]-Tabella2[[#This Row],[3° Pillar deductions]]</f>
        <v>0</v>
      </c>
      <c r="R6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6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6" s="83">
        <f ca="1">Tabella2[[#This Row],[Cantonal taxes]]*$E$8/100</f>
        <v>0</v>
      </c>
      <c r="U6" s="107">
        <f ca="1">Tabella2[[#This Row],[Federal taxes]]+Tabella2[[#This Row],[Cantonal taxes]]+Tabella2[[#This Row],[Comunal taxes]]</f>
        <v>0</v>
      </c>
      <c r="Y6" s="80">
        <v>21</v>
      </c>
      <c r="Z6" s="27">
        <f ca="1">Tabella2[[#This Row],[Taxable salary]]</f>
        <v>0</v>
      </c>
      <c r="AA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6" s="27">
        <f ca="1">IF(Tabella13[[#This Row],[Taxable salary]]&lt;$R$142,$S$141+((Tabella13[[#This Row],[Taxable salary]]-$R$141)/100)*$T$141, IF(Tabella13[[#This Row],[Taxable salary]]&lt;$R$143,S143+((Tabella13[[#This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0</v>
      </c>
      <c r="AE6" s="27">
        <f ca="1">IF(Tabella13[[#This Row],[Taxable salary]]&lt;$R$161,Tabella13[[#This Row],[Taxable salary]]*S161,IF(Tabella13[[#This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0</v>
      </c>
      <c r="AF6" s="27">
        <f ca="1">IF(Tabella13[[#This Row],[Taxable salary]]&lt;$R$180,Tabella13[[#This Row],[Taxable salary]]*S180,IF(Tabella13[[#This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salary]]&gt;R197,Tabella13[[#This Row],[Taxable salary]]*$S$196))))))))))))))))))</f>
        <v>0</v>
      </c>
      <c r="AG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6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salary]]*S305))))))))))))</f>
        <v>0</v>
      </c>
      <c r="AL6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0</v>
      </c>
      <c r="AN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0</v>
      </c>
      <c r="AO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6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salary]]*$S$489,IF(Q478&lt;$R$491,Tabella13[[#This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6" s="27">
        <f ca="1">Tabella13[[#This Row],[Taxable salary]]*$S$503</f>
        <v>0</v>
      </c>
      <c r="AU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6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6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6" s="27">
        <f ca="1">Tabella13[[#This Row],[Taxable salary]]*$S$606</f>
        <v>0</v>
      </c>
      <c r="AY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salary]]*S654)))))))))))))</f>
        <v>0</v>
      </c>
      <c r="BA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0</v>
      </c>
    </row>
    <row r="7" spans="2:53">
      <c r="B7" s="26" t="s">
        <v>13</v>
      </c>
      <c r="C7" s="26">
        <f>'General overview'!$C$5</f>
        <v>28</v>
      </c>
      <c r="D7" s="2" t="s">
        <v>2507</v>
      </c>
      <c r="E7" s="2">
        <f>IFERROR(INDEX(D78:D2220,MATCH(C10,F78:F2220,0)),INDEX(D78:D2220,MATCH(C10,F78:F2220,-1)))</f>
        <v>98</v>
      </c>
      <c r="L7" s="80">
        <v>22</v>
      </c>
      <c r="M7" s="27">
        <f ca="1">'Income and Pension'!$K23</f>
        <v>0</v>
      </c>
      <c r="N7" s="27">
        <f>SUM('Income and Pension'!$K96,'Partner Income and Pension'!L97)</f>
        <v>5530</v>
      </c>
      <c r="O7" s="27">
        <f>SUM('Income and Pension'!$Q96,'Partner Income and Pension'!R97)</f>
        <v>0</v>
      </c>
      <c r="P7" s="27">
        <f>IF(SUMIF('CF Timeline'!$C$4:$BC$4,Tabella2[[#This Row],[Age]],'CF Timeline'!$C$43:$BC$43)&lt;7258, SUMIF('CF Timeline'!$C$4:$BC$4,Tabella2[[#This Row],[Age]],'CF Timeline'!$C$43:$BC$43), 7258)</f>
        <v>0</v>
      </c>
      <c r="Q7" s="27">
        <f ca="1">Tabella2[[#This Row],[Salary and Pension]]-Tabella2[[#This Row],[1° Pillar deductions]]-Tabella2[[#This Row],[2° Pillar deductions]]-Tabella2[[#This Row],[3° Pillar deductions]]</f>
        <v>-5530</v>
      </c>
      <c r="R7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7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7" s="83">
        <f ca="1">Tabella2[[#This Row],[Cantonal taxes]]*$E$8/100</f>
        <v>0</v>
      </c>
      <c r="U7" s="107">
        <f ca="1">Tabella2[[#This Row],[Federal taxes]]+Tabella2[[#This Row],[Cantonal taxes]]+Tabella2[[#This Row],[Comunal taxes]]</f>
        <v>0</v>
      </c>
      <c r="Y7" s="80">
        <v>22</v>
      </c>
      <c r="Z7" s="27">
        <f ca="1">Tabella2[[#This Row],[Taxable salary]]</f>
        <v>-5530</v>
      </c>
      <c r="AA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7" s="27">
        <f ca="1">IF(Tabella13[[#This Row],[Taxable salary]]&lt;$R$142,$S$141+((Tabella13[[#This Row],[Taxable salary]]-$R$141)/100)*$T$141, IF(Tabella13[[#This Row],[Taxable salary]]&lt;$R$143,S144+((Tabella13[[#This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-27.65</v>
      </c>
      <c r="AE7" s="27">
        <f ca="1">IF(Tabella13[[#This Row],[Taxable salary]]&lt;$R$161,Tabella13[[#This Row],[Taxable salary]]*S162,IF(Tabella13[[#This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-199.07999999999998</v>
      </c>
      <c r="AF7" s="27">
        <f ca="1">IF(Tabella13[[#This Row],[Taxable salary]]&lt;$R$180,Tabella13[[#This Row],[Taxable salary]]*S181,IF(Tabella13[[#This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salary]]&gt;R198,Tabella13[[#This Row],[Taxable salary]]*$S$196))))))))))))))))))</f>
        <v>-41.475000000000001</v>
      </c>
      <c r="AG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7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salary]]*S306))))))))))))</f>
        <v>0</v>
      </c>
      <c r="AL7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-1161.3</v>
      </c>
      <c r="AN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-55.300000000000004</v>
      </c>
      <c r="AO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7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salary]]*$S$489,IF(Q479&lt;$R$491,Tabella13[[#This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7" s="27">
        <f ca="1">Tabella13[[#This Row],[Taxable salary]]*$S$503</f>
        <v>-99.539999999999992</v>
      </c>
      <c r="AU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7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7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7" s="27">
        <f ca="1">Tabella13[[#This Row],[Taxable salary]]*$S$606</f>
        <v>-392.62999999999994</v>
      </c>
      <c r="AY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salary]]*S655)))))))))))))</f>
        <v>-110.60000000000001</v>
      </c>
      <c r="BA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-110.60000000000001</v>
      </c>
    </row>
    <row r="8" spans="2:53">
      <c r="B8" s="26" t="s">
        <v>67</v>
      </c>
      <c r="C8" s="27">
        <f>'General overview'!$C$139</f>
        <v>0</v>
      </c>
      <c r="D8" s="2" t="s">
        <v>2508</v>
      </c>
      <c r="E8" s="105">
        <f>IFERROR(INDEX(E78:E2220,MATCH(C10,F78:F2220,0)),INDEX(E78:E2220,MATCH(C10,F78:F2220,-1)))</f>
        <v>78</v>
      </c>
      <c r="L8" s="80">
        <v>23</v>
      </c>
      <c r="M8" s="27">
        <f ca="1">'Income and Pension'!$K24</f>
        <v>0</v>
      </c>
      <c r="N8" s="27">
        <f>SUM('Income and Pension'!$K97,'Partner Income and Pension'!L98)</f>
        <v>5696.8162915351268</v>
      </c>
      <c r="O8" s="27">
        <f>SUM('Income and Pension'!$Q97,'Partner Income and Pension'!R98)</f>
        <v>0</v>
      </c>
      <c r="P8" s="27">
        <f>IF(SUMIF('CF Timeline'!$C$4:$BC$4,Tabella2[[#This Row],[Age]],'CF Timeline'!$C$43:$BC$43)&lt;7258, SUMIF('CF Timeline'!$C$4:$BC$4,Tabella2[[#This Row],[Age]],'CF Timeline'!$C$43:$BC$43), 7258)</f>
        <v>0</v>
      </c>
      <c r="Q8" s="27">
        <f ca="1">Tabella2[[#This Row],[Salary and Pension]]-Tabella2[[#This Row],[1° Pillar deductions]]-Tabella2[[#This Row],[2° Pillar deductions]]-Tabella2[[#This Row],[3° Pillar deductions]]</f>
        <v>-5696.8162915351268</v>
      </c>
      <c r="R8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8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8" s="83">
        <f ca="1">Tabella2[[#This Row],[Cantonal taxes]]*$E$8/100</f>
        <v>0</v>
      </c>
      <c r="U8" s="107">
        <f ca="1">Tabella2[[#This Row],[Federal taxes]]+Tabella2[[#This Row],[Cantonal taxes]]+Tabella2[[#This Row],[Comunal taxes]]</f>
        <v>0</v>
      </c>
      <c r="Y8" s="80">
        <v>23</v>
      </c>
      <c r="Z8" s="27">
        <f ca="1">Tabella2[[#This Row],[Taxable salary]]</f>
        <v>-5696.8162915351268</v>
      </c>
      <c r="AA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8" s="27">
        <f ca="1">IF(Tabella13[[#This Row],[Taxable salary]]&lt;$R$142,$S$141+((Tabella13[[#This Row],[Taxable salary]]-$R$141)/100)*$T$141, IF(Tabella13[[#This Row],[Taxable salary]]&lt;$R$143,S145+((Tabella13[[#This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-28.484081457675632</v>
      </c>
      <c r="AE8" s="27">
        <f ca="1">IF(Tabella13[[#This Row],[Taxable salary]]&lt;$R$161,Tabella13[[#This Row],[Taxable salary]]*S163,IF(Tabella13[[#This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-236.41787609870778</v>
      </c>
      <c r="AF8" s="27">
        <f ca="1">IF(Tabella13[[#This Row],[Taxable salary]]&lt;$R$180,Tabella13[[#This Row],[Taxable salary]]*S182,IF(Tabella13[[#This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salary]]&gt;R199,Tabella13[[#This Row],[Taxable salary]]*$S$196))))))))))))))))))</f>
        <v>-56.968162915351272</v>
      </c>
      <c r="AG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salary]]*S307))))))))))))</f>
        <v>0</v>
      </c>
      <c r="AL8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-1196.3314212223765</v>
      </c>
      <c r="AN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-56.968162915351272</v>
      </c>
      <c r="AO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8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8" s="27">
        <f ca="1">Tabella13[[#This Row],[Taxable salary]]*$S$503</f>
        <v>-102.54269324763227</v>
      </c>
      <c r="AU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8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8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8" s="27">
        <f ca="1">Tabella13[[#This Row],[Taxable salary]]*$S$606</f>
        <v>-404.47395669899396</v>
      </c>
      <c r="AY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salary]]*S656)))))))))))))</f>
        <v>-113.93632583070254</v>
      </c>
      <c r="BA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-113.93632583070254</v>
      </c>
    </row>
    <row r="9" spans="2:53">
      <c r="B9" s="2" t="s">
        <v>2496</v>
      </c>
      <c r="C9" s="81">
        <f>'General overview'!$C$65</f>
        <v>0</v>
      </c>
      <c r="D9" s="2"/>
      <c r="E9" s="2"/>
      <c r="L9" s="80">
        <v>24</v>
      </c>
      <c r="M9" s="27">
        <f ca="1">'Income and Pension'!$K25</f>
        <v>0</v>
      </c>
      <c r="N9" s="27">
        <f>SUM('Income and Pension'!$K98,'Partner Income and Pension'!L99)</f>
        <v>5867.2730494716352</v>
      </c>
      <c r="O9" s="27">
        <f>SUM('Income and Pension'!$Q98,'Partner Income and Pension'!R99)</f>
        <v>0</v>
      </c>
      <c r="P9" s="27">
        <f>IF(SUMIF('CF Timeline'!$C$4:$BC$4,Tabella2[[#This Row],[Age]],'CF Timeline'!$C$43:$BC$43)&lt;7258, SUMIF('CF Timeline'!$C$4:$BC$4,Tabella2[[#This Row],[Age]],'CF Timeline'!$C$43:$BC$43), 7258)</f>
        <v>0</v>
      </c>
      <c r="Q9" s="27">
        <f ca="1">Tabella2[[#This Row],[Salary and Pension]]-Tabella2[[#This Row],[1° Pillar deductions]]-Tabella2[[#This Row],[2° Pillar deductions]]-Tabella2[[#This Row],[3° Pillar deductions]]</f>
        <v>-5867.2730494716352</v>
      </c>
      <c r="R9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9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9" s="83">
        <f ca="1">Tabella2[[#This Row],[Cantonal taxes]]*$E$8/100</f>
        <v>0</v>
      </c>
      <c r="U9" s="107">
        <f ca="1">Tabella2[[#This Row],[Federal taxes]]+Tabella2[[#This Row],[Cantonal taxes]]+Tabella2[[#This Row],[Comunal taxes]]</f>
        <v>0</v>
      </c>
      <c r="Y9" s="80">
        <v>24</v>
      </c>
      <c r="Z9" s="27">
        <f ca="1">Tabella2[[#This Row],[Taxable salary]]</f>
        <v>-5867.2730494716352</v>
      </c>
      <c r="AA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9" s="27">
        <f ca="1">IF(Tabella13[[#This Row],[Taxable salary]]&lt;$R$142,$S$141+((Tabella13[[#This Row],[Taxable salary]]-$R$141)/100)*$T$141, IF(Tabella13[[#This Row],[Taxable salary]]&lt;$R$143,S146+((Tabella13[[#This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-29.336365247358177</v>
      </c>
      <c r="AE9" s="27">
        <f ca="1">IF(Tabella13[[#This Row],[Taxable salary]]&lt;$R$161,Tabella13[[#This Row],[Taxable salary]]*S164,IF(Tabella13[[#This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-261.09365070148777</v>
      </c>
      <c r="AF9" s="27">
        <f ca="1">IF(Tabella13[[#This Row],[Taxable salary]]&lt;$R$180,Tabella13[[#This Row],[Taxable salary]]*S183,IF(Tabella13[[#This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salary]]&gt;R200,Tabella13[[#This Row],[Taxable salary]]*$S$196))))))))))))))))))</f>
        <v>-73.340913118395449</v>
      </c>
      <c r="AG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salary]]*S308))))))))))))</f>
        <v>0</v>
      </c>
      <c r="AL9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-1232.1273403890434</v>
      </c>
      <c r="AN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-58.672730494716355</v>
      </c>
      <c r="AO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9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9" s="27">
        <f ca="1">Tabella13[[#This Row],[Taxable salary]]*$S$503</f>
        <v>-105.61091489048943</v>
      </c>
      <c r="AU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9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9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9" s="27">
        <f ca="1">Tabella13[[#This Row],[Taxable salary]]*$S$606</f>
        <v>-416.57638651248607</v>
      </c>
      <c r="AY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salary]]*S657)))))))))))))</f>
        <v>-117.34546098943271</v>
      </c>
      <c r="BA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-117.34546098943271</v>
      </c>
    </row>
    <row r="10" spans="2:53">
      <c r="B10" s="2" t="s">
        <v>2509</v>
      </c>
      <c r="C10" s="88">
        <f>IF(ISNUMBER('General overview'!C7),'General overview'!C7,IF(ISTEXT('General overview'!C7),VLOOKUP('General overview'!C7,Realestate!B2:D2407,3,FALSE),"Falsch"))</f>
        <v>8712</v>
      </c>
      <c r="D10" s="2"/>
      <c r="E10" s="2"/>
      <c r="L10" s="80">
        <v>25</v>
      </c>
      <c r="M10" s="27">
        <f ca="1">'Income and Pension'!$K26</f>
        <v>0</v>
      </c>
      <c r="N10" s="27">
        <f>SUM('Income and Pension'!$K99,'Partner Income and Pension'!L100)</f>
        <v>6041.4591007681556</v>
      </c>
      <c r="O10" s="27">
        <f>SUM('Income and Pension'!$Q99,'Partner Income and Pension'!R100)</f>
        <v>3500.9916082755813</v>
      </c>
      <c r="P10" s="27">
        <f>IF(SUMIF('CF Timeline'!$C$4:$BC$4,Tabella2[[#This Row],[Age]],'CF Timeline'!$C$43:$BC$43)&lt;7258, SUMIF('CF Timeline'!$C$4:$BC$4,Tabella2[[#This Row],[Age]],'CF Timeline'!$C$43:$BC$43), 7258)</f>
        <v>0</v>
      </c>
      <c r="Q10" s="27">
        <f ca="1">Tabella2[[#This Row],[Salary and Pension]]-Tabella2[[#This Row],[1° Pillar deductions]]-Tabella2[[#This Row],[2° Pillar deductions]]-Tabella2[[#This Row],[3° Pillar deductions]]</f>
        <v>-9542.4507090437364</v>
      </c>
      <c r="R10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10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10" s="83">
        <f ca="1">Tabella2[[#This Row],[Cantonal taxes]]*$E$8/100</f>
        <v>0</v>
      </c>
      <c r="U10" s="107">
        <f ca="1">Tabella2[[#This Row],[Federal taxes]]+Tabella2[[#This Row],[Cantonal taxes]]+Tabella2[[#This Row],[Comunal taxes]]</f>
        <v>0</v>
      </c>
      <c r="Y10" s="80">
        <v>25</v>
      </c>
      <c r="Z10" s="27">
        <f ca="1">Tabella2[[#This Row],[Taxable salary]]</f>
        <v>-9542.4507090437364</v>
      </c>
      <c r="AA1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1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1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10" s="27">
        <f ca="1">IF(Tabella13[[#This Row],[Taxable salary]]&lt;$R$142,$S$141+((Tabella13[[#This Row],[Taxable salary]]-$R$141)/100)*$T$141, IF(Tabella13[[#This Row],[Taxable salary]]&lt;$R$143,S147+((Tabella13[[#This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-47.71225354521868</v>
      </c>
      <c r="AE10" s="27">
        <f ca="1">IF(Tabella13[[#This Row],[Taxable salary]]&lt;$R$161,Tabella13[[#This Row],[Taxable salary]]*S165,IF(Tabella13[[#This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-477.12253545218687</v>
      </c>
      <c r="AF10" s="27">
        <f ca="1">IF(Tabella13[[#This Row],[Taxable salary]]&lt;$R$180,Tabella13[[#This Row],[Taxable salary]]*S184,IF(Tabella13[[#This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salary]]&gt;R201,Tabella13[[#This Row],[Taxable salary]]*$S$196))))))))))))))))))</f>
        <v>-143.13676063565603</v>
      </c>
      <c r="AG1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1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1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1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1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salary]]*S309))))))))))))</f>
        <v>0</v>
      </c>
      <c r="AL10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1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-2003.9146488991846</v>
      </c>
      <c r="AN1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-95.424507090437359</v>
      </c>
      <c r="AO1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1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1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1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10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10" s="27">
        <f ca="1">Tabella13[[#This Row],[Taxable salary]]*$S$503</f>
        <v>-171.76411276278725</v>
      </c>
      <c r="AU1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10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10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10" s="27">
        <f ca="1">Tabella13[[#This Row],[Taxable salary]]*$S$606</f>
        <v>-677.51400034210519</v>
      </c>
      <c r="AY1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1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salary]]*S658)))))))))))))</f>
        <v>-190.84901418087472</v>
      </c>
      <c r="BA1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-190.84901418087472</v>
      </c>
    </row>
    <row r="11" spans="2:53">
      <c r="B11" s="2" t="s">
        <v>2510</v>
      </c>
      <c r="C11" s="10" t="str">
        <f>IFERROR(INDEX($B$78:$B$2220, MATCH(C10,$F$78:$F$2220, 0)), INDEX(B78:B2220, MATCH(C10, $F$78:$F$2220,-1)))</f>
        <v>ZH</v>
      </c>
      <c r="D11" s="2"/>
      <c r="E11" s="2"/>
      <c r="G11" s="273"/>
      <c r="L11" s="80">
        <v>26</v>
      </c>
      <c r="M11" s="27">
        <f ca="1">'Income and Pension'!$K27</f>
        <v>0</v>
      </c>
      <c r="N11" s="27">
        <f>SUM('Income and Pension'!$K100,'Partner Income and Pension'!L101)</f>
        <v>6219.4654938359054</v>
      </c>
      <c r="O11" s="27">
        <f>SUM('Income and Pension'!$Q100,'Partner Income and Pension'!R101)</f>
        <v>3658.7187920064989</v>
      </c>
      <c r="P11" s="27">
        <f>IF(SUMIF('CF Timeline'!$C$4:$BC$4,Tabella2[[#This Row],[Age]],'CF Timeline'!$C$43:$BC$43)&lt;7258, SUMIF('CF Timeline'!$C$4:$BC$4,Tabella2[[#This Row],[Age]],'CF Timeline'!$C$43:$BC$43), 7258)</f>
        <v>0</v>
      </c>
      <c r="Q11" s="27">
        <f ca="1">Tabella2[[#This Row],[Salary and Pension]]-Tabella2[[#This Row],[1° Pillar deductions]]-Tabella2[[#This Row],[2° Pillar deductions]]-Tabella2[[#This Row],[3° Pillar deductions]]</f>
        <v>-9878.1842858424043</v>
      </c>
      <c r="R11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11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11" s="83">
        <f ca="1">Tabella2[[#This Row],[Cantonal taxes]]*$E$8/100</f>
        <v>0</v>
      </c>
      <c r="U11" s="107">
        <f ca="1">Tabella2[[#This Row],[Federal taxes]]+Tabella2[[#This Row],[Cantonal taxes]]+Tabella2[[#This Row],[Comunal taxes]]</f>
        <v>0</v>
      </c>
      <c r="Y11" s="80">
        <v>26</v>
      </c>
      <c r="Z11" s="27">
        <f ca="1">Tabella2[[#This Row],[Taxable salary]]</f>
        <v>-9878.1842858424043</v>
      </c>
      <c r="AA1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1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1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11" s="27">
        <f ca="1">IF(Tabella13[[#This Row],[Taxable salary]]&lt;$R$142,$S$141+((Tabella13[[#This Row],[Taxable salary]]-$R$141)/100)*$T$141, IF(Tabella13[[#This Row],[Taxable salary]]&lt;$R$143,S148+((Tabella13[[#This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-49.390921429212021</v>
      </c>
      <c r="AE11" s="27">
        <f ca="1">IF(Tabella13[[#This Row],[Taxable salary]]&lt;$R$161,Tabella13[[#This Row],[Taxable salary]]*S166,IF(Tabella13[[#This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-553.17832000717465</v>
      </c>
      <c r="AF11" s="27">
        <f ca="1">IF(Tabella13[[#This Row],[Taxable salary]]&lt;$R$180,Tabella13[[#This Row],[Taxable salary]]*S185,IF(Tabella13[[#This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salary]]&gt;R202,Tabella13[[#This Row],[Taxable salary]]*$S$196))))))))))))))))))</f>
        <v>-172.8682250022421</v>
      </c>
      <c r="AG1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1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1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1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1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salary]]*S310))))))))))))</f>
        <v>0</v>
      </c>
      <c r="AL11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1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-2074.4187000269048</v>
      </c>
      <c r="AN1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-98.781842858424042</v>
      </c>
      <c r="AO1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1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1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1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11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11" s="27">
        <f ca="1">Tabella13[[#This Row],[Taxable salary]]*$S$503</f>
        <v>-177.80731714516327</v>
      </c>
      <c r="AU1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11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11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11" s="27">
        <f ca="1">Tabella13[[#This Row],[Taxable salary]]*$S$606</f>
        <v>-701.35108429481068</v>
      </c>
      <c r="AY1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1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salary]]*S659)))))))))))))</f>
        <v>-197.56368571684808</v>
      </c>
      <c r="BA1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-197.56368571684808</v>
      </c>
    </row>
    <row r="12" spans="2:53">
      <c r="L12" s="80">
        <v>27</v>
      </c>
      <c r="M12" s="27">
        <f ca="1">'Income and Pension'!$K28</f>
        <v>0</v>
      </c>
      <c r="N12" s="27">
        <f>SUM('Income and Pension'!$K101,'Partner Income and Pension'!L102)</f>
        <v>6401.3855543733816</v>
      </c>
      <c r="O12" s="27">
        <f>SUM('Income and Pension'!$Q101,'Partner Income and Pension'!R102)</f>
        <v>3819.9137823561614</v>
      </c>
      <c r="P12" s="27">
        <f>IF(SUMIF('CF Timeline'!$C$4:$BC$4,Tabella2[[#This Row],[Age]],'CF Timeline'!$C$43:$BC$43)&lt;7258, SUMIF('CF Timeline'!$C$4:$BC$4,Tabella2[[#This Row],[Age]],'CF Timeline'!$C$43:$BC$43), 7258)</f>
        <v>0</v>
      </c>
      <c r="Q12" s="27">
        <f ca="1">Tabella2[[#This Row],[Salary and Pension]]-Tabella2[[#This Row],[1° Pillar deductions]]-Tabella2[[#This Row],[2° Pillar deductions]]-Tabella2[[#This Row],[3° Pillar deductions]]</f>
        <v>-10221.299336729542</v>
      </c>
      <c r="R12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0</v>
      </c>
      <c r="S12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0</v>
      </c>
      <c r="T12" s="83">
        <f ca="1">Tabella2[[#This Row],[Cantonal taxes]]*$E$8/100</f>
        <v>0</v>
      </c>
      <c r="U12" s="107">
        <f ca="1">Tabella2[[#This Row],[Federal taxes]]+Tabella2[[#This Row],[Cantonal taxes]]+Tabella2[[#This Row],[Comunal taxes]]</f>
        <v>0</v>
      </c>
      <c r="Y12" s="80">
        <v>27</v>
      </c>
      <c r="Z12" s="27">
        <f ca="1">Tabella2[[#This Row],[Taxable salary]]</f>
        <v>-10221.299336729542</v>
      </c>
      <c r="AA1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0</v>
      </c>
      <c r="AB1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0</v>
      </c>
      <c r="AC1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0</v>
      </c>
      <c r="AD12" s="27">
        <f ca="1">IF(Tabella13[[#This Row],[Taxable salary]]&lt;$R$142,$S$141+((Tabella13[[#This Row],[Taxable salary]]-$R$141)/100)*$T$141, IF(Tabella13[[#This Row],[Taxable salary]]&lt;$R$143,S149+((Tabella13[[#This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-51.106496683647713</v>
      </c>
      <c r="AE12" s="27">
        <f ca="1">IF(Tabella13[[#This Row],[Taxable salary]]&lt;$R$161,Tabella13[[#This Row],[Taxable salary]]*S167,IF(Tabella13[[#This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-587.72471186194866</v>
      </c>
      <c r="AF12" s="27">
        <f ca="1">IF(Tabella13[[#This Row],[Taxable salary]]&lt;$R$180,Tabella13[[#This Row],[Taxable salary]]*S186,IF(Tabella13[[#This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salary]]&gt;R203,Tabella13[[#This Row],[Taxable salary]]*$S$196))))))))))))))))))</f>
        <v>-204.42598673459085</v>
      </c>
      <c r="AG1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0</v>
      </c>
      <c r="AH1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0</v>
      </c>
      <c r="AI1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0</v>
      </c>
      <c r="AJ1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0</v>
      </c>
      <c r="AK1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salary]]*S311))))))))))))</f>
        <v>0</v>
      </c>
      <c r="AL12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0</v>
      </c>
      <c r="AM1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-2146.4728607132038</v>
      </c>
      <c r="AN1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-102.21299336729543</v>
      </c>
      <c r="AO1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0</v>
      </c>
      <c r="AP1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0</v>
      </c>
      <c r="AQ1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0</v>
      </c>
      <c r="AR1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0</v>
      </c>
      <c r="AS12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0</v>
      </c>
      <c r="AT12" s="27">
        <f ca="1">Tabella13[[#This Row],[Taxable salary]]*$S$503</f>
        <v>-183.98338806113173</v>
      </c>
      <c r="AU1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0</v>
      </c>
      <c r="AV12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0</v>
      </c>
      <c r="AW12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0</v>
      </c>
      <c r="AX12" s="27">
        <f ca="1">Tabella13[[#This Row],[Taxable salary]]*$S$606</f>
        <v>-725.71225290779739</v>
      </c>
      <c r="AY1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0</v>
      </c>
      <c r="AZ1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salary]]*S660)))))))))))))</f>
        <v>-204.42598673459085</v>
      </c>
      <c r="BA1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-204.42598673459085</v>
      </c>
    </row>
    <row r="13" spans="2:53">
      <c r="B13" s="68" t="s">
        <v>2498</v>
      </c>
      <c r="C13" s="21" t="s">
        <v>82</v>
      </c>
      <c r="D13" s="21" t="s">
        <v>2511</v>
      </c>
      <c r="E13" s="21" t="s">
        <v>90</v>
      </c>
      <c r="L13" s="80">
        <v>28</v>
      </c>
      <c r="M13" s="27">
        <f ca="1">'Income and Pension'!$K29</f>
        <v>170000</v>
      </c>
      <c r="N13" s="27">
        <f>SUM('Income and Pension'!$K102,'Partner Income and Pension'!L103)</f>
        <v>14487.314942605837</v>
      </c>
      <c r="O13" s="27">
        <f>SUM('Income and Pension'!$Q102,'Partner Income and Pension'!R103)</f>
        <v>9132.461341549475</v>
      </c>
      <c r="P13" s="27">
        <f>IF(SUMIF('CF Timeline'!$C$4:$BC$4,Tabella2[[#This Row],[Age]],'CF Timeline'!$C$43:$BC$43)&lt;7258, SUMIF('CF Timeline'!$C$4:$BC$4,Tabella2[[#This Row],[Age]],'CF Timeline'!$C$43:$BC$43), 7258)</f>
        <v>0</v>
      </c>
      <c r="Q13" s="27">
        <f ca="1">Tabella2[[#This Row],[Salary and Pension]]-Tabella2[[#This Row],[1° Pillar deductions]]-Tabella2[[#This Row],[2° Pillar deductions]]-Tabella2[[#This Row],[3° Pillar deductions]]</f>
        <v>146380.22371584468</v>
      </c>
      <c r="R13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6804.3246087429152</v>
      </c>
      <c r="S13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10580.888116568056</v>
      </c>
      <c r="T13" s="83">
        <f ca="1">Tabella2[[#This Row],[Cantonal taxes]]*$E$8/100</f>
        <v>8253.0927309230829</v>
      </c>
      <c r="U13" s="107">
        <f ca="1">Tabella2[[#This Row],[Federal taxes]]+Tabella2[[#This Row],[Cantonal taxes]]+Tabella2[[#This Row],[Comunal taxes]]</f>
        <v>25638.305456234055</v>
      </c>
      <c r="Y13" s="80">
        <v>28</v>
      </c>
      <c r="Z13" s="27">
        <f ca="1">Tabella2[[#This Row],[Taxable salary]]</f>
        <v>146380.22371584468</v>
      </c>
      <c r="AA1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14856.933262032484</v>
      </c>
      <c r="AB1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10796.824608742914</v>
      </c>
      <c r="AC1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13759.7410292894</v>
      </c>
      <c r="AD13" s="27">
        <f ca="1">IF(Tabella13[[#This Row],[Taxable salary]]&lt;$R$142,$S$141+((Tabella13[[#This Row],[Taxable salary]]-$R$141)/100)*$T$141, IF(Tabella13[[#This Row],[Taxable salary]]&lt;$R$143,S150+((Tabella13[[#This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10054.220134426021</v>
      </c>
      <c r="AE13" s="27">
        <f ca="1">IF(Tabella13[[#This Row],[Taxable salary]]&lt;$R$161,Tabella13[[#This Row],[Taxable salary]]*S168,IF(Tabella13[[#This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8636.4331992348361</v>
      </c>
      <c r="AF13" s="27">
        <f ca="1">IF(Tabella13[[#This Row],[Taxable salary]]&lt;$R$180,Tabella13[[#This Row],[Taxable salary]]*S187,IF(Tabella13[[#This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salary]]&gt;R204,Tabella13[[#This Row],[Taxable salary]]*$S$196))))))))))))))))))</f>
        <v>5708.828724917943</v>
      </c>
      <c r="AG1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13218.825056174604</v>
      </c>
      <c r="AH1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18714.095794535147</v>
      </c>
      <c r="AI1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14638.02237158447</v>
      </c>
      <c r="AJ1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12442.319015846799</v>
      </c>
      <c r="AK1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salary]]*S312))))))))))))</f>
        <v>4245.0264877594964</v>
      </c>
      <c r="AL13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9049.8168694791893</v>
      </c>
      <c r="AM1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30739.84698032738</v>
      </c>
      <c r="AN1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17155.762219496995</v>
      </c>
      <c r="AO1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19348.835794535149</v>
      </c>
      <c r="AP1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8138.7404386009639</v>
      </c>
      <c r="AQ1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6584.7117450818459</v>
      </c>
      <c r="AR1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17843.626541726419</v>
      </c>
      <c r="AS13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4245.0264877594964</v>
      </c>
      <c r="AT13" s="27">
        <f ca="1">Tabella13[[#This Row],[Taxable salary]]*$S$503</f>
        <v>2634.8440268852041</v>
      </c>
      <c r="AU1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13150.626845901361</v>
      </c>
      <c r="AV13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13733.725727322138</v>
      </c>
      <c r="AW13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9250.0167786883503</v>
      </c>
      <c r="AX13" s="27">
        <f ca="1">Tabella13[[#This Row],[Taxable salary]]*$S$606</f>
        <v>10392.995883824971</v>
      </c>
      <c r="AY1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14552.429083059809</v>
      </c>
      <c r="AZ1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salary]]*S661)))))))))))))</f>
        <v>19761.330201639033</v>
      </c>
      <c r="BA1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13174.220134426021</v>
      </c>
    </row>
    <row r="14" spans="2:53">
      <c r="B14" s="84"/>
      <c r="C14" s="11" t="s">
        <v>2512</v>
      </c>
      <c r="D14" s="11" t="s">
        <v>2513</v>
      </c>
      <c r="E14" s="11" t="s">
        <v>2514</v>
      </c>
      <c r="L14" s="80">
        <v>29</v>
      </c>
      <c r="M14" s="27">
        <f ca="1">'Income and Pension'!$K30</f>
        <v>175825.34198681905</v>
      </c>
      <c r="N14" s="27">
        <f>SUM('Income and Pension'!$K103,'Partner Income and Pension'!L104)</f>
        <v>14970.737437388438</v>
      </c>
      <c r="O14" s="27">
        <f>SUM('Income and Pension'!$Q103,'Partner Income and Pension'!R104)</f>
        <v>9560.810387559377</v>
      </c>
      <c r="P14" s="27">
        <f>IF(SUMIF('CF Timeline'!$C$4:$BC$4,Tabella2[[#This Row],[Age]],'CF Timeline'!$C$43:$BC$43)&lt;7258, SUMIF('CF Timeline'!$C$4:$BC$4,Tabella2[[#This Row],[Age]],'CF Timeline'!$C$43:$BC$43), 7258)</f>
        <v>0</v>
      </c>
      <c r="Q14" s="27">
        <f ca="1">Tabella2[[#This Row],[Salary and Pension]]-Tabella2[[#This Row],[1° Pillar deductions]]-Tabella2[[#This Row],[2° Pillar deductions]]-Tabella2[[#This Row],[3° Pillar deductions]]</f>
        <v>151293.79416187122</v>
      </c>
      <c r="R14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7344.817357805834</v>
      </c>
      <c r="S14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11110.571010649717</v>
      </c>
      <c r="T14" s="83">
        <f ca="1">Tabella2[[#This Row],[Cantonal taxes]]*$E$8/100</f>
        <v>8666.2453883067792</v>
      </c>
      <c r="U14" s="107">
        <f ca="1">Tabella2[[#This Row],[Federal taxes]]+Tabella2[[#This Row],[Cantonal taxes]]+Tabella2[[#This Row],[Comunal taxes]]</f>
        <v>27121.63375676233</v>
      </c>
      <c r="Y14" s="80">
        <v>29</v>
      </c>
      <c r="Z14" s="27">
        <f ca="1">Tabella2[[#This Row],[Taxable salary]]</f>
        <v>151293.79416187122</v>
      </c>
      <c r="AA1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15499.628276372756</v>
      </c>
      <c r="AB1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11337.317357805834</v>
      </c>
      <c r="AC1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14221.616651215894</v>
      </c>
      <c r="AD14" s="27">
        <f ca="1">IF(Tabella13[[#This Row],[Taxable salary]]&lt;$R$142,$S$141+((Tabella13[[#This Row],[Taxable salary]]-$R$141)/100)*$T$141, IF(Tabella13[[#This Row],[Taxable salary]]&lt;$R$143,S151+((Tabella13[[#This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10460.503532949697</v>
      </c>
      <c r="AE14" s="27">
        <f ca="1">IF(Tabella13[[#This Row],[Taxable salary]]&lt;$R$161,Tabella13[[#This Row],[Taxable salary]]*S169,IF(Tabella13[[#This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8926.3338555504015</v>
      </c>
      <c r="AF14" s="27">
        <f ca="1">IF(Tabella13[[#This Row],[Taxable salary]]&lt;$R$180,Tabella13[[#This Row],[Taxable salary]]*S188,IF(Tabella13[[#This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salary]]&gt;R205,Tabella13[[#This Row],[Taxable salary]]*$S$196))))))))))))))))))</f>
        <v>5900.4579723129773</v>
      </c>
      <c r="AG1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13769.144946129578</v>
      </c>
      <c r="AH1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19500.267065899396</v>
      </c>
      <c r="AI1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15129.379416187123</v>
      </c>
      <c r="AJ1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12859.972503759054</v>
      </c>
      <c r="AK1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salary]]*S313))))))))))))</f>
        <v>4387.5200306942652</v>
      </c>
      <c r="AL14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9538.2234998443892</v>
      </c>
      <c r="AM1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31771.696773992957</v>
      </c>
      <c r="AN1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17731.632675771307</v>
      </c>
      <c r="AO1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20135.007065899394</v>
      </c>
      <c r="AP1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8411.9349554000401</v>
      </c>
      <c r="AQ1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6842.6741934982392</v>
      </c>
      <c r="AR1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18602.281818592917</v>
      </c>
      <c r="AS14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4387.5200306942652</v>
      </c>
      <c r="AT14" s="27">
        <f ca="1">Tabella13[[#This Row],[Taxable salary]]*$S$503</f>
        <v>2723.288294913682</v>
      </c>
      <c r="AU1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13740.255299424547</v>
      </c>
      <c r="AV14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14298.786328615191</v>
      </c>
      <c r="AW14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9618.5345621403412</v>
      </c>
      <c r="AX14" s="27">
        <f ca="1">Tabella13[[#This Row],[Taxable salary]]*$S$606</f>
        <v>10741.859385492855</v>
      </c>
      <c r="AY1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15191.193241043258</v>
      </c>
      <c r="AZ1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salary]]*S662)))))))))))))</f>
        <v>20424.662211852617</v>
      </c>
      <c r="BA1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13616.44147456841</v>
      </c>
    </row>
    <row r="15" spans="2:53">
      <c r="B15" s="26"/>
      <c r="C15" s="2">
        <v>0</v>
      </c>
      <c r="D15" s="2">
        <v>100</v>
      </c>
      <c r="E15" s="2"/>
      <c r="L15" s="80">
        <v>30</v>
      </c>
      <c r="M15" s="27">
        <f ca="1">'Income and Pension'!$K31</f>
        <v>181792.4923172071</v>
      </c>
      <c r="N15" s="27">
        <f>SUM('Income and Pension'!$K104,'Partner Income and Pension'!L105)</f>
        <v>15465.930212832072</v>
      </c>
      <c r="O15" s="27">
        <f>SUM('Income and Pension'!$Q104,'Partner Income and Pension'!R105)</f>
        <v>9999.5887961803182</v>
      </c>
      <c r="P15" s="27">
        <f>IF(SUMIF('CF Timeline'!$C$4:$BC$4,Tabella2[[#This Row],[Age]],'CF Timeline'!$C$43:$BC$43)&lt;7258, SUMIF('CF Timeline'!$C$4:$BC$4,Tabella2[[#This Row],[Age]],'CF Timeline'!$C$43:$BC$43), 7258)</f>
        <v>0</v>
      </c>
      <c r="Q15" s="27">
        <f ca="1">Tabella2[[#This Row],[Salary and Pension]]-Tabella2[[#This Row],[1° Pillar deductions]]-Tabella2[[#This Row],[2° Pillar deductions]]-Tabella2[[#This Row],[3° Pillar deductions]]</f>
        <v>156326.97330819469</v>
      </c>
      <c r="R15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7898.4670639014157</v>
      </c>
      <c r="S1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11653.147722623387</v>
      </c>
      <c r="T15" s="83">
        <f ca="1">Tabella2[[#This Row],[Cantonal taxes]]*$E$8/100</f>
        <v>9089.4552236462423</v>
      </c>
      <c r="U15" s="107">
        <f ca="1">Tabella2[[#This Row],[Federal taxes]]+Tabella2[[#This Row],[Cantonal taxes]]+Tabella2[[#This Row],[Comunal taxes]]</f>
        <v>28641.070010171046</v>
      </c>
      <c r="Y15" s="80">
        <v>30</v>
      </c>
      <c r="Z15" s="27">
        <f ca="1">Tabella2[[#This Row],[Taxable salary]]</f>
        <v>156326.97330819469</v>
      </c>
      <c r="AA1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16157.968108711866</v>
      </c>
      <c r="AB1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11890.967063901417</v>
      </c>
      <c r="AC1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14694.735490970301</v>
      </c>
      <c r="AD15" s="27">
        <f ca="1">IF(Tabella13[[#This Row],[Taxable salary]]&lt;$R$142,$S$141+((Tabella13[[#This Row],[Taxable salary]]-$R$141)/100)*$T$141, IF(Tabella13[[#This Row],[Taxable salary]]&lt;$R$143,S152+((Tabella13[[#This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10863.157864655575</v>
      </c>
      <c r="AE15" s="27">
        <f ca="1">IF(Tabella13[[#This Row],[Taxable salary]]&lt;$R$161,Tabella13[[#This Row],[Taxable salary]]*S170,IF(Tabella13[[#This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9223.2914251834864</v>
      </c>
      <c r="AF15" s="27">
        <f ca="1">IF(Tabella13[[#This Row],[Taxable salary]]&lt;$R$180,Tabella13[[#This Row],[Taxable salary]]*S189,IF(Tabella13[[#This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salary]]&gt;R206,Tabella13[[#This Row],[Taxable salary]]*$S$196))))))))))))))))))</f>
        <v>6096.7519590195925</v>
      </c>
      <c r="AG1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14332.861010517805</v>
      </c>
      <c r="AH1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20305.575729311149</v>
      </c>
      <c r="AI1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15632.69733081947</v>
      </c>
      <c r="AJ1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13287.79273119655</v>
      </c>
      <c r="AK1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salary]]*S314))))))))))))</f>
        <v>4533.482225937646</v>
      </c>
      <c r="AL1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10039.269354789634</v>
      </c>
      <c r="AM1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32828.664394720887</v>
      </c>
      <c r="AN1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19603.402452847615</v>
      </c>
      <c r="AO1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20999.220328934072</v>
      </c>
      <c r="AP1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8691.7797159356251</v>
      </c>
      <c r="AQ1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7106.9160986802217</v>
      </c>
      <c r="AR1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19691.711652093454</v>
      </c>
      <c r="AS1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4533.482225937646</v>
      </c>
      <c r="AT15" s="27">
        <f ca="1">Tabella13[[#This Row],[Taxable salary]]*$S$503</f>
        <v>2813.8855195475044</v>
      </c>
      <c r="AU1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14344.236796983363</v>
      </c>
      <c r="AV1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14877.60193044239</v>
      </c>
      <c r="AW1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9996.0229981146022</v>
      </c>
      <c r="AX15" s="27">
        <f ca="1">Tabella13[[#This Row],[Taxable salary]]*$S$606</f>
        <v>11099.215104881821</v>
      </c>
      <c r="AY1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15845.50653006531</v>
      </c>
      <c r="AZ1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salary]]*S663)))))))))))))</f>
        <v>21104.141396606286</v>
      </c>
      <c r="BA1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14069.427597737522</v>
      </c>
    </row>
    <row r="16" spans="2:53">
      <c r="B16" s="2"/>
      <c r="C16" s="85">
        <v>15000</v>
      </c>
      <c r="D16" s="85">
        <v>0</v>
      </c>
      <c r="E16" s="85">
        <v>0.77</v>
      </c>
      <c r="L16" s="80">
        <v>31</v>
      </c>
      <c r="M16" s="27">
        <f ca="1">'Income and Pension'!$K32</f>
        <v>187905.34696036839</v>
      </c>
      <c r="N16" s="27">
        <f>SUM('Income and Pension'!$K105,'Partner Income and Pension'!L106)</f>
        <v>15973.215245370897</v>
      </c>
      <c r="O16" s="27">
        <f>SUM('Income and Pension'!$Q105,'Partner Income and Pension'!R106)</f>
        <v>10449.081862986874</v>
      </c>
      <c r="P16" s="27">
        <f>IF(SUMIF('CF Timeline'!$C$4:$BC$4,Tabella2[[#This Row],[Age]],'CF Timeline'!$C$43:$BC$43)&lt;7258, SUMIF('CF Timeline'!$C$4:$BC$4,Tabella2[[#This Row],[Age]],'CF Timeline'!$C$43:$BC$43), 7258)</f>
        <v>0</v>
      </c>
      <c r="Q16" s="27">
        <f ca="1">Tabella2[[#This Row],[Salary and Pension]]-Tabella2[[#This Row],[1° Pillar deductions]]-Tabella2[[#This Row],[2° Pillar deductions]]-Tabella2[[#This Row],[3° Pillar deductions]]</f>
        <v>161483.04985201062</v>
      </c>
      <c r="R16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8465.6354837211693</v>
      </c>
      <c r="S16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12208.972774046746</v>
      </c>
      <c r="T16" s="83">
        <f ca="1">Tabella2[[#This Row],[Cantonal taxes]]*$E$8/100</f>
        <v>9522.9987637564627</v>
      </c>
      <c r="U16" s="107">
        <f ca="1">Tabella2[[#This Row],[Federal taxes]]+Tabella2[[#This Row],[Cantonal taxes]]+Tabella2[[#This Row],[Comunal taxes]]</f>
        <v>30197.607021524378</v>
      </c>
      <c r="Y16" s="80">
        <v>31</v>
      </c>
      <c r="Z16" s="27">
        <f ca="1">Tabella2[[#This Row],[Taxable salary]]</f>
        <v>161483.04985201062</v>
      </c>
      <c r="AA1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16832.382920642987</v>
      </c>
      <c r="AB1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12458.135483721169</v>
      </c>
      <c r="AC1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15179.406686088998</v>
      </c>
      <c r="AD16" s="27">
        <f ca="1">IF(Tabella13[[#This Row],[Taxable salary]]&lt;$R$142,$S$141+((Tabella13[[#This Row],[Taxable salary]]-$R$141)/100)*$T$141, IF(Tabella13[[#This Row],[Taxable salary]]&lt;$R$143,S153+((Tabella13[[#This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11275.643988160849</v>
      </c>
      <c r="AE16" s="27">
        <f ca="1">IF(Tabella13[[#This Row],[Taxable salary]]&lt;$R$161,Tabella13[[#This Row],[Taxable salary]]*S171,IF(Tabella13[[#This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9527.4999412686266</v>
      </c>
      <c r="AF16" s="27">
        <f ca="1">IF(Tabella13[[#This Row],[Taxable salary]]&lt;$R$180,Tabella13[[#This Row],[Taxable salary]]*S190,IF(Tabella13[[#This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salary]]&gt;R207,Tabella13[[#This Row],[Taxable salary]]*$S$196))))))))))))))))))</f>
        <v>6297.8389442284142</v>
      </c>
      <c r="AG1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14910.34158342519</v>
      </c>
      <c r="AH1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21130.547976321697</v>
      </c>
      <c r="AI1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16148.304985201063</v>
      </c>
      <c r="AJ1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13726.059237420905</v>
      </c>
      <c r="AK16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salary]]*S315))))))))))))</f>
        <v>4683.0084457083085</v>
      </c>
      <c r="AL16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10553.311352977344</v>
      </c>
      <c r="AM1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33911.440468922228</v>
      </c>
      <c r="AN1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20249.974451442133</v>
      </c>
      <c r="AO1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21901.533724101857</v>
      </c>
      <c r="AP1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8978.4575717717908</v>
      </c>
      <c r="AQ1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7377.6101172305571</v>
      </c>
      <c r="AR1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20492.965947002449</v>
      </c>
      <c r="AS16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4683.0084457083085</v>
      </c>
      <c r="AT16" s="27">
        <f ca="1">Tabella13[[#This Row],[Taxable salary]]*$S$503</f>
        <v>2906.6948973361909</v>
      </c>
      <c r="AU1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14962.965982241274</v>
      </c>
      <c r="AV16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15470.550732981221</v>
      </c>
      <c r="AW16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10408.643988160849</v>
      </c>
      <c r="AX16" s="27">
        <f ca="1">Tabella13[[#This Row],[Taxable salary]]*$S$606</f>
        <v>11465.296539492752</v>
      </c>
      <c r="AY1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16524.211730021434</v>
      </c>
      <c r="AZ1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salary]]*S664)))))))))))))</f>
        <v>21800.211730021434</v>
      </c>
      <c r="BA1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14533.474486680956</v>
      </c>
    </row>
    <row r="17" spans="2:53">
      <c r="B17" s="2"/>
      <c r="C17" s="85">
        <v>32800</v>
      </c>
      <c r="D17" s="85">
        <v>137.05000000000001</v>
      </c>
      <c r="E17" s="85">
        <v>0.88</v>
      </c>
      <c r="L17" s="80">
        <v>32</v>
      </c>
      <c r="M17" s="27">
        <f ca="1">'Income and Pension'!$K33</f>
        <v>194167.91273977398</v>
      </c>
      <c r="N17" s="27">
        <f>SUM('Income and Pension'!$K106,'Partner Income and Pension'!L107)</f>
        <v>16492.923625726384</v>
      </c>
      <c r="O17" s="27">
        <f>SUM('Income and Pension'!$Q106,'Partner Income and Pension'!R107)</f>
        <v>10909.582959504391</v>
      </c>
      <c r="P17" s="27">
        <f>IF(SUMIF('CF Timeline'!$C$4:$BC$4,Tabella2[[#This Row],[Age]],'CF Timeline'!$C$43:$BC$43)&lt;7258, SUMIF('CF Timeline'!$C$4:$BC$4,Tabella2[[#This Row],[Age]],'CF Timeline'!$C$43:$BC$43), 7258)</f>
        <v>0</v>
      </c>
      <c r="Q17" s="27">
        <f ca="1">Tabella2[[#This Row],[Salary and Pension]]-Tabella2[[#This Row],[1° Pillar deductions]]-Tabella2[[#This Row],[2° Pillar deductions]]-Tabella2[[#This Row],[3° Pillar deductions]]</f>
        <v>166765.40615454322</v>
      </c>
      <c r="R17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9046.6946769997539</v>
      </c>
      <c r="S17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12778.410783459758</v>
      </c>
      <c r="T17" s="83">
        <f ca="1">Tabella2[[#This Row],[Cantonal taxes]]*$E$8/100</f>
        <v>9967.1604110986118</v>
      </c>
      <c r="U17" s="107">
        <f ca="1">Tabella2[[#This Row],[Federal taxes]]+Tabella2[[#This Row],[Cantonal taxes]]+Tabella2[[#This Row],[Comunal taxes]]</f>
        <v>31792.265871558124</v>
      </c>
      <c r="Y17" s="80">
        <v>32</v>
      </c>
      <c r="Z17" s="27">
        <f ca="1">Tabella2[[#This Row],[Taxable salary]]</f>
        <v>166765.40615454322</v>
      </c>
      <c r="AA1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17523.315125014255</v>
      </c>
      <c r="AB1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13039.194676999754</v>
      </c>
      <c r="AC1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15675.948178527062</v>
      </c>
      <c r="AD17" s="27">
        <f ca="1">IF(Tabella13[[#This Row],[Taxable salary]]&lt;$R$142,$S$141+((Tabella13[[#This Row],[Taxable salary]]-$R$141)/100)*$T$141, IF(Tabella13[[#This Row],[Taxable salary]]&lt;$R$143,S154+((Tabella13[[#This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11698.232492363457</v>
      </c>
      <c r="AE17" s="27">
        <f ca="1">IF(Tabella13[[#This Row],[Taxable salary]]&lt;$R$161,Tabella13[[#This Row],[Taxable salary]]*S172,IF(Tabella13[[#This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10089.307072349864</v>
      </c>
      <c r="AF17" s="27">
        <f ca="1">IF(Tabella13[[#This Row],[Taxable salary]]&lt;$R$180,Tabella13[[#This Row],[Taxable salary]]*S191,IF(Tabella13[[#This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salary]]&gt;R208,Tabella13[[#This Row],[Taxable salary]]*$S$196))))))))))))))))))</f>
        <v>6503.8508400271858</v>
      </c>
      <c r="AG1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15501.965489308841</v>
      </c>
      <c r="AH1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21975.724984726912</v>
      </c>
      <c r="AI1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16676.540615454323</v>
      </c>
      <c r="AJ1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14175.059523136175</v>
      </c>
      <c r="AK17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salary]]*S316))))))))))))</f>
        <v>4836.1967784817534</v>
      </c>
      <c r="AL17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11080.717077920519</v>
      </c>
      <c r="AM1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35020.735292454076</v>
      </c>
      <c r="AN1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20912.381931779721</v>
      </c>
      <c r="AO1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22825.946077045064</v>
      </c>
      <c r="AP1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9272.1565821926033</v>
      </c>
      <c r="AQ1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7667.097338499877</v>
      </c>
      <c r="AR1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21007.354928725104</v>
      </c>
      <c r="AS17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salary]]*$S$489,IF(Q489&lt;$R$491,Tabella13[[#This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4836.1967784817534</v>
      </c>
      <c r="AT17" s="27">
        <f ca="1">Tabella13[[#This Row],[Taxable salary]]*$S$503</f>
        <v>3001.7773107817779</v>
      </c>
      <c r="AU1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15596.848738545186</v>
      </c>
      <c r="AV17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16078.02170777247</v>
      </c>
      <c r="AW17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10831.232492363457</v>
      </c>
      <c r="AX17" s="27">
        <f ca="1">Tabella13[[#This Row],[Taxable salary]]*$S$606</f>
        <v>11840.343836972568</v>
      </c>
      <c r="AY1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17237.329830863335</v>
      </c>
      <c r="AZ1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salary]]*S665)))))))))))))</f>
        <v>22513.329830863335</v>
      </c>
      <c r="BA1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15008.886553908889</v>
      </c>
    </row>
    <row r="18" spans="2:53">
      <c r="B18" s="2"/>
      <c r="C18" s="85">
        <v>42900</v>
      </c>
      <c r="D18" s="85">
        <v>225.9</v>
      </c>
      <c r="E18" s="85">
        <v>2.64</v>
      </c>
      <c r="L18" s="80">
        <v>33</v>
      </c>
      <c r="M18" s="27">
        <f ca="1">'Income and Pension'!$K34</f>
        <v>200584.31052778318</v>
      </c>
      <c r="N18" s="27">
        <f>SUM('Income and Pension'!$K107,'Partner Income and Pension'!L108)</f>
        <v>17025.395820259422</v>
      </c>
      <c r="O18" s="27">
        <f>SUM('Income and Pension'!$Q107,'Partner Income and Pension'!R108)</f>
        <v>11381.39376478683</v>
      </c>
      <c r="P18" s="27">
        <f>IF(SUMIF('CF Timeline'!$C$4:$BC$4,Tabella2[[#This Row],[Age]],'CF Timeline'!$C$43:$BC$43)&lt;7258, SUMIF('CF Timeline'!$C$4:$BC$4,Tabella2[[#This Row],[Age]],'CF Timeline'!$C$43:$BC$43), 7258)</f>
        <v>0</v>
      </c>
      <c r="Q18" s="27">
        <f ca="1">Tabella2[[#This Row],[Salary and Pension]]-Tabella2[[#This Row],[1° Pillar deductions]]-Tabella2[[#This Row],[2° Pillar deductions]]-Tabella2[[#This Row],[3° Pillar deductions]]</f>
        <v>172177.52094273694</v>
      </c>
      <c r="R18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9642.0273037010629</v>
      </c>
      <c r="S18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13361.836757627041</v>
      </c>
      <c r="T18" s="83">
        <f ca="1">Tabella2[[#This Row],[Cantonal taxes]]*$E$8/100</f>
        <v>10422.232670949092</v>
      </c>
      <c r="U18" s="107">
        <f ca="1">Tabella2[[#This Row],[Federal taxes]]+Tabella2[[#This Row],[Cantonal taxes]]+Tabella2[[#This Row],[Comunal taxes]]</f>
        <v>33426.09673227719</v>
      </c>
      <c r="Y18" s="80">
        <v>33</v>
      </c>
      <c r="Z18" s="27">
        <f ca="1">Tabella2[[#This Row],[Taxable salary]]</f>
        <v>172177.52094273694</v>
      </c>
      <c r="AA1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18231.219739309992</v>
      </c>
      <c r="AB1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13634.527303701063</v>
      </c>
      <c r="AC1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16184.686968617272</v>
      </c>
      <c r="AD18" s="27">
        <f ca="1">IF(Tabella13[[#This Row],[Taxable salary]]&lt;$R$142,$S$141+((Tabella13[[#This Row],[Taxable salary]]-$R$141)/100)*$T$141, IF(Tabella13[[#This Row],[Taxable salary]]&lt;$R$143,S155+((Tabella13[[#This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12131.201675418955</v>
      </c>
      <c r="AE18" s="27">
        <f ca="1">IF(Tabella13[[#This Row],[Taxable salary]]&lt;$R$161,Tabella13[[#This Row],[Taxable salary]]*S173,IF(Tabella13[[#This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10416.740017035585</v>
      </c>
      <c r="AF18" s="27">
        <f ca="1">IF(Tabella13[[#This Row],[Taxable salary]]&lt;$R$180,Tabella13[[#This Row],[Taxable salary]]*S192,IF(Tabella13[[#This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salary]]&gt;R209,Tabella13[[#This Row],[Taxable salary]]*$S$196))))))))))))))))))</f>
        <v>6714.9233167667408</v>
      </c>
      <c r="AG1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16108.122345586537</v>
      </c>
      <c r="AH1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22856.505955551595</v>
      </c>
      <c r="AI1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17217.752094273696</v>
      </c>
      <c r="AJ1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14635.089280132641</v>
      </c>
      <c r="AK1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salary]]*S317))))))))))))</f>
        <v>4993.1481073393716</v>
      </c>
      <c r="AL18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11621.865090895117</v>
      </c>
      <c r="AM1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36157.279397974758</v>
      </c>
      <c r="AN1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21591.061126219214</v>
      </c>
      <c r="AO1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23773.066164978965</v>
      </c>
      <c r="AP1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9573.0701644161727</v>
      </c>
      <c r="AQ1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7964.7636518505315</v>
      </c>
      <c r="AR1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21859.221796386795</v>
      </c>
      <c r="AS18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4993.1481073393716</v>
      </c>
      <c r="AT18" s="27">
        <f ca="1">Tabella13[[#This Row],[Taxable salary]]*$S$503</f>
        <v>3099.1953769692645</v>
      </c>
      <c r="AU1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16246.302513128434</v>
      </c>
      <c r="AV18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16700.41490841475</v>
      </c>
      <c r="AW18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11264.201675418955</v>
      </c>
      <c r="AX18" s="27">
        <f ca="1">Tabella13[[#This Row],[Taxable salary]]*$S$606</f>
        <v>12224.603986934322</v>
      </c>
      <c r="AY1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17967.965327269489</v>
      </c>
      <c r="AZ1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salary]]*S666)))))))))))))</f>
        <v>23243.965327269489</v>
      </c>
      <c r="BA1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15495.976884846325</v>
      </c>
    </row>
    <row r="19" spans="2:53">
      <c r="B19" s="2"/>
      <c r="C19" s="85">
        <v>57200</v>
      </c>
      <c r="D19" s="85">
        <v>603.4</v>
      </c>
      <c r="E19" s="85">
        <v>2.97</v>
      </c>
      <c r="L19" s="80">
        <v>34</v>
      </c>
      <c r="M19" s="27">
        <f ca="1">'Income and Pension'!$K35</f>
        <v>207158.77853298641</v>
      </c>
      <c r="N19" s="27">
        <f>SUM('Income and Pension'!$K108,'Partner Income and Pension'!L109)</f>
        <v>17570.981939873331</v>
      </c>
      <c r="O19" s="27">
        <f>SUM('Income and Pension'!$Q108,'Partner Income and Pension'!R109)</f>
        <v>11864.824503685231</v>
      </c>
      <c r="P19" s="27">
        <f>IF(SUMIF('CF Timeline'!$C$4:$BC$4,Tabella2[[#This Row],[Age]],'CF Timeline'!$C$43:$BC$43)&lt;7258, SUMIF('CF Timeline'!$C$4:$BC$4,Tabella2[[#This Row],[Age]],'CF Timeline'!$C$43:$BC$43), 7258)</f>
        <v>0</v>
      </c>
      <c r="Q19" s="27">
        <f ca="1">Tabella2[[#This Row],[Salary and Pension]]-Tabella2[[#This Row],[1° Pillar deductions]]-Tabella2[[#This Row],[2° Pillar deductions]]-Tabella2[[#This Row],[3° Pillar deductions]]</f>
        <v>177722.97208942784</v>
      </c>
      <c r="R19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10252.026929837062</v>
      </c>
      <c r="S19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13959.636391240321</v>
      </c>
      <c r="T19" s="83">
        <f ca="1">Tabella2[[#This Row],[Cantonal taxes]]*$E$8/100</f>
        <v>10888.516385167452</v>
      </c>
      <c r="U19" s="107">
        <f ca="1">Tabella2[[#This Row],[Federal taxes]]+Tabella2[[#This Row],[Cantonal taxes]]+Tabella2[[#This Row],[Comunal taxes]]</f>
        <v>35100.179706244831</v>
      </c>
      <c r="Y19" s="80">
        <v>34</v>
      </c>
      <c r="Z19" s="27">
        <f ca="1">Tabella2[[#This Row],[Taxable salary]]</f>
        <v>177722.97208942784</v>
      </c>
      <c r="AA1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18956.564749297162</v>
      </c>
      <c r="AB1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14244.526929837062</v>
      </c>
      <c r="AC1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16705.959376406216</v>
      </c>
      <c r="AD19" s="27">
        <f ca="1">IF(Tabella13[[#This Row],[Taxable salary]]&lt;$R$142,$S$141+((Tabella13[[#This Row],[Taxable salary]]-$R$141)/100)*$T$141, IF(Tabella13[[#This Row],[Taxable salary]]&lt;$R$143,S156+((Tabella13[[#This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12574.837767154228</v>
      </c>
      <c r="AE19" s="27">
        <f ca="1">IF(Tabella13[[#This Row],[Taxable salary]]&lt;$R$161,Tabella13[[#This Row],[Taxable salary]]*S174,IF(Tabella13[[#This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10752.239811410383</v>
      </c>
      <c r="AF19" s="27">
        <f ca="1">IF(Tabella13[[#This Row],[Taxable salary]]&lt;$R$180,Tabella13[[#This Row],[Taxable salary]]*S193,IF(Tabella13[[#This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salary]]&gt;R210,Tabella13[[#This Row],[Taxable salary]]*$S$196))))))))))))))))))</f>
        <v>6931.1959114876863</v>
      </c>
      <c r="AG1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16729.212874015917</v>
      </c>
      <c r="AH1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23771.505394755593</v>
      </c>
      <c r="AI1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18660.912069389924</v>
      </c>
      <c r="AJ1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15106.452627601368</v>
      </c>
      <c r="AK1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salary]]*S318))))))))))))</f>
        <v>5153.9661905934081</v>
      </c>
      <c r="AL19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12177.145253735896</v>
      </c>
      <c r="AM1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37321.824138779848</v>
      </c>
      <c r="AN1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22286.460700014253</v>
      </c>
      <c r="AO1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24743.520115649873</v>
      </c>
      <c r="AP1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9881.3972481721867</v>
      </c>
      <c r="AQ1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8269.7634649185311</v>
      </c>
      <c r="AR1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22475.804542112015</v>
      </c>
      <c r="AS19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5153.9661905934081</v>
      </c>
      <c r="AT19" s="27">
        <f ca="1">Tabella13[[#This Row],[Taxable salary]]*$S$503</f>
        <v>3199.0134976097011</v>
      </c>
      <c r="AU1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16911.756650731342</v>
      </c>
      <c r="AV19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17338.1417902842</v>
      </c>
      <c r="AW19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11707.837767154228</v>
      </c>
      <c r="AX19" s="27">
        <f ca="1">Tabella13[[#This Row],[Taxable salary]]*$S$606</f>
        <v>12618.331018349376</v>
      </c>
      <c r="AY1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18716.60123207276</v>
      </c>
      <c r="AZ1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salary]]*S667)))))))))))))</f>
        <v>23992.60123207276</v>
      </c>
      <c r="BA1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15995.067488048506</v>
      </c>
    </row>
    <row r="20" spans="2:53">
      <c r="B20" s="2"/>
      <c r="C20" s="85">
        <v>75200</v>
      </c>
      <c r="D20" s="85">
        <v>1138</v>
      </c>
      <c r="E20" s="85">
        <v>5.94</v>
      </c>
      <c r="L20" s="80">
        <v>35</v>
      </c>
      <c r="M20" s="27">
        <f ca="1">'Income and Pension'!$K36</f>
        <v>213895.6756829737</v>
      </c>
      <c r="N20" s="27">
        <f>SUM('Income and Pension'!$K109,'Partner Income and Pension'!L110)</f>
        <v>18130.042016687054</v>
      </c>
      <c r="O20" s="27">
        <f>SUM('Income and Pension'!$Q109,'Partner Income and Pension'!R110)</f>
        <v>17657.420274287411</v>
      </c>
      <c r="P20" s="27">
        <f>IF(SUMIF('CF Timeline'!$C$4:$BC$4,Tabella2[[#This Row],[Age]],'CF Timeline'!$C$43:$BC$43)&lt;7258, SUMIF('CF Timeline'!$C$4:$BC$4,Tabella2[[#This Row],[Age]],'CF Timeline'!$C$43:$BC$43), 7258)</f>
        <v>0</v>
      </c>
      <c r="Q20" s="27">
        <f ca="1">Tabella2[[#This Row],[Salary and Pension]]-Tabella2[[#This Row],[1° Pillar deductions]]-Tabella2[[#This Row],[2° Pillar deductions]]-Tabella2[[#This Row],[3° Pillar deductions]]</f>
        <v>178108.21339199925</v>
      </c>
      <c r="R20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10294.403473119917</v>
      </c>
      <c r="S20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14001.165403657518</v>
      </c>
      <c r="T20" s="83">
        <f ca="1">Tabella2[[#This Row],[Cantonal taxes]]*$E$8/100</f>
        <v>10920.909014852865</v>
      </c>
      <c r="U20" s="107">
        <f ca="1">Tabella2[[#This Row],[Federal taxes]]+Tabella2[[#This Row],[Cantonal taxes]]+Tabella2[[#This Row],[Comunal taxes]]</f>
        <v>35216.477891630297</v>
      </c>
      <c r="Y20" s="80">
        <v>35</v>
      </c>
      <c r="Z20" s="27">
        <f ca="1">Tabella2[[#This Row],[Taxable salary]]</f>
        <v>178108.21339199925</v>
      </c>
      <c r="AA2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19006.9543116735</v>
      </c>
      <c r="AB2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14286.903473119917</v>
      </c>
      <c r="AC2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16742.172058847929</v>
      </c>
      <c r="AD20" s="27">
        <f ca="1">IF(Tabella13[[#This Row],[Taxable salary]]&lt;$R$142,$S$141+((Tabella13[[#This Row],[Taxable salary]]-$R$141)/100)*$T$141, IF(Tabella13[[#This Row],[Taxable salary]]&lt;$R$143,S157+((Tabella13[[#This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12605.657071359939</v>
      </c>
      <c r="AE20" s="27">
        <f ca="1">IF(Tabella13[[#This Row],[Taxable salary]]&lt;$R$161,Tabella13[[#This Row],[Taxable salary]]*S175,IF(Tabella13[[#This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10775.546910215955</v>
      </c>
      <c r="AF20" s="27">
        <f ca="1">IF(Tabella13[[#This Row],[Taxable salary]]&lt;$R$180,Tabella13[[#This Row],[Taxable salary]]*S194,IF(Tabella13[[#This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salary]]&gt;R211,Tabella13[[#This Row],[Taxable salary]]*$S$196))))))))))))))))))</f>
        <v>6946.2203222879707</v>
      </c>
      <c r="AG2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16772.359899903917</v>
      </c>
      <c r="AH2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23835.070209679878</v>
      </c>
      <c r="AI2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18701.362406159922</v>
      </c>
      <c r="AJ2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15139.198138319936</v>
      </c>
      <c r="AK2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salary]]*S319))))))))))))</f>
        <v>5165.1381883679787</v>
      </c>
      <c r="AL20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12215.74988104829</v>
      </c>
      <c r="AM2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37402.724812319844</v>
      </c>
      <c r="AN2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22334.769959356709</v>
      </c>
      <c r="AO2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24810.937343599868</v>
      </c>
      <c r="AP2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9902.8166645951569</v>
      </c>
      <c r="AQ2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8290.9517365599586</v>
      </c>
      <c r="AR2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22498.687875484757</v>
      </c>
      <c r="AS20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5165.1381883679787</v>
      </c>
      <c r="AT20" s="27">
        <f ca="1">Tabella13[[#This Row],[Taxable salary]]*$S$503</f>
        <v>3205.9478410559864</v>
      </c>
      <c r="AU2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16957.985607039911</v>
      </c>
      <c r="AV20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17382.444540079912</v>
      </c>
      <c r="AW20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11738.657071359939</v>
      </c>
      <c r="AX20" s="27">
        <f ca="1">Tabella13[[#This Row],[Taxable salary]]*$S$606</f>
        <v>12645.683150831945</v>
      </c>
      <c r="AY2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18768.6088079199</v>
      </c>
      <c r="AZ2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salary]]*S668)))))))))))))</f>
        <v>24044.6088079199</v>
      </c>
      <c r="BA2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16029.739205279931</v>
      </c>
    </row>
    <row r="21" spans="2:53">
      <c r="B21" s="2"/>
      <c r="C21" s="85">
        <v>81000</v>
      </c>
      <c r="D21" s="85">
        <v>1482.5</v>
      </c>
      <c r="E21" s="85">
        <v>6.6</v>
      </c>
      <c r="L21" s="80">
        <v>36</v>
      </c>
      <c r="M21" s="27">
        <f ca="1">'Income and Pension'!$K37</f>
        <v>220799.48510531482</v>
      </c>
      <c r="N21" s="27">
        <f>SUM('Income and Pension'!$K110,'Partner Income and Pension'!L111)</f>
        <v>18702.946288704501</v>
      </c>
      <c r="O21" s="27">
        <f>SUM('Income and Pension'!$Q110,'Partner Income and Pension'!R111)</f>
        <v>18382.615555322154</v>
      </c>
      <c r="P21" s="27">
        <f>IF(SUMIF('CF Timeline'!$C$4:$BC$4,Tabella2[[#This Row],[Age]],'CF Timeline'!$C$43:$BC$43)&lt;7258, SUMIF('CF Timeline'!$C$4:$BC$4,Tabella2[[#This Row],[Age]],'CF Timeline'!$C$43:$BC$43), 7258)</f>
        <v>0</v>
      </c>
      <c r="Q21" s="27">
        <f ca="1">Tabella2[[#This Row],[Salary and Pension]]-Tabella2[[#This Row],[1° Pillar deductions]]-Tabella2[[#This Row],[2° Pillar deductions]]-Tabella2[[#This Row],[3° Pillar deductions]]</f>
        <v>183713.92326128818</v>
      </c>
      <c r="R21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10935.537870490039</v>
      </c>
      <c r="S21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14605.460927566864</v>
      </c>
      <c r="T21" s="83">
        <f ca="1">Tabella2[[#This Row],[Cantonal taxes]]*$E$8/100</f>
        <v>11392.259523502154</v>
      </c>
      <c r="U21" s="107">
        <f ca="1">Tabella2[[#This Row],[Federal taxes]]+Tabella2[[#This Row],[Cantonal taxes]]+Tabella2[[#This Row],[Comunal taxes]]</f>
        <v>36933.258321559057</v>
      </c>
      <c r="Y21" s="80">
        <v>36</v>
      </c>
      <c r="Z21" s="27">
        <f ca="1">Tabella2[[#This Row],[Taxable salary]]</f>
        <v>183713.92326128818</v>
      </c>
      <c r="AA2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19740.181162576493</v>
      </c>
      <c r="AB2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14903.531558741699</v>
      </c>
      <c r="AC2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17269.10878656109</v>
      </c>
      <c r="AD21" s="27">
        <f ca="1">IF(Tabella13[[#This Row],[Taxable salary]]&lt;$R$142,$S$141+((Tabella13[[#This Row],[Taxable salary]]-$R$141)/100)*$T$141, IF(Tabella13[[#This Row],[Taxable salary]]&lt;$R$143,S158+((Tabella13[[#This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13054.113860903053</v>
      </c>
      <c r="AE21" s="27">
        <f ca="1">IF(Tabella13[[#This Row],[Taxable salary]]&lt;$R$161,Tabella13[[#This Row],[Taxable salary]]*S176,IF(Tabella13[[#This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11114.692357307935</v>
      </c>
      <c r="AF21" s="27">
        <f ca="1">IF(Tabella13[[#This Row],[Taxable salary]]&lt;$R$180,Tabella13[[#This Row],[Taxable salary]]*S195,IF(Tabella13[[#This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salary]]&gt;R212,Tabella13[[#This Row],[Taxable salary]]*$S$196))))))))))))))))))</f>
        <v>7164.8430071902385</v>
      </c>
      <c r="AG2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17400.199405264277</v>
      </c>
      <c r="AH2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24760.012338112549</v>
      </c>
      <c r="AI2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19289.961942435257</v>
      </c>
      <c r="AJ2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15615.683477209495</v>
      </c>
      <c r="AK2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salary]]*S320))))))))))))</f>
        <v>5327.7037745773578</v>
      </c>
      <c r="AL21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12777.915584678445</v>
      </c>
      <c r="AM2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38579.923884870514</v>
      </c>
      <c r="AN2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24084.895339554878</v>
      </c>
      <c r="AO2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25791.936570725433</v>
      </c>
      <c r="AP2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10214.494133327622</v>
      </c>
      <c r="AQ2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8599.2657793708495</v>
      </c>
      <c r="AR2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22831.667041720517</v>
      </c>
      <c r="AS21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5327.7037745773578</v>
      </c>
      <c r="AT21" s="27">
        <f ca="1">Tabella13[[#This Row],[Taxable salary]]*$S$503</f>
        <v>3306.8506187031867</v>
      </c>
      <c r="AU2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17630.670791354583</v>
      </c>
      <c r="AV21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18027.101175048141</v>
      </c>
      <c r="AW21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12187.113860903053</v>
      </c>
      <c r="AX21" s="27">
        <f ca="1">Tabella13[[#This Row],[Taxable salary]]*$S$606</f>
        <v>13043.688551551459</v>
      </c>
      <c r="AY2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19525.379640273903</v>
      </c>
      <c r="AZ2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salary]]*S669)))))))))))))</f>
        <v>24801.379640273906</v>
      </c>
      <c r="BA2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18187.678402867532</v>
      </c>
    </row>
    <row r="22" spans="2:53">
      <c r="B22" s="2"/>
      <c r="C22" s="85">
        <v>107400</v>
      </c>
      <c r="D22" s="85">
        <v>3254.9</v>
      </c>
      <c r="E22" s="85">
        <v>8.8000000000000007</v>
      </c>
      <c r="L22" s="80">
        <v>37</v>
      </c>
      <c r="M22" s="27">
        <f ca="1">'Income and Pension'!$K38</f>
        <v>227874.81770961676</v>
      </c>
      <c r="N22" s="27">
        <f>SUM('Income and Pension'!$K111,'Partner Income and Pension'!L112)</f>
        <v>19290.075492712393</v>
      </c>
      <c r="O22" s="27">
        <f>SUM('Income and Pension'!$Q111,'Partner Income and Pension'!R112)</f>
        <v>19125.817079382781</v>
      </c>
      <c r="P22" s="27">
        <f>IF(SUMIF('CF Timeline'!$C$4:$BC$4,Tabella2[[#This Row],[Age]],'CF Timeline'!$C$43:$BC$43)&lt;7258, SUMIF('CF Timeline'!$C$4:$BC$4,Tabella2[[#This Row],[Age]],'CF Timeline'!$C$43:$BC$43), 7258)</f>
        <v>0</v>
      </c>
      <c r="Q22" s="27">
        <f ca="1">Tabella2[[#This Row],[Salary and Pension]]-Tabella2[[#This Row],[1° Pillar deductions]]-Tabella2[[#This Row],[2° Pillar deductions]]-Tabella2[[#This Row],[3° Pillar deductions]]</f>
        <v>189458.92513752158</v>
      </c>
      <c r="R22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11693.878118152848</v>
      </c>
      <c r="S22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15224.772129824825</v>
      </c>
      <c r="T22" s="83">
        <f ca="1">Tabella2[[#This Row],[Cantonal taxes]]*$E$8/100</f>
        <v>11875.322261263362</v>
      </c>
      <c r="U22" s="107">
        <f ca="1">Tabella2[[#This Row],[Federal taxes]]+Tabella2[[#This Row],[Cantonal taxes]]+Tabella2[[#This Row],[Comunal taxes]]</f>
        <v>38793.972509241037</v>
      </c>
      <c r="Y22" s="80">
        <v>37</v>
      </c>
      <c r="Z22" s="27">
        <f ca="1">Tabella2[[#This Row],[Taxable salary]]</f>
        <v>189458.92513752158</v>
      </c>
      <c r="AA2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20491.62740798782</v>
      </c>
      <c r="AB2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15535.481765127373</v>
      </c>
      <c r="AC2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17809.138962927027</v>
      </c>
      <c r="AD22" s="27">
        <f ca="1">IF(Tabella13[[#This Row],[Taxable salary]]&lt;$R$142,$S$141+((Tabella13[[#This Row],[Taxable salary]]-$R$141)/100)*$T$141, IF(Tabella13[[#This Row],[Taxable salary]]&lt;$R$143,S159+((Tabella13[[#This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13513.714011001726</v>
      </c>
      <c r="AE22" s="27">
        <f ca="1">IF(Tabella13[[#This Row],[Taxable salary]]&lt;$R$161,Tabella13[[#This Row],[Taxable salary]]*S177,IF(Tabella13[[#This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11462.264970820055</v>
      </c>
      <c r="AF22" s="27">
        <f ca="1">IF(Tabella13[[#This Row],[Taxable salary]]&lt;$R$180,Tabella13[[#This Row],[Taxable salary]]*S196,IF(Tabella13[[#This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salary]]&gt;R213,Tabella13[[#This Row],[Taxable salary]]*$S$196))))))))))))))))))</f>
        <v>7388.8980803633422</v>
      </c>
      <c r="AG2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18043.639615402419</v>
      </c>
      <c r="AH2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25707.937647691062</v>
      </c>
      <c r="AI2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19893.187139439764</v>
      </c>
      <c r="AJ2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16104.008636689336</v>
      </c>
      <c r="AK2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salary]]*S321))))))))))))</f>
        <v>5494.3088289881262</v>
      </c>
      <c r="AL22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13354.854801778063</v>
      </c>
      <c r="AM2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39786.374278879528</v>
      </c>
      <c r="AN2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24838.065085529077</v>
      </c>
      <c r="AO2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26797.311899066277</v>
      </c>
      <c r="AP2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10533.916237646199</v>
      </c>
      <c r="AQ2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8921.0176579762519</v>
      </c>
      <c r="AR2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24612.051592058462</v>
      </c>
      <c r="AS22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5494.3088289881262</v>
      </c>
      <c r="AT22" s="27">
        <f ca="1">Tabella13[[#This Row],[Taxable salary]]*$S$503</f>
        <v>3410.2606524753883</v>
      </c>
      <c r="AU2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18320.071016502588</v>
      </c>
      <c r="AV22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18687.776390814979</v>
      </c>
      <c r="AW22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12646.714011001726</v>
      </c>
      <c r="AX22" s="27">
        <f ca="1">Tabella13[[#This Row],[Taxable salary]]*$S$606</f>
        <v>13451.583684764031</v>
      </c>
      <c r="AY2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20300.954893565413</v>
      </c>
      <c r="AZ2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salary]]*S670)))))))))))))</f>
        <v>25576.954893565417</v>
      </c>
      <c r="BA2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18756.433588614636</v>
      </c>
    </row>
    <row r="23" spans="2:53">
      <c r="B23" s="2"/>
      <c r="C23" s="85">
        <v>139600</v>
      </c>
      <c r="D23" s="85">
        <v>6058.5</v>
      </c>
      <c r="E23" s="85">
        <v>11</v>
      </c>
      <c r="L23" s="80">
        <v>38</v>
      </c>
      <c r="M23" s="27">
        <f ca="1">'Income and Pension'!$K39</f>
        <v>235126.41587361004</v>
      </c>
      <c r="N23" s="27">
        <f>SUM('Income and Pension'!$K112,'Partner Income and Pension'!L113)</f>
        <v>19891.82116564591</v>
      </c>
      <c r="O23" s="27">
        <f>SUM('Income and Pension'!$Q112,'Partner Income and Pension'!R113)</f>
        <v>19887.520462842924</v>
      </c>
      <c r="P23" s="27">
        <f>IF(SUMIF('CF Timeline'!$C$4:$BC$4,Tabella2[[#This Row],[Age]],'CF Timeline'!$C$43:$BC$43)&lt;7258, SUMIF('CF Timeline'!$C$4:$BC$4,Tabella2[[#This Row],[Age]],'CF Timeline'!$C$43:$BC$43), 7258)</f>
        <v>0</v>
      </c>
      <c r="Q23" s="27">
        <f ca="1">Tabella2[[#This Row],[Salary and Pension]]-Tabella2[[#This Row],[1° Pillar deductions]]-Tabella2[[#This Row],[2° Pillar deductions]]-Tabella2[[#This Row],[3° Pillar deductions]]</f>
        <v>195347.07424512121</v>
      </c>
      <c r="R23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12471.113800356001</v>
      </c>
      <c r="S23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15863.895931226254</v>
      </c>
      <c r="T23" s="83">
        <f ca="1">Tabella2[[#This Row],[Cantonal taxes]]*$E$8/100</f>
        <v>12373.838826356479</v>
      </c>
      <c r="U23" s="107">
        <f ca="1">Tabella2[[#This Row],[Federal taxes]]+Tabella2[[#This Row],[Cantonal taxes]]+Tabella2[[#This Row],[Comunal taxes]]</f>
        <v>40708.848557938734</v>
      </c>
      <c r="Y23" s="80">
        <v>38</v>
      </c>
      <c r="Z23" s="27">
        <f ca="1">Tabella2[[#This Row],[Taxable salary]]</f>
        <v>195347.07424512121</v>
      </c>
      <c r="AA2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21261.797311261857</v>
      </c>
      <c r="AB2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16187.648909414545</v>
      </c>
      <c r="AC2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18362.624979041393</v>
      </c>
      <c r="AD23" s="27">
        <f ca="1">IF(Tabella13[[#This Row],[Taxable salary]]&lt;$R$142,$S$141+((Tabella13[[#This Row],[Taxable salary]]-$R$141)/100)*$T$141, IF(Tabella13[[#This Row],[Taxable salary]]&lt;$R$143,S160+((Tabella13[[#This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13984.765939609697</v>
      </c>
      <c r="AE23" s="27">
        <f ca="1">IF(Tabella13[[#This Row],[Taxable salary]]&lt;$R$161,Tabella13[[#This Row],[Taxable salary]]*S178,IF(Tabella13[[#This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12013.845066074955</v>
      </c>
      <c r="AF23" s="27">
        <f ca="1">IF(Tabella13[[#This Row],[Taxable salary]]&lt;$R$180,Tabella13[[#This Row],[Taxable salary]]*S197,IF(Tabella13[[#This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salary]]&gt;R214,Tabella13[[#This Row],[Taxable salary]]*$S$196))))))))))))))))))</f>
        <v>7618.5358955597276</v>
      </c>
      <c r="AG2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18703.112315453574</v>
      </c>
      <c r="AH2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26698.822621670606</v>
      </c>
      <c r="AI2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20511.442795737727</v>
      </c>
      <c r="AJ2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16604.501310835305</v>
      </c>
      <c r="AK2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salary]]*S322))))))))))))</f>
        <v>5665.0651531085159</v>
      </c>
      <c r="AL23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13946.989142062812</v>
      </c>
      <c r="AM2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41022.885591475453</v>
      </c>
      <c r="AN2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25610.001433535392</v>
      </c>
      <c r="AO2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27827.737992896211</v>
      </c>
      <c r="AP2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10861.297328028739</v>
      </c>
      <c r="AQ2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9262.5303062170296</v>
      </c>
      <c r="AR2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25556.510708917442</v>
      </c>
      <c r="AS23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5665.0651531085159</v>
      </c>
      <c r="AT23" s="27">
        <f ca="1">Tabella13[[#This Row],[Taxable salary]]*$S$503</f>
        <v>3516.2473364121815</v>
      </c>
      <c r="AU2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19026.648909414544</v>
      </c>
      <c r="AV23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19364.913538188939</v>
      </c>
      <c r="AW23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13117.765939609697</v>
      </c>
      <c r="AX23" s="27">
        <f ca="1">Tabella13[[#This Row],[Taxable salary]]*$S$606</f>
        <v>13869.642271403605</v>
      </c>
      <c r="AY2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21123.590394316969</v>
      </c>
      <c r="AZ2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salary]]*S671)))))))))))))</f>
        <v>26371.855023091364</v>
      </c>
      <c r="BA2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19339.360350267001</v>
      </c>
    </row>
    <row r="24" spans="2:53">
      <c r="B24" s="2"/>
      <c r="C24" s="85">
        <v>182600</v>
      </c>
      <c r="D24" s="85">
        <v>10788.5</v>
      </c>
      <c r="E24" s="85">
        <v>13.2</v>
      </c>
      <c r="L24" s="80">
        <v>39</v>
      </c>
      <c r="M24" s="27">
        <f ca="1">'Income and Pension'!$K40</f>
        <v>242559.15723630026</v>
      </c>
      <c r="N24" s="27">
        <f>SUM('Income and Pension'!$K113,'Partner Income and Pension'!L114)</f>
        <v>20508.585954668255</v>
      </c>
      <c r="O24" s="27">
        <f>SUM('Income and Pension'!$Q113,'Partner Income and Pension'!R114)</f>
        <v>20668.235385656022</v>
      </c>
      <c r="P24" s="27">
        <f>IF(SUMIF('CF Timeline'!$C$4:$BC$4,Tabella2[[#This Row],[Age]],'CF Timeline'!$C$43:$BC$43)&lt;7258, SUMIF('CF Timeline'!$C$4:$BC$4,Tabella2[[#This Row],[Age]],'CF Timeline'!$C$43:$BC$43), 7258)</f>
        <v>0</v>
      </c>
      <c r="Q24" s="27">
        <f ca="1">Tabella2[[#This Row],[Salary and Pension]]-Tabella2[[#This Row],[1° Pillar deductions]]-Tabella2[[#This Row],[2° Pillar deductions]]-Tabella2[[#This Row],[3° Pillar deductions]]</f>
        <v>201382.33589597599</v>
      </c>
      <c r="R24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13267.76833826883</v>
      </c>
      <c r="S24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16573.642701366778</v>
      </c>
      <c r="T24" s="83">
        <f ca="1">Tabella2[[#This Row],[Cantonal taxes]]*$E$8/100</f>
        <v>12927.441307066088</v>
      </c>
      <c r="U24" s="107">
        <f ca="1">Tabella2[[#This Row],[Federal taxes]]+Tabella2[[#This Row],[Cantonal taxes]]+Tabella2[[#This Row],[Comunal taxes]]</f>
        <v>42768.852346701693</v>
      </c>
      <c r="Y24" s="80">
        <v>39</v>
      </c>
      <c r="Z24" s="27">
        <f ca="1">Tabella2[[#This Row],[Taxable salary]]</f>
        <v>201382.33589597599</v>
      </c>
      <c r="AA2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22051.209535193659</v>
      </c>
      <c r="AB2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16911.88030751712</v>
      </c>
      <c r="AC2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18929.939574221742</v>
      </c>
      <c r="AD24" s="27">
        <f ca="1">IF(Tabella13[[#This Row],[Taxable salary]]&lt;$R$142,$S$141+((Tabella13[[#This Row],[Taxable salary]]-$R$141)/100)*$T$141, IF(Tabella13[[#This Row],[Taxable salary]]&lt;$R$143,S161+((Tabella13[[#This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14467.586871678079</v>
      </c>
      <c r="AE24" s="27">
        <f ca="1">IF(Tabella13[[#This Row],[Taxable salary]]&lt;$R$161,Tabella13[[#This Row],[Taxable salary]]*S179,IF(Tabella13[[#This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12385.013657602523</v>
      </c>
      <c r="AF24" s="27">
        <f ca="1">IF(Tabella13[[#This Row],[Taxable salary]]&lt;$R$180,Tabella13[[#This Row],[Taxable salary]]*S198,IF(Tabella13[[#This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salary]]&gt;R215,Tabella13[[#This Row],[Taxable salary]]*$S$196))))))))))))))))))</f>
        <v>7853.9110999430641</v>
      </c>
      <c r="AG2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19379.061620349312</v>
      </c>
      <c r="AH2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27724.817102315919</v>
      </c>
      <c r="AI2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21145.145269077479</v>
      </c>
      <c r="AJ2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16110.586871678081</v>
      </c>
      <c r="AK2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salary]]*S323))))))))))))</f>
        <v>5840.0877409833038</v>
      </c>
      <c r="AL24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14554.752782570395</v>
      </c>
      <c r="AM2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42290.290538154957</v>
      </c>
      <c r="AN2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26401.224235962451</v>
      </c>
      <c r="AO2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28883.908781795799</v>
      </c>
      <c r="AP2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11196.857875816264</v>
      </c>
      <c r="AQ2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9612.5754819666072</v>
      </c>
      <c r="AR2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26524.44667771455</v>
      </c>
      <c r="AS24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5840.0877409833038</v>
      </c>
      <c r="AT24" s="27">
        <f ca="1">Tabella13[[#This Row],[Taxable salary]]*$S$503</f>
        <v>3624.8820461275677</v>
      </c>
      <c r="AU2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19750.88030751712</v>
      </c>
      <c r="AV24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20058.968628037241</v>
      </c>
      <c r="AW24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13600.586871678079</v>
      </c>
      <c r="AX24" s="27">
        <f ca="1">Tabella13[[#This Row],[Taxable salary]]*$S$606</f>
        <v>14298.145848614295</v>
      </c>
      <c r="AY2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21968.527025436641</v>
      </c>
      <c r="AZ2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salary]]*S672)))))))))))))</f>
        <v>19936.851253701625</v>
      </c>
      <c r="BA2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20138.233589597599</v>
      </c>
    </row>
    <row r="25" spans="2:53">
      <c r="B25" s="2"/>
      <c r="C25" s="85">
        <v>783200</v>
      </c>
      <c r="D25" s="85">
        <v>90067.7</v>
      </c>
      <c r="E25" s="85"/>
      <c r="L25" s="80">
        <v>40</v>
      </c>
      <c r="M25" s="27">
        <f ca="1">'Income and Pension'!$K41</f>
        <v>250178.05860131228</v>
      </c>
      <c r="N25" s="27">
        <f>SUM('Income and Pension'!$K114,'Partner Income and Pension'!L115)</f>
        <v>21140.7839362177</v>
      </c>
      <c r="O25" s="27">
        <f>SUM('Income and Pension'!$Q114,'Partner Income and Pension'!R115)</f>
        <v>21468.485995212279</v>
      </c>
      <c r="P25" s="27">
        <f>IF(SUMIF('CF Timeline'!$C$4:$BC$4,Tabella2[[#This Row],[Age]],'CF Timeline'!$C$43:$BC$43)&lt;7258, SUMIF('CF Timeline'!$C$4:$BC$4,Tabella2[[#This Row],[Age]],'CF Timeline'!$C$43:$BC$43), 7258)</f>
        <v>0</v>
      </c>
      <c r="Q25" s="27">
        <f ca="1">Tabella2[[#This Row],[Salary and Pension]]-Tabella2[[#This Row],[1° Pillar deductions]]-Tabella2[[#This Row],[2° Pillar deductions]]-Tabella2[[#This Row],[3° Pillar deductions]]</f>
        <v>207568.78866988231</v>
      </c>
      <c r="R25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14084.380104424465</v>
      </c>
      <c r="S2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17301.16954757816</v>
      </c>
      <c r="T25" s="83">
        <f ca="1">Tabella2[[#This Row],[Cantonal taxes]]*$E$8/100</f>
        <v>13494.912247110964</v>
      </c>
      <c r="U25" s="107">
        <f ca="1">Tabella2[[#This Row],[Federal taxes]]+Tabella2[[#This Row],[Cantonal taxes]]+Tabella2[[#This Row],[Comunal taxes]]</f>
        <v>44880.461899113587</v>
      </c>
      <c r="Y25" s="80">
        <v>40</v>
      </c>
      <c r="Z25" s="27">
        <f ca="1">Tabella2[[#This Row],[Taxable salary]]</f>
        <v>207568.78866988231</v>
      </c>
      <c r="AA2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22860.397558020606</v>
      </c>
      <c r="AB2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17654.254640385876</v>
      </c>
      <c r="AC2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19511.466134968938</v>
      </c>
      <c r="AD25" s="27">
        <f ca="1">IF(Tabella13[[#This Row],[Taxable salary]]&lt;$R$142,$S$141+((Tabella13[[#This Row],[Taxable salary]]-$R$141)/100)*$T$141, IF(Tabella13[[#This Row],[Taxable salary]]&lt;$R$143,S162+((Tabella13[[#This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14962.503093590585</v>
      </c>
      <c r="AE25" s="27">
        <f ca="1">IF(Tabella13[[#This Row],[Taxable salary]]&lt;$R$161,Tabella13[[#This Row],[Taxable salary]]*S180,IF(Tabella13[[#This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12765.480503197761</v>
      </c>
      <c r="AF25" s="27">
        <f ca="1">IF(Tabella13[[#This Row],[Taxable salary]]&lt;$R$180,Tabella13[[#This Row],[Taxable salary]]*S199,IF(Tabella13[[#This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salary]]&gt;R216,Tabella13[[#This Row],[Taxable salary]]*$S$196))))))))))))))))))</f>
        <v>8095.1827581254101</v>
      </c>
      <c r="AG2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20071.944331026818</v>
      </c>
      <c r="AH2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28776.514073879996</v>
      </c>
      <c r="AI2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21794.722810337644</v>
      </c>
      <c r="AJ2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16605.503093590585</v>
      </c>
      <c r="AK2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salary]]*S324))))))))))))</f>
        <v>6019.4948714265875</v>
      </c>
      <c r="AL2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15178.592841053229</v>
      </c>
      <c r="AM2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43589.445620675288</v>
      </c>
      <c r="AN2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28021.786470434115</v>
      </c>
      <c r="AO2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29966.538017229403</v>
      </c>
      <c r="AP2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12018.232863986186</v>
      </c>
      <c r="AQ2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9971.3897428531745</v>
      </c>
      <c r="AR2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27474.747045163265</v>
      </c>
      <c r="AS2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6019.4948714265875</v>
      </c>
      <c r="AT25" s="27">
        <f ca="1">Tabella13[[#This Row],[Taxable salary]]*$S$503</f>
        <v>3736.2381960578814</v>
      </c>
      <c r="AU2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20493.25464038588</v>
      </c>
      <c r="AV2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20770.410697036466</v>
      </c>
      <c r="AW2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14095.503093590585</v>
      </c>
      <c r="AX25" s="27">
        <f ca="1">Tabella13[[#This Row],[Taxable salary]]*$S$606</f>
        <v>14737.383995561642</v>
      </c>
      <c r="AY2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22834.630413783525</v>
      </c>
      <c r="AZ2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salary]]*S673)))))))))))))</f>
        <v>20756.878866988234</v>
      </c>
      <c r="BA2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20756.878866988234</v>
      </c>
    </row>
    <row r="26" spans="2:53">
      <c r="B26" s="2"/>
      <c r="C26" s="85">
        <v>783300</v>
      </c>
      <c r="D26" s="85">
        <v>90079.5</v>
      </c>
      <c r="E26" s="85">
        <v>11.5</v>
      </c>
      <c r="L26" s="80">
        <v>41</v>
      </c>
      <c r="M26" s="27">
        <f ca="1">'Income and Pension'!$K42</f>
        <v>257988.27995364359</v>
      </c>
      <c r="N26" s="27">
        <f>SUM('Income and Pension'!$K115,'Partner Income and Pension'!L116)</f>
        <v>21788.840944282769</v>
      </c>
      <c r="O26" s="27">
        <f>SUM('Income and Pension'!$Q115,'Partner Income and Pension'!R116)</f>
        <v>22288.811321876921</v>
      </c>
      <c r="P26" s="27">
        <f>IF(SUMIF('CF Timeline'!$C$4:$BC$4,Tabella2[[#This Row],[Age]],'CF Timeline'!$C$43:$BC$43)&lt;7258, SUMIF('CF Timeline'!$C$4:$BC$4,Tabella2[[#This Row],[Age]],'CF Timeline'!$C$43:$BC$43), 7258)</f>
        <v>0</v>
      </c>
      <c r="Q26" s="27">
        <f ca="1">Tabella2[[#This Row],[Salary and Pension]]-Tabella2[[#This Row],[1° Pillar deductions]]-Tabella2[[#This Row],[2° Pillar deductions]]-Tabella2[[#This Row],[3° Pillar deductions]]</f>
        <v>213910.62768748391</v>
      </c>
      <c r="R26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14921.502854747876</v>
      </c>
      <c r="S26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18046.969816048109</v>
      </c>
      <c r="T26" s="83">
        <f ca="1">Tabella2[[#This Row],[Cantonal taxes]]*$E$8/100</f>
        <v>14076.636456517526</v>
      </c>
      <c r="U26" s="107">
        <f ca="1">Tabella2[[#This Row],[Federal taxes]]+Tabella2[[#This Row],[Cantonal taxes]]+Tabella2[[#This Row],[Comunal taxes]]</f>
        <v>47045.10912731351</v>
      </c>
      <c r="Y26" s="80">
        <v>41</v>
      </c>
      <c r="Z26" s="27">
        <f ca="1">Tabella2[[#This Row],[Taxable salary]]</f>
        <v>213910.62768748391</v>
      </c>
      <c r="AA2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23689.910101522895</v>
      </c>
      <c r="AB2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18415.27532249807</v>
      </c>
      <c r="AC2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20107.599002623487</v>
      </c>
      <c r="AD26" s="27">
        <f ca="1">IF(Tabella13[[#This Row],[Taxable salary]]&lt;$R$142,$S$141+((Tabella13[[#This Row],[Taxable salary]]-$R$141)/100)*$T$141, IF(Tabella13[[#This Row],[Taxable salary]]&lt;$R$143,S163+((Tabella13[[#This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15469.850214998713</v>
      </c>
      <c r="AE26" s="27">
        <f ca="1">IF(Tabella13[[#This Row],[Taxable salary]]&lt;$R$161,Tabella13[[#This Row],[Taxable salary]]*S181,IF(Tabella13[[#This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13155.50360278026</v>
      </c>
      <c r="AF26" s="27">
        <f ca="1">IF(Tabella13[[#This Row],[Taxable salary]]&lt;$R$180,Tabella13[[#This Row],[Taxable salary]]*S200,IF(Tabella13[[#This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salary]]&gt;R222,Tabella13[[#This Row],[Taxable salary]]*$S$196))))))))))))))))))</f>
        <v>8342.5144798118727</v>
      </c>
      <c r="AG2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20783.610928685681</v>
      </c>
      <c r="AH2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29854.626706872266</v>
      </c>
      <c r="AI2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22460.615907185809</v>
      </c>
      <c r="AJ2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17112.850214998714</v>
      </c>
      <c r="AK26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salary]]*S325))))))))))))</f>
        <v>6203.4082029370338</v>
      </c>
      <c r="AL26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15818.969760857439</v>
      </c>
      <c r="AM2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44069.201460448392</v>
      </c>
      <c r="AN2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28877.93473781033</v>
      </c>
      <c r="AO2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31076.359845309686</v>
      </c>
      <c r="AP2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12385.425343105318</v>
      </c>
      <c r="AQ2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10339.216405874067</v>
      </c>
      <c r="AR2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28322.650921816599</v>
      </c>
      <c r="AS26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6203.4082029370338</v>
      </c>
      <c r="AT26" s="27">
        <f ca="1">Tabella13[[#This Row],[Taxable salary]]*$S$503</f>
        <v>3850.39129837471</v>
      </c>
      <c r="AU2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21174.352141060906</v>
      </c>
      <c r="AV26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21499.722184060651</v>
      </c>
      <c r="AW26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14602.850214998713</v>
      </c>
      <c r="AX26" s="27">
        <f ca="1">Tabella13[[#This Row],[Taxable salary]]*$S$606</f>
        <v>15187.654565811355</v>
      </c>
      <c r="AY2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23722.487876247746</v>
      </c>
      <c r="AZ2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salary]]*S674)))))))))))))</f>
        <v>0</v>
      </c>
      <c r="BA2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21391.062768748394</v>
      </c>
    </row>
    <row r="27" spans="2:53">
      <c r="B27" s="2"/>
      <c r="C27" s="86">
        <f>IF(C8&lt;=$C$16,$C$15,IF(C8&lt;=$C$17,((C8-$C$16)/$D$15)*$E$16,IF(C8&lt;=$C$18,$D$17+((C8-$C$17)/$D$15)*$E$17,IF(C8&lt;=$C$19,$D$18+((C8-$C$18)/$D$15)*$E$18,IF(C8&lt;=$C$20,$D$19+((C8-$C$19)/$D$15)*$E$19,IF(C8&lt;=$C$21,$D$20+((C8-$C$20)/$D$15)*$E$20,IF(C8&lt;=$C$22,$D$21+((C8-$C$21)/$D$15)*$E$21,IF(C8&lt;=$C$23,$D$22+((C8-$C$22)/$D$15)*$E$22,IF(C8&lt;=$C$24,$D$23+((C8-$C$23)/$D$15)*$E$23,IF(C8&lt;=$C$25,$D$24+((C8-$C$24)/$D$15)*$E$24,IF(C8=$C$25,$D$25,IF(C8&gt;=$C$26,$D$26+((C8-$C$26)/$D$15)*$E$26))))))))))))</f>
        <v>0</v>
      </c>
      <c r="D27" s="2"/>
      <c r="E27" s="2"/>
      <c r="L27" s="80">
        <v>42</v>
      </c>
      <c r="M27" s="27">
        <f ca="1">'Income and Pension'!$K43</f>
        <v>265995.1285931404</v>
      </c>
      <c r="N27" s="27">
        <f>SUM('Income and Pension'!$K116,'Partner Income and Pension'!L117)</f>
        <v>22453.194908174111</v>
      </c>
      <c r="O27" s="27">
        <f>SUM('Income and Pension'!$Q116,'Partner Income and Pension'!R117)</f>
        <v>23129.765706549508</v>
      </c>
      <c r="P27" s="27">
        <f>IF(SUMIF('CF Timeline'!$C$4:$BC$4,Tabella2[[#This Row],[Age]],'CF Timeline'!$C$43:$BC$43)&lt;7258, SUMIF('CF Timeline'!$C$4:$BC$4,Tabella2[[#This Row],[Age]],'CF Timeline'!$C$43:$BC$43), 7258)</f>
        <v>0</v>
      </c>
      <c r="Q27" s="27">
        <f ca="1">Tabella2[[#This Row],[Salary and Pension]]-Tabella2[[#This Row],[1° Pillar deductions]]-Tabella2[[#This Row],[2° Pillar deductions]]-Tabella2[[#This Row],[3° Pillar deductions]]</f>
        <v>220412.16797841678</v>
      </c>
      <c r="R27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15779.706173151015</v>
      </c>
      <c r="S27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18811.550954261813</v>
      </c>
      <c r="T27" s="83">
        <f ca="1">Tabella2[[#This Row],[Cantonal taxes]]*$E$8/100</f>
        <v>14673.009744324214</v>
      </c>
      <c r="U27" s="107">
        <f ca="1">Tabella2[[#This Row],[Federal taxes]]+Tabella2[[#This Row],[Cantonal taxes]]+Tabella2[[#This Row],[Comunal taxes]]</f>
        <v>49264.26687173704</v>
      </c>
      <c r="Y27" s="80">
        <v>42</v>
      </c>
      <c r="Z27" s="27">
        <f ca="1">Tabella2[[#This Row],[Taxable salary]]</f>
        <v>220412.16797841678</v>
      </c>
      <c r="AA2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24540.311571576916</v>
      </c>
      <c r="AB2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19195.460157410012</v>
      </c>
      <c r="AC2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20718.743789971177</v>
      </c>
      <c r="AD27" s="27">
        <f ca="1">IF(Tabella13[[#This Row],[Taxable salary]]&lt;$R$142,$S$141+((Tabella13[[#This Row],[Taxable salary]]-$R$141)/100)*$T$141, IF(Tabella13[[#This Row],[Taxable salary]]&lt;$R$143,S164+((Tabella13[[#This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15989.973438273342</v>
      </c>
      <c r="AE27" s="27">
        <f ca="1">IF(Tabella13[[#This Row],[Taxable salary]]&lt;$R$161,Tabella13[[#This Row],[Taxable salary]]*S182,IF(Tabella13[[#This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13555.348330672632</v>
      </c>
      <c r="AF27" s="27">
        <f ca="1">IF(Tabella13[[#This Row],[Taxable salary]]&lt;$R$180,Tabella13[[#This Row],[Taxable salary]]*S201,IF(Tabella13[[#This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salary]]&gt;R223,Tabella13[[#This Row],[Taxable salary]]*$S$196))))))))))))))))))</f>
        <v>8596.0745511582536</v>
      </c>
      <c r="AG2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21518.284981561093</v>
      </c>
      <c r="AH2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30959.888556330854</v>
      </c>
      <c r="AI2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23143.277637733761</v>
      </c>
      <c r="AJ2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17632.973438273344</v>
      </c>
      <c r="AK27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salary]]*S326))))))))))))</f>
        <v>6391.9528713740865</v>
      </c>
      <c r="AL27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16476.357707620024</v>
      </c>
      <c r="AM2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44086.918157741187</v>
      </c>
      <c r="AN2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29755.642677086267</v>
      </c>
      <c r="AO2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32214.129396222936</v>
      </c>
      <c r="AP2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12761.864525950332</v>
      </c>
      <c r="AQ2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10716.305742748173</v>
      </c>
      <c r="AR2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29191.906858714323</v>
      </c>
      <c r="AS27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salary]]*$S$489,IF(Q499&lt;$R$491,Tabella13[[#This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6391.9528713740865</v>
      </c>
      <c r="AT27" s="27">
        <f ca="1">Tabella13[[#This Row],[Taxable salary]]*$S$503</f>
        <v>3967.4190236115019</v>
      </c>
      <c r="AU2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21818.004629863262</v>
      </c>
      <c r="AV27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22247.399317517928</v>
      </c>
      <c r="AW27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15122.973438273342</v>
      </c>
      <c r="AX27" s="27">
        <f ca="1">Tabella13[[#This Row],[Taxable salary]]*$S$606</f>
        <v>15649.263926467589</v>
      </c>
      <c r="AY2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24635.264356870433</v>
      </c>
      <c r="AZ2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salary]]*S675)))))))))))))</f>
        <v>0</v>
      </c>
      <c r="BA2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22041.21679784168</v>
      </c>
    </row>
    <row r="28" spans="2:53">
      <c r="C28" s="87"/>
      <c r="L28" s="80">
        <v>43</v>
      </c>
      <c r="M28" s="27">
        <f ca="1">'Income and Pension'!$K44</f>
        <v>274204.06338810525</v>
      </c>
      <c r="N28" s="27">
        <f>SUM('Income and Pension'!$K117,'Partner Income and Pension'!L118)</f>
        <v>23134.29620006933</v>
      </c>
      <c r="O28" s="27">
        <f>SUM('Income and Pension'!$Q117,'Partner Income and Pension'!R118)</f>
        <v>23991.919240594092</v>
      </c>
      <c r="P28" s="27">
        <f>IF(SUMIF('CF Timeline'!$C$4:$BC$4,Tabella2[[#This Row],[Age]],'CF Timeline'!$C$43:$BC$43)&lt;7258, SUMIF('CF Timeline'!$C$4:$BC$4,Tabella2[[#This Row],[Age]],'CF Timeline'!$C$43:$BC$43), 7258)</f>
        <v>0</v>
      </c>
      <c r="Q28" s="27">
        <f ca="1">Tabella2[[#This Row],[Salary and Pension]]-Tabella2[[#This Row],[1° Pillar deductions]]-Tabella2[[#This Row],[2° Pillar deductions]]-Tabella2[[#This Row],[3° Pillar deductions]]</f>
        <v>227077.84794744183</v>
      </c>
      <c r="R28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16659.575929062321</v>
      </c>
      <c r="S28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19595.434918619161</v>
      </c>
      <c r="T28" s="83">
        <f ca="1">Tabella2[[#This Row],[Cantonal taxes]]*$E$8/100</f>
        <v>15284.439236522945</v>
      </c>
      <c r="U28" s="107">
        <f ca="1">Tabella2[[#This Row],[Federal taxes]]+Tabella2[[#This Row],[Cantonal taxes]]+Tabella2[[#This Row],[Comunal taxes]]</f>
        <v>51539.450084204422</v>
      </c>
      <c r="Y28" s="80">
        <v>43</v>
      </c>
      <c r="Z28" s="27">
        <f ca="1">Tabella2[[#This Row],[Taxable salary]]</f>
        <v>227077.84794744183</v>
      </c>
      <c r="AA2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25441.089851820834</v>
      </c>
      <c r="AB2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19995.341753693021</v>
      </c>
      <c r="AC2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21345.31770705953</v>
      </c>
      <c r="AD28" s="27">
        <f ca="1">IF(Tabella13[[#This Row],[Taxable salary]]&lt;$R$142,$S$141+((Tabella13[[#This Row],[Taxable salary]]-$R$141)/100)*$T$141, IF(Tabella13[[#This Row],[Taxable salary]]&lt;$R$143,S165+((Tabella13[[#This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16523.227835795347</v>
      </c>
      <c r="AE28" s="27">
        <f ca="1">IF(Tabella13[[#This Row],[Taxable salary]]&lt;$R$161,Tabella13[[#This Row],[Taxable salary]]*S183,IF(Tabella13[[#This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14305.904420688836</v>
      </c>
      <c r="AF28" s="27">
        <f ca="1">IF(Tabella13[[#This Row],[Taxable salary]]&lt;$R$180,Tabella13[[#This Row],[Taxable salary]]*S202,IF(Tabella13[[#This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salary]]&gt;R224,Tabella13[[#This Row],[Taxable salary]]*$S$196))))))))))))))))))</f>
        <v>8856.0360699502307</v>
      </c>
      <c r="AG2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22271.506818060923</v>
      </c>
      <c r="AH2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32093.054151065113</v>
      </c>
      <c r="AI2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23843.174034481392</v>
      </c>
      <c r="AJ2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18166.227835795347</v>
      </c>
      <c r="AK2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salary]]*S327))))))))))))</f>
        <v>6585.2575904758132</v>
      </c>
      <c r="AL28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17151.244978127681</v>
      </c>
      <c r="AM2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44105.082135656776</v>
      </c>
      <c r="AN2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30655.50947290465</v>
      </c>
      <c r="AO2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33380.623390802321</v>
      </c>
      <c r="AP2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13147.807396156883</v>
      </c>
      <c r="AQ2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11102.915180951626</v>
      </c>
      <c r="AR2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30083.108270572971</v>
      </c>
      <c r="AS28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6585.2575904758132</v>
      </c>
      <c r="AT28" s="27">
        <f ca="1">Tabella13[[#This Row],[Taxable salary]]*$S$503</f>
        <v>4087.4012630539528</v>
      </c>
      <c r="AU2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22477.906946796742</v>
      </c>
      <c r="AV28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23013.95251395581</v>
      </c>
      <c r="AW28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15656.227835795347</v>
      </c>
      <c r="AX28" s="27">
        <f ca="1">Tabella13[[#This Row],[Taxable salary]]*$S$606</f>
        <v>16122.527204268368</v>
      </c>
      <c r="AY2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25601.787952379065</v>
      </c>
      <c r="AZ2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salary]]*S676)))))))))))))</f>
        <v>0</v>
      </c>
      <c r="BA2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22707.784794744184</v>
      </c>
    </row>
    <row r="29" spans="2:53">
      <c r="C29" s="87"/>
      <c r="L29" s="80">
        <v>44</v>
      </c>
      <c r="M29" s="27">
        <f ca="1">'Income and Pension'!$K45</f>
        <v>282620.69915254653</v>
      </c>
      <c r="N29" s="27">
        <f>SUM('Income and Pension'!$K118,'Partner Income and Pension'!L119)</f>
        <v>23832.607992615089</v>
      </c>
      <c r="O29" s="27">
        <f>SUM('Income and Pension'!$Q118,'Partner Income and Pension'!R119)</f>
        <v>24875.858218500114</v>
      </c>
      <c r="P29" s="27">
        <f>IF(SUMIF('CF Timeline'!$C$4:$BC$4,Tabella2[[#This Row],[Age]],'CF Timeline'!$C$43:$BC$43)&lt;7258, SUMIF('CF Timeline'!$C$4:$BC$4,Tabella2[[#This Row],[Age]],'CF Timeline'!$C$43:$BC$43), 7258)</f>
        <v>0</v>
      </c>
      <c r="Q29" s="27">
        <f ca="1">Tabella2[[#This Row],[Salary and Pension]]-Tabella2[[#This Row],[1° Pillar deductions]]-Tabella2[[#This Row],[2° Pillar deductions]]-Tabella2[[#This Row],[3° Pillar deductions]]</f>
        <v>233912.23294143134</v>
      </c>
      <c r="R29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17561.714748268936</v>
      </c>
      <c r="S29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20399.158593912325</v>
      </c>
      <c r="T29" s="83">
        <f ca="1">Tabella2[[#This Row],[Cantonal taxes]]*$E$8/100</f>
        <v>15911.343703251614</v>
      </c>
      <c r="U29" s="107">
        <f ca="1">Tabella2[[#This Row],[Federal taxes]]+Tabella2[[#This Row],[Cantonal taxes]]+Tabella2[[#This Row],[Comunal taxes]]</f>
        <v>53872.217045432881</v>
      </c>
      <c r="Y29" s="80">
        <v>44</v>
      </c>
      <c r="Z29" s="27">
        <f ca="1">Tabella2[[#This Row],[Taxable salary]]</f>
        <v>233912.23294143134</v>
      </c>
      <c r="AA2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26400.637504976959</v>
      </c>
      <c r="AB2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20815.467952971761</v>
      </c>
      <c r="AC2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21987.749896494548</v>
      </c>
      <c r="AD29" s="27">
        <f ca="1">IF(Tabella13[[#This Row],[Taxable salary]]&lt;$R$142,$S$141+((Tabella13[[#This Row],[Taxable salary]]-$R$141)/100)*$T$141, IF(Tabella13[[#This Row],[Taxable salary]]&lt;$R$143,S166+((Tabella13[[#This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17069.978635314506</v>
      </c>
      <c r="AE29" s="27">
        <f ca="1">IF(Tabella13[[#This Row],[Taxable salary]]&lt;$R$161,Tabella13[[#This Row],[Taxable salary]]*S184,IF(Tabella13[[#This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14736.470675310175</v>
      </c>
      <c r="AF29" s="27">
        <f ca="1">IF(Tabella13[[#This Row],[Taxable salary]]&lt;$R$180,Tabella13[[#This Row],[Taxable salary]]*S203,IF(Tabella13[[#This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salary]]&gt;R225,Tabella13[[#This Row],[Taxable salary]]*$S$196))))))))))))))))))</f>
        <v>11695.611647071568</v>
      </c>
      <c r="AG2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23043.792322381742</v>
      </c>
      <c r="AH2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33254.899600043325</v>
      </c>
      <c r="AI2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24560.784458850289</v>
      </c>
      <c r="AJ2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18712.978635314506</v>
      </c>
      <c r="AK2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salary]]*S328))))))))))))</f>
        <v>6783.4547553015091</v>
      </c>
      <c r="AL29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17844.13442169231</v>
      </c>
      <c r="AM2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44123.705834765402</v>
      </c>
      <c r="AN2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31578.151447093234</v>
      </c>
      <c r="AO2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34576.640764750482</v>
      </c>
      <c r="AP2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13543.518287308874</v>
      </c>
      <c r="AQ2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11499.309510603018</v>
      </c>
      <c r="AR2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30996.865544269371</v>
      </c>
      <c r="AS29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6432.5864058893621</v>
      </c>
      <c r="AT29" s="27">
        <f ca="1">Tabella13[[#This Row],[Taxable salary]]*$S$503</f>
        <v>4210.420192945764</v>
      </c>
      <c r="AU2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23154.511061201702</v>
      </c>
      <c r="AV29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23799.906788264605</v>
      </c>
      <c r="AW29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16202.978635314506</v>
      </c>
      <c r="AX29" s="27">
        <f ca="1">Tabella13[[#This Row],[Taxable salary]]*$S$606</f>
        <v>16607.768538841625</v>
      </c>
      <c r="AY2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26592.773776507544</v>
      </c>
      <c r="AZ2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salary]]*S677)))))))))))))</f>
        <v>0</v>
      </c>
      <c r="BA2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23391.223294143136</v>
      </c>
    </row>
    <row r="30" spans="2:53">
      <c r="C30" s="87"/>
      <c r="L30" s="80">
        <v>45</v>
      </c>
      <c r="M30" s="27">
        <f ca="1">'Income and Pension'!$K46</f>
        <v>291250.81115068169</v>
      </c>
      <c r="N30" s="27">
        <f>SUM('Income and Pension'!$K119,'Partner Income and Pension'!L120)</f>
        <v>24548.606626879257</v>
      </c>
      <c r="O30" s="27">
        <f>SUM('Income and Pension'!$Q119,'Partner Income and Pension'!R120)</f>
        <v>38673.278405466939</v>
      </c>
      <c r="P30" s="27">
        <f>IF(SUMIF('CF Timeline'!$C$4:$BC$4,Tabella2[[#This Row],[Age]],'CF Timeline'!$C$43:$BC$43)&lt;7258, SUMIF('CF Timeline'!$C$4:$BC$4,Tabella2[[#This Row],[Age]],'CF Timeline'!$C$43:$BC$43), 7258)</f>
        <v>0</v>
      </c>
      <c r="Q30" s="27">
        <f ca="1">Tabella2[[#This Row],[Salary and Pension]]-Tabella2[[#This Row],[1° Pillar deductions]]-Tabella2[[#This Row],[2° Pillar deductions]]-Tabella2[[#This Row],[3° Pillar deductions]]</f>
        <v>228028.92611833551</v>
      </c>
      <c r="R30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16785.118247620288</v>
      </c>
      <c r="S30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19707.281711516258</v>
      </c>
      <c r="T30" s="83">
        <f ca="1">Tabella2[[#This Row],[Cantonal taxes]]*$E$8/100</f>
        <v>15371.679734982681</v>
      </c>
      <c r="U30" s="107">
        <f ca="1">Tabella2[[#This Row],[Federal taxes]]+Tabella2[[#This Row],[Cantonal taxes]]+Tabella2[[#This Row],[Comunal taxes]]</f>
        <v>51864.079694119224</v>
      </c>
      <c r="Y30" s="80">
        <v>45</v>
      </c>
      <c r="Z30" s="27">
        <f ca="1">Tabella2[[#This Row],[Taxable salary]]</f>
        <v>228028.92611833551</v>
      </c>
      <c r="AA3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25574.621227014304</v>
      </c>
      <c r="AB3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20109.471134200263</v>
      </c>
      <c r="AC3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21434.71905512354</v>
      </c>
      <c r="AD30" s="27">
        <f ca="1">IF(Tabella13[[#This Row],[Taxable salary]]&lt;$R$142,$S$141+((Tabella13[[#This Row],[Taxable salary]]-$R$141)/100)*$T$141, IF(Tabella13[[#This Row],[Taxable salary]]&lt;$R$143,S167+((Tabella13[[#This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16599.31408946684</v>
      </c>
      <c r="AE30" s="27">
        <f ca="1">IF(Tabella13[[#This Row],[Taxable salary]]&lt;$R$161,Tabella13[[#This Row],[Taxable salary]]*S185,IF(Tabella13[[#This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14365.822345455137</v>
      </c>
      <c r="AF30" s="27">
        <f ca="1">IF(Tabella13[[#This Row],[Taxable salary]]&lt;$R$180,Tabella13[[#This Row],[Taxable salary]]*S204,IF(Tabella13[[#This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salary]]&gt;R226,Tabella13[[#This Row],[Taxable salary]]*$S$196))))))))))))))))))</f>
        <v>8893.1281186150845</v>
      </c>
      <c r="AG3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22378.978651371912</v>
      </c>
      <c r="AH3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32254.737440117038</v>
      </c>
      <c r="AI3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23943.037242425227</v>
      </c>
      <c r="AJ3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18242.314089466843</v>
      </c>
      <c r="AK3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salary]]*S329))))))))))))</f>
        <v>6612.8388574317305</v>
      </c>
      <c r="AL30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17247.612757103569</v>
      </c>
      <c r="AM3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44107.673823672463</v>
      </c>
      <c r="AN3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30783.905025975295</v>
      </c>
      <c r="AO3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33547.062070708715</v>
      </c>
      <c r="AP3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13202.874822251626</v>
      </c>
      <c r="AQ3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11158.077714863459</v>
      </c>
      <c r="AR3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30210.267422021458</v>
      </c>
      <c r="AS30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6270.7954682542268</v>
      </c>
      <c r="AT30" s="27">
        <f ca="1">Tabella13[[#This Row],[Taxable salary]]*$S$503</f>
        <v>4104.5206701300385</v>
      </c>
      <c r="AU3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22572.063685715217</v>
      </c>
      <c r="AV30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23123.326503608587</v>
      </c>
      <c r="AW30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15732.314089466841</v>
      </c>
      <c r="AX30" s="27">
        <f ca="1">Tabella13[[#This Row],[Taxable salary]]*$S$606</f>
        <v>16190.053754401821</v>
      </c>
      <c r="AY3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25739.694287158651</v>
      </c>
      <c r="AZ3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salary]]*S678)))))))))))))</f>
        <v>0</v>
      </c>
      <c r="BA3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22802.892611833551</v>
      </c>
    </row>
    <row r="31" spans="2:53">
      <c r="C31" s="87"/>
      <c r="L31" s="80">
        <v>46</v>
      </c>
      <c r="M31" s="27">
        <f ca="1">'Income and Pension'!$K47</f>
        <v>300100.33973241266</v>
      </c>
      <c r="N31" s="27">
        <f>SUM('Income and Pension'!$K120,'Partner Income and Pension'!L121)</f>
        <v>25282.781990954249</v>
      </c>
      <c r="O31" s="27">
        <f>SUM('Income and Pension'!$Q120,'Partner Income and Pension'!R121)</f>
        <v>40067.28226130554</v>
      </c>
      <c r="P31" s="27">
        <f>IF(SUMIF('CF Timeline'!$C$4:$BC$4,Tabella2[[#This Row],[Age]],'CF Timeline'!$C$43:$BC$43)&lt;7258, SUMIF('CF Timeline'!$C$4:$BC$4,Tabella2[[#This Row],[Age]],'CF Timeline'!$C$43:$BC$43), 7258)</f>
        <v>0</v>
      </c>
      <c r="Q31" s="27">
        <f ca="1">Tabella2[[#This Row],[Salary and Pension]]-Tabella2[[#This Row],[1° Pillar deductions]]-Tabella2[[#This Row],[2° Pillar deductions]]-Tabella2[[#This Row],[3° Pillar deductions]]</f>
        <v>234750.27548015286</v>
      </c>
      <c r="R31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17672.336363380178</v>
      </c>
      <c r="S31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20497.712396465977</v>
      </c>
      <c r="T31" s="83">
        <f ca="1">Tabella2[[#This Row],[Cantonal taxes]]*$E$8/100</f>
        <v>15988.215669243462</v>
      </c>
      <c r="U31" s="107">
        <f ca="1">Tabella2[[#This Row],[Federal taxes]]+Tabella2[[#This Row],[Cantonal taxes]]+Tabella2[[#This Row],[Comunal taxes]]</f>
        <v>54158.264429089613</v>
      </c>
      <c r="Y31" s="80">
        <v>46</v>
      </c>
      <c r="Z31" s="27">
        <f ca="1">Tabella2[[#This Row],[Taxable salary]]</f>
        <v>234750.27548015286</v>
      </c>
      <c r="AA3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26518.298677413462</v>
      </c>
      <c r="AB3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20916.033057618344</v>
      </c>
      <c r="AC3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22066.525895134368</v>
      </c>
      <c r="AD31" s="27">
        <f ca="1">IF(Tabella13[[#This Row],[Taxable salary]]&lt;$R$142,$S$141+((Tabella13[[#This Row],[Taxable salary]]-$R$141)/100)*$T$141, IF(Tabella13[[#This Row],[Taxable salary]]&lt;$R$143,S168+((Tabella13[[#This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17137.022038412229</v>
      </c>
      <c r="AE31" s="27">
        <f ca="1">IF(Tabella13[[#This Row],[Taxable salary]]&lt;$R$161,Tabella13[[#This Row],[Taxable salary]]*S186,IF(Tabella13[[#This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14789.267355249631</v>
      </c>
      <c r="AF31" s="27">
        <f ca="1">IF(Tabella13[[#This Row],[Taxable salary]]&lt;$R$180,Tabella13[[#This Row],[Taxable salary]]*S205,IF(Tabella13[[#This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salary]]&gt;R227,Tabella13[[#This Row],[Taxable salary]]*$S$196))))))))))))))))))</f>
        <v>11737.513774007644</v>
      </c>
      <c r="AG3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23138.491129257272</v>
      </c>
      <c r="AH3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33397.366831625986</v>
      </c>
      <c r="AI3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24648.778925416049</v>
      </c>
      <c r="AJ3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18780.022038412229</v>
      </c>
      <c r="AK3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salary]]*S330))))))))))))</f>
        <v>6807.7579889244334</v>
      </c>
      <c r="AL31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17929.160427247418</v>
      </c>
      <c r="AM3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44125.989500683419</v>
      </c>
      <c r="AN3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31691.287189820639</v>
      </c>
      <c r="AO3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34723.298209026754</v>
      </c>
      <c r="AP3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13592.04095030085</v>
      </c>
      <c r="AQ3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11547.915977848867</v>
      </c>
      <c r="AR3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31108.911831696438</v>
      </c>
      <c r="AS31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6807.7579889244334</v>
      </c>
      <c r="AT31" s="27">
        <f ca="1">Tabella13[[#This Row],[Taxable salary]]*$S$503</f>
        <v>4225.5049586427513</v>
      </c>
      <c r="AU3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23237.477272535132</v>
      </c>
      <c r="AV31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23896.28168021758</v>
      </c>
      <c r="AW31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16270.022038412229</v>
      </c>
      <c r="AX31" s="27">
        <f ca="1">Tabella13[[#This Row],[Taxable salary]]*$S$606</f>
        <v>16667.269559090852</v>
      </c>
      <c r="AY3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26714.289944622164</v>
      </c>
      <c r="AZ3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salary]]*S679)))))))))))))</f>
        <v>0</v>
      </c>
      <c r="BA3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23475.027548015289</v>
      </c>
    </row>
    <row r="32" spans="2:53">
      <c r="C32" s="87"/>
      <c r="L32" s="80">
        <v>47</v>
      </c>
      <c r="M32" s="27">
        <f ca="1">'Income and Pension'!$K48</f>
        <v>309175.3951036022</v>
      </c>
      <c r="N32" s="27">
        <f>SUM('Income and Pension'!$K121,'Partner Income and Pension'!L122)</f>
        <v>26035.637909521687</v>
      </c>
      <c r="O32" s="27">
        <f>SUM('Income and Pension'!$Q121,'Partner Income and Pension'!R122)</f>
        <v>41496.755524408269</v>
      </c>
      <c r="P32" s="27">
        <f>IF(SUMIF('CF Timeline'!$C$4:$BC$4,Tabella2[[#This Row],[Age]],'CF Timeline'!$C$43:$BC$43)&lt;7258, SUMIF('CF Timeline'!$C$4:$BC$4,Tabella2[[#This Row],[Age]],'CF Timeline'!$C$43:$BC$43), 7258)</f>
        <v>0</v>
      </c>
      <c r="Q32" s="27">
        <f ca="1">Tabella2[[#This Row],[Salary and Pension]]-Tabella2[[#This Row],[1° Pillar deductions]]-Tabella2[[#This Row],[2° Pillar deductions]]-Tabella2[[#This Row],[3° Pillar deductions]]</f>
        <v>241643.00166967223</v>
      </c>
      <c r="R32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18582.176220396734</v>
      </c>
      <c r="S32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21308.296996353452</v>
      </c>
      <c r="T32" s="83">
        <f ca="1">Tabella2[[#This Row],[Cantonal taxes]]*$E$8/100</f>
        <v>16620.471657155693</v>
      </c>
      <c r="U32" s="107">
        <f ca="1">Tabella2[[#This Row],[Federal taxes]]+Tabella2[[#This Row],[Cantonal taxes]]+Tabella2[[#This Row],[Comunal taxes]]</f>
        <v>56510.944873905879</v>
      </c>
      <c r="Y32" s="80">
        <v>47</v>
      </c>
      <c r="Z32" s="27">
        <f ca="1">Tabella2[[#This Row],[Taxable salary]]</f>
        <v>241643.00166967223</v>
      </c>
      <c r="AA3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27486.037434421982</v>
      </c>
      <c r="AB3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21743.160200360668</v>
      </c>
      <c r="AC3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22714.44215694919</v>
      </c>
      <c r="AD32" s="27">
        <f ca="1">IF(Tabella13[[#This Row],[Taxable salary]]&lt;$R$142,$S$141+((Tabella13[[#This Row],[Taxable salary]]-$R$141)/100)*$T$141, IF(Tabella13[[#This Row],[Taxable salary]]&lt;$R$143,S169+((Tabella13[[#This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17688.440133573778</v>
      </c>
      <c r="AE32" s="27">
        <f ca="1">IF(Tabella13[[#This Row],[Taxable salary]]&lt;$R$161,Tabella13[[#This Row],[Taxable salary]]*S187,IF(Tabella13[[#This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15223.509105189351</v>
      </c>
      <c r="AF32" s="27">
        <f ca="1">IF(Tabella13[[#This Row],[Taxable salary]]&lt;$R$180,Tabella13[[#This Row],[Taxable salary]]*S206,IF(Tabella13[[#This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salary]]&gt;R228,Tabella13[[#This Row],[Taxable salary]]*$S$196))))))))))))))))))</f>
        <v>12082.150083483612</v>
      </c>
      <c r="AG3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23917.369188672961</v>
      </c>
      <c r="AH3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34569.130283844279</v>
      </c>
      <c r="AI3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25372.515175315584</v>
      </c>
      <c r="AJ3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19331.440133573778</v>
      </c>
      <c r="AK3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salary]]*S331))))))))))))</f>
        <v>7007.6470484204947</v>
      </c>
      <c r="AL32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18628.991981501491</v>
      </c>
      <c r="AM3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44144.772179549858</v>
      </c>
      <c r="AN3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32621.805225405755</v>
      </c>
      <c r="AO3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35929.525292192644</v>
      </c>
      <c r="AP3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13991.129796674022</v>
      </c>
      <c r="AQ3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11947.694096840989</v>
      </c>
      <c r="AR3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32030.469323235178</v>
      </c>
      <c r="AS32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7007.6470484204947</v>
      </c>
      <c r="AT32" s="27">
        <f ca="1">Tabella13[[#This Row],[Taxable salary]]*$S$503</f>
        <v>4349.5740300541001</v>
      </c>
      <c r="AU3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23919.857165297552</v>
      </c>
      <c r="AV32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24688.945192012307</v>
      </c>
      <c r="AW32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16821.440133573778</v>
      </c>
      <c r="AX32" s="27">
        <f ca="1">Tabella13[[#This Row],[Taxable salary]]*$S$606</f>
        <v>17156.653118546728</v>
      </c>
      <c r="AY3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27713.735242102473</v>
      </c>
      <c r="AZ3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salary]]*S680)))))))))))))</f>
        <v>0</v>
      </c>
      <c r="BA3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24164.300166967223</v>
      </c>
    </row>
    <row r="33" spans="3:53">
      <c r="C33" s="87"/>
      <c r="L33" s="80">
        <v>48</v>
      </c>
      <c r="M33" s="27">
        <f ca="1">'Income and Pension'!$K49</f>
        <v>318482.26223509043</v>
      </c>
      <c r="N33" s="27">
        <f>SUM('Income and Pension'!$K122,'Partner Income and Pension'!L123)</f>
        <v>26807.692544697427</v>
      </c>
      <c r="O33" s="27">
        <f>SUM('Income and Pension'!$Q122,'Partner Income and Pension'!R123)</f>
        <v>42962.682046893853</v>
      </c>
      <c r="P33" s="27">
        <f>IF(SUMIF('CF Timeline'!$C$4:$BC$4,Tabella2[[#This Row],[Age]],'CF Timeline'!$C$43:$BC$43)&lt;7258, SUMIF('CF Timeline'!$C$4:$BC$4,Tabella2[[#This Row],[Age]],'CF Timeline'!$C$43:$BC$43), 7258)</f>
        <v>0</v>
      </c>
      <c r="Q33" s="27">
        <f ca="1">Tabella2[[#This Row],[Salary and Pension]]-Tabella2[[#This Row],[1° Pillar deductions]]-Tabella2[[#This Row],[2° Pillar deductions]]-Tabella2[[#This Row],[3° Pillar deductions]]</f>
        <v>248711.88764349913</v>
      </c>
      <c r="R33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19515.269168941886</v>
      </c>
      <c r="S33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22139.597986875495</v>
      </c>
      <c r="T33" s="83">
        <f ca="1">Tabella2[[#This Row],[Cantonal taxes]]*$E$8/100</f>
        <v>17268.886429762886</v>
      </c>
      <c r="U33" s="107">
        <f ca="1">Tabella2[[#This Row],[Federal taxes]]+Tabella2[[#This Row],[Cantonal taxes]]+Tabella2[[#This Row],[Comunal taxes]]</f>
        <v>58923.753585580271</v>
      </c>
      <c r="Y33" s="80">
        <v>48</v>
      </c>
      <c r="Z33" s="27">
        <f ca="1">Tabella2[[#This Row],[Taxable salary]]</f>
        <v>248711.88764349913</v>
      </c>
      <c r="AA3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28478.509025147276</v>
      </c>
      <c r="AB3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22591.426517219894</v>
      </c>
      <c r="AC3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23378.917438488919</v>
      </c>
      <c r="AD33" s="27">
        <f ca="1">IF(Tabella13[[#This Row],[Taxable salary]]&lt;$R$142,$S$141+((Tabella13[[#This Row],[Taxable salary]]-$R$141)/100)*$T$141, IF(Tabella13[[#This Row],[Taxable salary]]&lt;$R$143,S170+((Tabella13[[#This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18253.95101147993</v>
      </c>
      <c r="AE33" s="27">
        <f ca="1">IF(Tabella13[[#This Row],[Taxable salary]]&lt;$R$161,Tabella13[[#This Row],[Taxable salary]]*S188,IF(Tabella13[[#This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15668.848921540444</v>
      </c>
      <c r="AF33" s="27">
        <f ca="1">IF(Tabella13[[#This Row],[Taxable salary]]&lt;$R$180,Tabella13[[#This Row],[Taxable salary]]*S207,IF(Tabella13[[#This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salary]]&gt;R229,Tabella13[[#This Row],[Taxable salary]]*$S$196))))))))))))))))))</f>
        <v>12435.594382174957</v>
      </c>
      <c r="AG3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24716.1533037154</v>
      </c>
      <c r="AH3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35770.840899394854</v>
      </c>
      <c r="AI3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26114.748202567407</v>
      </c>
      <c r="AJ3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19896.95101147993</v>
      </c>
      <c r="AK3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salary]]*S332))))))))))))</f>
        <v>7212.6447416614747</v>
      </c>
      <c r="AL33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19347.635271517014</v>
      </c>
      <c r="AM3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44164.034893828531</v>
      </c>
      <c r="AN3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33576.104831872384</v>
      </c>
      <c r="AO3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37166.580337612351</v>
      </c>
      <c r="AP3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14400.4182945586</v>
      </c>
      <c r="AQ3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12357.689483322949</v>
      </c>
      <c r="AR3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32975.579377935836</v>
      </c>
      <c r="AS33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7212.6447416614747</v>
      </c>
      <c r="AT33" s="27">
        <f ca="1">Tabella13[[#This Row],[Taxable salary]]*$S$503</f>
        <v>4476.8139775829841</v>
      </c>
      <c r="AU3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24619.676876706413</v>
      </c>
      <c r="AV33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25501.867079002401</v>
      </c>
      <c r="AW33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17386.95101147993</v>
      </c>
      <c r="AX33" s="27">
        <f ca="1">Tabella13[[#This Row],[Taxable salary]]*$S$606</f>
        <v>17658.544022688435</v>
      </c>
      <c r="AY3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28738.723708307374</v>
      </c>
      <c r="AZ3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salary]]*S681)))))))))))))</f>
        <v>0</v>
      </c>
      <c r="BA3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24871.188764349914</v>
      </c>
    </row>
    <row r="34" spans="3:53">
      <c r="C34" s="87"/>
      <c r="L34" s="80">
        <v>49</v>
      </c>
      <c r="M34" s="27">
        <f ca="1">'Income and Pension'!$K50</f>
        <v>328027.40591450722</v>
      </c>
      <c r="N34" s="27">
        <f>SUM('Income and Pension'!$K123,'Partner Income and Pension'!L124)</f>
        <v>27599.478808485506</v>
      </c>
      <c r="O34" s="27">
        <f>SUM('Income and Pension'!$Q123,'Partner Income and Pension'!R124)</f>
        <v>44466.073686997799</v>
      </c>
      <c r="P34" s="27">
        <f>IF(SUMIF('CF Timeline'!$C$4:$BC$4,Tabella2[[#This Row],[Age]],'CF Timeline'!$C$43:$BC$43)&lt;7258, SUMIF('CF Timeline'!$C$4:$BC$4,Tabella2[[#This Row],[Age]],'CF Timeline'!$C$43:$BC$43), 7258)</f>
        <v>0</v>
      </c>
      <c r="Q34" s="27">
        <f ca="1">Tabella2[[#This Row],[Salary and Pension]]-Tabella2[[#This Row],[1° Pillar deductions]]-Tabella2[[#This Row],[2° Pillar deductions]]-Tabella2[[#This Row],[3° Pillar deductions]]</f>
        <v>255961.85341902392</v>
      </c>
      <c r="R34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20472.264651311158</v>
      </c>
      <c r="S34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22992.193962077214</v>
      </c>
      <c r="T34" s="83">
        <f ca="1">Tabella2[[#This Row],[Cantonal taxes]]*$E$8/100</f>
        <v>17933.911290420227</v>
      </c>
      <c r="U34" s="107">
        <f ca="1">Tabella2[[#This Row],[Federal taxes]]+Tabella2[[#This Row],[Cantonal taxes]]+Tabella2[[#This Row],[Comunal taxes]]</f>
        <v>61398.369903808598</v>
      </c>
      <c r="Y34" s="80">
        <v>49</v>
      </c>
      <c r="Z34" s="27">
        <f ca="1">Tabella2[[#This Row],[Taxable salary]]</f>
        <v>255961.85341902392</v>
      </c>
      <c r="AA3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29496.404220030956</v>
      </c>
      <c r="AB3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23461.42241028287</v>
      </c>
      <c r="AC3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24060.414221388248</v>
      </c>
      <c r="AD34" s="27">
        <f ca="1">IF(Tabella13[[#This Row],[Taxable salary]]&lt;$R$142,$S$141+((Tabella13[[#This Row],[Taxable salary]]-$R$141)/100)*$T$141, IF(Tabella13[[#This Row],[Taxable salary]]&lt;$R$143,S171+((Tabella13[[#This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18833.948273521914</v>
      </c>
      <c r="AE34" s="27">
        <f ca="1">IF(Tabella13[[#This Row],[Taxable salary]]&lt;$R$161,Tabella13[[#This Row],[Taxable salary]]*S189,IF(Tabella13[[#This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16125.596765398506</v>
      </c>
      <c r="AF34" s="27">
        <f ca="1">IF(Tabella13[[#This Row],[Taxable salary]]&lt;$R$180,Tabella13[[#This Row],[Taxable salary]]*S208,IF(Tabella13[[#This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salary]]&gt;R230,Tabella13[[#This Row],[Taxable salary]]*$S$196))))))))))))))))))</f>
        <v>12798.092670951197</v>
      </c>
      <c r="AG3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25535.3994363497</v>
      </c>
      <c r="AH3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37003.335081234065</v>
      </c>
      <c r="AI3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26875.994608997509</v>
      </c>
      <c r="AJ3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20476.948273521914</v>
      </c>
      <c r="AK3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salary]]*S333))))))))))))</f>
        <v>7422.8937491516936</v>
      </c>
      <c r="AL34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20085.633889350785</v>
      </c>
      <c r="AM3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44183.791050566841</v>
      </c>
      <c r="AN3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34554.850211568228</v>
      </c>
      <c r="AO3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38456.752149614542</v>
      </c>
      <c r="AP3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14820.191312961484</v>
      </c>
      <c r="AQ3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12778.187498303387</v>
      </c>
      <c r="AR3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33944.899802123495</v>
      </c>
      <c r="AS34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7422.8937491516936</v>
      </c>
      <c r="AT34" s="27">
        <f ca="1">Tabella13[[#This Row],[Taxable salary]]*$S$503</f>
        <v>4607.3133615424304</v>
      </c>
      <c r="AU3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25337.423488483368</v>
      </c>
      <c r="AV34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26335.613143187751</v>
      </c>
      <c r="AW34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17966.948273521914</v>
      </c>
      <c r="AX34" s="27">
        <f ca="1">Tabella13[[#This Row],[Taxable salary]]*$S$606</f>
        <v>18173.291592750695</v>
      </c>
      <c r="AY3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29807.278012853589</v>
      </c>
      <c r="AZ3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salary]]*S682)))))))))))))</f>
        <v>0</v>
      </c>
      <c r="BA3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25596.185341902394</v>
      </c>
    </row>
    <row r="35" spans="3:53">
      <c r="C35" s="87"/>
      <c r="L35" s="80">
        <v>50</v>
      </c>
      <c r="M35" s="27">
        <f ca="1">'Income and Pension'!$K51</f>
        <v>337817.47594505618</v>
      </c>
      <c r="N35" s="27">
        <f>SUM('Income and Pension'!$K124,'Partner Income and Pension'!L125)</f>
        <v>28411.544787178958</v>
      </c>
      <c r="O35" s="27">
        <f>SUM('Income and Pension'!$Q124,'Partner Income and Pension'!R125)</f>
        <v>46007.971114896762</v>
      </c>
      <c r="P35" s="27">
        <f>IF(SUMIF('CF Timeline'!$C$4:$BC$4,Tabella2[[#This Row],[Age]],'CF Timeline'!$C$43:$BC$43)&lt;7258, SUMIF('CF Timeline'!$C$4:$BC$4,Tabella2[[#This Row],[Age]],'CF Timeline'!$C$43:$BC$43), 7258)</f>
        <v>0</v>
      </c>
      <c r="Q35" s="27">
        <f ca="1">Tabella2[[#This Row],[Salary and Pension]]-Tabella2[[#This Row],[1° Pillar deductions]]-Tabella2[[#This Row],[2° Pillar deductions]]-Tabella2[[#This Row],[3° Pillar deductions]]</f>
        <v>263397.96004298044</v>
      </c>
      <c r="R35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21453.830725673419</v>
      </c>
      <c r="S3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22887.640109475709</v>
      </c>
      <c r="T35" s="83">
        <f ca="1">Tabella2[[#This Row],[Cantonal taxes]]*$E$8/100</f>
        <v>17852.359285391052</v>
      </c>
      <c r="U35" s="107">
        <f ca="1">Tabella2[[#This Row],[Federal taxes]]+Tabella2[[#This Row],[Cantonal taxes]]+Tabella2[[#This Row],[Comunal taxes]]</f>
        <v>62193.83012054018</v>
      </c>
      <c r="Y35" s="80">
        <v>50</v>
      </c>
      <c r="Z35" s="27">
        <f ca="1">Tabella2[[#This Row],[Taxable salary]]</f>
        <v>263397.96004298044</v>
      </c>
      <c r="AA3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30540.433590034452</v>
      </c>
      <c r="AB3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23354.734805587457</v>
      </c>
      <c r="AC3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22388.826603653339</v>
      </c>
      <c r="AD35" s="27">
        <f ca="1">IF(Tabella13[[#This Row],[Taxable salary]]&lt;$R$142,$S$141+((Tabella13[[#This Row],[Taxable salary]]-$R$141)/100)*$T$141, IF(Tabella13[[#This Row],[Taxable salary]]&lt;$R$143,S172+((Tabella13[[#This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19428.836803438433</v>
      </c>
      <c r="AE35" s="27">
        <f ca="1">IF(Tabella13[[#This Row],[Taxable salary]]&lt;$R$161,Tabella13[[#This Row],[Taxable salary]]*S190,IF(Tabella13[[#This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16594.071482707768</v>
      </c>
      <c r="AF35" s="27">
        <f ca="1">IF(Tabella13[[#This Row],[Taxable salary]]&lt;$R$180,Tabella13[[#This Row],[Taxable salary]]*S209,IF(Tabella13[[#This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salary]]&gt;R231,Tabella13[[#This Row],[Taxable salary]]*$S$196))))))))))))))))))</f>
        <v>13169.898002149022</v>
      </c>
      <c r="AG3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26375.679484856788</v>
      </c>
      <c r="AH3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38267.473207306677</v>
      </c>
      <c r="AI3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27656.785804512947</v>
      </c>
      <c r="AJ3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21071.836803438437</v>
      </c>
      <c r="AK3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salary]]*S334))))))))))))</f>
        <v>0</v>
      </c>
      <c r="AL3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20843.547639033393</v>
      </c>
      <c r="AM3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44204.054441117121</v>
      </c>
      <c r="AN3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35558.724605802359</v>
      </c>
      <c r="AO3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39869.612408166286</v>
      </c>
      <c r="AP3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15250.741886488568</v>
      </c>
      <c r="AQ3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13209.481682492866</v>
      </c>
      <c r="AR3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34939.107257746487</v>
      </c>
      <c r="AS3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7638.540841246433</v>
      </c>
      <c r="AT35" s="27">
        <f ca="1">Tabella13[[#This Row],[Taxable salary]]*$S$503</f>
        <v>4741.1632807736478</v>
      </c>
      <c r="AU3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26073.598044255064</v>
      </c>
      <c r="AV3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27190.765404942751</v>
      </c>
      <c r="AW3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18561.836803438433</v>
      </c>
      <c r="AX35" s="27">
        <f ca="1">Tabella13[[#This Row],[Taxable salary]]*$S$606</f>
        <v>18701.25516305161</v>
      </c>
      <c r="AY3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30922.694006447065</v>
      </c>
      <c r="AZ3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salary]]*S683)))))))))))))</f>
        <v>0</v>
      </c>
      <c r="BA3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26339.796004298045</v>
      </c>
    </row>
    <row r="36" spans="3:53">
      <c r="C36" s="87"/>
      <c r="L36" s="80">
        <v>51</v>
      </c>
      <c r="M36" s="27">
        <f ca="1">'Income and Pension'!$K52</f>
        <v>347859.31249556626</v>
      </c>
      <c r="N36" s="27">
        <f>SUM('Income and Pension'!$K125,'Partner Income and Pension'!L126)</f>
        <v>29244.454178055566</v>
      </c>
      <c r="O36" s="27">
        <f>SUM('Income and Pension'!$Q125,'Partner Income and Pension'!R126)</f>
        <v>47589.444641877664</v>
      </c>
      <c r="P36" s="27">
        <f>IF(SUMIF('CF Timeline'!$C$4:$BC$4,Tabella2[[#This Row],[Age]],'CF Timeline'!$C$43:$BC$43)&lt;7258, SUMIF('CF Timeline'!$C$4:$BC$4,Tabella2[[#This Row],[Age]],'CF Timeline'!$C$43:$BC$43), 7258)</f>
        <v>0</v>
      </c>
      <c r="Q36" s="27">
        <f ca="1">Tabella2[[#This Row],[Salary and Pension]]-Tabella2[[#This Row],[1° Pillar deductions]]-Tabella2[[#This Row],[2° Pillar deductions]]-Tabella2[[#This Row],[3° Pillar deductions]]</f>
        <v>271025.41367563303</v>
      </c>
      <c r="R36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22460.654605183561</v>
      </c>
      <c r="S36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23859.377702275648</v>
      </c>
      <c r="T36" s="83">
        <f ca="1">Tabella2[[#This Row],[Cantonal taxes]]*$E$8/100</f>
        <v>18610.314607775003</v>
      </c>
      <c r="U36" s="107">
        <f ca="1">Tabella2[[#This Row],[Federal taxes]]+Tabella2[[#This Row],[Cantonal taxes]]+Tabella2[[#This Row],[Comunal taxes]]</f>
        <v>64930.346915234215</v>
      </c>
      <c r="Y36" s="80">
        <v>51</v>
      </c>
      <c r="Z36" s="27">
        <f ca="1">Tabella2[[#This Row],[Taxable salary]]</f>
        <v>271025.41367563303</v>
      </c>
      <c r="AA3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31611.328080058876</v>
      </c>
      <c r="AB3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24346.303777832294</v>
      </c>
      <c r="AC3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23037.160162428809</v>
      </c>
      <c r="AD36" s="27">
        <f ca="1">IF(Tabella13[[#This Row],[Taxable salary]]&lt;$R$142,$S$141+((Tabella13[[#This Row],[Taxable salary]]-$R$141)/100)*$T$141, IF(Tabella13[[#This Row],[Taxable salary]]&lt;$R$143,S173+((Tabella13[[#This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20039.033094050643</v>
      </c>
      <c r="AE36" s="27">
        <f ca="1">IF(Tabella13[[#This Row],[Taxable salary]]&lt;$R$161,Tabella13[[#This Row],[Taxable salary]]*S191,IF(Tabella13[[#This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17074.601061564881</v>
      </c>
      <c r="AF36" s="27">
        <f ca="1">IF(Tabella13[[#This Row],[Taxable salary]]&lt;$R$180,Tabella13[[#This Row],[Taxable salary]]*S210,IF(Tabella13[[#This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salary]]&gt;R232,Tabella13[[#This Row],[Taxable salary]]*$S$196))))))))))))))))))</f>
        <v>13551.270683781651</v>
      </c>
      <c r="AG3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27237.581745346532</v>
      </c>
      <c r="AH3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39564.140324857617</v>
      </c>
      <c r="AI3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28457.668435941468</v>
      </c>
      <c r="AJ3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21682.033094050643</v>
      </c>
      <c r="AK36" s="27" t="e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salary]]*S335))))))))))))</f>
        <v>#VALUE!</v>
      </c>
      <c r="AL36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21621.95302247721</v>
      </c>
      <c r="AM3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44224.839252266102</v>
      </c>
      <c r="AN3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36588.43084621046</v>
      </c>
      <c r="AO3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41318.828598370274</v>
      </c>
      <c r="AP3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15692.371451819152</v>
      </c>
      <c r="AQ3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13651.873993186715</v>
      </c>
      <c r="AR3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35958.897808432135</v>
      </c>
      <c r="AS36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7859.7369965933585</v>
      </c>
      <c r="AT36" s="27">
        <f ca="1">Tabella13[[#This Row],[Taxable salary]]*$S$503</f>
        <v>4878.4574461613938</v>
      </c>
      <c r="AU3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26828.715953887669</v>
      </c>
      <c r="AV36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28067.9225726978</v>
      </c>
      <c r="AW36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19172.033094050643</v>
      </c>
      <c r="AX36" s="27">
        <f ca="1">Tabella13[[#This Row],[Taxable salary]]*$S$606</f>
        <v>19242.804370969941</v>
      </c>
      <c r="AY3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32066.812051344954</v>
      </c>
      <c r="AZ3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salary]]*S684)))))))))))))</f>
        <v>0</v>
      </c>
      <c r="BA3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27102.541367563303</v>
      </c>
    </row>
    <row r="37" spans="3:53">
      <c r="C37" s="87"/>
      <c r="L37" s="80">
        <v>52</v>
      </c>
      <c r="M37" s="27">
        <f ca="1">'Income and Pension'!$K53</f>
        <v>358159.95160623605</v>
      </c>
      <c r="N37" s="27">
        <f>SUM('Income and Pension'!$K126,'Partner Income and Pension'!L127)</f>
        <v>30098.786738726598</v>
      </c>
      <c r="O37" s="27">
        <f>SUM('Income and Pension'!$Q126,'Partner Income and Pension'!R127)</f>
        <v>49211.595073531513</v>
      </c>
      <c r="P37" s="27">
        <f>IF(SUMIF('CF Timeline'!$C$4:$BC$4,Tabella2[[#This Row],[Age]],'CF Timeline'!$C$43:$BC$43)&lt;7258, SUMIF('CF Timeline'!$C$4:$BC$4,Tabella2[[#This Row],[Age]],'CF Timeline'!$C$43:$BC$43), 7258)</f>
        <v>0</v>
      </c>
      <c r="Q37" s="27">
        <f ca="1">Tabella2[[#This Row],[Salary and Pension]]-Tabella2[[#This Row],[1° Pillar deductions]]-Tabella2[[#This Row],[2° Pillar deductions]]-Tabella2[[#This Row],[3° Pillar deductions]]</f>
        <v>278849.56979397795</v>
      </c>
      <c r="R37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23493.44321280509</v>
      </c>
      <c r="S37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24856.175191752791</v>
      </c>
      <c r="T37" s="83">
        <f ca="1">Tabella2[[#This Row],[Cantonal taxes]]*$E$8/100</f>
        <v>19387.816649567176</v>
      </c>
      <c r="U37" s="107">
        <f ca="1">Tabella2[[#This Row],[Federal taxes]]+Tabella2[[#This Row],[Cantonal taxes]]+Tabella2[[#This Row],[Comunal taxes]]</f>
        <v>67737.435054125061</v>
      </c>
      <c r="Y37" s="80">
        <v>52</v>
      </c>
      <c r="Z37" s="27">
        <f ca="1">Tabella2[[#This Row],[Taxable salary]]</f>
        <v>278849.56979397795</v>
      </c>
      <c r="AA3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32709.839599074505</v>
      </c>
      <c r="AB3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25363.444073217135</v>
      </c>
      <c r="AC3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23702.213432488126</v>
      </c>
      <c r="AD37" s="27">
        <f ca="1">IF(Tabella13[[#This Row],[Taxable salary]]&lt;$R$142,$S$141+((Tabella13[[#This Row],[Taxable salary]]-$R$141)/100)*$T$141, IF(Tabella13[[#This Row],[Taxable salary]]&lt;$R$143,S174+((Tabella13[[#This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20664.965583518235</v>
      </c>
      <c r="AE37" s="27">
        <f ca="1">IF(Tabella13[[#This Row],[Taxable salary]]&lt;$R$161,Tabella13[[#This Row],[Taxable salary]]*S192,IF(Tabella13[[#This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17567.522897020612</v>
      </c>
      <c r="AF37" s="27">
        <f ca="1">IF(Tabella13[[#This Row],[Taxable salary]]&lt;$R$180,Tabella13[[#This Row],[Taxable salary]]*S211,IF(Tabella13[[#This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salary]]&gt;R233,Tabella13[[#This Row],[Taxable salary]]*$S$196))))))))))))))))))</f>
        <v>13942.478489698899</v>
      </c>
      <c r="AG3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28121.711386719508</v>
      </c>
      <c r="AH3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40919.249713946141</v>
      </c>
      <c r="AI3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29279.204828367685</v>
      </c>
      <c r="AJ3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22307.965583518235</v>
      </c>
      <c r="AK37" s="27" t="e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salary]]*S336))))))))))))</f>
        <v>#VALUE!</v>
      </c>
      <c r="AL37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22421.443740153878</v>
      </c>
      <c r="AM3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44246.16007768859</v>
      </c>
      <c r="AN3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37644.691922187027</v>
      </c>
      <c r="AO3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42805.418260855811</v>
      </c>
      <c r="AP3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16145.390091071324</v>
      </c>
      <c r="AQ3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14105.675048050722</v>
      </c>
      <c r="AR3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37004.987481454853</v>
      </c>
      <c r="AS37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salary]]*$S$489,IF(Q509&lt;$R$491,Tabella13[[#This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8086.637524025361</v>
      </c>
      <c r="AT37" s="27">
        <f ca="1">Tabella13[[#This Row],[Taxable salary]]*$S$503</f>
        <v>5019.2922562916028</v>
      </c>
      <c r="AU3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27603.307409603818</v>
      </c>
      <c r="AV37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28967.700526307464</v>
      </c>
      <c r="AW37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19797.965583518235</v>
      </c>
      <c r="AX37" s="27">
        <f ca="1">Tabella13[[#This Row],[Taxable salary]]*$S$606</f>
        <v>19798.319455372432</v>
      </c>
      <c r="AY3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33240.435469096694</v>
      </c>
      <c r="AZ3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salary]]*S685)))))))))))))</f>
        <v>0</v>
      </c>
      <c r="BA3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27884.956979397797</v>
      </c>
    </row>
    <row r="38" spans="3:53">
      <c r="C38" s="87"/>
      <c r="L38" s="80">
        <v>53</v>
      </c>
      <c r="M38" s="27">
        <f ca="1">'Income and Pension'!$K54</f>
        <v>368726.63085462351</v>
      </c>
      <c r="N38" s="27">
        <f>SUM('Income and Pension'!$K127,'Partner Income and Pension'!L128)</f>
        <v>30975.138749507209</v>
      </c>
      <c r="O38" s="27">
        <f>SUM('Income and Pension'!$Q127,'Partner Income and Pension'!R128)</f>
        <v>50875.554587671912</v>
      </c>
      <c r="P38" s="27">
        <f>IF(SUMIF('CF Timeline'!$C$4:$BC$4,Tabella2[[#This Row],[Age]],'CF Timeline'!$C$43:$BC$43)&lt;7258, SUMIF('CF Timeline'!$C$4:$BC$4,Tabella2[[#This Row],[Age]],'CF Timeline'!$C$43:$BC$43), 7258)</f>
        <v>0</v>
      </c>
      <c r="Q38" s="27">
        <f ca="1">Tabella2[[#This Row],[Salary and Pension]]-Tabella2[[#This Row],[1° Pillar deductions]]-Tabella2[[#This Row],[2° Pillar deductions]]-Tabella2[[#This Row],[3° Pillar deductions]]</f>
        <v>286875.93751744437</v>
      </c>
      <c r="R38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24552.923752302653</v>
      </c>
      <c r="S38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25878.734439722411</v>
      </c>
      <c r="T38" s="83">
        <f ca="1">Tabella2[[#This Row],[Cantonal taxes]]*$E$8/100</f>
        <v>20185.412862983481</v>
      </c>
      <c r="U38" s="107">
        <f ca="1">Tabella2[[#This Row],[Federal taxes]]+Tabella2[[#This Row],[Cantonal taxes]]+Tabella2[[#This Row],[Comunal taxes]]</f>
        <v>70617.071055008535</v>
      </c>
      <c r="Y38" s="80">
        <v>53</v>
      </c>
      <c r="Z38" s="27">
        <f ca="1">Tabella2[[#This Row],[Taxable salary]]</f>
        <v>286875.93751744437</v>
      </c>
      <c r="AA3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33836.741627449184</v>
      </c>
      <c r="AB3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26406.871877267768</v>
      </c>
      <c r="AC3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24384.454688982772</v>
      </c>
      <c r="AD38" s="27">
        <f ca="1">IF(Tabella13[[#This Row],[Taxable salary]]&lt;$R$142,$S$141+((Tabella13[[#This Row],[Taxable salary]]-$R$141)/100)*$T$141, IF(Tabella13[[#This Row],[Taxable salary]]&lt;$R$143,S175+((Tabella13[[#This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21307.075001395548</v>
      </c>
      <c r="AE38" s="27">
        <f ca="1">IF(Tabella13[[#This Row],[Taxable salary]]&lt;$R$161,Tabella13[[#This Row],[Taxable salary]]*S193,IF(Tabella13[[#This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18073.184063598994</v>
      </c>
      <c r="AF38" s="27">
        <f ca="1">IF(Tabella13[[#This Row],[Taxable salary]]&lt;$R$180,Tabella13[[#This Row],[Taxable salary]]*S212,IF(Tabella13[[#This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salary]]&gt;R234,Tabella13[[#This Row],[Taxable salary]]*$S$196))))))))))))))))))</f>
        <v>14343.79687587222</v>
      </c>
      <c r="AG3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29028.690939471213</v>
      </c>
      <c r="AH3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42323.864065552763</v>
      </c>
      <c r="AI3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30121.973439331658</v>
      </c>
      <c r="AJ3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22950.075001395551</v>
      </c>
      <c r="AK3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salary]]*S337))))))))))))</f>
        <v>0</v>
      </c>
      <c r="AL38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23242.631206984799</v>
      </c>
      <c r="AM3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44268.031929735036</v>
      </c>
      <c r="AN3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38728.251564854996</v>
      </c>
      <c r="AO3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44330.42812831443</v>
      </c>
      <c r="AP3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16610.116782260029</v>
      </c>
      <c r="AQ3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14571.204376011774</v>
      </c>
      <c r="AR3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38078.112846082309</v>
      </c>
      <c r="AS38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8319.4021880058863</v>
      </c>
      <c r="AT38" s="27">
        <f ca="1">Tabella13[[#This Row],[Taxable salary]]*$S$503</f>
        <v>5163.7668753139978</v>
      </c>
      <c r="AU3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28397.917814226992</v>
      </c>
      <c r="AV38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29890.732814506104</v>
      </c>
      <c r="AW38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20440.075001395548</v>
      </c>
      <c r="AX38" s="27">
        <f ca="1">Tabella13[[#This Row],[Taxable salary]]*$S$606</f>
        <v>20368.19156373855</v>
      </c>
      <c r="AY3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34444.390627616653</v>
      </c>
      <c r="AZ3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salary]]*S686)))))))))))))</f>
        <v>0</v>
      </c>
      <c r="BA3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28687.59375174444</v>
      </c>
    </row>
    <row r="39" spans="3:53">
      <c r="C39" s="87"/>
      <c r="L39" s="80">
        <v>54</v>
      </c>
      <c r="M39" s="27">
        <f ca="1">'Income and Pension'!$K55</f>
        <v>379566.79518656817</v>
      </c>
      <c r="N39" s="27">
        <f>SUM('Income and Pension'!$K128,'Partner Income and Pension'!L129)</f>
        <v>31874.123489187936</v>
      </c>
      <c r="O39" s="27">
        <f>SUM('Income and Pension'!$Q128,'Partner Income and Pension'!R129)</f>
        <v>52582.487637698607</v>
      </c>
      <c r="P39" s="27">
        <f>IF(SUMIF('CF Timeline'!$C$4:$BC$4,Tabella2[[#This Row],[Age]],'CF Timeline'!$C$43:$BC$43)&lt;7258, SUMIF('CF Timeline'!$C$4:$BC$4,Tabella2[[#This Row],[Age]],'CF Timeline'!$C$43:$BC$43), 7258)</f>
        <v>0</v>
      </c>
      <c r="Q39" s="27">
        <f ca="1">Tabella2[[#This Row],[Salary and Pension]]-Tabella2[[#This Row],[1° Pillar deductions]]-Tabella2[[#This Row],[2° Pillar deductions]]-Tabella2[[#This Row],[3° Pillar deductions]]</f>
        <v>295110.18405968166</v>
      </c>
      <c r="R39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25639.844295877978</v>
      </c>
      <c r="S39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26927.777449203444</v>
      </c>
      <c r="T39" s="83">
        <f ca="1">Tabella2[[#This Row],[Cantonal taxes]]*$E$8/100</f>
        <v>21003.66641037869</v>
      </c>
      <c r="U39" s="107">
        <f ca="1">Tabella2[[#This Row],[Federal taxes]]+Tabella2[[#This Row],[Cantonal taxes]]+Tabella2[[#This Row],[Comunal taxes]]</f>
        <v>73571.288155460119</v>
      </c>
      <c r="Y39" s="80">
        <v>54</v>
      </c>
      <c r="Z39" s="27">
        <f ca="1">Tabella2[[#This Row],[Taxable salary]]</f>
        <v>295110.18405968166</v>
      </c>
      <c r="AA3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34992.829841979306</v>
      </c>
      <c r="AB3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27477.323927758618</v>
      </c>
      <c r="AC3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25084.365645072943</v>
      </c>
      <c r="AD39" s="27">
        <f ca="1">IF(Tabella13[[#This Row],[Taxable salary]]&lt;$R$142,$S$141+((Tabella13[[#This Row],[Taxable salary]]-$R$141)/100)*$T$141, IF(Tabella13[[#This Row],[Taxable salary]]&lt;$R$143,S176+((Tabella13[[#This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21965.814724774533</v>
      </c>
      <c r="AE39" s="27">
        <f ca="1">IF(Tabella13[[#This Row],[Taxable salary]]&lt;$R$161,Tabella13[[#This Row],[Taxable salary]]*S194,IF(Tabella13[[#This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18591.941595759945</v>
      </c>
      <c r="AF39" s="27">
        <f ca="1">IF(Tabella13[[#This Row],[Taxable salary]]&lt;$R$180,Tabella13[[#This Row],[Taxable salary]]*S213,IF(Tabella13[[#This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salary]]&gt;R235,Tabella13[[#This Row],[Taxable salary]]*$S$196))))))))))))))))))</f>
        <v>14755.509202984083</v>
      </c>
      <c r="AG3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29959.160798744029</v>
      </c>
      <c r="AH3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43782.073130742698</v>
      </c>
      <c r="AI3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30986.569326266574</v>
      </c>
      <c r="AJ3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23608.814724774533</v>
      </c>
      <c r="AK3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salary]]*S338))))))))))))</f>
        <v>13001964489.301455</v>
      </c>
      <c r="AL39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24086.145083901603</v>
      </c>
      <c r="AM3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44290.470251562634</v>
      </c>
      <c r="AN3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39839.874848057028</v>
      </c>
      <c r="AO3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45894.934971339513</v>
      </c>
      <c r="AP3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17086.879657055568</v>
      </c>
      <c r="AQ3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15048.790675461536</v>
      </c>
      <c r="AR3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39179.031608779434</v>
      </c>
      <c r="AS39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8558.1953377307691</v>
      </c>
      <c r="AT39" s="27">
        <f ca="1">Tabella13[[#This Row],[Taxable salary]]*$S$503</f>
        <v>5311.9833130742691</v>
      </c>
      <c r="AU3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29213.108221908486</v>
      </c>
      <c r="AV39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30837.671166863391</v>
      </c>
      <c r="AW39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21098.814724774533</v>
      </c>
      <c r="AX39" s="27">
        <f ca="1">Tabella13[[#This Row],[Taxable salary]]*$S$606</f>
        <v>20952.823068237398</v>
      </c>
      <c r="AY3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35717.078529250655</v>
      </c>
      <c r="AZ3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salary]]*S687)))))))))))))</f>
        <v>0</v>
      </c>
      <c r="BA3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29511.018405968167</v>
      </c>
    </row>
    <row r="40" spans="3:53">
      <c r="C40" s="87"/>
      <c r="L40" s="80">
        <v>55</v>
      </c>
      <c r="M40" s="27">
        <f ca="1">'Income and Pension'!$K56</f>
        <v>390688.10291687184</v>
      </c>
      <c r="N40" s="27">
        <f>SUM('Income and Pension'!$K129,'Partner Income and Pension'!L130)</f>
        <v>32796.371724597688</v>
      </c>
      <c r="O40" s="27">
        <f>SUM('Income and Pension'!$Q129,'Partner Income and Pension'!R130)</f>
        <v>65200.31025857701</v>
      </c>
      <c r="P40" s="27">
        <f>IF(SUMIF('CF Timeline'!$C$4:$BC$4,Tabella2[[#This Row],[Age]],'CF Timeline'!$C$43:$BC$43)&lt;7258, SUMIF('CF Timeline'!$C$4:$BC$4,Tabella2[[#This Row],[Age]],'CF Timeline'!$C$43:$BC$43), 7258)</f>
        <v>0</v>
      </c>
      <c r="Q40" s="27">
        <f ca="1">Tabella2[[#This Row],[Salary and Pension]]-Tabella2[[#This Row],[1° Pillar deductions]]-Tabella2[[#This Row],[2° Pillar deductions]]-Tabella2[[#This Row],[3° Pillar deductions]]</f>
        <v>292691.42093369714</v>
      </c>
      <c r="R40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25320.56756324802</v>
      </c>
      <c r="S40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26619.627026953018</v>
      </c>
      <c r="T40" s="83">
        <f ca="1">Tabella2[[#This Row],[Cantonal taxes]]*$E$8/100</f>
        <v>20763.309081023355</v>
      </c>
      <c r="U40" s="107">
        <f ca="1">Tabella2[[#This Row],[Federal taxes]]+Tabella2[[#This Row],[Cantonal taxes]]+Tabella2[[#This Row],[Comunal taxes]]</f>
        <v>72703.503671224389</v>
      </c>
      <c r="Y40" s="80">
        <v>55</v>
      </c>
      <c r="Z40" s="27">
        <f ca="1">Tabella2[[#This Row],[Taxable salary]]</f>
        <v>292691.42093369714</v>
      </c>
      <c r="AA4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34653.235499091083</v>
      </c>
      <c r="AB4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27162.884721380629</v>
      </c>
      <c r="AC4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24878.770779364258</v>
      </c>
      <c r="AD40" s="27">
        <f ca="1">IF(Tabella13[[#This Row],[Taxable salary]]&lt;$R$142,$S$141+((Tabella13[[#This Row],[Taxable salary]]-$R$141)/100)*$T$141, IF(Tabella13[[#This Row],[Taxable salary]]&lt;$R$143,S177+((Tabella13[[#This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21772.313674695772</v>
      </c>
      <c r="AE40" s="27">
        <f ca="1">IF(Tabella13[[#This Row],[Taxable salary]]&lt;$R$161,Tabella13[[#This Row],[Taxable salary]]*S195,IF(Tabella13[[#This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18439.55951882292</v>
      </c>
      <c r="AF40" s="27">
        <f ca="1">IF(Tabella13[[#This Row],[Taxable salary]]&lt;$R$180,Tabella13[[#This Row],[Taxable salary]]*S214,IF(Tabella13[[#This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salary]]&gt;R236,Tabella13[[#This Row],[Taxable salary]]*$S$196))))))))))))))))))</f>
        <v>14634.571046684858</v>
      </c>
      <c r="AG4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29685.840565507773</v>
      </c>
      <c r="AH4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43346.695768065489</v>
      </c>
      <c r="AI4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30732.599198038199</v>
      </c>
      <c r="AJ4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23415.313674695772</v>
      </c>
      <c r="AK4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salary]]*S339))))))))))))</f>
        <v>21070562701.595924</v>
      </c>
      <c r="AL40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23838.258289702178</v>
      </c>
      <c r="AM4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44283.879122044324</v>
      </c>
      <c r="AN4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39513.341826049116</v>
      </c>
      <c r="AO4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45435.369977402457</v>
      </c>
      <c r="AP4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16946.833272061063</v>
      </c>
      <c r="AQ4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14908.502414154435</v>
      </c>
      <c r="AR4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38855.642978835305</v>
      </c>
      <c r="AS40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8488.0512070772184</v>
      </c>
      <c r="AT40" s="27">
        <f ca="1">Tabella13[[#This Row],[Taxable salary]]*$S$503</f>
        <v>5268.4455768065482</v>
      </c>
      <c r="AU4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28973.650672436019</v>
      </c>
      <c r="AV40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30559.513407375172</v>
      </c>
      <c r="AW40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20905.313674695772</v>
      </c>
      <c r="AX40" s="27">
        <f ca="1">Tabella13[[#This Row],[Taxable salary]]*$S$606</f>
        <v>20781.090886292495</v>
      </c>
      <c r="AY4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35342.170244723056</v>
      </c>
      <c r="AZ4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salary]]*S688)))))))))))))</f>
        <v>0</v>
      </c>
      <c r="BA4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29269.142093369715</v>
      </c>
    </row>
    <row r="41" spans="3:53">
      <c r="C41" s="87"/>
      <c r="L41" s="80">
        <v>56</v>
      </c>
      <c r="M41" s="27">
        <f ca="1">'Income and Pension'!$K57</f>
        <v>402098.43190470315</v>
      </c>
      <c r="N41" s="27">
        <f>SUM('Income and Pension'!$K130,'Partner Income and Pension'!L131)</f>
        <v>33742.532214360384</v>
      </c>
      <c r="O41" s="27">
        <f>SUM('Income and Pension'!$Q130,'Partner Income and Pension'!R131)</f>
        <v>67356.118969428731</v>
      </c>
      <c r="P41" s="27">
        <f>IF(SUMIF('CF Timeline'!$C$4:$BC$4,Tabella2[[#This Row],[Age]],'CF Timeline'!$C$43:$BC$43)&lt;7258, SUMIF('CF Timeline'!$C$4:$BC$4,Tabella2[[#This Row],[Age]],'CF Timeline'!$C$43:$BC$43), 7258)</f>
        <v>0</v>
      </c>
      <c r="Q41" s="27">
        <f ca="1">Tabella2[[#This Row],[Salary and Pension]]-Tabella2[[#This Row],[1° Pillar deductions]]-Tabella2[[#This Row],[2° Pillar deductions]]-Tabella2[[#This Row],[3° Pillar deductions]]</f>
        <v>300999.78072091402</v>
      </c>
      <c r="R41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26417.271055160651</v>
      </c>
      <c r="S41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27678.112063844444</v>
      </c>
      <c r="T41" s="83">
        <f ca="1">Tabella2[[#This Row],[Cantonal taxes]]*$E$8/100</f>
        <v>21588.927409798667</v>
      </c>
      <c r="U41" s="107">
        <f ca="1">Tabella2[[#This Row],[Federal taxes]]+Tabella2[[#This Row],[Cantonal taxes]]+Tabella2[[#This Row],[Comunal taxes]]</f>
        <v>75684.310528803762</v>
      </c>
      <c r="Y41" s="80">
        <v>56</v>
      </c>
      <c r="Z41" s="27">
        <f ca="1">Tabella2[[#This Row],[Taxable salary]]</f>
        <v>300999.78072091402</v>
      </c>
      <c r="AA4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35819.729213216327</v>
      </c>
      <c r="AB4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28242.971493718822</v>
      </c>
      <c r="AC4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25584.981361277692</v>
      </c>
      <c r="AD41" s="27">
        <f ca="1">IF(Tabella13[[#This Row],[Taxable salary]]&lt;$R$142,$S$141+((Tabella13[[#This Row],[Taxable salary]]-$R$141)/100)*$T$141, IF(Tabella13[[#This Row],[Taxable salary]]&lt;$R$143,S178+((Tabella13[[#This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22436.982457673119</v>
      </c>
      <c r="AE41" s="27">
        <f ca="1">IF(Tabella13[[#This Row],[Taxable salary]]&lt;$R$161,Tabella13[[#This Row],[Taxable salary]]*S196,IF(Tabella13[[#This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18962.986185417583</v>
      </c>
      <c r="AF41" s="27">
        <f ca="1">IF(Tabella13[[#This Row],[Taxable salary]]&lt;$R$180,Tabella13[[#This Row],[Taxable salary]]*S215,IF(Tabella13[[#This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salary]]&gt;R237,Tabella13[[#This Row],[Taxable salary]]*$S$196))))))))))))))))))</f>
        <v>15049.989036045701</v>
      </c>
      <c r="AG4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30624.685221463282</v>
      </c>
      <c r="AH4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44842.200529764523</v>
      </c>
      <c r="AI4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31604.976975695972</v>
      </c>
      <c r="AJ4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24079.982457673123</v>
      </c>
      <c r="AK4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salary]]*S340))))))))))))</f>
        <v>0</v>
      </c>
      <c r="AL41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24690.114525390396</v>
      </c>
      <c r="AM4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44306.519402464488</v>
      </c>
      <c r="AN4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40634.970397323392</v>
      </c>
      <c r="AO4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47013.958336973665</v>
      </c>
      <c r="AP4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17427.887303740921</v>
      </c>
      <c r="AQ4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15390.387281813011</v>
      </c>
      <c r="AR4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39966.470682386207</v>
      </c>
      <c r="AS41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8728.9936409065067</v>
      </c>
      <c r="AT41" s="27">
        <f ca="1">Tabella13[[#This Row],[Taxable salary]]*$S$503</f>
        <v>5417.9960529764521</v>
      </c>
      <c r="AU4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29796.178291370488</v>
      </c>
      <c r="AV41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31514.974782905112</v>
      </c>
      <c r="AW41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21569.982457673119</v>
      </c>
      <c r="AX41" s="27">
        <f ca="1">Tabella13[[#This Row],[Taxable salary]]*$S$606</f>
        <v>21370.984431184894</v>
      </c>
      <c r="AY4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36629.966011741672</v>
      </c>
      <c r="AZ4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salary]]*S689)))))))))))))</f>
        <v>0</v>
      </c>
      <c r="BA4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30099.978072091402</v>
      </c>
    </row>
    <row r="42" spans="3:53">
      <c r="C42" s="87"/>
      <c r="L42" s="80">
        <v>57</v>
      </c>
      <c r="M42" s="27">
        <f ca="1">'Income and Pension'!$K58</f>
        <v>413805.88590884011</v>
      </c>
      <c r="N42" s="27">
        <f>SUM('Income and Pension'!$K131,'Partner Income and Pension'!L132)</f>
        <v>34713.272227258742</v>
      </c>
      <c r="O42" s="27">
        <f>SUM('Income and Pension'!$Q131,'Partner Income and Pension'!R132)</f>
        <v>69567.931657045236</v>
      </c>
      <c r="P42" s="27">
        <f>IF(SUMIF('CF Timeline'!$C$4:$BC$4,Tabella2[[#This Row],[Age]],'CF Timeline'!$C$43:$BC$43)&lt;7258, SUMIF('CF Timeline'!$C$4:$BC$4,Tabella2[[#This Row],[Age]],'CF Timeline'!$C$43:$BC$43), 7258)</f>
        <v>0</v>
      </c>
      <c r="Q42" s="27">
        <f ca="1">Tabella2[[#This Row],[Salary and Pension]]-Tabella2[[#This Row],[1° Pillar deductions]]-Tabella2[[#This Row],[2° Pillar deductions]]-Tabella2[[#This Row],[3° Pillar deductions]]</f>
        <v>309524.68202453607</v>
      </c>
      <c r="R42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27542.558027238763</v>
      </c>
      <c r="S42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28764.184489925894</v>
      </c>
      <c r="T42" s="83">
        <f ca="1">Tabella2[[#This Row],[Cantonal taxes]]*$E$8/100</f>
        <v>22436.063902142196</v>
      </c>
      <c r="U42" s="107">
        <f ca="1">Tabella2[[#This Row],[Federal taxes]]+Tabella2[[#This Row],[Cantonal taxes]]+Tabella2[[#This Row],[Comunal taxes]]</f>
        <v>78742.806419306857</v>
      </c>
      <c r="Y42" s="80">
        <v>57</v>
      </c>
      <c r="Z42" s="27">
        <f ca="1">Tabella2[[#This Row],[Taxable salary]]</f>
        <v>309524.68202453607</v>
      </c>
      <c r="AA4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37016.625356244862</v>
      </c>
      <c r="AB4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29351.208663189689</v>
      </c>
      <c r="AC4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26309.597972085568</v>
      </c>
      <c r="AD42" s="27">
        <f ca="1">IF(Tabella13[[#This Row],[Taxable salary]]&lt;$R$142,$S$141+((Tabella13[[#This Row],[Taxable salary]]-$R$141)/100)*$T$141, IF(Tabella13[[#This Row],[Taxable salary]]&lt;$R$143,S179+((Tabella13[[#This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23118.974561962888</v>
      </c>
      <c r="AE42" s="27">
        <f ca="1">IF(Tabella13[[#This Row],[Taxable salary]]&lt;$R$161,Tabella13[[#This Row],[Taxable salary]]*S197,IF(Tabella13[[#This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19500.054967545773</v>
      </c>
      <c r="AF42" s="27">
        <f ca="1">IF(Tabella13[[#This Row],[Taxable salary]]&lt;$R$180,Tabella13[[#This Row],[Taxable salary]]*S216,IF(Tabella13[[#This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salary]]&gt;R238,Tabella13[[#This Row],[Taxable salary]]*$S$196))))))))))))))))))</f>
        <v>15476.234101226804</v>
      </c>
      <c r="AG4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31587.999068772573</v>
      </c>
      <c r="AH4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46376.682764416495</v>
      </c>
      <c r="AI4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32500.091612576285</v>
      </c>
      <c r="AJ4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24761.974561962885</v>
      </c>
      <c r="AK4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salary]]*S341))))))))))))</f>
        <v>0</v>
      </c>
      <c r="AL42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25565.253552993403</v>
      </c>
      <c r="AM4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44329.74975851686</v>
      </c>
      <c r="AN4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41785.832073312369</v>
      </c>
      <c r="AO4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48633.689584661857</v>
      </c>
      <c r="AP4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17921.47908922064</v>
      </c>
      <c r="AQ4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15884.831557423093</v>
      </c>
      <c r="AR4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41102.409223539362</v>
      </c>
      <c r="AS42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8976.2157787115466</v>
      </c>
      <c r="AT42" s="27">
        <f ca="1">Tabella13[[#This Row],[Taxable salary]]*$S$503</f>
        <v>5571.444276441649</v>
      </c>
      <c r="AU4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30640.143520429072</v>
      </c>
      <c r="AV42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32495.338432821645</v>
      </c>
      <c r="AW42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22251.974561962888</v>
      </c>
      <c r="AX42" s="27">
        <f ca="1">Tabella13[[#This Row],[Taxable salary]]*$S$606</f>
        <v>21976.252423742058</v>
      </c>
      <c r="AY4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37951.325713803089</v>
      </c>
      <c r="AZ4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salary]]*Q690)))))))))))))</f>
        <v>0</v>
      </c>
      <c r="BA4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30952.468202453609</v>
      </c>
    </row>
    <row r="43" spans="3:53">
      <c r="C43" s="87"/>
      <c r="L43" s="80">
        <v>58</v>
      </c>
      <c r="M43" s="27">
        <f ca="1">'Income and Pension'!$K59</f>
        <v>425818.80112801213</v>
      </c>
      <c r="N43" s="27">
        <f>SUM('Income and Pension'!$K132,'Partner Income and Pension'!L133)</f>
        <v>35709.278075631191</v>
      </c>
      <c r="O43" s="27">
        <f>SUM('Income and Pension'!$Q132,'Partner Income and Pension'!R133)</f>
        <v>71837.312071058419</v>
      </c>
      <c r="P43" s="27">
        <f>IF(SUMIF('CF Timeline'!$C$4:$BC$4,Tabella2[[#This Row],[Age]],'CF Timeline'!$C$43:$BC$43)&lt;7258, SUMIF('CF Timeline'!$C$4:$BC$4,Tabella2[[#This Row],[Age]],'CF Timeline'!$C$43:$BC$43), 7258)</f>
        <v>0</v>
      </c>
      <c r="Q43" s="27">
        <f ca="1">Tabella2[[#This Row],[Salary and Pension]]-Tabella2[[#This Row],[1° Pillar deductions]]-Tabella2[[#This Row],[2° Pillar deductions]]-Tabella2[[#This Row],[3° Pillar deductions]]</f>
        <v>318272.21098132251</v>
      </c>
      <c r="R43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28697.231849534572</v>
      </c>
      <c r="S43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29878.619679020489</v>
      </c>
      <c r="T43" s="83">
        <f ca="1">Tabella2[[#This Row],[Cantonal taxes]]*$E$8/100</f>
        <v>23305.323349635983</v>
      </c>
      <c r="U43" s="107">
        <f ca="1">Tabella2[[#This Row],[Federal taxes]]+Tabella2[[#This Row],[Cantonal taxes]]+Tabella2[[#This Row],[Comunal taxes]]</f>
        <v>81881.174878191043</v>
      </c>
      <c r="Y43" s="80">
        <v>58</v>
      </c>
      <c r="Z43" s="27">
        <f ca="1">Tabella2[[#This Row],[Taxable salary]]</f>
        <v>318272.21098132251</v>
      </c>
      <c r="AA4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38244.778421777679</v>
      </c>
      <c r="AB4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30488.387427571928</v>
      </c>
      <c r="AC4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27053.137933412414</v>
      </c>
      <c r="AD43" s="27">
        <f ca="1">IF(Tabella13[[#This Row],[Taxable salary]]&lt;$R$142,$S$141+((Tabella13[[#This Row],[Taxable salary]]-$R$141)/100)*$T$141, IF(Tabella13[[#This Row],[Taxable salary]]&lt;$R$143,S180+((Tabella13[[#This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23818.7768785058</v>
      </c>
      <c r="AE43" s="27">
        <f ca="1">IF(Tabella13[[#This Row],[Taxable salary]]&lt;$R$161,Tabella13[[#This Row],[Taxable salary]]*S198,IF(Tabella13[[#This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20369.421502804642</v>
      </c>
      <c r="AF43" s="27">
        <f ca="1">IF(Tabella13[[#This Row],[Taxable salary]]&lt;$R$180,Tabella13[[#This Row],[Taxable salary]]*S222,IF(Tabella13[[#This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salary]]&gt;R239,Tabella13[[#This Row],[Taxable salary]]*$S$196))))))))))))))))))</f>
        <v>15913.610549066127</v>
      </c>
      <c r="AG4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32576.46984088944</v>
      </c>
      <c r="AH4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47951.237976638055</v>
      </c>
      <c r="AI4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33418.582153038864</v>
      </c>
      <c r="AJ4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25461.7768785058</v>
      </c>
      <c r="AK4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salary]]*S342))))))))))))</f>
        <v>0</v>
      </c>
      <c r="AL43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26464.3534253455</v>
      </c>
      <c r="AM4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72295.433996022242</v>
      </c>
      <c r="AN4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42966.748482478542</v>
      </c>
      <c r="AO4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50295.720086451278</v>
      </c>
      <c r="AP4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18427.961015818575</v>
      </c>
      <c r="AQ4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16392.188236916707</v>
      </c>
      <c r="AR4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42292.947914557997</v>
      </c>
      <c r="AS43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9229.8941184583528</v>
      </c>
      <c r="AT43" s="27">
        <f ca="1">Tabella13[[#This Row],[Taxable salary]]*$S$503</f>
        <v>5728.8997976638047</v>
      </c>
      <c r="AU4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31506.148887150928</v>
      </c>
      <c r="AV43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33418.582153038864</v>
      </c>
      <c r="AW43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22951.7768785058</v>
      </c>
      <c r="AX43" s="27">
        <f ca="1">Tabella13[[#This Row],[Taxable salary]]*$S$606</f>
        <v>22597.326979673897</v>
      </c>
      <c r="AY4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39307.192702104992</v>
      </c>
      <c r="AZ4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salary]]*Q691)))))))))))))</f>
        <v>0</v>
      </c>
      <c r="BA4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31827.221098132253</v>
      </c>
    </row>
    <row r="44" spans="3:53">
      <c r="C44" s="87"/>
      <c r="L44" s="80">
        <v>59</v>
      </c>
      <c r="M44" s="27">
        <f ca="1">'Income and Pension'!$K60</f>
        <v>438145.75293176027</v>
      </c>
      <c r="N44" s="27">
        <f>SUM('Income and Pension'!$K133,'Partner Income and Pension'!L134)</f>
        <v>36731.255664240263</v>
      </c>
      <c r="O44" s="27">
        <f>SUM('Income and Pension'!$Q133,'Partner Income and Pension'!R134)</f>
        <v>74165.868602066446</v>
      </c>
      <c r="P44" s="27">
        <f>IF(SUMIF('CF Timeline'!$C$4:$BC$4,Tabella2[[#This Row],[Age]],'CF Timeline'!$C$43:$BC$43)&lt;7258, SUMIF('CF Timeline'!$C$4:$BC$4,Tabella2[[#This Row],[Age]],'CF Timeline'!$C$43:$BC$43), 7258)</f>
        <v>0</v>
      </c>
      <c r="Q44" s="27">
        <f ca="1">Tabella2[[#This Row],[Salary and Pension]]-Tabella2[[#This Row],[1° Pillar deductions]]-Tabella2[[#This Row],[2° Pillar deductions]]-Tabella2[[#This Row],[3° Pillar deductions]]</f>
        <v>327248.62866545352</v>
      </c>
      <c r="R44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29882.118983839864</v>
      </c>
      <c r="S44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31022.215291978777</v>
      </c>
      <c r="T44" s="83">
        <f ca="1">Tabella2[[#This Row],[Cantonal taxes]]*$E$8/100</f>
        <v>24197.327927743449</v>
      </c>
      <c r="U44" s="107">
        <f ca="1">Tabella2[[#This Row],[Federal taxes]]+Tabella2[[#This Row],[Cantonal taxes]]+Tabella2[[#This Row],[Comunal taxes]]</f>
        <v>85101.662203562097</v>
      </c>
      <c r="Y44" s="80">
        <v>59</v>
      </c>
      <c r="Z44" s="27">
        <f ca="1">Tabella2[[#This Row],[Taxable salary]]</f>
        <v>327248.62866545352</v>
      </c>
      <c r="AA4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39505.067464629676</v>
      </c>
      <c r="AB4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31655.321726508955</v>
      </c>
      <c r="AC4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27816.133436563552</v>
      </c>
      <c r="AD44" s="27">
        <f ca="1">IF(Tabella13[[#This Row],[Taxable salary]]&lt;$R$142,$S$141+((Tabella13[[#This Row],[Taxable salary]]-$R$141)/100)*$T$141, IF(Tabella13[[#This Row],[Taxable salary]]&lt;$R$143,S181+((Tabella13[[#This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24536.890293236283</v>
      </c>
      <c r="AE44" s="27">
        <f ca="1">IF(Tabella13[[#This Row],[Taxable salary]]&lt;$R$161,Tabella13[[#This Row],[Taxable salary]]*S199,IF(Tabella13[[#This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20943.912234589025</v>
      </c>
      <c r="AF44" s="27">
        <f ca="1">IF(Tabella13[[#This Row],[Taxable salary]]&lt;$R$180,Tabella13[[#This Row],[Taxable salary]]*S223,IF(Tabella13[[#This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salary]]&gt;R240,Tabella13[[#This Row],[Taxable salary]]*$S$196))))))))))))))))))</f>
        <v>16362.431433272677</v>
      </c>
      <c r="AG4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33599.5236678617</v>
      </c>
      <c r="AH4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49566.993159781632</v>
      </c>
      <c r="AI4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34361.106009872616</v>
      </c>
      <c r="AJ4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26179.890293236283</v>
      </c>
      <c r="AK4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salary]]*S343))))))))))))</f>
        <v>0</v>
      </c>
      <c r="AL44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27388.112453142749</v>
      </c>
      <c r="AM4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72320.792375979901</v>
      </c>
      <c r="AN4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44178.564869836227</v>
      </c>
      <c r="AO4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52001.239446436171</v>
      </c>
      <c r="AP4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18947.695599729759</v>
      </c>
      <c r="AQ4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16912.820462596304</v>
      </c>
      <c r="AR4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43514.638361368226</v>
      </c>
      <c r="AS44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9490.2102312981533</v>
      </c>
      <c r="AT44" s="27">
        <f ca="1">Tabella13[[#This Row],[Taxable salary]]*$S$503</f>
        <v>5890.4753159781631</v>
      </c>
      <c r="AU4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32394.814237879898</v>
      </c>
      <c r="AV44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34361.106009872623</v>
      </c>
      <c r="AW44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23669.890293236283</v>
      </c>
      <c r="AX44" s="27">
        <f ca="1">Tabella13[[#This Row],[Taxable salary]]*$S$606</f>
        <v>23234.652635247199</v>
      </c>
      <c r="AY4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40698.537443145295</v>
      </c>
      <c r="AZ4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salary]]*Q692)))))))))))))</f>
        <v>0</v>
      </c>
      <c r="BA4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32724.862866545354</v>
      </c>
    </row>
    <row r="45" spans="3:53">
      <c r="C45" s="87"/>
      <c r="L45" s="80">
        <v>60</v>
      </c>
      <c r="M45" s="27">
        <f ca="1">'Income and Pension'!$K61</f>
        <v>450795.56278739212</v>
      </c>
      <c r="N45" s="27">
        <f>SUM('Income and Pension'!$K134,'Partner Income and Pension'!L135)</f>
        <v>37779.931055063425</v>
      </c>
      <c r="O45" s="27">
        <f>SUM('Income and Pension'!$Q134,'Partner Income and Pension'!R135)</f>
        <v>76555.255568498949</v>
      </c>
      <c r="P45" s="27">
        <f>IF(SUMIF('CF Timeline'!$C$4:$BC$4,Tabella2[[#This Row],[Age]],'CF Timeline'!$C$43:$BC$43)&lt;7258, SUMIF('CF Timeline'!$C$4:$BC$4,Tabella2[[#This Row],[Age]],'CF Timeline'!$C$43:$BC$43), 7258)</f>
        <v>0</v>
      </c>
      <c r="Q45" s="27">
        <f ca="1">Tabella2[[#This Row],[Salary and Pension]]-Tabella2[[#This Row],[1° Pillar deductions]]-Tabella2[[#This Row],[2° Pillar deductions]]-Tabella2[[#This Row],[3° Pillar deductions]]</f>
        <v>336460.3761638297</v>
      </c>
      <c r="R45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31098.06965362552</v>
      </c>
      <c r="S4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32195.791923271903</v>
      </c>
      <c r="T45" s="83">
        <f ca="1">Tabella2[[#This Row],[Cantonal taxes]]*$E$8/100</f>
        <v>25112.717700152087</v>
      </c>
      <c r="U45" s="107">
        <f ca="1">Tabella2[[#This Row],[Federal taxes]]+Tabella2[[#This Row],[Cantonal taxes]]+Tabella2[[#This Row],[Comunal taxes]]</f>
        <v>88406.579277049517</v>
      </c>
      <c r="Y45" s="80">
        <v>60</v>
      </c>
      <c r="Z45" s="27">
        <f ca="1">Tabella2[[#This Row],[Taxable salary]]</f>
        <v>336460.3761638297</v>
      </c>
      <c r="AA4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40798.39681340169</v>
      </c>
      <c r="AB4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32852.848901297861</v>
      </c>
      <c r="AC4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28599.131973925527</v>
      </c>
      <c r="AD45" s="27">
        <f ca="1">IF(Tabella13[[#This Row],[Taxable salary]]&lt;$R$142,$S$141+((Tabella13[[#This Row],[Taxable salary]]-$R$141)/100)*$T$141, IF(Tabella13[[#This Row],[Taxable salary]]&lt;$R$143,S182+((Tabella13[[#This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25273.830093106379</v>
      </c>
      <c r="AE45" s="27">
        <f ca="1">IF(Tabella13[[#This Row],[Taxable salary]]&lt;$R$161,Tabella13[[#This Row],[Taxable salary]]*S200,IF(Tabella13[[#This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21533.464074485102</v>
      </c>
      <c r="AF45" s="27" t="b">
        <f ca="1">IF(Tabella13[[#This Row],[Taxable salary]]&lt;$R$180,Tabella13[[#This Row],[Taxable salary]]*S224,IF(Tabella13[[#This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salary]]&gt;R241,Tabella13[[#This Row],[Taxable salary]]*$S$196))))))))))))))))))</f>
        <v>0</v>
      </c>
      <c r="AG4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34649.662882676581</v>
      </c>
      <c r="AH4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51225.107709489348</v>
      </c>
      <c r="AI4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35328.33949720212</v>
      </c>
      <c r="AJ4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26916.830093106375</v>
      </c>
      <c r="AK4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salary]]*S344))))))))))))</f>
        <v>0</v>
      </c>
      <c r="AL4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28337.249814227689</v>
      </c>
      <c r="AM4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72346.815562662814</v>
      </c>
      <c r="AN4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45422.150782117009</v>
      </c>
      <c r="AO4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53751.471471127647</v>
      </c>
      <c r="AP4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19481.055779885741</v>
      </c>
      <c r="AQ4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17447.101817502124</v>
      </c>
      <c r="AR4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44768.357195897224</v>
      </c>
      <c r="AS4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9757.3509087510611</v>
      </c>
      <c r="AT45" s="27">
        <f ca="1">Tabella13[[#This Row],[Taxable salary]]*$S$503</f>
        <v>6056.2867709489337</v>
      </c>
      <c r="AU4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33306.77724021914</v>
      </c>
      <c r="AV4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35328.33949720212</v>
      </c>
      <c r="AW4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24406.830093106379</v>
      </c>
      <c r="AX45" s="27">
        <f ca="1">Tabella13[[#This Row],[Taxable salary]]*$S$606</f>
        <v>23888.686707631907</v>
      </c>
      <c r="AY4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42126.358305393602</v>
      </c>
      <c r="AZ4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salary]]*Q693)))))))))))))</f>
        <v>0</v>
      </c>
      <c r="BA4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33646.037616382971</v>
      </c>
    </row>
    <row r="46" spans="3:53">
      <c r="C46" s="87"/>
      <c r="L46" s="80">
        <v>61</v>
      </c>
      <c r="M46" s="27">
        <f ca="1">'Income and Pension'!$K62</f>
        <v>463777.30538877117</v>
      </c>
      <c r="N46" s="27">
        <f>SUM('Income and Pension'!$K135,'Partner Income and Pension'!L136)</f>
        <v>23090.789767977032</v>
      </c>
      <c r="O46" s="27">
        <f>SUM('Income and Pension'!$Q135,'Partner Income and Pension'!R136)</f>
        <v>47849.126053618558</v>
      </c>
      <c r="P46" s="27">
        <f>IF(SUMIF('CF Timeline'!$C$4:$BC$4,Tabella2[[#This Row],[Age]],'CF Timeline'!$C$43:$BC$43)&lt;7258, SUMIF('CF Timeline'!$C$4:$BC$4,Tabella2[[#This Row],[Age]],'CF Timeline'!$C$43:$BC$43), 7258)</f>
        <v>0</v>
      </c>
      <c r="Q46" s="27">
        <f ca="1">Tabella2[[#This Row],[Salary and Pension]]-Tabella2[[#This Row],[1° Pillar deductions]]-Tabella2[[#This Row],[2° Pillar deductions]]-Tabella2[[#This Row],[3° Pillar deductions]]</f>
        <v>392837.38956717559</v>
      </c>
      <c r="R46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38539.835422867174</v>
      </c>
      <c r="S46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39378.223430858168</v>
      </c>
      <c r="T46" s="83">
        <f ca="1">Tabella2[[#This Row],[Cantonal taxes]]*$E$8/100</f>
        <v>30715.014276069371</v>
      </c>
      <c r="U46" s="107">
        <f ca="1">Tabella2[[#This Row],[Federal taxes]]+Tabella2[[#This Row],[Cantonal taxes]]+Tabella2[[#This Row],[Comunal taxes]]</f>
        <v>108633.07312979472</v>
      </c>
      <c r="Y46" s="80">
        <v>61</v>
      </c>
      <c r="Z46" s="27">
        <f ca="1">Tabella2[[#This Row],[Taxable salary]]</f>
        <v>392837.38956717559</v>
      </c>
      <c r="AA4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48858.343003333779</v>
      </c>
      <c r="AB4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40181.860643732827</v>
      </c>
      <c r="AC4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33391.178113209928</v>
      </c>
      <c r="AD46" s="27">
        <f ca="1">IF(Tabella13[[#This Row],[Taxable salary]]&lt;$R$142,$S$141+((Tabella13[[#This Row],[Taxable salary]]-$R$141)/100)*$T$141, IF(Tabella13[[#This Row],[Taxable salary]]&lt;$R$143,S183+((Tabella13[[#This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29783.991165374046</v>
      </c>
      <c r="AE46" s="27">
        <f ca="1">IF(Tabella13[[#This Row],[Taxable salary]]&lt;$R$161,Tabella13[[#This Row],[Taxable salary]]*S201,IF(Tabella13[[#This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25141.592932299238</v>
      </c>
      <c r="AF46" s="27" t="b">
        <f ca="1">IF(Tabella13[[#This Row],[Taxable salary]]&lt;$R$180,Tabella13[[#This Row],[Taxable salary]]*S225,IF(Tabella13[[#This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salary]]&gt;R242,Tabella13[[#This Row],[Taxable salary]]*$S$196))))))))))))))))))</f>
        <v>0</v>
      </c>
      <c r="AG4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41076.642410658016</v>
      </c>
      <c r="AH4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61372.970122091603</v>
      </c>
      <c r="AI4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43212.112852389313</v>
      </c>
      <c r="AJ4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31426.991165374049</v>
      </c>
      <c r="AK46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salary]]*S345))))))))))))</f>
        <v>0</v>
      </c>
      <c r="AL46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34169.929933708125</v>
      </c>
      <c r="AM4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72506.080625527276</v>
      </c>
      <c r="AN4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53033.047591568706</v>
      </c>
      <c r="AO4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64463.104017763362</v>
      </c>
      <c r="AP4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22745.284855939466</v>
      </c>
      <c r="AQ4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20716.968594896185</v>
      </c>
      <c r="AR4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52441.268720092601</v>
      </c>
      <c r="AS46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11392.284297448092</v>
      </c>
      <c r="AT46" s="27">
        <f ca="1">Tabella13[[#This Row],[Taxable salary]]*$S$503</f>
        <v>7071.07301220916</v>
      </c>
      <c r="AU4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38888.101567150385</v>
      </c>
      <c r="AV46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41247.925904553435</v>
      </c>
      <c r="AW46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28916.991165374046</v>
      </c>
      <c r="AX46" s="27">
        <f ca="1">Tabella13[[#This Row],[Taxable salary]]*$S$606</f>
        <v>27891.454659269464</v>
      </c>
      <c r="AY4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50864.795382912213</v>
      </c>
      <c r="AZ4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salary]]*Q694)))))))))))))</f>
        <v>0</v>
      </c>
      <c r="BA4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39283.738956717563</v>
      </c>
    </row>
    <row r="47" spans="3:53">
      <c r="C47" s="87"/>
      <c r="L47" s="80">
        <v>62</v>
      </c>
      <c r="M47" s="27">
        <f ca="1">'Income and Pension'!$K63</f>
        <v>477100.31599285209</v>
      </c>
      <c r="N47" s="27">
        <f>SUM('Income and Pension'!$K136,'Partner Income and Pension'!L137)</f>
        <v>23794.673597712179</v>
      </c>
      <c r="O47" s="27">
        <f>SUM('Income and Pension'!$Q136,'Partner Income and Pension'!R137)</f>
        <v>49452.911994787246</v>
      </c>
      <c r="P47" s="27">
        <f>IF(SUMIF('CF Timeline'!$C$4:$BC$4,Tabella2[[#This Row],[Age]],'CF Timeline'!$C$43:$BC$43)&lt;7258, SUMIF('CF Timeline'!$C$4:$BC$4,Tabella2[[#This Row],[Age]],'CF Timeline'!$C$43:$BC$43), 7258)</f>
        <v>0</v>
      </c>
      <c r="Q47" s="27">
        <f ca="1">Tabella2[[#This Row],[Salary and Pension]]-Tabella2[[#This Row],[1° Pillar deductions]]-Tabella2[[#This Row],[2° Pillar deductions]]-Tabella2[[#This Row],[3° Pillar deductions]]</f>
        <v>403852.73040035268</v>
      </c>
      <c r="R47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39993.860412846552</v>
      </c>
      <c r="S47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40781.577853004928</v>
      </c>
      <c r="T47" s="83">
        <f ca="1">Tabella2[[#This Row],[Cantonal taxes]]*$E$8/100</f>
        <v>31809.630725343843</v>
      </c>
      <c r="U47" s="107">
        <f ca="1">Tabella2[[#This Row],[Federal taxes]]+Tabella2[[#This Row],[Cantonal taxes]]+Tabella2[[#This Row],[Comunal taxes]]</f>
        <v>112585.06899119532</v>
      </c>
      <c r="Y47" s="80">
        <v>62</v>
      </c>
      <c r="Z47" s="27">
        <f ca="1">Tabella2[[#This Row],[Taxable salary]]</f>
        <v>403852.73040035268</v>
      </c>
      <c r="AA4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50491.367281852283</v>
      </c>
      <c r="AB4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41613.854952045847</v>
      </c>
      <c r="AC4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34327.48208402998</v>
      </c>
      <c r="AD47" s="27">
        <f ca="1">IF(Tabella13[[#This Row],[Taxable salary]]&lt;$R$142,$S$141+((Tabella13[[#This Row],[Taxable salary]]-$R$141)/100)*$T$141, IF(Tabella13[[#This Row],[Taxable salary]]&lt;$R$143,S184+((Tabella13[[#This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30665.218432028214</v>
      </c>
      <c r="AE47" s="27">
        <f ca="1">IF(Tabella13[[#This Row],[Taxable salary]]&lt;$R$161,Tabella13[[#This Row],[Taxable salary]]*S202,IF(Tabella13[[#This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25846.574745622573</v>
      </c>
      <c r="AF47" s="27">
        <f ca="1">IF(Tabella13[[#This Row],[Taxable salary]]&lt;$R$180,Tabella13[[#This Row],[Taxable salary]]*S226,IF(Tabella13[[#This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salary]]&gt;R243,Tabella13[[#This Row],[Taxable salary]]*$S$196))))))))))))))))))</f>
        <v>20192.636520017637</v>
      </c>
      <c r="AG4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42332.391265640203</v>
      </c>
      <c r="AH4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63355.731472063489</v>
      </c>
      <c r="AI4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44423.800344038798</v>
      </c>
      <c r="AJ4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32308.218432028214</v>
      </c>
      <c r="AK47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salary]]*S346))))))))))))</f>
        <v>0</v>
      </c>
      <c r="AL47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35314.023251050836</v>
      </c>
      <c r="AM4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72537.198963381001</v>
      </c>
      <c r="AN4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54520.118604047617</v>
      </c>
      <c r="AO4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66556.018776067009</v>
      </c>
      <c r="AP4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23383.07309018042</v>
      </c>
      <c r="AQ4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21355.858363220454</v>
      </c>
      <c r="AR4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53940.456607487999</v>
      </c>
      <c r="AS47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salary]]*$S$489,IF(Q519&lt;$R$491,Tabella13[[#This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11711.729181610228</v>
      </c>
      <c r="AT47" s="27">
        <f ca="1">Tabella13[[#This Row],[Taxable salary]]*$S$503</f>
        <v>7269.3491472063479</v>
      </c>
      <c r="AU4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39978.62030963492</v>
      </c>
      <c r="AV47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42404.536692037029</v>
      </c>
      <c r="AW47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29798.218432028214</v>
      </c>
      <c r="AX47" s="27">
        <f ca="1">Tabella13[[#This Row],[Taxable salary]]*$S$606</f>
        <v>28673.543858425037</v>
      </c>
      <c r="AY4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52572.173212054666</v>
      </c>
      <c r="AZ4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salary]]*Q695)))))))))))))</f>
        <v>0</v>
      </c>
      <c r="BA4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40385.273040035274</v>
      </c>
    </row>
    <row r="48" spans="3:53">
      <c r="C48" s="87"/>
      <c r="L48" s="80">
        <v>63</v>
      </c>
      <c r="M48" s="27">
        <f ca="1">'Income and Pension'!$K64</f>
        <v>490774.19797004288</v>
      </c>
      <c r="N48" s="27">
        <f>SUM('Income and Pension'!$K137,'Partner Income and Pension'!L138)</f>
        <v>24518.159986353305</v>
      </c>
      <c r="O48" s="27">
        <f>SUM('Income and Pension'!$Q137,'Partner Income and Pension'!R138)</f>
        <v>51101.361994222723</v>
      </c>
      <c r="P48" s="27">
        <f>IF(SUMIF('CF Timeline'!$C$4:$BC$4,Tabella2[[#This Row],[Age]],'CF Timeline'!$C$43:$BC$43)&lt;7258, SUMIF('CF Timeline'!$C$4:$BC$4,Tabella2[[#This Row],[Age]],'CF Timeline'!$C$43:$BC$43), 7258)</f>
        <v>0</v>
      </c>
      <c r="Q48" s="27">
        <f ca="1">Tabella2[[#This Row],[Salary and Pension]]-Tabella2[[#This Row],[1° Pillar deductions]]-Tabella2[[#This Row],[2° Pillar deductions]]-Tabella2[[#This Row],[3° Pillar deductions]]</f>
        <v>415154.67598946684</v>
      </c>
      <c r="R48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41485.717230609618</v>
      </c>
      <c r="S48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42221.445721058073</v>
      </c>
      <c r="T48" s="83">
        <f ca="1">Tabella2[[#This Row],[Cantonal taxes]]*$E$8/100</f>
        <v>32932.727662425299</v>
      </c>
      <c r="U48" s="107">
        <f ca="1">Tabella2[[#This Row],[Federal taxes]]+Tabella2[[#This Row],[Cantonal taxes]]+Tabella2[[#This Row],[Comunal taxes]]</f>
        <v>116639.89061409299</v>
      </c>
      <c r="Y48" s="80">
        <v>63</v>
      </c>
      <c r="Z48" s="27">
        <f ca="1">Tabella2[[#This Row],[Taxable salary]]</f>
        <v>415154.67598946684</v>
      </c>
      <c r="AA4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52166.880715438456</v>
      </c>
      <c r="AB4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43083.10787863069</v>
      </c>
      <c r="AC4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35288.147459104686</v>
      </c>
      <c r="AD48" s="27">
        <f ca="1">IF(Tabella13[[#This Row],[Taxable salary]]&lt;$R$142,$S$141+((Tabella13[[#This Row],[Taxable salary]]-$R$141)/100)*$T$141, IF(Tabella13[[#This Row],[Taxable salary]]&lt;$R$143,S185+((Tabella13[[#This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31569.374079157347</v>
      </c>
      <c r="AE48" s="27">
        <f ca="1">IF(Tabella13[[#This Row],[Taxable salary]]&lt;$R$161,Tabella13[[#This Row],[Taxable salary]]*S203,IF(Tabella13[[#This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26569.899263325879</v>
      </c>
      <c r="AF48" s="27">
        <f ca="1">IF(Tabella13[[#This Row],[Taxable salary]]&lt;$R$180,Tabella13[[#This Row],[Taxable salary]]*S227,IF(Tabella13[[#This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salary]]&gt;R244,Tabella13[[#This Row],[Taxable salary]]*$S$196))))))))))))))))))</f>
        <v>20757.733799473343</v>
      </c>
      <c r="AG4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43620.813062799221</v>
      </c>
      <c r="AH4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65412.005058051363</v>
      </c>
      <c r="AI4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45667.014358841356</v>
      </c>
      <c r="AJ4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33212.374079157351</v>
      </c>
      <c r="AK4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salary]]*S347))))))))))))</f>
        <v>0</v>
      </c>
      <c r="AL48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36489.300240201264</v>
      </c>
      <c r="AM4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72569.126959670248</v>
      </c>
      <c r="AN4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56045.881258578025</v>
      </c>
      <c r="AO4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68867.481957788041</v>
      </c>
      <c r="AP4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24037.45573979013</v>
      </c>
      <c r="AQ4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22011.371207389078</v>
      </c>
      <c r="AR4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55489.238092140105</v>
      </c>
      <c r="AS48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12039.485603694538</v>
      </c>
      <c r="AT48" s="27">
        <f ca="1">Tabella13[[#This Row],[Taxable salary]]*$S$503</f>
        <v>7472.7841678104023</v>
      </c>
      <c r="AU4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41097.512922957219</v>
      </c>
      <c r="AV48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43591.24097889402</v>
      </c>
      <c r="AW48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30702.374079157347</v>
      </c>
      <c r="AX48" s="27">
        <f ca="1">Tabella13[[#This Row],[Taxable salary]]*$S$606</f>
        <v>29475.981995252143</v>
      </c>
      <c r="AY4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54323.974778367359</v>
      </c>
      <c r="AZ4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salary]]*Q696)))))))))))))</f>
        <v>0</v>
      </c>
      <c r="BA4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41515.467598946685</v>
      </c>
    </row>
    <row r="49" spans="3:53">
      <c r="C49" s="87"/>
      <c r="L49" s="80">
        <v>64</v>
      </c>
      <c r="M49" s="27">
        <f ca="1">'Income and Pension'!$K65</f>
        <v>504808.83057465818</v>
      </c>
      <c r="N49" s="27">
        <f>SUM('Income and Pension'!$K138,'Partner Income and Pension'!L139)</f>
        <v>25261.828429864883</v>
      </c>
      <c r="O49" s="27">
        <f>SUM('Income and Pension'!$Q138,'Partner Income and Pension'!R139)</f>
        <v>52795.796422476946</v>
      </c>
      <c r="P49" s="27">
        <f>IF(SUMIF('CF Timeline'!$C$4:$BC$4,Tabella2[[#This Row],[Age]],'CF Timeline'!$C$43:$BC$43)&lt;7258, SUMIF('CF Timeline'!$C$4:$BC$4,Tabella2[[#This Row],[Age]],'CF Timeline'!$C$43:$BC$43), 7258)</f>
        <v>0</v>
      </c>
      <c r="Q49" s="27">
        <f ca="1">Tabella2[[#This Row],[Salary and Pension]]-Tabella2[[#This Row],[1° Pillar deductions]]-Tabella2[[#This Row],[2° Pillar deductions]]-Tabella2[[#This Row],[3° Pillar deductions]]</f>
        <v>426751.20572231634</v>
      </c>
      <c r="R49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43016.459155345758</v>
      </c>
      <c r="S49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43698.843609023104</v>
      </c>
      <c r="T49" s="83">
        <f ca="1">Tabella2[[#This Row],[Cantonal taxes]]*$E$8/100</f>
        <v>34085.09801503802</v>
      </c>
      <c r="U49" s="107">
        <f ca="1">Tabella2[[#This Row],[Federal taxes]]+Tabella2[[#This Row],[Cantonal taxes]]+Tabella2[[#This Row],[Comunal taxes]]</f>
        <v>120800.40077940687</v>
      </c>
      <c r="Y49" s="80">
        <v>64</v>
      </c>
      <c r="Z49" s="27">
        <f ca="1">Tabella2[[#This Row],[Taxable salary]]</f>
        <v>426751.20572231634</v>
      </c>
      <c r="AA4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53886.066248333394</v>
      </c>
      <c r="AB4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44590.656743901127</v>
      </c>
      <c r="AC4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36273.852486396892</v>
      </c>
      <c r="AD49" s="27">
        <f ca="1">IF(Tabella13[[#This Row],[Taxable salary]]&lt;$R$142,$S$141+((Tabella13[[#This Row],[Taxable salary]]-$R$141)/100)*$T$141, IF(Tabella13[[#This Row],[Taxable salary]]&lt;$R$143,S186+((Tabella13[[#This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32497.096457785308</v>
      </c>
      <c r="AE49" s="27">
        <f ca="1">IF(Tabella13[[#This Row],[Taxable salary]]&lt;$R$161,Tabella13[[#This Row],[Taxable salary]]*S204,IF(Tabella13[[#This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27312.077166228246</v>
      </c>
      <c r="AF49" s="27">
        <f ca="1">IF(Tabella13[[#This Row],[Taxable salary]]&lt;$R$180,Tabella13[[#This Row],[Taxable salary]]*S228,IF(Tabella13[[#This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salary]]&gt;R245,Tabella13[[#This Row],[Taxable salary]]*$S$196))))))))))))))))))</f>
        <v>21337.560286115819</v>
      </c>
      <c r="AG4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44947.259863788691</v>
      </c>
      <c r="AH4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67557.363058628514</v>
      </c>
      <c r="AI4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46942.632629454798</v>
      </c>
      <c r="AJ4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34140.096457785308</v>
      </c>
      <c r="AK4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salary]]*S348))))))))))))</f>
        <v>0</v>
      </c>
      <c r="AL49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37696.660731075943</v>
      </c>
      <c r="AM4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72601.88715616554</v>
      </c>
      <c r="AN4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57611.412772512711</v>
      </c>
      <c r="AO4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71302.753201686428</v>
      </c>
      <c r="AP4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24708.894811322116</v>
      </c>
      <c r="AQ4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22683.969931894346</v>
      </c>
      <c r="AR4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57096.517113113048</v>
      </c>
      <c r="AS49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12375.784965947174</v>
      </c>
      <c r="AT49" s="27">
        <f ca="1">Tabella13[[#This Row],[Taxable salary]]*$S$503</f>
        <v>7681.5217030016938</v>
      </c>
      <c r="AU4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42245.56936650932</v>
      </c>
      <c r="AV49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44808.876600843214</v>
      </c>
      <c r="AW49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31630.096457785308</v>
      </c>
      <c r="AX49" s="27">
        <f ca="1">Tabella13[[#This Row],[Taxable salary]]*$S$606</f>
        <v>30299.335606284458</v>
      </c>
      <c r="AY4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56121.43688695904</v>
      </c>
      <c r="AZ4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salary]]*Q697)))))))))))))</f>
        <v>0</v>
      </c>
      <c r="BA4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42675.120572231637</v>
      </c>
    </row>
    <row r="50" spans="3:53">
      <c r="C50" s="87"/>
      <c r="L50" s="80">
        <v>65</v>
      </c>
      <c r="M50" s="27">
        <f ca="1">'Income and Pension'!$K66</f>
        <v>519214.37694190815</v>
      </c>
      <c r="N50" s="27">
        <f>SUM('Income and Pension'!$K139,'Partner Income and Pension'!L140)</f>
        <v>26026.275809808551</v>
      </c>
      <c r="O50" s="27">
        <f>SUM('Income and Pension'!$Q139,'Partner Income and Pension'!R140)</f>
        <v>54537.575262854923</v>
      </c>
      <c r="P50" s="27">
        <f>IF(SUMIF('CF Timeline'!$C$4:$BC$4,Tabella2[[#This Row],[Age]],'CF Timeline'!$C$43:$BC$43)&lt;7258, SUMIF('CF Timeline'!$C$4:$BC$4,Tabella2[[#This Row],[Age]],'CF Timeline'!$C$43:$BC$43), 7258)</f>
        <v>0</v>
      </c>
      <c r="Q50" s="27">
        <f ca="1">Tabella2[[#This Row],[Salary and Pension]]-Tabella2[[#This Row],[1° Pillar deductions]]-Tabella2[[#This Row],[2° Pillar deductions]]-Tabella2[[#This Row],[3° Pillar deductions]]</f>
        <v>438650.52586924465</v>
      </c>
      <c r="R50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44587.169414740296</v>
      </c>
      <c r="S50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45214.816995741763</v>
      </c>
      <c r="T50" s="83">
        <f ca="1">Tabella2[[#This Row],[Cantonal taxes]]*$E$8/100</f>
        <v>35267.557256678578</v>
      </c>
      <c r="U50" s="107">
        <f ca="1">Tabella2[[#This Row],[Federal taxes]]+Tabella2[[#This Row],[Cantonal taxes]]+Tabella2[[#This Row],[Comunal taxes]]</f>
        <v>125069.54366716064</v>
      </c>
      <c r="Y50" s="80">
        <v>65</v>
      </c>
      <c r="Z50" s="27">
        <f ca="1">Tabella2[[#This Row],[Taxable salary]]</f>
        <v>438650.52586924465</v>
      </c>
      <c r="AA5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55650.140460115523</v>
      </c>
      <c r="AB5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46137.568363001803</v>
      </c>
      <c r="AC5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37285.294698885795</v>
      </c>
      <c r="AD50" s="27">
        <f ca="1">IF(Tabella13[[#This Row],[Taxable salary]]&lt;$R$142,$S$141+((Tabella13[[#This Row],[Taxable salary]]-$R$141)/100)*$T$141, IF(Tabella13[[#This Row],[Taxable salary]]&lt;$R$143,S187+((Tabella13[[#This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33449.042069539573</v>
      </c>
      <c r="AE50" s="27">
        <f ca="1">IF(Tabella13[[#This Row],[Taxable salary]]&lt;$R$161,Tabella13[[#This Row],[Taxable salary]]*S205,IF(Tabella13[[#This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28073.63365563166</v>
      </c>
      <c r="AF50" s="27">
        <f ca="1">IF(Tabella13[[#This Row],[Taxable salary]]&lt;$R$180,Tabella13[[#This Row],[Taxable salary]]*S229,IF(Tabella13[[#This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salary]]&gt;R246,Tabella13[[#This Row],[Taxable salary]]*$S$196))))))))))))))))))</f>
        <v>21932.526293462233</v>
      </c>
      <c r="AG5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46327.581000832375</v>
      </c>
      <c r="AH5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69758.737285810261</v>
      </c>
      <c r="AI5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48251.55784561691</v>
      </c>
      <c r="AJ5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35092.042069539573</v>
      </c>
      <c r="AK5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salary]]*S349))))))))))))</f>
        <v>0</v>
      </c>
      <c r="AL50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38937.031134679513</v>
      </c>
      <c r="AM5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72635.502735580623</v>
      </c>
      <c r="AN5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59217.820992348032</v>
      </c>
      <c r="AO5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73801.610432541376</v>
      </c>
      <c r="AP5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25397.865447829266</v>
      </c>
      <c r="AQ5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23374.130500416191</v>
      </c>
      <c r="AR5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58745.762885477307</v>
      </c>
      <c r="AS50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12720.865250208095</v>
      </c>
      <c r="AT50" s="27">
        <f ca="1">Tabella13[[#This Row],[Taxable salary]]*$S$503</f>
        <v>7895.7094656464033</v>
      </c>
      <c r="AU5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43423.602061055222</v>
      </c>
      <c r="AV50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46058.305216270688</v>
      </c>
      <c r="AW50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32582.042069539573</v>
      </c>
      <c r="AX50" s="27">
        <f ca="1">Tabella13[[#This Row],[Taxable salary]]*$S$606</f>
        <v>31144.187336716368</v>
      </c>
      <c r="AY5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57965.831509732918</v>
      </c>
      <c r="AZ5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salary]]*Q698)))))))))))))</f>
        <v>0</v>
      </c>
      <c r="BA5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43865.052586924467</v>
      </c>
    </row>
    <row r="51" spans="3:53">
      <c r="C51" s="87"/>
      <c r="L51" s="80">
        <v>66</v>
      </c>
      <c r="M51" s="27">
        <f ca="1">'Income and Pension'!$K67</f>
        <v>302191.18510921486</v>
      </c>
      <c r="N51" s="27">
        <f>SUM('Income and Pension'!$K140,'Partner Income and Pension'!L141)</f>
        <v>0</v>
      </c>
      <c r="O51" s="27">
        <f>SUM('Income and Pension'!$Q140,'Partner Income and Pension'!R141)</f>
        <v>0</v>
      </c>
      <c r="P51" s="27">
        <f>IF(SUMIF('CF Timeline'!$C$4:$BC$4,Tabella2[[#This Row],[Age]],'CF Timeline'!$C$43:$BC$43)&lt;7258, SUMIF('CF Timeline'!$C$4:$BC$4,Tabella2[[#This Row],[Age]],'CF Timeline'!$C$43:$BC$43), 7258)</f>
        <v>0</v>
      </c>
      <c r="Q51" s="27">
        <f ca="1">Tabella2[[#This Row],[Salary and Pension]]-Tabella2[[#This Row],[1° Pillar deductions]]-Tabella2[[#This Row],[2° Pillar deductions]]-Tabella2[[#This Row],[3° Pillar deductions]]</f>
        <v>302191.18510921486</v>
      </c>
      <c r="R51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26574.536434416361</v>
      </c>
      <c r="S51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27829.896982913971</v>
      </c>
      <c r="T51" s="83">
        <f ca="1">Tabella2[[#This Row],[Cantonal taxes]]*$E$8/100</f>
        <v>21707.319646672899</v>
      </c>
      <c r="U51" s="107">
        <f ca="1">Tabella2[[#This Row],[Federal taxes]]+Tabella2[[#This Row],[Cantonal taxes]]+Tabella2[[#This Row],[Comunal taxes]]</f>
        <v>76111.753064003235</v>
      </c>
      <c r="Y51" s="80">
        <v>66</v>
      </c>
      <c r="Z51" s="27">
        <f ca="1">Tabella2[[#This Row],[Taxable salary]]</f>
        <v>302191.18510921486</v>
      </c>
      <c r="AA5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35987.002389333764</v>
      </c>
      <c r="AB5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28397.854064197931</v>
      </c>
      <c r="AC5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25686.250734283265</v>
      </c>
      <c r="AD51" s="27">
        <f ca="1">IF(Tabella13[[#This Row],[Taxable salary]]&lt;$R$142,$S$141+((Tabella13[[#This Row],[Taxable salary]]-$R$141)/100)*$T$141, IF(Tabella13[[#This Row],[Taxable salary]]&lt;$R$143,S188+((Tabella13[[#This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22532.294808737188</v>
      </c>
      <c r="AE51" s="27">
        <f ca="1">IF(Tabella13[[#This Row],[Taxable salary]]&lt;$R$161,Tabella13[[#This Row],[Taxable salary]]*S206,IF(Tabella13[[#This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19038.044661880536</v>
      </c>
      <c r="AF51" s="27" t="b">
        <f ca="1">IF(Tabella13[[#This Row],[Taxable salary]]&lt;$R$180,Tabella13[[#This Row],[Taxable salary]]*S230,IF(Tabella13[[#This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salary]]&gt;R247,Tabella13[[#This Row],[Taxable salary]]*$S$196))))))))))))))))))</f>
        <v>0</v>
      </c>
      <c r="AG5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30759.313917341278</v>
      </c>
      <c r="AH5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45056.653319658675</v>
      </c>
      <c r="AI5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31730.074436467559</v>
      </c>
      <c r="AJ5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24175.294808737188</v>
      </c>
      <c r="AK5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salary]]*S350))))))))))))</f>
        <v>0</v>
      </c>
      <c r="AL51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24812.355165730212</v>
      </c>
      <c r="AM5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44309.765979422613</v>
      </c>
      <c r="AN5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40795.809989744012</v>
      </c>
      <c r="AO5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47240.325170750824</v>
      </c>
      <c r="AP5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17496.86961782354</v>
      </c>
      <c r="AQ5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15459.488736334461</v>
      </c>
      <c r="AR5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40125.761449102029</v>
      </c>
      <c r="AS51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8763.5443681672314</v>
      </c>
      <c r="AT51" s="27">
        <f ca="1">Tabella13[[#This Row],[Taxable salary]]*$S$503</f>
        <v>5439.441331965867</v>
      </c>
      <c r="AU5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29914.127325812271</v>
      </c>
      <c r="AV51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31651.986287559706</v>
      </c>
      <c r="AW51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21665.294808737188</v>
      </c>
      <c r="AX51" s="27">
        <f ca="1">Tabella13[[#This Row],[Taxable salary]]*$S$606</f>
        <v>21455.574142754253</v>
      </c>
      <c r="AY5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36814.633691928306</v>
      </c>
      <c r="AZ5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salary]]*Q699)))))))))))))</f>
        <v>0</v>
      </c>
      <c r="BA5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30219.118510921486</v>
      </c>
    </row>
    <row r="52" spans="3:53">
      <c r="C52" s="87"/>
      <c r="L52" s="80">
        <v>67</v>
      </c>
      <c r="M52" s="27">
        <f ca="1">'Income and Pension'!$K68</f>
        <v>180796.64471606095</v>
      </c>
      <c r="N52" s="27">
        <f>SUM('Income and Pension'!$K141,'Partner Income and Pension'!L142)</f>
        <v>0</v>
      </c>
      <c r="O52" s="27">
        <f>SUM('Income and Pension'!$Q141,'Partner Income and Pension'!R142)</f>
        <v>0</v>
      </c>
      <c r="P52" s="27">
        <f>IF(SUMIF('CF Timeline'!$C$4:$BC$4,Tabella2[[#This Row],[Age]],'CF Timeline'!$C$43:$BC$43)&lt;7258, SUMIF('CF Timeline'!$C$4:$BC$4,Tabella2[[#This Row],[Age]],'CF Timeline'!$C$43:$BC$43), 7258)</f>
        <v>0</v>
      </c>
      <c r="Q52" s="27">
        <f ca="1">Tabella2[[#This Row],[Salary and Pension]]-Tabella2[[#This Row],[1° Pillar deductions]]-Tabella2[[#This Row],[2° Pillar deductions]]-Tabella2[[#This Row],[3° Pillar deductions]]</f>
        <v>180796.64471606095</v>
      </c>
      <c r="R52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2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2" s="83">
        <f ca="1">Tabella2[[#This Row],[Cantonal taxes]]*$E$8/100</f>
        <v>11146.963074305269</v>
      </c>
      <c r="U52" s="107">
        <f ca="1">Tabella2[[#This Row],[Federal taxes]]+Tabella2[[#This Row],[Cantonal taxes]]+Tabella2[[#This Row],[Comunal taxes]]</f>
        <v>36028.072293463345</v>
      </c>
      <c r="Y52" s="80">
        <v>67</v>
      </c>
      <c r="Z52" s="27">
        <f ca="1">Tabella2[[#This Row],[Taxable salary]]</f>
        <v>180796.64471606095</v>
      </c>
      <c r="AA5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2" s="27">
        <f ca="1">IF(Tabella13[[#This Row],[Taxable salary]]&lt;$R$142,$S$141+((Tabella13[[#This Row],[Taxable salary]]-$R$141)/100)*$T$141, IF(Tabella13[[#This Row],[Taxable salary]]&lt;$R$143,S189+((Tabella13[[#This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2" s="27">
        <f ca="1">IF(Tabella13[[#This Row],[Taxable salary]]&lt;$R$161,Tabella13[[#This Row],[Taxable salary]]*S207,IF(Tabella13[[#This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2" s="27">
        <f ca="1">IF(Tabella13[[#This Row],[Taxable salary]]&lt;$R$180,Tabella13[[#This Row],[Taxable salary]]*S231,IF(Tabella13[[#This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salary]]&gt;R248,Tabella13[[#This Row],[Taxable salary]]*$S$196))))))))))))))))))</f>
        <v>7051.0691439263774</v>
      </c>
      <c r="AG5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salary]]*S351))))))))))))</f>
        <v>5243.1026967657681</v>
      </c>
      <c r="AL52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2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2" s="27">
        <f ca="1">Tabella13[[#This Row],[Taxable salary]]*$S$503</f>
        <v>3254.3396048890968</v>
      </c>
      <c r="AU5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2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2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2" s="27">
        <f ca="1">Tabella13[[#This Row],[Taxable salary]]*$S$606</f>
        <v>12836.561774840327</v>
      </c>
      <c r="AY5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salary]]*Q700)))))))))))))</f>
        <v>24407.547036668231</v>
      </c>
      <c r="BA5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3" spans="3:53">
      <c r="C53" s="87"/>
      <c r="L53" s="80">
        <v>68</v>
      </c>
      <c r="M53" s="27">
        <f ca="1">'Income and Pension'!$K69</f>
        <v>180796.64471606095</v>
      </c>
      <c r="N53" s="27">
        <f>SUM('Income and Pension'!$K142,'Partner Income and Pension'!L143)</f>
        <v>0</v>
      </c>
      <c r="O53" s="27">
        <f>SUM('Income and Pension'!$Q142,'Partner Income and Pension'!R143)</f>
        <v>0</v>
      </c>
      <c r="P53" s="27">
        <f>IF(SUMIF('CF Timeline'!$C$4:$BC$4,Tabella2[[#This Row],[Age]],'CF Timeline'!$C$43:$BC$43)&lt;7258, SUMIF('CF Timeline'!$C$4:$BC$4,Tabella2[[#This Row],[Age]],'CF Timeline'!$C$43:$BC$43), 7258)</f>
        <v>0</v>
      </c>
      <c r="Q53" s="27">
        <f ca="1">Tabella2[[#This Row],[Salary and Pension]]-Tabella2[[#This Row],[1° Pillar deductions]]-Tabella2[[#This Row],[2° Pillar deductions]]-Tabella2[[#This Row],[3° Pillar deductions]]</f>
        <v>180796.64471606095</v>
      </c>
      <c r="R53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3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3" s="83">
        <f ca="1">Tabella2[[#This Row],[Cantonal taxes]]*$E$8/100</f>
        <v>11146.963074305269</v>
      </c>
      <c r="U53" s="107">
        <f ca="1">Tabella2[[#This Row],[Federal taxes]]+Tabella2[[#This Row],[Cantonal taxes]]+Tabella2[[#This Row],[Comunal taxes]]</f>
        <v>36028.072293463345</v>
      </c>
      <c r="Y53" s="80">
        <v>68</v>
      </c>
      <c r="Z53" s="27">
        <f ca="1">Tabella2[[#This Row],[Taxable salary]]</f>
        <v>180796.64471606095</v>
      </c>
      <c r="AA5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3" s="27">
        <f ca="1">IF(Tabella13[[#This Row],[Taxable salary]]&lt;$R$142,$S$141+((Tabella13[[#This Row],[Taxable salary]]-$R$141)/100)*$T$141, IF(Tabella13[[#This Row],[Taxable salary]]&lt;$R$143,S190+((Tabella13[[#This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3" s="27">
        <f ca="1">IF(Tabella13[[#This Row],[Taxable salary]]&lt;$R$161,Tabella13[[#This Row],[Taxable salary]]*S208,IF(Tabella13[[#This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3" s="27">
        <f ca="1">IF(Tabella13[[#This Row],[Taxable salary]]&lt;$R$180,Tabella13[[#This Row],[Taxable salary]]*S232,IF(Tabella13[[#This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salary]]&gt;R249,Tabella13[[#This Row],[Taxable salary]]*$S$196))))))))))))))))))</f>
        <v>7051.0691439263774</v>
      </c>
      <c r="AG5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salary]]*S352))))))))))))</f>
        <v>5243.1026967657681</v>
      </c>
      <c r="AL53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3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3" s="27">
        <f ca="1">Tabella13[[#This Row],[Taxable salary]]*$S$503</f>
        <v>3254.3396048890968</v>
      </c>
      <c r="AU5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3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3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3" s="27">
        <f ca="1">Tabella13[[#This Row],[Taxable salary]]*$S$606</f>
        <v>12836.561774840327</v>
      </c>
      <c r="AY5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salary]]*Q701)))))))))))))</f>
        <v>24407.547036668231</v>
      </c>
      <c r="BA5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4" spans="3:53">
      <c r="C54" s="87"/>
      <c r="L54" s="80">
        <v>69</v>
      </c>
      <c r="M54" s="27">
        <f ca="1">'Income and Pension'!$K70</f>
        <v>180796.64471606095</v>
      </c>
      <c r="N54" s="27">
        <f>SUM('Income and Pension'!$K143,'Partner Income and Pension'!L144)</f>
        <v>0</v>
      </c>
      <c r="O54" s="27">
        <f>SUM('Income and Pension'!$Q143,'Partner Income and Pension'!R144)</f>
        <v>0</v>
      </c>
      <c r="P54" s="27">
        <f>IF(SUMIF('CF Timeline'!$C$4:$BC$4,Tabella2[[#This Row],[Age]],'CF Timeline'!$C$43:$BC$43)&lt;7258, SUMIF('CF Timeline'!$C$4:$BC$4,Tabella2[[#This Row],[Age]],'CF Timeline'!$C$43:$BC$43), 7258)</f>
        <v>0</v>
      </c>
      <c r="Q54" s="27">
        <f ca="1">Tabella2[[#This Row],[Salary and Pension]]-Tabella2[[#This Row],[1° Pillar deductions]]-Tabella2[[#This Row],[2° Pillar deductions]]-Tabella2[[#This Row],[3° Pillar deductions]]</f>
        <v>180796.64471606095</v>
      </c>
      <c r="R54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4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4" s="83">
        <f ca="1">Tabella2[[#This Row],[Cantonal taxes]]*$E$8/100</f>
        <v>11146.963074305269</v>
      </c>
      <c r="U54" s="107">
        <f ca="1">Tabella2[[#This Row],[Federal taxes]]+Tabella2[[#This Row],[Cantonal taxes]]+Tabella2[[#This Row],[Comunal taxes]]</f>
        <v>36028.072293463345</v>
      </c>
      <c r="Y54" s="80">
        <v>69</v>
      </c>
      <c r="Z54" s="27">
        <f ca="1">Tabella2[[#This Row],[Taxable salary]]</f>
        <v>180796.64471606095</v>
      </c>
      <c r="AA5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4" s="27">
        <f ca="1">IF(Tabella13[[#This Row],[Taxable salary]]&lt;$R$142,$S$141+((Tabella13[[#This Row],[Taxable salary]]-$R$141)/100)*$T$141, IF(Tabella13[[#This Row],[Taxable salary]]&lt;$R$143,S191+((Tabella13[[#This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4" s="27">
        <f ca="1">IF(Tabella13[[#This Row],[Taxable salary]]&lt;$R$161,Tabella13[[#This Row],[Taxable salary]]*S209,IF(Tabella13[[#This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4" s="27">
        <f ca="1">IF(Tabella13[[#This Row],[Taxable salary]]&lt;$R$180,Tabella13[[#This Row],[Taxable salary]]*S233,IF(Tabella13[[#This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salary]]&gt;R250,Tabella13[[#This Row],[Taxable salary]]*$S$196))))))))))))))))))</f>
        <v>7051.0691439263774</v>
      </c>
      <c r="AG5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salary]]*S353))))))))))))</f>
        <v>5243.1026967657681</v>
      </c>
      <c r="AL54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4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4971.9077296916766</v>
      </c>
      <c r="AT54" s="27">
        <f ca="1">Tabella13[[#This Row],[Taxable salary]]*$S$503</f>
        <v>3254.3396048890968</v>
      </c>
      <c r="AU5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4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4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4" s="27">
        <f ca="1">Tabella13[[#This Row],[Taxable salary]]*$S$606</f>
        <v>12836.561774840327</v>
      </c>
      <c r="AY5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salary]]*Q702)))))))))))))</f>
        <v>24407.547036668231</v>
      </c>
      <c r="BA5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5" spans="3:53">
      <c r="C55" s="87"/>
      <c r="L55" s="80">
        <v>70</v>
      </c>
      <c r="M55" s="27">
        <f ca="1">'Income and Pension'!$K71</f>
        <v>180796.64471606095</v>
      </c>
      <c r="N55" s="27">
        <f>SUM('Income and Pension'!$K144,'Partner Income and Pension'!L145)</f>
        <v>0</v>
      </c>
      <c r="O55" s="27">
        <f>SUM('Income and Pension'!$Q144,'Partner Income and Pension'!R145)</f>
        <v>0</v>
      </c>
      <c r="P55" s="27">
        <f>IF(SUMIF('CF Timeline'!$C$4:$BC$4,Tabella2[[#This Row],[Age]],'CF Timeline'!$C$43:$BC$43)&lt;7258, SUMIF('CF Timeline'!$C$4:$BC$4,Tabella2[[#This Row],[Age]],'CF Timeline'!$C$43:$BC$43), 7258)</f>
        <v>0</v>
      </c>
      <c r="Q55" s="27">
        <f ca="1">Tabella2[[#This Row],[Salary and Pension]]-Tabella2[[#This Row],[1° Pillar deductions]]-Tabella2[[#This Row],[2° Pillar deductions]]-Tabella2[[#This Row],[3° Pillar deductions]]</f>
        <v>180796.64471606095</v>
      </c>
      <c r="R55" s="83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5" s="104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5" s="83">
        <f ca="1">Tabella2[[#This Row],[Cantonal taxes]]*$E$8/100</f>
        <v>11146.963074305269</v>
      </c>
      <c r="U55" s="107">
        <f ca="1">Tabella2[[#This Row],[Federal taxes]]+Tabella2[[#This Row],[Cantonal taxes]]+Tabella2[[#This Row],[Comunal taxes]]</f>
        <v>36028.072293463345</v>
      </c>
      <c r="Y55" s="80">
        <v>70</v>
      </c>
      <c r="Z55" s="27">
        <f ca="1">Tabella2[[#This Row],[Taxable salary]]</f>
        <v>180796.64471606095</v>
      </c>
      <c r="AA5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5" s="27">
        <f ca="1">IF(Tabella13[[#This Row],[Taxable salary]]&lt;$R$142,$S$141+((Tabella13[[#This Row],[Taxable salary]]-$R$141)/100)*$T$141, IF(Tabella13[[#This Row],[Taxable salary]]&lt;$R$143,S192+((Tabella13[[#This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5" s="27">
        <f ca="1">IF(Tabella13[[#This Row],[Taxable salary]]&lt;$R$161,Tabella13[[#This Row],[Taxable salary]]*S210,IF(Tabella13[[#This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5" s="27">
        <f ca="1">IF(Tabella13[[#This Row],[Taxable salary]]&lt;$R$180,Tabella13[[#This Row],[Taxable salary]]*S234,IF(Tabella13[[#This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salary]]&gt;R251,Tabella13[[#This Row],[Taxable salary]]*$S$196))))))))))))))))))</f>
        <v>7051.0691439263774</v>
      </c>
      <c r="AG5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salary]]*S354))))))))))))</f>
        <v>5243.1026967657681</v>
      </c>
      <c r="AL55" s="83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5" s="83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4971.9077296916766</v>
      </c>
      <c r="AT55" s="27">
        <f ca="1">Tabella13[[#This Row],[Taxable salary]]*$S$503</f>
        <v>3254.3396048890968</v>
      </c>
      <c r="AU5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5" s="83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5" s="83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5" s="27">
        <f ca="1">Tabella13[[#This Row],[Taxable salary]]*$S$606</f>
        <v>12836.561774840327</v>
      </c>
      <c r="AY5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salary]]*Q703)))))))))))))</f>
        <v>24407.547036668231</v>
      </c>
      <c r="BA5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6" spans="3:53">
      <c r="L56" s="80">
        <v>71</v>
      </c>
      <c r="M56" s="115">
        <f ca="1">'Income and Pension'!$K72</f>
        <v>180796.64471606095</v>
      </c>
      <c r="N56" s="115">
        <f>SUM('Income and Pension'!$K145,'Partner Income and Pension'!L146)</f>
        <v>0</v>
      </c>
      <c r="O56" s="115">
        <f>SUM('Income and Pension'!$Q145,'Partner Income and Pension'!R146)</f>
        <v>0</v>
      </c>
      <c r="P56" s="115">
        <f>IF(SUMIF('CF Timeline'!$C$4:$BC$4,Tabella2[[#This Row],[Age]],'CF Timeline'!$C$43:$BC$43)&lt;7258, SUMIF('CF Timeline'!$C$4:$BC$4,Tabella2[[#This Row],[Age]],'CF Timeline'!$C$43:$BC$43), 7258)</f>
        <v>0</v>
      </c>
      <c r="Q56" s="27">
        <f ca="1">Tabella2[[#This Row],[Salary and Pension]]-Tabella2[[#This Row],[1° Pillar deductions]]-Tabella2[[#This Row],[2° Pillar deductions]]-Tabella2[[#This Row],[3° Pillar deductions]]</f>
        <v>180796.64471606095</v>
      </c>
      <c r="R56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6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6" s="115">
        <f ca="1">Tabella2[[#This Row],[Cantonal taxes]]*$E$8/100</f>
        <v>11146.963074305269</v>
      </c>
      <c r="U56" s="176">
        <f ca="1">Tabella2[[#This Row],[Federal taxes]]+Tabella2[[#This Row],[Cantonal taxes]]+Tabella2[[#This Row],[Comunal taxes]]</f>
        <v>36028.072293463345</v>
      </c>
      <c r="Y56" s="80">
        <v>71</v>
      </c>
      <c r="Z56" s="27">
        <f ca="1">Tabella2[[#This Row],[Taxable salary]]</f>
        <v>180796.64471606095</v>
      </c>
      <c r="AA56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6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6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6" s="27">
        <f ca="1">IF(Tabella13[[#This Row],[Taxable salary]]&lt;$R$142,$S$141+((Tabella13[[#This Row],[Taxable salary]]-$R$141)/100)*$T$141, IF(Tabella13[[#This Row],[Taxable salary]]&lt;$R$143,S193+((Tabella13[[#This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6" s="27">
        <f ca="1">IF(Tabella13[[#This Row],[Taxable salary]]&lt;$R$161,Tabella13[[#This Row],[Taxable salary]]*S211,IF(Tabella13[[#This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6" s="27">
        <f ca="1">IF(Tabella13[[#This Row],[Taxable salary]]&lt;$R$180,Tabella13[[#This Row],[Taxable salary]]*S230,IF(Tabella13[[#This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salary]]&gt;R247,Tabella13[[#This Row],[Taxable salary]]*$S$196))))))))))))))))))</f>
        <v>7051.0691439263774</v>
      </c>
      <c r="AG56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6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6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6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6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salary]]*S355))))))))))))</f>
        <v>5243.1026967657681</v>
      </c>
      <c r="AL56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6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6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6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6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6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6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6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salary]]*$S$489,IF(Q528&lt;$R$491,Tabella13[[#This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6" s="27">
        <f ca="1">Tabella13[[#This Row],[Taxable salary]]*$S$503</f>
        <v>3254.3396048890968</v>
      </c>
      <c r="AU56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6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6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6" s="27">
        <f ca="1">Tabella13[[#This Row],[Taxable salary]]*$S$606</f>
        <v>12836.561774840327</v>
      </c>
      <c r="AY56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6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salary]]*Q704)))))))))))))</f>
        <v>24407.547036668231</v>
      </c>
      <c r="BA56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7" spans="3:53">
      <c r="L57" s="80">
        <v>72</v>
      </c>
      <c r="M57" s="115">
        <f ca="1">'Income and Pension'!$K73</f>
        <v>180796.64471606095</v>
      </c>
      <c r="N57" s="115">
        <f>SUM('Income and Pension'!$K146,'Partner Income and Pension'!L147)</f>
        <v>0</v>
      </c>
      <c r="O57" s="115">
        <f>SUM('Income and Pension'!$Q146,'Partner Income and Pension'!R147)</f>
        <v>0</v>
      </c>
      <c r="P57" s="115">
        <f>IF(SUMIF('CF Timeline'!$C$4:$BC$4,Tabella2[[#This Row],[Age]],'CF Timeline'!$C$43:$BC$43)&lt;7258, SUMIF('CF Timeline'!$C$4:$BC$4,Tabella2[[#This Row],[Age]],'CF Timeline'!$C$43:$BC$43), 7258)</f>
        <v>0</v>
      </c>
      <c r="Q57" s="27">
        <f ca="1">Tabella2[[#This Row],[Salary and Pension]]-Tabella2[[#This Row],[1° Pillar deductions]]-Tabella2[[#This Row],[2° Pillar deductions]]-Tabella2[[#This Row],[3° Pillar deductions]]</f>
        <v>180796.64471606095</v>
      </c>
      <c r="R57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7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7" s="115">
        <f ca="1">Tabella2[[#This Row],[Cantonal taxes]]*$E$8/100</f>
        <v>11146.963074305269</v>
      </c>
      <c r="U57" s="176">
        <f ca="1">Tabella2[[#This Row],[Federal taxes]]+Tabella2[[#This Row],[Cantonal taxes]]+Tabella2[[#This Row],[Comunal taxes]]</f>
        <v>36028.072293463345</v>
      </c>
      <c r="Y57" s="80">
        <v>72</v>
      </c>
      <c r="Z57" s="27">
        <f ca="1">Tabella2[[#This Row],[Taxable salary]]</f>
        <v>180796.64471606095</v>
      </c>
      <c r="AA57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7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7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7" s="27">
        <f ca="1">IF(Tabella13[[#This Row],[Taxable salary]]&lt;$R$142,$S$141+((Tabella13[[#This Row],[Taxable salary]]-$R$141)/100)*$T$141, IF(Tabella13[[#This Row],[Taxable salary]]&lt;$R$143,S194+((Tabella13[[#This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7" s="27">
        <f ca="1">IF(Tabella13[[#This Row],[Taxable salary]]&lt;$R$161,Tabella13[[#This Row],[Taxable salary]]*S212,IF(Tabella13[[#This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7" s="27">
        <f ca="1">IF(Tabella13[[#This Row],[Taxable salary]]&lt;$R$180,Tabella13[[#This Row],[Taxable salary]]*S231,IF(Tabella13[[#This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salary]]&gt;R248,Tabella13[[#This Row],[Taxable salary]]*$S$196))))))))))))))))))</f>
        <v>7051.0691439263774</v>
      </c>
      <c r="AG57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7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7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7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7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salary]]*S356))))))))))))</f>
        <v>5243.1026967657681</v>
      </c>
      <c r="AL57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7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7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7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7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7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7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7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salary]]*$S$489,IF(Q529&lt;$R$491,Tabella13[[#This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7" s="27">
        <f ca="1">Tabella13[[#This Row],[Taxable salary]]*$S$503</f>
        <v>3254.3396048890968</v>
      </c>
      <c r="AU57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7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7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7" s="27">
        <f ca="1">Tabella13[[#This Row],[Taxable salary]]*$S$606</f>
        <v>12836.561774840327</v>
      </c>
      <c r="AY57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7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salary]]*Q705)))))))))))))</f>
        <v>24407.547036668231</v>
      </c>
      <c r="BA57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8" spans="3:53">
      <c r="L58" s="80">
        <v>73</v>
      </c>
      <c r="M58" s="115">
        <f ca="1">'Income and Pension'!$K74</f>
        <v>180796.64471606095</v>
      </c>
      <c r="N58" s="115">
        <f>SUM('Income and Pension'!$K147,'Partner Income and Pension'!L148)</f>
        <v>0</v>
      </c>
      <c r="O58" s="115">
        <f>SUM('Income and Pension'!$Q147,'Partner Income and Pension'!R148)</f>
        <v>0</v>
      </c>
      <c r="P58" s="115">
        <f>IF(SUMIF('CF Timeline'!$C$4:$BC$4,Tabella2[[#This Row],[Age]],'CF Timeline'!$C$43:$BC$43)&lt;7258, SUMIF('CF Timeline'!$C$4:$BC$4,Tabella2[[#This Row],[Age]],'CF Timeline'!$C$43:$BC$43), 7258)</f>
        <v>0</v>
      </c>
      <c r="Q58" s="27">
        <f ca="1">Tabella2[[#This Row],[Salary and Pension]]-Tabella2[[#This Row],[1° Pillar deductions]]-Tabella2[[#This Row],[2° Pillar deductions]]-Tabella2[[#This Row],[3° Pillar deductions]]</f>
        <v>180796.64471606095</v>
      </c>
      <c r="R58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8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8" s="115">
        <f ca="1">Tabella2[[#This Row],[Cantonal taxes]]*$E$8/100</f>
        <v>11146.963074305269</v>
      </c>
      <c r="U58" s="176">
        <f ca="1">Tabella2[[#This Row],[Federal taxes]]+Tabella2[[#This Row],[Cantonal taxes]]+Tabella2[[#This Row],[Comunal taxes]]</f>
        <v>36028.072293463345</v>
      </c>
      <c r="Y58" s="80">
        <v>73</v>
      </c>
      <c r="Z58" s="27">
        <f ca="1">Tabella2[[#This Row],[Taxable salary]]</f>
        <v>180796.64471606095</v>
      </c>
      <c r="AA58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8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8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8" s="27">
        <f ca="1">IF(Tabella13[[#This Row],[Taxable salary]]&lt;$R$142,$S$141+((Tabella13[[#This Row],[Taxable salary]]-$R$141)/100)*$T$141, IF(Tabella13[[#This Row],[Taxable salary]]&lt;$R$143,S195+((Tabella13[[#This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8" s="27">
        <f ca="1">IF(Tabella13[[#This Row],[Taxable salary]]&lt;$R$161,Tabella13[[#This Row],[Taxable salary]]*S213,IF(Tabella13[[#This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8" s="27">
        <f ca="1">IF(Tabella13[[#This Row],[Taxable salary]]&lt;$R$180,Tabella13[[#This Row],[Taxable salary]]*S232,IF(Tabella13[[#This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salary]]&gt;R249,Tabella13[[#This Row],[Taxable salary]]*$S$196))))))))))))))))))</f>
        <v>7051.0691439263774</v>
      </c>
      <c r="AG58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8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8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8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8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salary]]*S357))))))))))))</f>
        <v>5243.1026967657681</v>
      </c>
      <c r="AL58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8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8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8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8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8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8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8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salary]]*$S$489,IF(Q530&lt;$R$491,Tabella13[[#This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8" s="27">
        <f ca="1">Tabella13[[#This Row],[Taxable salary]]*$S$503</f>
        <v>3254.3396048890968</v>
      </c>
      <c r="AU58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8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8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8" s="27">
        <f ca="1">Tabella13[[#This Row],[Taxable salary]]*$S$606</f>
        <v>12836.561774840327</v>
      </c>
      <c r="AY58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8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salary]]*Q706)))))))))))))</f>
        <v>24407.547036668231</v>
      </c>
      <c r="BA58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59" spans="3:53">
      <c r="L59" s="80">
        <v>74</v>
      </c>
      <c r="M59" s="115">
        <f ca="1">'Income and Pension'!$K75</f>
        <v>180796.64471606095</v>
      </c>
      <c r="N59" s="115">
        <f>SUM('Income and Pension'!$K148,'Partner Income and Pension'!L149)</f>
        <v>0</v>
      </c>
      <c r="O59" s="115">
        <f>SUM('Income and Pension'!$Q148,'Partner Income and Pension'!R149)</f>
        <v>0</v>
      </c>
      <c r="P59" s="115">
        <f>IF(SUMIF('CF Timeline'!$C$4:$BC$4,Tabella2[[#This Row],[Age]],'CF Timeline'!$C$43:$BC$43)&lt;7258, SUMIF('CF Timeline'!$C$4:$BC$4,Tabella2[[#This Row],[Age]],'CF Timeline'!$C$43:$BC$43), 7258)</f>
        <v>0</v>
      </c>
      <c r="Q59" s="27">
        <f ca="1">Tabella2[[#This Row],[Salary and Pension]]-Tabella2[[#This Row],[1° Pillar deductions]]-Tabella2[[#This Row],[2° Pillar deductions]]-Tabella2[[#This Row],[3° Pillar deductions]]</f>
        <v>180796.64471606095</v>
      </c>
      <c r="R59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59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59" s="115">
        <f ca="1">Tabella2[[#This Row],[Cantonal taxes]]*$E$8/100</f>
        <v>11146.963074305269</v>
      </c>
      <c r="U59" s="176">
        <f ca="1">Tabella2[[#This Row],[Federal taxes]]+Tabella2[[#This Row],[Cantonal taxes]]+Tabella2[[#This Row],[Comunal taxes]]</f>
        <v>36028.072293463345</v>
      </c>
      <c r="Y59" s="80">
        <v>74</v>
      </c>
      <c r="Z59" s="27">
        <f ca="1">Tabella2[[#This Row],[Taxable salary]]</f>
        <v>180796.64471606095</v>
      </c>
      <c r="AA59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59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59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59" s="27">
        <f ca="1">IF(Tabella13[[#This Row],[Taxable salary]]&lt;$R$142,$S$141+((Tabella13[[#This Row],[Taxable salary]]-$R$141)/100)*$T$141, IF(Tabella13[[#This Row],[Taxable salary]]&lt;$R$143,S196+((Tabella13[[#This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59" s="27">
        <f ca="1">IF(Tabella13[[#This Row],[Taxable salary]]&lt;$R$161,Tabella13[[#This Row],[Taxable salary]]*S214,IF(Tabella13[[#This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59" s="27">
        <f ca="1">IF(Tabella13[[#This Row],[Taxable salary]]&lt;$R$180,Tabella13[[#This Row],[Taxable salary]]*S233,IF(Tabella13[[#This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salary]]&gt;R250,Tabella13[[#This Row],[Taxable salary]]*$S$196))))))))))))))))))</f>
        <v>7051.0691439263774</v>
      </c>
      <c r="AG59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59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59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59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59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salary]]*S358))))))))))))</f>
        <v>5243.1026967657681</v>
      </c>
      <c r="AL59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59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59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59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59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59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59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59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salary]]*$S$489,IF(Q531&lt;$R$491,Tabella13[[#This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59" s="27">
        <f ca="1">Tabella13[[#This Row],[Taxable salary]]*$S$503</f>
        <v>3254.3396048890968</v>
      </c>
      <c r="AU59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59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59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59" s="27">
        <f ca="1">Tabella13[[#This Row],[Taxable salary]]*$S$606</f>
        <v>12836.561774840327</v>
      </c>
      <c r="AY59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59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salary]]*Q707)))))))))))))</f>
        <v>24407.547036668231</v>
      </c>
      <c r="BA59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0" spans="3:53">
      <c r="L60" s="80">
        <v>75</v>
      </c>
      <c r="M60" s="115">
        <f ca="1">'Income and Pension'!$K76</f>
        <v>180796.64471606095</v>
      </c>
      <c r="N60" s="115">
        <f>SUM('Income and Pension'!$K149,'Partner Income and Pension'!L150)</f>
        <v>0</v>
      </c>
      <c r="O60" s="115">
        <f>SUM('Income and Pension'!$Q149,'Partner Income and Pension'!R150)</f>
        <v>0</v>
      </c>
      <c r="P60" s="115">
        <f>IF(SUMIF('CF Timeline'!$C$4:$BC$4,Tabella2[[#This Row],[Age]],'CF Timeline'!$C$43:$BC$43)&lt;7258, SUMIF('CF Timeline'!$C$4:$BC$4,Tabella2[[#This Row],[Age]],'CF Timeline'!$C$43:$BC$43), 7258)</f>
        <v>0</v>
      </c>
      <c r="Q60" s="27">
        <f ca="1">Tabella2[[#This Row],[Salary and Pension]]-Tabella2[[#This Row],[1° Pillar deductions]]-Tabella2[[#This Row],[2° Pillar deductions]]-Tabella2[[#This Row],[3° Pillar deductions]]</f>
        <v>180796.64471606095</v>
      </c>
      <c r="R60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0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0" s="115">
        <f ca="1">Tabella2[[#This Row],[Cantonal taxes]]*$E$8/100</f>
        <v>11146.963074305269</v>
      </c>
      <c r="U60" s="176">
        <f ca="1">Tabella2[[#This Row],[Federal taxes]]+Tabella2[[#This Row],[Cantonal taxes]]+Tabella2[[#This Row],[Comunal taxes]]</f>
        <v>36028.072293463345</v>
      </c>
      <c r="Y60" s="80">
        <v>75</v>
      </c>
      <c r="Z60" s="27">
        <f ca="1">Tabella2[[#This Row],[Taxable salary]]</f>
        <v>180796.64471606095</v>
      </c>
      <c r="AA60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0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0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0" s="27">
        <f ca="1">IF(Tabella13[[#This Row],[Taxable salary]]&lt;$R$142,$S$141+((Tabella13[[#This Row],[Taxable salary]]-$R$141)/100)*$T$141, IF(Tabella13[[#This Row],[Taxable salary]]&lt;$R$143,S197+((Tabella13[[#This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0" s="27">
        <f ca="1">IF(Tabella13[[#This Row],[Taxable salary]]&lt;$R$161,Tabella13[[#This Row],[Taxable salary]]*S215,IF(Tabella13[[#This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0" s="27">
        <f ca="1">IF(Tabella13[[#This Row],[Taxable salary]]&lt;$R$180,Tabella13[[#This Row],[Taxable salary]]*S234,IF(Tabella13[[#This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salary]]&gt;R251,Tabella13[[#This Row],[Taxable salary]]*$S$196))))))))))))))))))</f>
        <v>7051.0691439263774</v>
      </c>
      <c r="AG60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0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0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0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0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salary]]*S359))))))))))))</f>
        <v>5243.1026967657681</v>
      </c>
      <c r="AL60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0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0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0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0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0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0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0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salary]]*$S$489,IF(Q532&lt;$R$491,Tabella13[[#This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0" s="27">
        <f ca="1">Tabella13[[#This Row],[Taxable salary]]*$S$503</f>
        <v>3254.3396048890968</v>
      </c>
      <c r="AU60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0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0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0" s="27">
        <f ca="1">Tabella13[[#This Row],[Taxable salary]]*$S$606</f>
        <v>12836.561774840327</v>
      </c>
      <c r="AY60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0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salary]]*Q708)))))))))))))</f>
        <v>24407.547036668231</v>
      </c>
      <c r="BA60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1" spans="3:53">
      <c r="L61" s="80">
        <v>76</v>
      </c>
      <c r="M61" s="115">
        <f ca="1">'Income and Pension'!$K77</f>
        <v>180796.64471606095</v>
      </c>
      <c r="N61" s="115">
        <f>SUM('Income and Pension'!$K150,'Partner Income and Pension'!L151)</f>
        <v>0</v>
      </c>
      <c r="O61" s="115">
        <f>SUM('Income and Pension'!$Q150,'Partner Income and Pension'!R151)</f>
        <v>0</v>
      </c>
      <c r="P61" s="115">
        <f>IF(SUMIF('CF Timeline'!$C$4:$BC$4,Tabella2[[#This Row],[Age]],'CF Timeline'!$C$43:$BC$43)&lt;7258, SUMIF('CF Timeline'!$C$4:$BC$4,Tabella2[[#This Row],[Age]],'CF Timeline'!$C$43:$BC$43), 7258)</f>
        <v>0</v>
      </c>
      <c r="Q61" s="27">
        <f ca="1">Tabella2[[#This Row],[Salary and Pension]]-Tabella2[[#This Row],[1° Pillar deductions]]-Tabella2[[#This Row],[2° Pillar deductions]]-Tabella2[[#This Row],[3° Pillar deductions]]</f>
        <v>180796.64471606095</v>
      </c>
      <c r="R61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1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1" s="115">
        <f ca="1">Tabella2[[#This Row],[Cantonal taxes]]*$E$8/100</f>
        <v>11146.963074305269</v>
      </c>
      <c r="U61" s="176">
        <f ca="1">Tabella2[[#This Row],[Federal taxes]]+Tabella2[[#This Row],[Cantonal taxes]]+Tabella2[[#This Row],[Comunal taxes]]</f>
        <v>36028.072293463345</v>
      </c>
      <c r="Y61" s="80">
        <v>76</v>
      </c>
      <c r="Z61" s="27">
        <f ca="1">Tabella2[[#This Row],[Taxable salary]]</f>
        <v>180796.64471606095</v>
      </c>
      <c r="AA61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1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1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1" s="27">
        <f ca="1">IF(Tabella13[[#This Row],[Taxable salary]]&lt;$R$142,$S$141+((Tabella13[[#This Row],[Taxable salary]]-$R$141)/100)*$T$141, IF(Tabella13[[#This Row],[Taxable salary]]&lt;$R$143,S198+((Tabella13[[#This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1" s="27">
        <f ca="1">IF(Tabella13[[#This Row],[Taxable salary]]&lt;$R$161,Tabella13[[#This Row],[Taxable salary]]*S216,IF(Tabella13[[#This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1" s="27">
        <f ca="1">IF(Tabella13[[#This Row],[Taxable salary]]&lt;$R$180,Tabella13[[#This Row],[Taxable salary]]*S235,IF(Tabella13[[#This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salary]]&gt;R252,Tabella13[[#This Row],[Taxable salary]]*$S$196))))))))))))))))))</f>
        <v>7051.0691439263774</v>
      </c>
      <c r="AG61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1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1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1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1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salary]]*S360))))))))))))</f>
        <v>5243.1026967657681</v>
      </c>
      <c r="AL61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1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1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1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1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1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1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1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salary]]*$S$489,IF(Q533&lt;$R$491,Tabella13[[#This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1" s="27">
        <f ca="1">Tabella13[[#This Row],[Taxable salary]]*$S$503</f>
        <v>3254.3396048890968</v>
      </c>
      <c r="AU61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1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1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1" s="27">
        <f ca="1">Tabella13[[#This Row],[Taxable salary]]*$S$606</f>
        <v>12836.561774840327</v>
      </c>
      <c r="AY61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1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salary]]*Q709)))))))))))))</f>
        <v>24407.547036668231</v>
      </c>
      <c r="BA61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2" spans="3:53">
      <c r="L62" s="80">
        <v>77</v>
      </c>
      <c r="M62" s="115">
        <f ca="1">'Income and Pension'!$K78</f>
        <v>180796.64471606095</v>
      </c>
      <c r="N62" s="115">
        <f>SUM('Income and Pension'!$K151,'Partner Income and Pension'!L152)</f>
        <v>0</v>
      </c>
      <c r="O62" s="115">
        <f>SUM('Income and Pension'!$Q151,'Partner Income and Pension'!R152)</f>
        <v>0</v>
      </c>
      <c r="P62" s="115">
        <f>IF(SUMIF('CF Timeline'!$C$4:$BC$4,Tabella2[[#This Row],[Age]],'CF Timeline'!$C$43:$BC$43)&lt;7258, SUMIF('CF Timeline'!$C$4:$BC$4,Tabella2[[#This Row],[Age]],'CF Timeline'!$C$43:$BC$43), 7258)</f>
        <v>0</v>
      </c>
      <c r="Q62" s="27">
        <f ca="1">Tabella2[[#This Row],[Salary and Pension]]-Tabella2[[#This Row],[1° Pillar deductions]]-Tabella2[[#This Row],[2° Pillar deductions]]-Tabella2[[#This Row],[3° Pillar deductions]]</f>
        <v>180796.64471606095</v>
      </c>
      <c r="R62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2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2" s="115">
        <f ca="1">Tabella2[[#This Row],[Cantonal taxes]]*$E$8/100</f>
        <v>11146.963074305269</v>
      </c>
      <c r="U62" s="176">
        <f ca="1">Tabella2[[#This Row],[Federal taxes]]+Tabella2[[#This Row],[Cantonal taxes]]+Tabella2[[#This Row],[Comunal taxes]]</f>
        <v>36028.072293463345</v>
      </c>
      <c r="Y62" s="80">
        <v>77</v>
      </c>
      <c r="Z62" s="27">
        <f ca="1">Tabella2[[#This Row],[Taxable salary]]</f>
        <v>180796.64471606095</v>
      </c>
      <c r="AA62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2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2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2" s="27">
        <f ca="1">IF(Tabella13[[#This Row],[Taxable salary]]&lt;$R$142,$S$141+((Tabella13[[#This Row],[Taxable salary]]-$R$141)/100)*$T$141, IF(Tabella13[[#This Row],[Taxable salary]]&lt;$R$143,S199+((Tabella13[[#This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2" s="27">
        <f ca="1">IF(Tabella13[[#This Row],[Taxable salary]]&lt;$R$161,Tabella13[[#This Row],[Taxable salary]]*S217,IF(Tabella13[[#This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2" s="27">
        <f ca="1">IF(Tabella13[[#This Row],[Taxable salary]]&lt;$R$180,Tabella13[[#This Row],[Taxable salary]]*S236,IF(Tabella13[[#This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salary]]&gt;R253,Tabella13[[#This Row],[Taxable salary]]*$S$196))))))))))))))))))</f>
        <v>7051.0691439263774</v>
      </c>
      <c r="AG62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2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2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2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2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salary]]*S361))))))))))))</f>
        <v>5243.1026967657681</v>
      </c>
      <c r="AL62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2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2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2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2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2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2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2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salary]]*$S$489,IF(Q534&lt;$R$491,Tabella13[[#This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2" s="27">
        <f ca="1">Tabella13[[#This Row],[Taxable salary]]*$S$503</f>
        <v>3254.3396048890968</v>
      </c>
      <c r="AU62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2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2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2" s="27">
        <f ca="1">Tabella13[[#This Row],[Taxable salary]]*$S$606</f>
        <v>12836.561774840327</v>
      </c>
      <c r="AY62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2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salary]]*Q710)))))))))))))</f>
        <v>24407.547036668231</v>
      </c>
      <c r="BA62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3" spans="3:53">
      <c r="L63" s="80">
        <v>78</v>
      </c>
      <c r="M63" s="115">
        <f ca="1">'Income and Pension'!$K79</f>
        <v>180796.64471606095</v>
      </c>
      <c r="N63" s="115">
        <f>SUM('Income and Pension'!$K152,'Partner Income and Pension'!L153)</f>
        <v>0</v>
      </c>
      <c r="O63" s="115">
        <f>SUM('Income and Pension'!$Q152,'Partner Income and Pension'!R153)</f>
        <v>0</v>
      </c>
      <c r="P63" s="115">
        <f>IF(SUMIF('CF Timeline'!$C$4:$BC$4,Tabella2[[#This Row],[Age]],'CF Timeline'!$C$43:$BC$43)&lt;7258, SUMIF('CF Timeline'!$C$4:$BC$4,Tabella2[[#This Row],[Age]],'CF Timeline'!$C$43:$BC$43), 7258)</f>
        <v>0</v>
      </c>
      <c r="Q63" s="27">
        <f ca="1">Tabella2[[#This Row],[Salary and Pension]]-Tabella2[[#This Row],[1° Pillar deductions]]-Tabella2[[#This Row],[2° Pillar deductions]]-Tabella2[[#This Row],[3° Pillar deductions]]</f>
        <v>180796.64471606095</v>
      </c>
      <c r="R63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3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3" s="115">
        <f ca="1">Tabella2[[#This Row],[Cantonal taxes]]*$E$8/100</f>
        <v>11146.963074305269</v>
      </c>
      <c r="U63" s="176">
        <f ca="1">Tabella2[[#This Row],[Federal taxes]]+Tabella2[[#This Row],[Cantonal taxes]]+Tabella2[[#This Row],[Comunal taxes]]</f>
        <v>36028.072293463345</v>
      </c>
      <c r="Y63" s="80">
        <v>78</v>
      </c>
      <c r="Z63" s="27">
        <f ca="1">Tabella2[[#This Row],[Taxable salary]]</f>
        <v>180796.64471606095</v>
      </c>
      <c r="AA63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3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3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3" s="27">
        <f ca="1">IF(Tabella13[[#This Row],[Taxable salary]]&lt;$R$142,$S$141+((Tabella13[[#This Row],[Taxable salary]]-$R$141)/100)*$T$141, IF(Tabella13[[#This Row],[Taxable salary]]&lt;$R$143,S200+((Tabella13[[#This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3" s="27">
        <f ca="1">IF(Tabella13[[#This Row],[Taxable salary]]&lt;$R$161,Tabella13[[#This Row],[Taxable salary]]*S218,IF(Tabella13[[#This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3" s="27">
        <f ca="1">IF(Tabella13[[#This Row],[Taxable salary]]&lt;$R$180,Tabella13[[#This Row],[Taxable salary]]*S237,IF(Tabella13[[#This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salary]]&gt;R254,Tabella13[[#This Row],[Taxable salary]]*$S$196))))))))))))))))))</f>
        <v>7051.0691439263774</v>
      </c>
      <c r="AG63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3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3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3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3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salary]]*S362))))))))))))</f>
        <v>5243.1026967657681</v>
      </c>
      <c r="AL63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3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3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3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3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3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3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3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salary]]*$S$489,IF(Q535&lt;$R$491,Tabella13[[#This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3" s="27">
        <f ca="1">Tabella13[[#This Row],[Taxable salary]]*$S$503</f>
        <v>3254.3396048890968</v>
      </c>
      <c r="AU63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3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3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3" s="27">
        <f ca="1">Tabella13[[#This Row],[Taxable salary]]*$S$606</f>
        <v>12836.561774840327</v>
      </c>
      <c r="AY63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3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salary]]*Q711)))))))))))))</f>
        <v>24407.547036668231</v>
      </c>
      <c r="BA63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4" spans="3:53">
      <c r="L64" s="80">
        <v>79</v>
      </c>
      <c r="M64" s="115">
        <f ca="1">'Income and Pension'!$K80</f>
        <v>180796.64471606095</v>
      </c>
      <c r="N64" s="115">
        <f>SUM('Income and Pension'!$K153,'Partner Income and Pension'!L154)</f>
        <v>0</v>
      </c>
      <c r="O64" s="115">
        <f>SUM('Income and Pension'!$Q153,'Partner Income and Pension'!R154)</f>
        <v>0</v>
      </c>
      <c r="P64" s="115">
        <f>IF(SUMIF('CF Timeline'!$C$4:$BC$4,Tabella2[[#This Row],[Age]],'CF Timeline'!$C$43:$BC$43)&lt;7258, SUMIF('CF Timeline'!$C$4:$BC$4,Tabella2[[#This Row],[Age]],'CF Timeline'!$C$43:$BC$43), 7258)</f>
        <v>0</v>
      </c>
      <c r="Q64" s="27">
        <f ca="1">Tabella2[[#This Row],[Salary and Pension]]-Tabella2[[#This Row],[1° Pillar deductions]]-Tabella2[[#This Row],[2° Pillar deductions]]-Tabella2[[#This Row],[3° Pillar deductions]]</f>
        <v>180796.64471606095</v>
      </c>
      <c r="R64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4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4" s="115">
        <f ca="1">Tabella2[[#This Row],[Cantonal taxes]]*$E$8/100</f>
        <v>11146.963074305269</v>
      </c>
      <c r="U64" s="176">
        <f ca="1">Tabella2[[#This Row],[Federal taxes]]+Tabella2[[#This Row],[Cantonal taxes]]+Tabella2[[#This Row],[Comunal taxes]]</f>
        <v>36028.072293463345</v>
      </c>
      <c r="Y64" s="80">
        <v>79</v>
      </c>
      <c r="Z64" s="27">
        <f ca="1">Tabella2[[#This Row],[Taxable salary]]</f>
        <v>180796.64471606095</v>
      </c>
      <c r="AA64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4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4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4" s="27">
        <f ca="1">IF(Tabella13[[#This Row],[Taxable salary]]&lt;$R$142,$S$141+((Tabella13[[#This Row],[Taxable salary]]-$R$141)/100)*$T$141, IF(Tabella13[[#This Row],[Taxable salary]]&lt;$R$143,S201+((Tabella13[[#This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4" s="27">
        <f ca="1">IF(Tabella13[[#This Row],[Taxable salary]]&lt;$R$161,Tabella13[[#This Row],[Taxable salary]]*S219,IF(Tabella13[[#This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4" s="27">
        <f ca="1">IF(Tabella13[[#This Row],[Taxable salary]]&lt;$R$180,Tabella13[[#This Row],[Taxable salary]]*S238,IF(Tabella13[[#This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salary]]&gt;R255,Tabella13[[#This Row],[Taxable salary]]*$S$196))))))))))))))))))</f>
        <v>7051.0691439263774</v>
      </c>
      <c r="AG64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4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4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4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4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salary]]*S363))))))))))))</f>
        <v>5243.1026967657681</v>
      </c>
      <c r="AL64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4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4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4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4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4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4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4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salary]]*$S$489,IF(Q536&lt;$R$491,Tabella13[[#This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4" s="27">
        <f ca="1">Tabella13[[#This Row],[Taxable salary]]*$S$503</f>
        <v>3254.3396048890968</v>
      </c>
      <c r="AU64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4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4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4" s="27">
        <f ca="1">Tabella13[[#This Row],[Taxable salary]]*$S$606</f>
        <v>12836.561774840327</v>
      </c>
      <c r="AY64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4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salary]]*Q712)))))))))))))</f>
        <v>24407.547036668231</v>
      </c>
      <c r="BA64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5" spans="2:53">
      <c r="L65" s="80">
        <v>80</v>
      </c>
      <c r="M65" s="115">
        <f ca="1">'Income and Pension'!$K81</f>
        <v>180796.64471606095</v>
      </c>
      <c r="N65" s="115">
        <f>SUM('Income and Pension'!$K154,'Partner Income and Pension'!L155)</f>
        <v>0</v>
      </c>
      <c r="O65" s="115">
        <f>SUM('Income and Pension'!$Q154,'Partner Income and Pension'!R155)</f>
        <v>0</v>
      </c>
      <c r="P65" s="115">
        <f>IF(SUMIF('CF Timeline'!$C$4:$BC$4,Tabella2[[#This Row],[Age]],'CF Timeline'!$C$43:$BC$43)&lt;7258, SUMIF('CF Timeline'!$C$4:$BC$4,Tabella2[[#This Row],[Age]],'CF Timeline'!$C$43:$BC$43), 7258)</f>
        <v>0</v>
      </c>
      <c r="Q65" s="27">
        <f ca="1">Tabella2[[#This Row],[Salary and Pension]]-Tabella2[[#This Row],[1° Pillar deductions]]-Tabella2[[#This Row],[2° Pillar deductions]]-Tabella2[[#This Row],[3° Pillar deductions]]</f>
        <v>180796.64471606095</v>
      </c>
      <c r="R65" s="115">
        <f ca="1">IF(Tabella2[[#This Row],[Taxable salary]]&lt;=$C$16,$C$15,IF(Tabella2[[#This Row],[Taxable salary]]&lt;=$C$17,((Tabella2[[#This Row],[Taxable salary]]-$C$16)/$D$15)*$E$16,IF(Tabella2[[#This Row],[Taxable salary]]&lt;=$C$18,$D$17+((Tabella2[[#This Row],[Taxable salary]]-$C$17)/$D$15)*$E$17,IF(Tabella2[[#This Row],[Taxable salary]]&lt;=$C$19,$D$18+((Tabella2[[#This Row],[Taxable salary]]-$C$18)/$D$15)*$E$18,IF(Tabella2[[#This Row],[Taxable salary]]&lt;=$C$20,$D$19+((Tabella2[[#This Row],[Taxable salary]]-$C$19)/$D$15)*$E$19,IF(Tabella2[[#This Row],[Taxable salary]]&lt;=$C$21,$D$20+((Tabella2[[#This Row],[Taxable salary]]-$C$20)/$D$15)*$E$20,IF(Tabella2[[#This Row],[Taxable salary]]&lt;=$C$22,$D$21+((Tabella2[[#This Row],[Taxable salary]]-$C$21)/$D$15)*$E$21,IF(Tabella2[[#This Row],[Taxable salary]]&lt;=$C$23,$D$22+((Tabella2[[#This Row],[Taxable salary]]-$C$22)/$D$15)*$E$22,IF(Tabella2[[#This Row],[Taxable salary]]&lt;=$C$24,$D$23+((Tabella2[[#This Row],[Taxable salary]]-$C$23)/$D$15)*$E$23,IF(Tabella2[[#This Row],[Taxable salary]]&lt;=$C$25,$D$24+((Tabella2[[#This Row],[Taxable salary]]-$C$24)/$D$15)*$E$24,IF(Tabella2[[#This Row],[Taxable salary]]=$C$25,$D$25,IF(Tabella2[[#This Row],[Taxable salary]]&gt;=$C$26,$D$26+((Tabella2[[#This Row],[Taxable salary]]-$C$26)/$D$15)*$E$26))))))))))))</f>
        <v>10590.130918766705</v>
      </c>
      <c r="S65" s="106">
        <f ca="1">IF($C$11="TI",Tabella13[[#This Row],[TI]]*($E$7/100),IF($C$11="ZH",Tabella13[[#This Row],[ZH]]*($E$7/100),IF($C$11="SG",Tabella13[[#This Row],[SG]]*($E$7/100),IF($C$11="ZG",Tabella13[[#This Row],[ZG]]*($E$7/100),IF($C$11="BE",Tabella13[[#This Row],[BE]]*($E$7/100),IF($C$11="SZ",Tabella13[[#This Row],[SZ]]*($E$7/100),IF($C$11="GR",Tabella13[[#This Row],[GR]]*($E$7/100),IF($C$11="GE",Tabella13[[#This Row],[GE]]*($E$7/100),IF($C$11="AG",Tabella13[[#This Row],[AG]]*($E$7/100),IF($C$11="AI",Tabella13[[#This Row],[AI]]*($E$7/100),IF($C$11="AR",Tabella13[[#This Row],[AR]]*($E$7/100),IF($C$11="BL",Tabella13[[#This Row],[BL]]*($E$7/100),IF($C$11="BS",Tabella13[[#This Row],[BS]]*($E$7/100),IF($C$11="FR",Tabella13[[#This Row],[FR]]*($E$7/100),IF($C$11="GL",Tabella13[[#This Row],[GL]]*($E$7/100),IF($C$11="JU",Tabella13[[#This Row],[JU]]*($E$7/100),IF($C$11="LU",Tabella13[[#This Row],[LU]]*($E$7/100),IF($C$11="NE",Tabella13[[#This Row],[NE]]*($E$7/100),IF($C$11="NW",Tabella13[[#This Row],[NW]]*($E$7/100),IF($C$11="OW",Tabella13[[#This Row],[OW]]*($E$7/100),IF($C$11="SH",Tabella13[[#This Row],[SH]]*($E$7/100),IF($C$11="SO",Tabella13[[#This Row],[SO]]*($E$7/100),IF($C$11="TG",Tabella13[[#This Row],[TG]]*($E$7/100),IF($C$11="UR",Tabella13[[#This Row],[UR]]*($E$7/100),IF($C$11="VD",Tabella13[[#This Row],[VD]]*($E$7/100),IF($C$11="VS",Tabella13[[#This Row],[VS Canton]]*($E$7/100)))))))))))))))))))))))))))</f>
        <v>14290.978300391371</v>
      </c>
      <c r="T65" s="115">
        <f ca="1">Tabella2[[#This Row],[Cantonal taxes]]*$E$8/100</f>
        <v>11146.963074305269</v>
      </c>
      <c r="U65" s="176">
        <f ca="1">Tabella2[[#This Row],[Federal taxes]]+Tabella2[[#This Row],[Cantonal taxes]]+Tabella2[[#This Row],[Comunal taxes]]</f>
        <v>36028.072293463345</v>
      </c>
      <c r="Y65" s="80">
        <v>80</v>
      </c>
      <c r="Z65" s="27">
        <f ca="1">Tabella2[[#This Row],[Taxable salary]]</f>
        <v>180796.64471606095</v>
      </c>
      <c r="AA65" s="27">
        <f ca="1">IF(Tabella13[[#This Row],[Taxable salary]]&lt;$R$85,$S$84, IF(Tabella13[[#This Row],[Taxable salary]]&lt;$R$86,$S$85+((Tabella13[[#This Row],[Taxable salary]]-$R$85)/100)*$T$85, IF(Tabella13[[#This Row],[Taxable salary]]&lt;$R$87,$S$86+((Tabella13[[#This Row],[Taxable salary]]-$R$86)/100)*$T$86, IF(Tabella13[[#This Row],[Taxable salary]]&lt;$R$88,$S$87+((Tabella13[[#This Row],[Taxable salary]]-$R$87)/100)*$T$87, IF(Tabella13[[#This Row],[Taxable salary]]&lt;$R$89,$S$88+((Tabella13[[#This Row],[Taxable salary]]-$R$88)/100)*$T$88,IF(Tabella13[[#This Row],[Taxable salary]]&lt;$R$90,$S$89+((Tabella13[[#This Row],[Taxable salary]]-$R$89)/100)*$T$89,IF(Tabella13[[#This Row],[Taxable salary]]&lt;$R$91,$S$90+((Tabella13[[#This Row],[Taxable salary]]-$R$90)/100)*$T$90,IF(Tabella13[[#This Row],[Taxable salary]]&lt;$R$92,$S$91+((Tabella13[[#This Row],[Taxable salary]]-$R$91)/100)*$T$91,IF(Tabella13[[#This Row],[Taxable salary]]&lt;$R$93,$S$92+((Tabella13[[#This Row],[Taxable salary]]-$R$92)/100)*$T$92,IF(Tabella13[[#This Row],[Taxable salary]]&lt;$R$94,$S$93+((Tabella13[[#This Row],[Taxable salary]]-$R$93)/100)*$T$93,IF(Tabella13[[#This Row],[Taxable salary]]&lt;$R$95,$S$94+((Tabella13[[#This Row],[Taxable salary]]-$R$94)/100)*$T$94,IF(Tabella13[[#This Row],[Taxable salary]]&lt;$R$96,$S$95+((Tabella13[[#This Row],[Taxable salary]]-$R$95)/100)*$T$95,IF(Tabella13[[#This Row],[Taxable salary]]&lt;$R$97,$S$96+((Tabella13[[#This Row],[Taxable salary]]-$R$96)/100)*$T$96,IF(Tabella13[[#This Row],[Taxable salary]]&lt;$R$98,$S$97+((Tabella13[[#This Row],[Taxable salary]]-$R$97)/100)*$T$97, IF(Tabella13[[#This Row],[Taxable salary]]&gt;=$R$98,$S$98+((Tabella13[[#This Row],[Taxable salary]]-$R$98)/100)*$T$98)))))))))))))))</f>
        <v>19358.60112886077</v>
      </c>
      <c r="AB65" s="27">
        <f ca="1">IF(Tabella13[[#This Row],[Taxable salary]]&lt;$R$104,$S$103,IF(Tabella13[[#This Row],[Taxable salary]]&lt;$R$105,$S$104+((Tabella13[[#This Row],[Taxable salary]]-$R$104)/100)*$T$104,IF(Tabella13[[#This Row],[Taxable salary]]&lt;$R$106,$S$105+((Tabella13[[#This Row],[Taxable salary]]-$R$105)/100)*$T$105,IF(Tabella13[[#This Row],[Taxable salary]]&lt;$R$107,$S$106+((Tabella13[[#This Row],[Taxable salary]]-$R$106)/100)*$T$106,IF(Tabella13[[#This Row],[Taxable salary]]&lt;$R$108,$S$107+((Tabella13[[#This Row],[Taxable salary]]-$R$107)/100)*$T$107,IF(Tabella13[[#This Row],[Taxable salary]]&lt;$R$109,$S$108+((Tabella13[[#This Row],[Taxable salary]]-$R$108)/100)*$T$108,IF(Tabella13[[#This Row],[Taxable salary]]&lt;$R$110,$S$109+((Tabella13[[#This Row],[Taxable salary]]-$R$109)/100)*$T$109,IF(Tabella13[[#This Row],[Taxable salary]]&lt;$R$111,$S$110+((Tabella13[[#This Row],[Taxable salary]]-$R$110)/100)*$T$110,IF(Tabella13[[#This Row],[Taxable salary]]&lt;$R$112,$S$111+((Tabella13[[#This Row],[Taxable salary]]-$R$111)/100)*$T$111,IF(Tabella13[[#This Row],[Taxable salary]]&lt;$R$113,$S$112+((Tabella13[[#This Row],[Taxable salary]]-$R$112)/100)*$T$112,IF(Tabella13[[#This Row],[Taxable salary]]&lt;$R$114,$S$113+((Tabella13[[#This Row],[Taxable salary]]-$R$113)/100)*$T$113,IF(Tabella13[[#This Row],[Taxable salary]]&lt;$R$115,$S$114+((Tabella13[[#This Row],[Taxable salary]]-$R$114)/100)*$T$114,IF(Tabella13[[#This Row],[Taxable salary]]&gt;=$R$115,$S$115+((Tabella13[[#This Row],[Taxable salary]]-$R$115)/100)*$T$115)))))))))))))</f>
        <v>14582.630918766705</v>
      </c>
      <c r="AC65" s="27">
        <f ca="1">IF(Tabella13[[#This Row],[Taxable salary]]&lt;$R$123,Tabella13[[#This Row],[Taxable salary]]*0,IF(Tabella13[[#This Row],[Taxable salary]]&lt;$R$124,Tabella13[[#This Row],[Taxable salary]]*$S$123, IF(Tabella13[[#This Row],[Taxable salary]]&lt;$R$125,Tabella13[[#This Row],[Taxable salary]]*$S$124,IF(Tabella13[[#This Row],[Taxable salary]]&lt;$R$126,Tabella13[[#This Row],[Taxable salary]]*$S$125,IF(Tabella13[[#This Row],[Taxable salary]]&lt;$R$127,Tabella13[[#This Row],[Taxable salary]]*$S$126,IF(Tabella13[[#This Row],[Taxable salary]]&lt;$R$128,Tabella13[[#This Row],[Taxable salary]]*$S$127,IF(Tabella13[[#This Row],[Taxable salary]]&gt;$R$128,Tabella13[[#This Row],[Taxable salary]]*$S$128)))))))</f>
        <v>16994.884603309729</v>
      </c>
      <c r="AD65" s="27">
        <f ca="1">IF(Tabella13[[#This Row],[Taxable salary]]&lt;$R$142,$S$141+((Tabella13[[#This Row],[Taxable salary]]-$R$141)/100)*$T$141, IF(Tabella13[[#This Row],[Taxable salary]]&lt;$R$143,S202+((Tabella13[[#This Row],[Taxable salary]]-$R$142)/100)*$T$142, IF(Tabella13[[#This Row],[Taxable salary]]&lt;$R$144,$S$143+((Tabella13[[#This Row],[Taxable salary]]-$R$143)/100)*$T$143, IF(Tabella13[[#This Row],[Taxable salary]]&lt;$R$145,$S$144+((Tabella13[[#This Row],[Taxable salary]]-$R$144)/100)*$T$144, IF(Tabella13[[#This Row],[Taxable salary]]&lt;$R$146,$S$145+((Tabella13[[#This Row],[Taxable salary]]-$R$145)/100)*$T$145,IF(Tabella13[[#This Row],[Taxable salary]]&lt;$R$147,$S$146+((Tabella13[[#This Row],[Taxable salary]]-$R$146)/100)*$T$146,IF(Tabella13[[#This Row],[Taxable salary]]&lt;$R$148,$S$147+((Tabella13[[#This Row],[Taxable salary]]-$R$147)/100)*$T$147,IF(Tabella13[[#This Row],[Taxable salary]]&lt;$R$149,$S$148+((Tabella13[[#This Row],[Taxable salary]]-$R$148)/100)*$T$148,IF(Tabella13[[#This Row],[Taxable salary]]&lt;$R$150,$S$149+((Tabella13[[#This Row],[Taxable salary]]-$R$149)/100)*$T$149,IF(Tabella13[[#This Row],[Taxable salary]]&lt;$R$151,$S$150+((Tabella13[[#This Row],[Taxable salary]]-$R$150)/100)*$T$150,IF(Tabella13[[#This Row],[Taxable salary]]&lt;$R$152,$S$151+((Tabella13[[#This Row],[Taxable salary]]-$R$151)/100)*$T$151,IF(Tabella13[[#This Row],[Taxable salary]]&lt;$R$153,$S$152+((Tabella13[[#This Row],[Taxable salary]]-$R$152)/100)*$T$152,IF(Tabella13[[#This Row],[Taxable salary]]&lt;$R$154,$S$153+((Tabella13[[#This Row],[Taxable salary]]-$R$153)/100)*$T$153,IF(Tabella13[[#This Row],[Taxable salary]]&lt;$R$155,$S$154+((Tabella13[[#This Row],[Taxable salary]]-$R$154)/100)*$T$154, IF(Tabella13[[#This Row],[Taxable salary]]&gt;=$R$155,$S$155+((Tabella13[[#This Row],[Taxable salary]]-$R$155)/100)*$T$155)))))))))))))))</f>
        <v>12820.731577284876</v>
      </c>
      <c r="AE65" s="27">
        <f ca="1">IF(Tabella13[[#This Row],[Taxable salary]]&lt;$R$161,Tabella13[[#This Row],[Taxable salary]]*S220,IF(Tabella13[[#This Row],[Taxable salary]]&lt;$R$162,Tabella13[[#This Row],[Taxable salary]]*$S$161,IF(Tabella13[[#This Row],[Taxable salary]]&lt;$R$163,Tabella13[[#This Row],[Taxable salary]]*$S$162,IF(Tabella13[[#This Row],[Taxable salary]]&lt;$R$164,Tabella13[[#This Row],[Taxable salary]]*$S$163,IF(Tabella13[[#This Row],[Taxable salary]]&lt;$R$165,Tabella13[[#This Row],[Taxable salary]]*$S$164,IF(Tabella13[[#This Row],[Taxable salary]]&lt;$R$166,Tabella13[[#This Row],[Taxable salary]]*$S$165,IF(Tabella13[[#This Row],[Taxable salary]]&lt;$R$167,Tabella13[[#This Row],[Taxable salary]]*$S$166,IF(Tabella13[[#This Row],[Taxable salary]]&lt;$R$168,Tabella13[[#This Row],[Taxable salary]]*$S$167,IF(Tabella13[[#This Row],[Taxable salary]]&lt;$R$169,Tabella13[[#This Row],[Taxable salary]]*$S$168,IF(Tabella13[[#This Row],[Taxable salary]]&lt;$R$170,Tabella13[[#This Row],[Taxable salary]]*$S$169,IF(Tabella13[[#This Row],[Taxable salary]]&lt;$R$171,Tabella13[[#This Row],[Taxable salary]]*$S$170,IF(Tabella13[[#This Row],[Taxable salary]]&lt;$R$172,Tabella13[[#This Row],[Taxable salary]]*$S$171,IF(Tabella13[[#This Row],[Taxable salary]]&lt;$R$173,Tabella13[[#This Row],[Taxable salary]]*$S$172,IF(Tabella13[[#This Row],[Taxable salary]]&gt;$R$173,Tabella13[[#This Row],[Taxable salary]]*$S$173))))))))))))))</f>
        <v>10938.197005321686</v>
      </c>
      <c r="AF65" s="27">
        <f ca="1">IF(Tabella13[[#This Row],[Taxable salary]]&lt;$R$180,Tabella13[[#This Row],[Taxable salary]]*S239,IF(Tabella13[[#This Row],[Taxable salary]]&lt;$R$181,Tabella13[[#This Row],[Taxable salary]]*$S$180,IF(Tabella13[[#This Row],[Taxable salary]]&lt;$R$182,Tabella13[[#This Row],[Taxable salary]]*$S$181,IF(Tabella13[[#This Row],[Taxable salary]]&lt;$R$183,Tabella13[[#This Row],[Taxable salary]]*$S$182,IF(Tabella13[[#This Row],[Taxable salary]]&lt;$R$184,Tabella13[[#This Row],[Taxable salary]]*$S$183,IF(Tabella13[[#This Row],[Taxable salary]]&lt;$R$185,Tabella13[[#This Row],[Taxable salary]]*$S$184,IF(Tabella13[[#This Row],[Taxable salary]]&lt;$R$186,Tabella13[[#This Row],[Taxable salary]]*$S$185,IF(Tabella13[[#This Row],[Taxable salary]]&lt;$R$187,Tabella13[[#This Row],[Taxable salary]]*$S$186,IF(Tabella13[[#This Row],[Taxable salary]]&lt;$R$188,Tabella13[[#This Row],[Taxable salary]]*$S$187,IF(Tabella13[[#This Row],[Taxable salary]]&lt;$R$189,Tabella13[[#This Row],[Taxable salary]]*$S$188,IF(Tabella13[[#This Row],[Taxable salary]]&lt;$R$190,Tabella13[[#This Row],[Taxable salary]]*$S$189,IF(Tabella13[[#This Row],[Taxable salary]]&lt;$R$191,Tabella13[[#This Row],[Taxable salary]]*$S$190,IF(Tabella13[[#This Row],[Taxable salary]]&lt;$R$192,Tabella13[[#This Row],[Taxable salary]]*$S$191,IF(Tabella13[[#This Row],[Taxable salary]]&lt;$R$193,Tabella13[[#This Row],[Taxable salary]]*$S$192,IF(Tabella13[[#This Row],[Taxable salary]]&lt;$R$194,Tabella13[[#This Row],[Taxable salary]]*$S$193,IF(Tabella13[[#This Row],[Taxable salary]]&lt;$R$195,Tabella13[[#This Row],[Taxable salary]]*$S$194,IF(Tabella13[[#This Row],[Taxable salary]]&lt;$R$196,Tabella13[[#This Row],[Taxable salary]]*$S$195,IF(Tabella13[[#This Row],[Taxable salary]]&gt;R256,Tabella13[[#This Row],[Taxable salary]]*$S$196))))))))))))))))))</f>
        <v>7051.0691439263774</v>
      </c>
      <c r="AG65" s="27">
        <f ca="1">IF(Tabella13[[#This Row],[Taxable salary]]&lt;$R$202,$S$201,IF(Tabella13[[#This Row],[Taxable salary]]&lt;$R$203,$S$202+((Tabella13[[#This Row],[Taxable salary]]-$R$202)/100)*$T$202,IF(Tabella13[[#This Row],[Taxable salary]]&lt;$R$204,$S$203+((Tabella13[[#This Row],[Taxable salary]]-$R$203)/100)*$T$203,IF(Tabella13[[#This Row],[Taxable salary]]&lt;$R$205,$S$204+((Tabella13[[#This Row],[Taxable salary]]-$R$204)/100)*$T$204,IF(Tabella13[[#This Row],[Taxable salary]]&lt;$R$206,$S$205+((Tabella13[[#This Row],[Taxable salary]]-$R$205)/100)*$T$205,IF(Tabella13[[#This Row],[Taxable salary]]&lt;$R$207,$S$206+((Tabella13[[#This Row],[Taxable salary]]-$R$206)/100)*$T$206,IF(Tabella13[[#This Row],[Taxable salary]]&lt;$R$208,$S$207+((Tabella13[[#This Row],[Taxable salary]]-$R$207)/100)*$T$207,IF(Tabella13[[#This Row],[Taxable salary]]&lt;$R$209,$S$208+((Tabella13[[#This Row],[Taxable salary]]-$R$208)/100)*$T$208,IF(Tabella13[[#This Row],[Taxable salary]]&lt;$R$210,$S$209+((Tabella13[[#This Row],[Taxable salary]]-$R$209)/100)*$T$209,IF(Tabella13[[#This Row],[Taxable salary]]&lt;$R$211,$S$210+((Tabella13[[#This Row],[Taxable salary]]-$R$210)/100)*$T$210,IF(Tabella13[[#This Row],[Taxable salary]]&lt;$R$212,$S$211+((Tabella13[[#This Row],[Taxable salary]]-$R$211)/100)*$T$211,IF(Tabella13[[#This Row],[Taxable salary]]&lt;$R$213,$S$212+((Tabella13[[#This Row],[Taxable salary]]-$R$212)/100)*$T$212,IF(Tabella13[[#This Row],[Taxable salary]]&lt;$R$214,$S$213+((Tabella13[[#This Row],[Taxable salary]]-$R$213)/100)*$T$213,IF(Tabella13[[#This Row],[Taxable salary]]&lt;$R$215,$S$214+((Tabella13[[#This Row],[Taxable salary]]-$R$214)/100)*$T$214,IF(Tabella13[[#This Row],[Taxable salary]]&lt;$R$215,$S$214+((Tabella13[[#This Row],[Taxable salary]]-$R$214)/100)*$T$214,IF(Tabella13[[#This Row],[Taxable salary]]&lt;$R$216,$S$215+((Tabella13[[#This Row],[Taxable salary]]-$R$215)/100)*$T$215,IF(Tabella13[[#This Row],[Taxable salary]]&lt;$R$217,$S$216+((Tabella13[[#This Row],[Taxable salary]]-$R$216)/100)*$T$216,IF(Tabella13[[#This Row],[Taxable salary]]&lt;$R$218,$S$217+((Tabella13[[#This Row],[Taxable salary]]-$R$217)/100)*$T$217,IF(Tabella13[[#This Row],[Taxable salary]]&lt;$R$219,$S$218+((Tabella13[[#This Row],[Taxable salary]]-$R$218)/100)*$T$218,IF(Tabella13[[#This Row],[Taxable salary]]&lt;$R$220,$S$219+((Tabella13[[#This Row],[Taxable salary]]-$R$219)/100)*$T$219,IF(Tabella13[[#This Row],[Taxable salary]]&gt;=$R$220,$S$220+((Tabella13[[#This Row],[Taxable salary]]-$R$220)/100)*$T$220)))))))))))))))))))))</f>
        <v>17073.464208198828</v>
      </c>
      <c r="AH65" s="27">
        <f ca="1">IF(Tabella13[[#This Row],[Taxable salary]]&lt;$R$226,$S$225,IF(Tabella13[[#This Row],[Taxable salary]]&lt;$R$227,$S$226+((Tabella13[[#This Row],[Taxable salary]]-$R$226)/100)*$T$226,IF(Tabella13[[#This Row],[Taxable salary]]&lt;$R$228,$S$227+((Tabella13[[#This Row],[Taxable salary]]-$R$227)/100)*$T$227,IF(Tabella13[[#This Row],[Taxable salary]]&lt;$R$229,$S$228+((Tabella13[[#This Row],[Taxable salary]]-$R$228)/100)*$T$228,IF(Tabella13[[#This Row],[Taxable salary]]&lt;$R$230,$S$229+((Tabella13[[#This Row],[Taxable salary]]-$R$229)/100)*$T$229,IF(Tabella13[[#This Row],[Taxable salary]]&lt;$R$231,$S$230+((Tabella13[[#This Row],[Taxable salary]]-$R$230)/100)*$T$230,IF(Tabella13[[#This Row],[Taxable salary]]&lt;$R$232,$S$231+((Tabella13[[#This Row],[Taxable salary]]-$R$231)/100)*$T$231,IF(Tabella13[[#This Row],[Taxable salary]]&lt;$R$233,$S$232+((Tabella13[[#This Row],[Taxable salary]]-$R$232)/100)*$T$232,IF(Tabella13[[#This Row],[Taxable salary]]&lt;$R$234,$S$233+((Tabella13[[#This Row],[Taxable salary]]-$R$233)/100)*$T$233,IF(Tabella13[[#This Row],[Taxable salary]]&lt;$R$235,$S$234+((Tabella13[[#This Row],[Taxable salary]]-$R$234)/100)*$T$234,IF(Tabella13[[#This Row],[Taxable salary]]&lt;$R$236,$S$235+((Tabella13[[#This Row],[Taxable salary]]-$R$235)/100)*$T$235,IF(Tabella13[[#This Row],[Taxable salary]]&lt;$R$237,$S$236+((Tabella13[[#This Row],[Taxable salary]]-$R$236)/100)*$T$236,IF(Tabella13[[#This Row],[Taxable salary]]&lt;$R$238,$S$237+((Tabella13[[#This Row],[Taxable salary]]-$R$237)/100)*$T$237,IF(Tabella13[[#This Row],[Taxable salary]]&lt;$R$239,$S$238+((Tabella13[[#This Row],[Taxable salary]]-$R$238)/100)*$T$238,IF(Tabella13[[#This Row],[Taxable salary]]&lt;$R$240,$S$239+((Tabella13[[#This Row],[Taxable salary]]-$R$239)/100)*$T$239,IF(Tabella13[[#This Row],[Taxable salary]]&lt;$R$241,$S$240+((Tabella13[[#This Row],[Taxable salary]]-$R$240)/100)*$T$240,IF(Tabella13[[#This Row],[Taxable salary]]&lt;$R$242,$S$241+((Tabella13[[#This Row],[Taxable salary]]-$R$241)/100)*$T$241,IF(Tabella13[[#This Row],[Taxable salary]]&gt;=$R$242,$S$242+((Tabella13[[#This Row],[Taxable salary]]-$R$242)/100)*$T$242))))))))))))))))))</f>
        <v>24278.661378150056</v>
      </c>
      <c r="AI65" s="27">
        <f ca="1">IF(Tabella13[[#This Row],[Taxable salary]]&lt;$R$250,Tabella13[[#This Row],[Taxable salary]]*$S$249,IF(Tabella13[[#This Row],[Taxable salary]]&lt;$R$251,Tabella13[[#This Row],[Taxable salary]]*$S$250,IF(Tabella13[[#This Row],[Taxable salary]]&lt;$R$252,Tabella13[[#This Row],[Taxable salary]]*$S$251,IF(Tabella13[[#This Row],[Taxable salary]]&lt;$R$253,Tabella13[[#This Row],[Taxable salary]]*$S$252,IF(Tabella13[[#This Row],[Taxable salary]]&lt;$R$254,Tabella13[[#This Row],[Taxable salary]]*$S$253,IF(Tabella13[[#This Row],[Taxable salary]]&lt;$R$255,Tabella13[[#This Row],[Taxable salary]]*$S$254,IF(Tabella13[[#This Row],[Taxable salary]]&lt;$R$256,Tabella13[[#This Row],[Taxable salary]]*$S$255,IF(Tabella13[[#This Row],[Taxable salary]]&lt;$R$257,Tabella13[[#This Row],[Taxable salary]]*$S$256,IF(Tabella13[[#This Row],[Taxable salary]]&lt;$R$258,Tabella13[[#This Row],[Taxable salary]]*$S$257,IF(Tabella13[[#This Row],[Taxable salary]]&lt;$R$259,Tabella13[[#This Row],[Taxable salary]]*$S$258,IF(Tabella13[[#This Row],[Taxable salary]]&lt;$R$260,Tabella13[[#This Row],[Taxable salary]]*$S$259,IF(Tabella13[[#This Row],[Taxable salary]]&lt;$R$261,Tabella13[[#This Row],[Taxable salary]]*$S$260,IF(Tabella13[[#This Row],[Taxable salary]]&lt;$R$262,Tabella13[[#This Row],[Taxable salary]]*$S$261,IF(Tabella13[[#This Row],[Taxable salary]]&lt;$R$263,Tabella13[[#This Row],[Taxable salary]]*$S$262,IF(Tabella13[[#This Row],[Taxable salary]]&gt;$R$263,Tabella13[[#This Row],[Taxable salary]]*$S$263)))))))))))))))</f>
        <v>18983.647695186399</v>
      </c>
      <c r="AJ65" s="27">
        <f ca="1">IF(Tabella13[[#This Row],[Taxable salary]]&lt;$R$272,Tabella13[[#This Row],[Taxable salary]]*$S$271,IF(Tabella13[[#This Row],[Taxable salary]]&lt;$R$273,Tabella13[[#This Row],[Taxable salary]]*$S$272,IF(Tabella13[[#This Row],[Taxable salary]]&lt;$R$274,Tabella13[[#This Row],[Taxable salary]]*$S$273,IF(Tabella13[[#This Row],[Taxable salary]]&lt;$R$275,Tabella13[[#This Row],[Taxable salary]]*$S$274,IF(Tabella13[[#This Row],[Taxable salary]]&lt;$R$276,Tabella13[[#This Row],[Taxable salary]]*$S$275,IF(Tabella13[[#This Row],[Taxable salary]]&lt;$R$277,Tabella13[[#This Row],[Taxable salary]]*$S$276,IF(Tabella13[[#This Row],[Taxable salary]]&lt;$R$278,Tabella13[[#This Row],[Taxable salary]]*$S$277,IF(Tabella13[[#This Row],[Taxable salary]]&lt;$R$279,Tabella13[[#This Row],[Taxable salary]]*$S$278,IF(Tabella13[[#This Row],[Taxable salary]]&lt;$R$280,Tabella13[[#This Row],[Taxable salary]]*$S$279,IF(Tabella13[[#This Row],[Taxable salary]]&lt;$R$281,Tabella13[[#This Row],[Taxable salary]]*$S$280,IF(Tabella13[[#This Row],[Taxable salary]]&lt;$R$282,Tabella13[[#This Row],[Taxable salary]]*$S$281,IF(Tabella13[[#This Row],[Taxable salary]]&lt;$R$283,Tabella13[[#This Row],[Taxable salary]]*$S$282,IF(Tabella13[[#This Row],[Taxable salary]]&lt;$R$284,Tabella13[[#This Row],[Taxable salary]]*$S$283,IF(Tabella13[[#This Row],[Taxable salary]]&gt;$R$284,Tabella13[[#This Row],[Taxable salary]]*$S$284))))))))))))))</f>
        <v>15367.714800865182</v>
      </c>
      <c r="AK65" s="27">
        <f ca="1">IF(Tabella13[[#This Row],[Taxable salary]]&lt;$R$294,Tabella13[[#This Row],[Taxable salary]]*$S$293,IF(Tabella13[[#This Row],[Taxable salary]]&lt;$R$295,Tabella13[[#This Row],[Taxable salary]]*$S$294,IF(Tabella13[[#This Row],[Taxable salary]]&lt;$R$296,Tabella13[[#This Row],[Taxable salary]]*$S$295,IF(Tabella13[[#This Row],[Taxable salary]]&lt;$R$297,Tabella13[[#This Row],[Taxable salary]]*$S$296,IF(Tabella13[[#This Row],[Taxable salary]]&lt;$R$298,Tabella13[[#This Row],[Taxable salary]]*$S$297,IF(Tabella13[[#This Row],[Taxable salary]]&lt;$R$299,Tabella13[[#This Row],[Taxable salary]]*$S$298,IF(Tabella13[[#This Row],[Taxable salary]]&lt;$R$300,Tabella13[[#This Row],[Taxable salary]]*$S$299,IF(Tabella13[[#This Row],[Taxable salary]]&lt;$R$301,Tabella13[[#This Row],[Taxable salary]]*$S$300,IF(Tabella13[[#This Row],[Taxable salary]]&lt;$R$302,Tabella13[[#This Row],[Taxable salary]]*$S$301,IF(Tabella13[[#This Row],[Taxable salary]]&lt;$R$303,Tabella13[[#This Row],[Taxable salary]]*$S$302,IF(Tabella13[[#This Row],[Taxable salary]]&lt;$R$304,Tabella13[[#This Row],[Taxable salary]]*$S$303,IF(Tabella13[[#This Row],[Taxable salary]]&gt;$R$304,Tabella13[[#This Row],[Taxable salary]]*S364))))))))))))</f>
        <v>5243.1026967657681</v>
      </c>
      <c r="AL65" s="27">
        <f ca="1">IF(Tabella13[[#This Row],[Taxable salary]]&lt;=0,0,IF(Tabella13[[#This Row],[Taxable salary]]&lt;=16500,
-0.826281*Tabella13[[#This Row],[Taxable salary]]+0.08972*Tabella13[[#This Row],[Taxable salary]]*(LOG(Tabella13[[#This Row],[Taxable salary]])-1)+818.725099,IF(Tabella13[[#This Row],[Taxable salary]]&lt;=44000,
-0.327919*Tabella13[[#This Row],[Taxable salary]]+0.043109*Tabella13[[#This Row],[Taxable salary]]*(LOG(Tabella13[[#This Row],[Taxable salary]])-1)+(-1232.14815),IF(Tabella13[[#This Row],[Taxable salary]]&lt;=1265000,
0.051298*Tabella13[[#This Row],[Taxable salary]]+0.010441*Tabella13[[#This Row],[Taxable salary]]*(LOG(Tabella13[[#This Row],[Taxable salary]])-1)+(-4825.535525),IF(Tabella13[[#This Row],[Taxable salary]]&gt;1265000,
232436.77+0.1862*(Tabella13[[#This Row],[Taxable salary]]-1265000))))))</f>
        <v>12485.259506099999</v>
      </c>
      <c r="AM65" s="27">
        <f ca="1">IF(Tabella13[[#This Row],[Taxable salary]]&lt;$R$338,Tabella13[[#This Row],[Taxable salary]]*$T$337,IF(Tabella13[[#This Row],[Taxable salary]]&lt;$R$339,$S$338+((Tabella13[[#This Row],[Taxable salary]]-$R$338)/100)*$T$338,IF(Tabella13[[#This Row],[Taxable salary]]&gt;=$R$339,$S$339+((Tabella13[[#This Row],[Taxable salary]]-$R$338)/100)*$T$339)))</f>
        <v>37967.295390372798</v>
      </c>
      <c r="AN65" s="27">
        <f ca="1">IF(Tabella13[[#This Row],[Taxable salary]]&lt;$R$357,Tabella13[[#This Row],[Taxable salary]]*$S$356,IF(Tabella13[[#This Row],[Taxable salary]]&lt;$R$358,Tabella13[[#This Row],[Taxable salary]]*$S$357,IF(Tabella13[[#This Row],[Taxable salary]]&lt;$R$359,Tabella13[[#This Row],[Taxable salary]]*$S$358,IF(Tabella13[[#This Row],[Taxable salary]]&lt;$R$360,Tabella13[[#This Row],[Taxable salary]]*$S$359,IF(Tabella13[[#This Row],[Taxable salary]]&lt;$R$361,Tabella13[[#This Row],[Taxable salary]]*$S$360,IF(Tabella13[[#This Row],[Taxable salary]]&lt;$R$362,Tabella13[[#This Row],[Taxable salary]]*$S$361,IF(Tabella13[[#This Row],[Taxable salary]]&lt;$R$363,Tabella13[[#This Row],[Taxable salary]]*$S$362,IF(Tabella13[[#This Row],[Taxable salary]]&lt;$R$364,Tabella13[[#This Row],[Taxable salary]]*$S$363,IF(Tabella13[[#This Row],[Taxable salary]]&lt;$R$365,Tabella13[[#This Row],[Taxable salary]]*$S$364,IF(Tabella13[[#This Row],[Taxable salary]]&lt;$R$366,Tabella13[[#This Row],[Taxable salary]]*$S$365,IF(Tabella13[[#This Row],[Taxable salary]]&lt;$R$367,Tabella13[[#This Row],[Taxable salary]]*$S$366,IF(Tabella13[[#This Row],[Taxable salary]]&gt;$R$367,Tabella13[[#This Row],[Taxable salary]]*$S$367))))))))))))</f>
        <v>22671.899247394045</v>
      </c>
      <c r="AO65" s="27">
        <f ca="1">IF(Tabella13[[#This Row],[Taxable salary]]&lt;$R$379,$S$378,IF(Tabella13[[#This Row],[Taxable salary]]&lt;$R$380,$S$379+((Tabella13[[#This Row],[Taxable salary]]-$R$379)/100)*$T$379,IF(Tabella13[[#This Row],[Taxable salary]]&lt;$R$381,$S$380+((Tabella13[[#This Row],[Taxable salary]]-$R$380)/100)*$T$380,IF(Tabella13[[#This Row],[Taxable salary]]&lt;$R$382,$S$381+((Tabella13[[#This Row],[Taxable salary]]-$R$381)/100)*$T$381,IF(Tabella13[[#This Row],[Taxable salary]]&lt;$R$383,$S$382+((Tabella13[[#This Row],[Taxable salary]]-$R$382)/100)*$T$382,IF(Tabella13[[#This Row],[Taxable salary]]&lt;$R$384,$S$383+((Tabella13[[#This Row],[Taxable salary]]-$R$383)/100)*$T$383,IF(Tabella13[[#This Row],[Taxable salary]]&lt;$R$385,$S$384+((Tabella13[[#This Row],[Taxable salary]]-$R$384)/100)*$T$384,IF(Tabella13[[#This Row],[Taxable salary]]&lt;$R$386,$S$385+((Tabella13[[#This Row],[Taxable salary]]-$R$385)/100)*$T$385,IF(Tabella13[[#This Row],[Taxable salary]]&lt;$R$387,$S$386+((Tabella13[[#This Row],[Taxable salary]]-$R$386)/100)*$T$386,IF(Tabella13[[#This Row],[Taxable salary]]&gt;=$R$387,$S$387+((Tabella13[[#This Row],[Taxable salary]]-$R$387)/100)*$T$387))))))))))</f>
        <v>25281.412825310668</v>
      </c>
      <c r="AP65" s="27">
        <f ca="1">IF(Tabella13[[#This Row],[Taxable salary]]&lt;$R$403,Tabella13[[#This Row],[Taxable salary]]*$S$402,IF(Tabella13[[#This Row],[Taxable salary]]&lt;$R$404,Tabella13[[#This Row],[Taxable salary]]*$S$403,IF(Tabella13[[#This Row],[Taxable salary]]&lt;$R$405,Tabella13[[#This Row],[Taxable salary]]*$S$404,IF(Tabella13[[#This Row],[Taxable salary]]&lt;$R$406,Tabella13[[#This Row],[Taxable salary]]*$S$405,IF(Tabella13[[#This Row],[Taxable salary]]&lt;$R$407,Tabella13[[#This Row],[Taxable salary]]*$S$406,IF(Tabella13[[#This Row],[Taxable salary]]&lt;$R$408,Tabella13[[#This Row],[Taxable salary]]*$S$407,IF(Tabella13[[#This Row],[Taxable salary]]&gt;$R$408,Tabella13[[#This Row],[Taxable salary]]*$S$408)))))))</f>
        <v>10052.293446212989</v>
      </c>
      <c r="AQ65" s="27">
        <f ca="1">IF(Tabella13[[#This Row],[Taxable salary]]&lt;$R$425,$S$424,IF(Tabella13[[#This Row],[Taxable salary]]&lt;$R$426,$S$425+((Tabella13[[#This Row],[Taxable salary]]-$R$425)/100)*$T$425,IF(Tabella13[[#This Row],[Taxable salary]]&lt;$R$427,$S$426+((Tabella13[[#This Row],[Taxable salary]]-$R$426)/100)*$T$426,IF(Tabella13[[#This Row],[Taxable salary]]&lt;$R$428,$S$427+((Tabella13[[#This Row],[Taxable salary]]-$R$427)/100)*$T$427,IF(Tabella13[[#This Row],[Taxable salary]]&lt;$R$429,$S$428+((Tabella13[[#This Row],[Taxable salary]]-$R$428)/100)*$T$428,IF(Tabella13[[#This Row],[Taxable salary]]&lt;$R$430,$S$429+((Tabella13[[#This Row],[Taxable salary]]-$R$429)/100)*$T$429,IF(Tabella13[[#This Row],[Taxable salary]]&lt;$R$431,$S$430+((Tabella13[[#This Row],[Taxable salary]]-$R$430)/100)*$T$430,IF(Tabella13[[#This Row],[Taxable salary]]&lt;$R$432,$S$431+((Tabella13[[#This Row],[Taxable salary]]-$R$431)/100)*$T$431,IF(Tabella13[[#This Row],[Taxable salary]]&lt;$R$433,$S$432+((Tabella13[[#This Row],[Taxable salary]]-$R$432)/100)*$T$432,IF(Tabella13[[#This Row],[Taxable salary]]&lt;$R$434,$S$433+((Tabella13[[#This Row],[Taxable salary]]-$R$433)/100)*$T$433,IF(Tabella13[[#This Row],[Taxable salary]]&lt;$R$435,$S$434+((Tabella13[[#This Row],[Taxable salary]]-$R$434)/100)*$T$434,IF(Tabella13[[#This Row],[Taxable salary]]&gt;=$R$435,$S$435+((Tabella13[[#This Row],[Taxable salary]]-$R$435)/100)*$T$435))))))))))))</f>
        <v>8438.8154593833533</v>
      </c>
      <c r="AR65" s="27">
        <f ca="1">IF(Tabella13[[#This Row],[Taxable salary]]&lt;$R$449,$S$448,IF(Tabella13[[#This Row],[Taxable salary]]&lt;$R$450,$S$449+((Tabella13[[#This Row],[Taxable salary]]-$R$449)/100)*$T$449,IF(Tabella13[[#This Row],[Taxable salary]]&lt;$R$451,$S$450+((Tabella13[[#This Row],[Taxable salary]]-$R$450)/100)*$T$450,IF(Tabella13[[#This Row],[Taxable salary]]&lt;$R$452,$S$451+((Tabella13[[#This Row],[Taxable salary]]-$R$451)/100)*$T$451,IF(Tabella13[[#This Row],[Taxable salary]]&lt;$R$453,$S$452+((Tabella13[[#This Row],[Taxable salary]]-$R$452)/100)*$T$452,IF(Tabella13[[#This Row],[Taxable salary]]&lt;$R$454,$S$453+((Tabella13[[#This Row],[Taxable salary]]-$R$453)/100)*$T$453,IF(Tabella13[[#This Row],[Taxable salary]]&lt;$R$455,$S$454+((Tabella13[[#This Row],[Taxable salary]]-$R$454)/100)*$T$454,IF(Tabella13[[#This Row],[Taxable salary]]&lt;$R$456,$S$455+((Tabella13[[#This Row],[Taxable salary]]-$R$455)/100)*$T$455,IF(Tabella13[[#This Row],[Taxable salary]]&lt;$R$457,$S$456+((Tabella13[[#This Row],[Taxable salary]]-$R$456)/100)*$T$456,IF(Tabella13[[#This Row],[Taxable salary]]&lt;$R$458,$S$457+((Tabella13[[#This Row],[Taxable salary]]-$R$457)/100)*$T$457,IF(Tabella13[[#This Row],[Taxable salary]]&lt;$R$459,$S$458+((Tabella13[[#This Row],[Taxable salary]]-$R$458)/100)*$T$458,IF(Tabella13[[#This Row],[Taxable salary]]&lt;$R$460,$S$459+((Tabella13[[#This Row],[Taxable salary]]-$R$459)/100)*$T$459,IF(Tabella13[[#This Row],[Taxable salary]]&lt;$R$461,$S$460+((Tabella13[[#This Row],[Taxable salary]]-$R$460)/100)*$T$460,IF(Tabella13[[#This Row],[Taxable salary]]&lt;$R$462,$S$461+((Tabella13[[#This Row],[Taxable salary]]-$R$461)/100)*$T$461,IF(Tabella13[[#This Row],[Taxable salary]]&lt;$R$463,$S$462+((Tabella13[[#This Row],[Taxable salary]]-$R$462)/100)*$T$462,IF(Tabella13[[#This Row],[Taxable salary]]&lt;$R$464,$S$463+((Tabella13[[#This Row],[Taxable salary]]-$R$463)/100)*$T$463,IF(Tabella13[[#This Row],[Taxable salary]]&lt;$R$465,$S$464+((Tabella13[[#This Row],[Taxable salary]]-$R$464)/100)*$T$464,IF(Tabella13[[#This Row],[Taxable salary]]&lt;$R$466,$S$465+((Tabella13[[#This Row],[Taxable salary]]-$R$465)/100)*$T$465,IF(Tabella13[[#This Row],[Taxable salary]]&lt;$R$467,$S$466+((Tabella13[[#This Row],[Taxable salary]]-$R$466)/100)*$T$466,IF(Tabella13[[#This Row],[Taxable salary]]&lt;$R$468,$S$467+((Tabella13[[#This Row],[Taxable salary]]-$R$467)/100)*$T$467,IF(Tabella13[[#This Row],[Taxable salary]]&lt;$R$469,$S$468+((Tabella13[[#This Row],[Taxable salary]]-$R$468)/100)*$T$468,IF(Tabella13[[#This Row],[Taxable salary]]&lt;$R$470,$S$469+((Tabella13[[#This Row],[Taxable salary]]-$R$469)/100)*$T$469,IF(Tabella13[[#This Row],[Taxable salary]]&lt;$R$471,$S$470+((Tabella13[[#This Row],[Taxable salary]]-$R$470)/100)*$T$470,IF(Tabella13[[#This Row],[Taxable salary]]&lt;$R$472,$S$471+((Tabella13[[#This Row],[Taxable salary]]-$R$471)/100)*$T$471,IF(Tabella13[[#This Row],[Taxable salary]]&gt;=$R$472,$S$472+((Tabella13[[#This Row],[Taxable salary]]-$R$472)/100)*$T$472)))))))))))))))))))))))))</f>
        <v>22658.38069613402</v>
      </c>
      <c r="AS65" s="27">
        <f ca="1">IF(Tabella13[[#This Row],[Taxable salary]]&lt;$R$479,Tabella13[[#This Row],[Taxable salary]]*$S$478,IF(Tabella13[[#This Row],[Taxable salary]]&lt;$R$480,Tabella13[[#This Row],[Taxable salary]]*$S$479,IF(Tabella13[[#This Row],[Taxable salary]]&lt;$R$481,Tabella13[[#This Row],[Taxable salary]]*$S$480,IF(Tabella13[[#This Row],[Taxable salary]]&lt;$R$482,Tabella13[[#This Row],[Taxable salary]]*$S$481,IF(Tabella13[[#This Row],[Taxable salary]]&lt;$R$483,Tabella13[[#This Row],[Taxable salary]]*$S$482,IF(Tabella13[[#This Row],[Taxable salary]]&lt;$R$484,Tabella13[[#This Row],[Taxable salary]]*$S$483,IF(Tabella13[[#This Row],[Taxable salary]]&lt;$R$485,Tabella13[[#This Row],[Taxable salary]]*$S$484,IF(Tabella13[[#This Row],[Taxable salary]]&lt;$R$486,Tabella13[[#This Row],[Taxable salary]]*$S$485,IF(Tabella13[[#This Row],[Taxable salary]]&lt;$R$487,Tabella13[[#This Row],[Taxable salary]]*$S$486,IF(Tabella13[[#This Row],[Taxable salary]]&lt;$R$488,Tabella13[[#This Row],[Taxable salary]]*$S$487,IF(Tabella13[[#This Row],[Taxable salary]]&lt;$R$489,Tabella13[[#This Row],[Taxable salary]]*$S$488,IF(Tabella13[[#This Row],[Taxable salary]]&lt;$R$490,Tabella13[[#This Row],[Taxable salary]]*$S$489,IF(Q537&lt;$R$491,Tabella13[[#This Row],[Taxable salary]]*$S$490,IF(Tabella13[[#This Row],[Taxable salary]]&lt;$R$492,Tabella13[[#This Row],[Taxable salary]]*$S$491,IF(Tabella13[[#This Row],[Taxable salary]]&lt;$R$493,Tabella13[[#This Row],[Taxable salary]]*$S$492,IF(Tabella13[[#This Row],[Taxable salary]]&lt;$R$494,Tabella13[[#This Row],[Taxable salary]]*$S$493,IF(Tabella13[[#This Row],[Taxable salary]]&lt;$R$495,Tabella13[[#This Row],[Taxable salary]]*$S$494,IF(Tabella13[[#This Row],[Taxable salary]]&gt;$R$495,Tabella13[[#This Row],[Taxable salary]]*$S$495))))))))))))))))))</f>
        <v>5243.1026967657681</v>
      </c>
      <c r="AT65" s="27">
        <f ca="1">Tabella13[[#This Row],[Taxable salary]]*$S$503</f>
        <v>3254.3396048890968</v>
      </c>
      <c r="AU65" s="27">
        <f ca="1">IF(Tabella13[[#This Row],[Taxable salary]]&lt;$R$529,$S$528,IF(Tabella13[[#This Row],[Taxable salary]]&lt;$R$530,$S$529+((Tabella13[[#This Row],[Taxable salary]]-$R$529)/100)*$T$529,IF(Tabella13[[#This Row],[Taxable salary]]&lt;$R$531,$S$530+((Tabella13[[#This Row],[Taxable salary]]-$R$530)/100)*$T$530,IF(Tabella13[[#This Row],[Taxable salary]]&lt;$R$532,$S$531+((Tabella13[[#This Row],[Taxable salary]]-$R$531)/100)*$T$531,IF(Tabella13[[#This Row],[Taxable salary]]&lt;$R$533,$S$532+((Tabella13[[#This Row],[Taxable salary]]-$R$532)/100)*$T$532,IF(Tabella13[[#This Row],[Taxable salary]]&lt;$R$534,$S$533+((Tabella13[[#This Row],[Taxable salary]]-$R$533)/100)*$T$533,IF(Tabella13[[#This Row],[Taxable salary]]&lt;$R$535,$S$534+((Tabella13[[#This Row],[Taxable salary]]-$R$534)/100)*$T$534,IF(Tabella13[[#This Row],[Taxable salary]]&lt;$R$536,$S$535+((Tabella13[[#This Row],[Taxable salary]]-$R$535)/100)*$T$535,IF(Tabella13[[#This Row],[Taxable salary]]&lt;$R$537,$S$536+((Tabella13[[#This Row],[Taxable salary]]-$R$536)/100)*$T$536,IF(Tabella13[[#This Row],[Taxable salary]]&lt;$R$538,$S$537+((Tabella13[[#This Row],[Taxable salary]]-$R$537)/100)*$T$537,IF(Tabella13[[#This Row],[Taxable salary]]&lt;$R$539,$S$538+((Tabella13[[#This Row],[Taxable salary]]-$R$538)/100)*$T$538,IF(Tabella13[[#This Row],[Taxable salary]]&lt;$R$540,$S$539+((Tabella13[[#This Row],[Taxable salary]]-$R$539)/100)*$T$539,IF(Tabella13[[#This Row],[Taxable salary]]&lt;$R$541,$S$540+((Tabella13[[#This Row],[Taxable salary]]-$R$540)/100)*$T$540,IF(Tabella13[[#This Row],[Taxable salary]]&lt;$R$542,$S$541+((Tabella13[[#This Row],[Taxable salary]]-$R$541)/100)*$T$541,IF(Tabella13[[#This Row],[Taxable salary]]&gt;=$R$542,$S$542+((Tabella13[[#This Row],[Taxable salary]]-$R$542)/100)*$T$542)))))))))))))))</f>
        <v>17280.597365927315</v>
      </c>
      <c r="AV65" s="27">
        <f ca="1">IF(Tabella13[[#This Row],[Taxable salary]]&lt;$R$559,$S$558,IF(Tabella13[[#This Row],[Taxable salary]]&lt;$R$560,$S$559+((Tabella13[[#This Row],[Taxable salary]]-$R$559)/100)*$T$559,IF(Tabella13[[#This Row],[Taxable salary]]&lt;$R$561,$S$560+((Tabella13[[#This Row],[Taxable salary]]-$R$560)/100)*$T$560,IF(Tabella13[[#This Row],[Taxable salary]]&lt;$R$562,$S$561+((Tabella13[[#This Row],[Taxable salary]]-$R$561)/100)*$T$561,IF(Tabella13[[#This Row],[Taxable salary]]&lt;$R$563,$S$562+((Tabella13[[#This Row],[Taxable salary]]-$R$562)/100)*$T$562,IF(Tabella13[[#This Row],[Taxable salary]]&lt;$R$564,$S$563+((Tabella13[[#This Row],[Taxable salary]]-$R$563)/100)*$T$563,IF(Tabella13[[#This Row],[Taxable salary]]&lt;$R$565,$S$564+((Tabella13[[#This Row],[Taxable salary]]-$R$564)/100)*$T$564,IF(Tabella13[[#This Row],[Taxable salary]]&lt;$R$566,$S$565+((Tabella13[[#This Row],[Taxable salary]]-$R$565)/100)*$T$565,IF(Tabella13[[#This Row],[Taxable salary]]&lt;$R$567,$S$566+((Tabella13[[#This Row],[Taxable salary]]-$R$566)/100)*$T$566,IF(Tabella13[[#This Row],[Taxable salary]]&lt;$R$568,$S$567+((Tabella13[[#This Row],[Taxable salary]]-$R$567)/100)*$T$567,IF(Tabella13[[#This Row],[Taxable salary]]&gt;=$R$568,$S$568+((Tabella13[[#This Row],[Taxable salary]]-$R$568)/100)*$T$568)))))))))))</f>
        <v>17691.614142347011</v>
      </c>
      <c r="AW65" s="27">
        <f ca="1">IF(Tabella13[[#This Row],[Taxable salary]]&lt;$R$583,$S$582,IF(Tabella13[[#This Row],[Taxable salary]]&lt;$R$584,$S$583+((Tabella13[[#This Row],[Taxable salary]]-$R$583)/100)*$T$583,IF(Tabella13[[#This Row],[Taxable salary]]&lt;$R$585,$S$584+((Tabella13[[#This Row],[Taxable salary]]-$R$584)/100)*$T$584,IF(Tabella13[[#This Row],[Taxable salary]]&lt;$R$586,$S$585+((Tabella13[[#This Row],[Taxable salary]]-$R$585)/100)*$T$585,IF(Tabella13[[#This Row],[Taxable salary]]&lt;$R$587,$S$586+((Tabella13[[#This Row],[Taxable salary]]-$R$586)/100)*$T$586,IF(Tabella13[[#This Row],[Taxable salary]]&lt;$R$588,$S$587+((Tabella13[[#This Row],[Taxable salary]]-$R$587)/100)*$T$587,IF(Tabella13[[#This Row],[Taxable salary]]&lt;$R$589,$S$588+((Tabella13[[#This Row],[Taxable salary]]-$R$588)/100)*$T$588,IF(Tabella13[[#This Row],[Taxable salary]]&lt;$R$590,$S$589+((Tabella13[[#This Row],[Taxable salary]]-$R$589)/100)*$T$589,IF(Tabella13[[#This Row],[Taxable salary]]&gt;=$R$590,$S$590+((Tabella13[[#This Row],[Taxable salary]]-$R$590)/100)*$T$590)))))))))</f>
        <v>11953.731577284876</v>
      </c>
      <c r="AX65" s="27">
        <f ca="1">Tabella13[[#This Row],[Taxable salary]]*$S$606</f>
        <v>12836.561774840327</v>
      </c>
      <c r="AY65" s="27">
        <f ca="1">IF(Tabella13[[#This Row],[Taxable salary]]&lt;$R$617,$S$616,IF(Tabella13[[#This Row],[Taxable salary]]&lt;$R$618,$S$617+((Tabella13[[#This Row],[Taxable salary]]-$R$617)/100)*$T$617,IF(Tabella13[[#This Row],[Taxable salary]]&lt;$R$619,$S$618+((Tabella13[[#This Row],[Taxable salary]]-$R$618)/100)*$T$618,IF(Tabella13[[#This Row],[Taxable salary]]&lt;$R$620,$S$619+((Tabella13[[#This Row],[Taxable salary]]-$R$619)/100)*$T$619,IF(Tabella13[[#This Row],[Taxable salary]]&lt;$R$621,$S$620+((Tabella13[[#This Row],[Taxable salary]]-$R$620)/100)*$T$620,IF(Tabella13[[#This Row],[Taxable salary]]&lt;$R$622,$S$621+((Tabella13[[#This Row],[Taxable salary]]-$R$621)/100)*$T$621,IF(Tabella13[[#This Row],[Taxable salary]]&lt;$R$623,$S$622+((Tabella13[[#This Row],[Taxable salary]]-$R$622)/100)*$T$622,IF(Tabella13[[#This Row],[Taxable salary]]&lt;$R$624,$S$623+((Tabella13[[#This Row],[Taxable salary]]-$R$623)/100)*$T$623,IF(Tabella13[[#This Row],[Taxable salary]]&lt;$R$625,$S$624+((Tabella13[[#This Row],[Taxable salary]]-$R$624)/100)*$T$624,IF(Tabella13[[#This Row],[Taxable salary]]&lt;$R$626,$S$625+((Tabella13[[#This Row],[Taxable salary]]-$R$625)/100)*$T$625,IF(Tabella13[[#This Row],[Taxable salary]]&lt;$R$627,$S$626+((Tabella13[[#This Row],[Taxable salary]]-$R$626)/100)*$T$626,IF(Tabella13[[#This Row],[Taxable salary]]&lt;$R$628,$S$627+((Tabella13[[#This Row],[Taxable salary]]-$R$627)/100)*$T$627,IF(Tabella13[[#This Row],[Taxable salary]]&lt;$R$629,$S$628+((Tabella13[[#This Row],[Taxable salary]]-$R$628)/100)*$T$628,IF(Tabella13[[#This Row],[Taxable salary]]&lt;$R$630,$S$629+((Tabella13[[#This Row],[Taxable salary]]-$R$629)/100)*$T$629,IF(Tabella13[[#This Row],[Taxable salary]]&lt;$R$631,$S$630+((Tabella13[[#This Row],[Taxable salary]]-$R$630)/100)*$T$630,IF(Tabella13[[#This Row],[Taxable salary]]&lt;$R$632,$S$631+((Tabella13[[#This Row],[Taxable salary]]-$R$631)/100)*$T$631,IF(Tabella13[[#This Row],[Taxable salary]]&lt;$R$633,$S$632+((Tabella13[[#This Row],[Taxable salary]]-$R$632)/100)*$T$632,IF(Tabella13[[#This Row],[Taxable salary]]&lt;$R$634,$S$633+((Tabella13[[#This Row],[Taxable salary]]-$R$633)/100)*$T$633,IF(Tabella13[[#This Row],[Taxable salary]]&lt;$R$635,$S$634+((Tabella13[[#This Row],[Taxable salary]]-$R$634)/100)*$T$634,IF(Tabella13[[#This Row],[Taxable salary]]&gt;=$R$635,$S$635+((Tabella13[[#This Row],[Taxable salary]]-$R$635)/100)*$T$635))))))))))))))))))))</f>
        <v>19131.547036668228</v>
      </c>
      <c r="AZ65" s="27">
        <f ca="1">IF(Tabella13[[#This Row],[Taxable salary]]&lt;$R$642,Tabella13[[#This Row],[Taxable salary]]*$S$641,IF(Tabella13[[#This Row],[Taxable salary]]&lt;$R$643,Tabella13[[#This Row],[Taxable salary]]*$S$642,IF(Tabella13[[#This Row],[Taxable salary]]&lt;$R$644,Tabella13[[#This Row],[Taxable salary]]*$S$643,IF(Tabella13[[#This Row],[Taxable salary]]&lt;$R$645,Tabella13[[#This Row],[Taxable salary]]*$S$644,IF(Tabella13[[#This Row],[Taxable salary]]&lt;$R$646,Tabella13[[#This Row],[Taxable salary]]*$S$645,IF(Tabella13[[#This Row],[Taxable salary]]&lt;$R$647,Tabella13[[#This Row],[Taxable salary]]*$S$646,IF(Tabella13[[#This Row],[Taxable salary]]&lt;$R$648,Tabella13[[#This Row],[Taxable salary]]*$S$647,IF(Tabella13[[#This Row],[Taxable salary]]&lt;$R$649,Tabella13[[#This Row],[Taxable salary]]*$S$648,IF(Tabella13[[#This Row],[Taxable salary]]&lt;$R$650,Tabella13[[#This Row],[Taxable salary]]*$S$649,IF(Tabella13[[#This Row],[Taxable salary]]&lt;$R$651,Tabella13[[#This Row],[Taxable salary]]*$S$650,IF(Tabella13[[#This Row],[Taxable salary]]&lt;$R$652,Tabella13[[#This Row],[Taxable salary]]*$S$651,IF(Tabella13[[#This Row],[Taxable salary]]&lt;$R$653,Tabella13[[#This Row],[Taxable salary]]*$S$652,IF(Tabella13[[#This Row],[Taxable salary]]&gt;$R$653,Tabella13[[#This Row],[Taxable salary]]*Q713)))))))))))))</f>
        <v>24407.547036668231</v>
      </c>
      <c r="BA65" s="83">
        <f ca="1">IF(Tabella13[[#This Row],[Taxable salary]]&lt;$R$662,Tabella13[[#This Row],[Taxable salary]]*$S$661,IF(Tabella13[[#This Row],[Taxable salary]]&lt;$R$663,Tabella13[[#This Row],[Taxable salary]]*$S$662,IF(Tabella13[[#This Row],[Taxable salary]]&lt;$R$664,Tabella13[[#This Row],[Taxable salary]]*$S$663,IF(Tabella13[[#This Row],[Taxable salary]]&lt;$R$665,Tabella13[[#This Row],[Taxable salary]]*$S$664,IF(Tabella13[[#This Row],[Taxable salary]]&lt;$R$666,Tabella13[[#This Row],[Taxable salary]]*$S$665,IF(Tabella13[[#This Row],[Taxable salary]]&lt;$R$667,Tabella13[[#This Row],[Taxable salary]]*$S$666,IF(Tabella13[[#This Row],[Taxable salary]]&lt;$R$668,Tabella13[[#This Row],[Taxable salary]]*$S$667,IF(Tabella13[[#This Row],[Taxable salary]]&lt;$R$669,Tabella13[[#This Row],[Taxable salary]]*$S$668,IF(Tabella13[[#This Row],[Taxable salary]]&lt;$R$670,Tabella13[[#This Row],[Taxable salary]]*$S$669,IF(Tabella13[[#This Row],[Taxable salary]]&lt;$R$671,Tabella13[[#This Row],[Taxable salary]]*$S$670,IF(Tabella13[[#This Row],[Taxable salary]]&lt;$R$672,Tabella13[[#This Row],[Taxable salary]]*$S$671,IF(Tabella13[[#This Row],[Taxable salary]]&lt;$R$673,Tabella13[[#This Row],[Taxable salary]]*$S$672,IF(Tabella13[[#This Row],[Taxable salary]]&gt;$R$673,Tabella13[[#This Row],[Taxable salary]]*$S$673)))))))))))))</f>
        <v>17898.867826890037</v>
      </c>
    </row>
    <row r="66" spans="2:53">
      <c r="L66" s="2" t="s">
        <v>135</v>
      </c>
      <c r="M66" s="2">
        <f ca="1">SUBTOTAL(109,Tabella2[Salary and Pension])</f>
        <v>14938214.120165734</v>
      </c>
      <c r="N66" s="2"/>
      <c r="O66" s="2"/>
      <c r="P66" s="2"/>
      <c r="Q66" s="2"/>
      <c r="R66" s="2"/>
      <c r="S66" s="106"/>
      <c r="T66" s="2"/>
      <c r="U66" s="2"/>
    </row>
    <row r="67" spans="2:53">
      <c r="L67" s="2"/>
      <c r="M67" s="2"/>
      <c r="N67" s="2"/>
      <c r="O67" s="2"/>
      <c r="P67" s="2"/>
      <c r="Q67" s="2"/>
      <c r="R67" s="2"/>
      <c r="S67" s="106"/>
      <c r="T67" s="2"/>
      <c r="U67" s="2"/>
    </row>
    <row r="68" spans="2:53">
      <c r="L68" s="2"/>
      <c r="M68" s="2"/>
      <c r="N68" s="2"/>
      <c r="O68" s="2"/>
      <c r="P68" s="2"/>
      <c r="Q68" s="2"/>
      <c r="R68" s="2"/>
      <c r="S68" s="106"/>
      <c r="T68" s="2"/>
      <c r="U68" s="2"/>
    </row>
    <row r="69" spans="2:53">
      <c r="S69" s="235"/>
    </row>
    <row r="70" spans="2:53">
      <c r="S70" s="235"/>
    </row>
    <row r="71" spans="2:53">
      <c r="Q71" s="235"/>
    </row>
    <row r="72" spans="2:53">
      <c r="Q72" s="235"/>
    </row>
    <row r="73" spans="2:53">
      <c r="Q73" s="235"/>
    </row>
    <row r="74" spans="2:53">
      <c r="Q74" s="235"/>
    </row>
    <row r="75" spans="2:53">
      <c r="B75" s="241" t="s">
        <v>2505</v>
      </c>
      <c r="C75" s="242" t="s">
        <v>2506</v>
      </c>
      <c r="D75" s="242" t="s">
        <v>4882</v>
      </c>
      <c r="E75" s="242" t="s">
        <v>4883</v>
      </c>
      <c r="F75" s="89" t="s">
        <v>4884</v>
      </c>
      <c r="G75" s="89" t="s">
        <v>90</v>
      </c>
      <c r="H75" s="89" t="s">
        <v>4902</v>
      </c>
      <c r="I75" s="89" t="s">
        <v>4903</v>
      </c>
      <c r="J75" s="89" t="s">
        <v>4904</v>
      </c>
    </row>
    <row r="76" spans="2:53">
      <c r="B76" s="68" t="s">
        <v>2515</v>
      </c>
      <c r="C76" s="89" t="s">
        <v>82</v>
      </c>
      <c r="D76" s="89" t="s">
        <v>2511</v>
      </c>
      <c r="E76" s="89" t="s">
        <v>90</v>
      </c>
      <c r="F76" s="89"/>
      <c r="G76" s="238"/>
      <c r="H76" s="68">
        <f>C7</f>
        <v>28</v>
      </c>
      <c r="I76" s="239"/>
      <c r="J76" s="236"/>
    </row>
    <row r="77" spans="2:53">
      <c r="B77" s="90" t="s">
        <v>18</v>
      </c>
      <c r="C77" s="13" t="s">
        <v>2516</v>
      </c>
      <c r="D77" s="13" t="s">
        <v>2517</v>
      </c>
      <c r="E77" s="13" t="s">
        <v>2518</v>
      </c>
      <c r="F77" s="95" t="s">
        <v>2509</v>
      </c>
      <c r="G77" s="237"/>
      <c r="H77" s="237" t="s">
        <v>4889</v>
      </c>
      <c r="I77" s="237" t="s">
        <v>2507</v>
      </c>
      <c r="J77" s="237" t="s">
        <v>2508</v>
      </c>
    </row>
    <row r="78" spans="2:53">
      <c r="B78" s="80" t="s">
        <v>136</v>
      </c>
      <c r="C78" s="91" t="s">
        <v>1687</v>
      </c>
      <c r="D78" s="93">
        <v>98</v>
      </c>
      <c r="E78" s="93">
        <v>102</v>
      </c>
      <c r="F78" s="103">
        <f>IFERROR(INDEX(Tabella9[PLZ],MATCH(Tabella8[[#This Row],[Colonna2]],Tabella9[Ortschaftsname],0)), "Name not found")</f>
        <v>8134</v>
      </c>
      <c r="G78" s="103"/>
      <c r="H78" s="240">
        <f ca="1">SUMIF(Tabella2[[#Headers],[#Data],[Age]],$H$76,Tabella2[[#Headers],[#Data],[Federal taxes]])</f>
        <v>6804.3246087429152</v>
      </c>
      <c r="I7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78" s="240">
        <f ca="1">Tabella8[[#This Row],[Colonna7]]*Tabella8[[#This Row],[Colonna4]]/100</f>
        <v>10792.505878899419</v>
      </c>
    </row>
    <row r="79" spans="2:53">
      <c r="B79" s="92" t="s">
        <v>136</v>
      </c>
      <c r="C79" s="91" t="s">
        <v>1802</v>
      </c>
      <c r="D79" s="93">
        <v>98</v>
      </c>
      <c r="E79" s="93">
        <v>91</v>
      </c>
      <c r="F79" s="103">
        <v>8904</v>
      </c>
      <c r="G79" s="103"/>
      <c r="H79" s="240">
        <f ca="1">SUMIF(Tabella2[[#Headers],[#Data],[Age]],$H$76,Tabella2[[#Headers],[#Data],[Federal taxes]])</f>
        <v>6804.3246087429152</v>
      </c>
      <c r="I7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79" s="240">
        <f ca="1">Tabella8[[#This Row],[Colonna7]]*Tabella8[[#This Row],[Colonna4]]/100</f>
        <v>9628.6081860769336</v>
      </c>
    </row>
    <row r="80" spans="2:53">
      <c r="B80" s="92" t="s">
        <v>136</v>
      </c>
      <c r="C80" s="91" t="s">
        <v>1787</v>
      </c>
      <c r="D80" s="93">
        <v>98</v>
      </c>
      <c r="E80" s="93">
        <v>92</v>
      </c>
      <c r="F80" s="103">
        <f>IFERROR(INDEX(Tabella9[PLZ],MATCH(Tabella8[[#This Row],[Colonna2]],Tabella9[Ortschaftsname],0)), "Name not found")</f>
        <v>8914</v>
      </c>
      <c r="G80" s="103"/>
      <c r="H80" s="240">
        <f ca="1">SUMIF(Tabella2[[#Headers],[#Data],[Age]],$H$76,Tabella2[[#Headers],[#Data],[Federal taxes]])</f>
        <v>6804.3246087429152</v>
      </c>
      <c r="I8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0" s="240">
        <f ca="1">Tabella8[[#This Row],[Colonna7]]*Tabella8[[#This Row],[Colonna4]]/100</f>
        <v>9734.4170672426135</v>
      </c>
    </row>
    <row r="81" spans="2:20">
      <c r="B81" s="92" t="s">
        <v>136</v>
      </c>
      <c r="C81" s="91" t="s">
        <v>1700</v>
      </c>
      <c r="D81" s="93">
        <v>98</v>
      </c>
      <c r="E81" s="93">
        <v>124</v>
      </c>
      <c r="F81" s="103">
        <f>IFERROR(INDEX(Tabella9[PLZ],MATCH(Tabella8[[#This Row],[Colonna2]],Tabella9[Ortschaftsname],0)), "Name not found")</f>
        <v>8910</v>
      </c>
      <c r="G81" s="103"/>
      <c r="H81" s="240">
        <f ca="1">SUMIF(Tabella2[[#Headers],[#Data],[Age]],$H$76,Tabella2[[#Headers],[#Data],[Federal taxes]])</f>
        <v>6804.3246087429152</v>
      </c>
      <c r="I8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1" s="240">
        <f ca="1">Tabella8[[#This Row],[Colonna7]]*Tabella8[[#This Row],[Colonna4]]/100</f>
        <v>13120.301264544392</v>
      </c>
    </row>
    <row r="82" spans="2:20">
      <c r="B82" s="92" t="s">
        <v>136</v>
      </c>
      <c r="C82" s="91" t="s">
        <v>1821</v>
      </c>
      <c r="D82" s="93">
        <v>98</v>
      </c>
      <c r="E82" s="93">
        <v>114</v>
      </c>
      <c r="F82" s="103">
        <f>IFERROR(INDEX(Tabella9[PLZ],MATCH(Tabella8[[#This Row],[Colonna2]],Tabella9[Ortschaftsname],0)), "Name not found")</f>
        <v>8479</v>
      </c>
      <c r="G82" s="103"/>
      <c r="H82" s="240">
        <f ca="1">SUMIF(Tabella2[[#Headers],[#Data],[Age]],$H$76,Tabella2[[#Headers],[#Data],[Federal taxes]])</f>
        <v>6804.3246087429152</v>
      </c>
      <c r="I8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2" s="240">
        <f ca="1">Tabella8[[#This Row],[Colonna7]]*Tabella8[[#This Row],[Colonna4]]/100</f>
        <v>12062.212452887585</v>
      </c>
      <c r="Q82" s="68" t="s">
        <v>2519</v>
      </c>
      <c r="R82" s="21" t="s">
        <v>82</v>
      </c>
      <c r="S82" s="21" t="s">
        <v>2511</v>
      </c>
      <c r="T82" s="21" t="s">
        <v>90</v>
      </c>
    </row>
    <row r="83" spans="2:20">
      <c r="B83" s="92" t="s">
        <v>136</v>
      </c>
      <c r="C83" s="91" t="s">
        <v>1782</v>
      </c>
      <c r="D83" s="93">
        <v>98</v>
      </c>
      <c r="E83" s="93">
        <v>114</v>
      </c>
      <c r="F83" s="103">
        <f>IFERROR(INDEX(Tabella9[PLZ],MATCH(Tabella8[[#This Row],[Colonna2]],Tabella9[Ortschaftsname],0)), "Name not found")</f>
        <v>8450</v>
      </c>
      <c r="G83" s="103"/>
      <c r="H83" s="240">
        <f ca="1">SUMIF(Tabella2[[#Headers],[#Data],[Age]],$H$76,Tabella2[[#Headers],[#Data],[Federal taxes]])</f>
        <v>6804.3246087429152</v>
      </c>
      <c r="I8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3" s="240">
        <f ca="1">Tabella8[[#This Row],[Colonna7]]*Tabella8[[#This Row],[Colonna4]]/100</f>
        <v>12062.212452887585</v>
      </c>
      <c r="Q83" s="94">
        <v>100000</v>
      </c>
      <c r="R83" s="11" t="s">
        <v>2512</v>
      </c>
      <c r="S83" s="11" t="s">
        <v>2513</v>
      </c>
      <c r="T83" s="11" t="s">
        <v>2514</v>
      </c>
    </row>
    <row r="84" spans="2:20">
      <c r="B84" s="92" t="s">
        <v>136</v>
      </c>
      <c r="C84" s="91" t="s">
        <v>1756</v>
      </c>
      <c r="D84" s="93">
        <v>98</v>
      </c>
      <c r="E84" s="93">
        <v>106</v>
      </c>
      <c r="F84" s="103">
        <f>IFERROR(INDEX(Tabella9[PLZ],MATCH(Tabella8[[#This Row],[Colonna2]],Tabella9[Ortschaftsname],0)), "Name not found")</f>
        <v>8184</v>
      </c>
      <c r="G84" s="103"/>
      <c r="H84" s="240">
        <f ca="1">SUMIF(Tabella2[[#Headers],[#Data],[Age]],$H$76,Tabella2[[#Headers],[#Data],[Federal taxes]])</f>
        <v>6804.3246087429152</v>
      </c>
      <c r="I8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4" s="240">
        <f ca="1">Tabella8[[#This Row],[Colonna7]]*Tabella8[[#This Row],[Colonna4]]/100</f>
        <v>11215.74140356214</v>
      </c>
      <c r="Q84" s="26"/>
      <c r="R84" s="4">
        <v>0</v>
      </c>
      <c r="S84" s="4">
        <v>0</v>
      </c>
      <c r="T84" s="4">
        <v>0</v>
      </c>
    </row>
    <row r="85" spans="2:20">
      <c r="B85" s="92" t="s">
        <v>136</v>
      </c>
      <c r="C85" s="91" t="s">
        <v>2520</v>
      </c>
      <c r="D85" s="93">
        <v>98</v>
      </c>
      <c r="E85" s="93">
        <v>128</v>
      </c>
      <c r="F85" s="103">
        <f>IFERROR(INDEX(Tabella9[PLZ],MATCH(Tabella8[[#This Row],[Colonna2]],Tabella9[Ortschaftsname],0)), "Name not found")</f>
        <v>8164</v>
      </c>
      <c r="G85" s="103"/>
      <c r="H85" s="240">
        <f ca="1">SUMIF(Tabella2[[#Headers],[#Data],[Age]],$H$76,Tabella2[[#Headers],[#Data],[Federal taxes]])</f>
        <v>6804.3246087429152</v>
      </c>
      <c r="I8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5" s="240">
        <f ca="1">Tabella8[[#This Row],[Colonna7]]*Tabella8[[#This Row],[Colonna4]]/100</f>
        <v>13543.536789207114</v>
      </c>
      <c r="Q85" s="2"/>
      <c r="R85" s="4">
        <v>12200</v>
      </c>
      <c r="S85" s="4">
        <v>0</v>
      </c>
      <c r="T85" s="4">
        <v>0.16</v>
      </c>
    </row>
    <row r="86" spans="2:20">
      <c r="B86" s="92" t="s">
        <v>136</v>
      </c>
      <c r="C86" s="91" t="s">
        <v>1702</v>
      </c>
      <c r="D86" s="93">
        <v>98</v>
      </c>
      <c r="E86" s="93">
        <v>114</v>
      </c>
      <c r="F86" s="103">
        <f>IFERROR(INDEX(Tabella9[PLZ],MATCH(Tabella8[[#This Row],[Colonna2]],Tabella9[Ortschaftsname],0)), "Name not found")</f>
        <v>8303</v>
      </c>
      <c r="G86" s="103"/>
      <c r="H86" s="240">
        <f ca="1">SUMIF(Tabella2[[#Headers],[#Data],[Age]],$H$76,Tabella2[[#Headers],[#Data],[Federal taxes]])</f>
        <v>6804.3246087429152</v>
      </c>
      <c r="I8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6" s="240">
        <f ca="1">Tabella8[[#This Row],[Colonna7]]*Tabella8[[#This Row],[Colonna4]]/100</f>
        <v>12062.212452887585</v>
      </c>
      <c r="Q86" s="2"/>
      <c r="R86" s="4">
        <v>12300</v>
      </c>
      <c r="S86" s="4">
        <v>20</v>
      </c>
      <c r="T86" s="4">
        <v>5.2320000000000002</v>
      </c>
    </row>
    <row r="87" spans="2:20">
      <c r="B87" s="92" t="s">
        <v>136</v>
      </c>
      <c r="C87" s="91" t="s">
        <v>1745</v>
      </c>
      <c r="D87" s="93">
        <v>98</v>
      </c>
      <c r="E87" s="93">
        <v>120</v>
      </c>
      <c r="F87" s="103">
        <f>IFERROR(INDEX(Tabella9[PLZ],MATCH(Tabella8[[#This Row],[Colonna2]],Tabella9[Ortschaftsname],0)), "Name not found")</f>
        <v>8494</v>
      </c>
      <c r="G87" s="103"/>
      <c r="H87" s="240">
        <f ca="1">SUMIF(Tabella2[[#Headers],[#Data],[Age]],$H$76,Tabella2[[#Headers],[#Data],[Federal taxes]])</f>
        <v>6804.3246087429152</v>
      </c>
      <c r="I8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7" s="240">
        <f ca="1">Tabella8[[#This Row],[Colonna7]]*Tabella8[[#This Row],[Colonna4]]/100</f>
        <v>12697.065739881669</v>
      </c>
      <c r="Q87" s="2"/>
      <c r="R87" s="4">
        <v>17100</v>
      </c>
      <c r="S87" s="4">
        <v>271</v>
      </c>
      <c r="T87" s="4">
        <v>5.9489999999999998</v>
      </c>
    </row>
    <row r="88" spans="2:20">
      <c r="B88" s="92" t="s">
        <v>136</v>
      </c>
      <c r="C88" s="91" t="s">
        <v>1816</v>
      </c>
      <c r="D88" s="93">
        <v>98</v>
      </c>
      <c r="E88" s="93">
        <v>110</v>
      </c>
      <c r="F88" s="103">
        <v>8463</v>
      </c>
      <c r="G88" s="103"/>
      <c r="H88" s="240">
        <f ca="1">SUMIF(Tabella2[[#Headers],[#Data],[Age]],$H$76,Tabella2[[#Headers],[#Data],[Federal taxes]])</f>
        <v>6804.3246087429152</v>
      </c>
      <c r="I8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8" s="240">
        <f ca="1">Tabella8[[#This Row],[Colonna7]]*Tabella8[[#This Row],[Colonna4]]/100</f>
        <v>11638.976928224864</v>
      </c>
      <c r="Q88" s="2"/>
      <c r="R88" s="4">
        <v>20500</v>
      </c>
      <c r="S88" s="4">
        <v>473</v>
      </c>
      <c r="T88" s="4">
        <v>3.9239999999999999</v>
      </c>
    </row>
    <row r="89" spans="2:20">
      <c r="B89" s="92" t="s">
        <v>136</v>
      </c>
      <c r="C89" s="91" t="s">
        <v>2521</v>
      </c>
      <c r="D89" s="93">
        <v>98</v>
      </c>
      <c r="E89" s="93">
        <v>98</v>
      </c>
      <c r="F89" s="103">
        <f>IFERROR(INDEX(Tabella9[PLZ],MATCH(Tabella8[[#This Row],[Colonna2]],Tabella9[Ortschaftsname],0)), "Name not found")</f>
        <v>8415</v>
      </c>
      <c r="G89" s="103"/>
      <c r="H89" s="240">
        <f ca="1">SUMIF(Tabella2[[#Headers],[#Data],[Age]],$H$76,Tabella2[[#Headers],[#Data],[Federal taxes]])</f>
        <v>6804.3246087429152</v>
      </c>
      <c r="I8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89" s="240">
        <f ca="1">Tabella8[[#This Row],[Colonna7]]*Tabella8[[#This Row],[Colonna4]]/100</f>
        <v>10369.270354236696</v>
      </c>
      <c r="Q89" s="2"/>
      <c r="R89" s="4">
        <v>25600</v>
      </c>
      <c r="S89" s="4">
        <v>673</v>
      </c>
      <c r="T89" s="4">
        <v>7.4989999999999997</v>
      </c>
    </row>
    <row r="90" spans="2:20">
      <c r="B90" s="92" t="s">
        <v>136</v>
      </c>
      <c r="C90" s="91" t="s">
        <v>1725</v>
      </c>
      <c r="D90" s="93">
        <v>98</v>
      </c>
      <c r="E90" s="93">
        <v>112</v>
      </c>
      <c r="F90" s="103">
        <v>8903</v>
      </c>
      <c r="G90" s="103"/>
      <c r="H90" s="240">
        <f ca="1">SUMIF(Tabella2[[#Headers],[#Data],[Age]],$H$76,Tabella2[[#Headers],[#Data],[Federal taxes]])</f>
        <v>6804.3246087429152</v>
      </c>
      <c r="I9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0" s="240">
        <f ca="1">Tabella8[[#This Row],[Colonna7]]*Tabella8[[#This Row],[Colonna4]]/100</f>
        <v>11850.594690556223</v>
      </c>
      <c r="Q90" s="2"/>
      <c r="R90" s="4">
        <v>29600</v>
      </c>
      <c r="S90" s="4">
        <v>973</v>
      </c>
      <c r="T90" s="4">
        <v>9.4610000000000003</v>
      </c>
    </row>
    <row r="91" spans="2:20">
      <c r="B91" s="92" t="s">
        <v>136</v>
      </c>
      <c r="C91" s="91" t="s">
        <v>1737</v>
      </c>
      <c r="D91" s="93">
        <v>98</v>
      </c>
      <c r="E91" s="93">
        <v>110</v>
      </c>
      <c r="F91" s="103">
        <f>IFERROR(INDEX(Tabella9[PLZ],MATCH(Tabella8[[#This Row],[Colonna2]],Tabella9[Ortschaftsname],0)), "Name not found")</f>
        <v>8906</v>
      </c>
      <c r="G91" s="103"/>
      <c r="H91" s="240">
        <f ca="1">SUMIF(Tabella2[[#Headers],[#Data],[Age]],$H$76,Tabella2[[#Headers],[#Data],[Federal taxes]])</f>
        <v>6804.3246087429152</v>
      </c>
      <c r="I9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1" s="240">
        <f ca="1">Tabella8[[#This Row],[Colonna7]]*Tabella8[[#This Row],[Colonna4]]/100</f>
        <v>11638.976928224864</v>
      </c>
      <c r="Q91" s="2"/>
      <c r="R91" s="4">
        <v>39200</v>
      </c>
      <c r="S91" s="4">
        <v>1881</v>
      </c>
      <c r="T91" s="4">
        <v>10.377000000000001</v>
      </c>
    </row>
    <row r="92" spans="2:20">
      <c r="B92" s="92" t="s">
        <v>136</v>
      </c>
      <c r="C92" s="91" t="s">
        <v>1801</v>
      </c>
      <c r="D92" s="93">
        <v>98</v>
      </c>
      <c r="E92" s="93">
        <v>94</v>
      </c>
      <c r="F92" s="103">
        <f>IFERROR(INDEX(Tabella9[PLZ],MATCH(Tabella8[[#This Row],[Colonna2]],Tabella9[Ortschaftsname],0)), "Name not found")</f>
        <v>8113</v>
      </c>
      <c r="G92" s="103"/>
      <c r="H92" s="240">
        <f ca="1">SUMIF(Tabella2[[#Headers],[#Data],[Age]],$H$76,Tabella2[[#Headers],[#Data],[Federal taxes]])</f>
        <v>6804.3246087429152</v>
      </c>
      <c r="I9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2" s="240">
        <f ca="1">Tabella8[[#This Row],[Colonna7]]*Tabella8[[#This Row],[Colonna4]]/100</f>
        <v>9946.034829573975</v>
      </c>
      <c r="Q92" s="2"/>
      <c r="R92" s="4">
        <v>51800</v>
      </c>
      <c r="S92" s="4">
        <v>3189</v>
      </c>
      <c r="T92" s="4">
        <v>10.988</v>
      </c>
    </row>
    <row r="93" spans="2:20">
      <c r="B93" s="92" t="s">
        <v>136</v>
      </c>
      <c r="C93" s="91" t="s">
        <v>1784</v>
      </c>
      <c r="D93" s="93">
        <v>98</v>
      </c>
      <c r="E93" s="93">
        <v>89</v>
      </c>
      <c r="F93" s="103">
        <f>IFERROR(INDEX(Tabella9[PLZ],MATCH(Tabella8[[#This Row],[Colonna2]],Tabella9[Ortschaftsname],0)), "Name not found")</f>
        <v>8311</v>
      </c>
      <c r="G93" s="103"/>
      <c r="H93" s="240">
        <f ca="1">SUMIF(Tabella2[[#Headers],[#Data],[Age]],$H$76,Tabella2[[#Headers],[#Data],[Federal taxes]])</f>
        <v>6804.3246087429152</v>
      </c>
      <c r="I9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3" s="240">
        <f ca="1">Tabella8[[#This Row],[Colonna7]]*Tabella8[[#This Row],[Colonna4]]/100</f>
        <v>9416.9904237455703</v>
      </c>
      <c r="Q93" s="2"/>
      <c r="R93" s="4">
        <v>57200</v>
      </c>
      <c r="S93" s="4">
        <v>3782</v>
      </c>
      <c r="T93" s="4">
        <v>11.8</v>
      </c>
    </row>
    <row r="94" spans="2:20">
      <c r="B94" s="92" t="s">
        <v>136</v>
      </c>
      <c r="C94" s="91" t="s">
        <v>1721</v>
      </c>
      <c r="D94" s="93">
        <v>98</v>
      </c>
      <c r="E94" s="93">
        <v>118</v>
      </c>
      <c r="F94" s="103">
        <f>IFERROR(INDEX(Tabella9[PLZ],MATCH(Tabella8[[#This Row],[Colonna2]],Tabella9[Ortschaftsname],0)), "Name not found")</f>
        <v>8608</v>
      </c>
      <c r="G94" s="103"/>
      <c r="H94" s="240">
        <f ca="1">SUMIF(Tabella2[[#Headers],[#Data],[Age]],$H$76,Tabella2[[#Headers],[#Data],[Federal taxes]])</f>
        <v>6804.3246087429152</v>
      </c>
      <c r="I9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4" s="240">
        <f ca="1">Tabella8[[#This Row],[Colonna7]]*Tabella8[[#This Row],[Colonna4]]/100</f>
        <v>12485.44797755031</v>
      </c>
      <c r="Q94" s="2"/>
      <c r="R94" s="4">
        <v>71800</v>
      </c>
      <c r="S94" s="4">
        <v>5505</v>
      </c>
      <c r="T94" s="4">
        <v>11.597</v>
      </c>
    </row>
    <row r="95" spans="2:20">
      <c r="B95" s="92" t="s">
        <v>136</v>
      </c>
      <c r="C95" s="91" t="s">
        <v>1812</v>
      </c>
      <c r="D95" s="93">
        <v>98</v>
      </c>
      <c r="E95" s="93">
        <v>106</v>
      </c>
      <c r="F95" s="103">
        <f>IFERROR(INDEX(Tabella9[PLZ],MATCH(Tabella8[[#This Row],[Colonna2]],Tabella9[Ortschaftsname],0)), "Name not found")</f>
        <v>8414</v>
      </c>
      <c r="G95" s="103"/>
      <c r="H95" s="240">
        <f ca="1">SUMIF(Tabella2[[#Headers],[#Data],[Age]],$H$76,Tabella2[[#Headers],[#Data],[Federal taxes]])</f>
        <v>6804.3246087429152</v>
      </c>
      <c r="I9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5" s="240">
        <f ca="1">Tabella8[[#This Row],[Colonna7]]*Tabella8[[#This Row],[Colonna4]]/100</f>
        <v>11215.74140356214</v>
      </c>
      <c r="Q95" s="2"/>
      <c r="R95" s="4">
        <v>89900</v>
      </c>
      <c r="S95" s="4">
        <v>7604</v>
      </c>
      <c r="T95" s="4">
        <v>12.47</v>
      </c>
    </row>
    <row r="96" spans="2:20">
      <c r="B96" s="92" t="s">
        <v>136</v>
      </c>
      <c r="C96" s="91" t="s">
        <v>1727</v>
      </c>
      <c r="D96" s="93">
        <v>98</v>
      </c>
      <c r="E96" s="93">
        <v>105</v>
      </c>
      <c r="F96" s="103">
        <v>8107</v>
      </c>
      <c r="G96" s="103"/>
      <c r="H96" s="240">
        <f ca="1">SUMIF(Tabella2[[#Headers],[#Data],[Age]],$H$76,Tabella2[[#Headers],[#Data],[Federal taxes]])</f>
        <v>6804.3246087429152</v>
      </c>
      <c r="I9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6" s="240">
        <f ca="1">Tabella8[[#This Row],[Colonna7]]*Tabella8[[#This Row],[Colonna4]]/100</f>
        <v>11109.932522396462</v>
      </c>
      <c r="Q96" s="2"/>
      <c r="R96" s="46">
        <v>112000</v>
      </c>
      <c r="S96" s="46">
        <v>10360</v>
      </c>
      <c r="T96" s="46">
        <v>13.08</v>
      </c>
    </row>
    <row r="97" spans="2:21">
      <c r="B97" s="92" t="s">
        <v>136</v>
      </c>
      <c r="C97" s="91" t="s">
        <v>2522</v>
      </c>
      <c r="D97" s="93">
        <v>98</v>
      </c>
      <c r="E97" s="93">
        <v>106</v>
      </c>
      <c r="F97" s="103">
        <f>IFERROR(INDEX(Tabella9[PLZ],MATCH(Tabella8[[#This Row],[Colonna2]],Tabella9[Ortschaftsname],0)), "Name not found")</f>
        <v>8344</v>
      </c>
      <c r="G97" s="103"/>
      <c r="H97" s="240">
        <f ca="1">SUMIF(Tabella2[[#Headers],[#Data],[Age]],$H$76,Tabella2[[#Headers],[#Data],[Federal taxes]])</f>
        <v>6804.3246087429152</v>
      </c>
      <c r="I9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7" s="240">
        <f ca="1">Tabella8[[#This Row],[Colonna7]]*Tabella8[[#This Row],[Colonna4]]/100</f>
        <v>11215.74140356214</v>
      </c>
      <c r="Q97" s="2"/>
      <c r="R97" s="46">
        <v>224100</v>
      </c>
      <c r="S97" s="46">
        <v>25023</v>
      </c>
      <c r="T97" s="46">
        <v>14.04</v>
      </c>
    </row>
    <row r="98" spans="2:21">
      <c r="B98" s="92" t="s">
        <v>136</v>
      </c>
      <c r="C98" s="91" t="s">
        <v>1685</v>
      </c>
      <c r="D98" s="93">
        <v>98</v>
      </c>
      <c r="E98" s="93">
        <v>110</v>
      </c>
      <c r="F98" s="103">
        <f>IFERROR(INDEX(Tabella9[PLZ],MATCH(Tabella8[[#This Row],[Colonna2]],Tabella9[Ortschaftsname],0)), "Name not found")</f>
        <v>8180</v>
      </c>
      <c r="G98" s="103"/>
      <c r="H98" s="240">
        <f ca="1">SUMIF(Tabella2[[#Headers],[#Data],[Age]],$H$76,Tabella2[[#Headers],[#Data],[Federal taxes]])</f>
        <v>6804.3246087429152</v>
      </c>
      <c r="I9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8" s="240">
        <f ca="1">Tabella8[[#This Row],[Colonna7]]*Tabella8[[#This Row],[Colonna4]]/100</f>
        <v>11638.976928224864</v>
      </c>
      <c r="Q98" s="2"/>
      <c r="R98" s="46">
        <v>374400</v>
      </c>
      <c r="S98" s="46">
        <v>46125</v>
      </c>
      <c r="T98" s="46">
        <v>14.824999999999999</v>
      </c>
    </row>
    <row r="99" spans="2:21">
      <c r="B99" s="92" t="s">
        <v>136</v>
      </c>
      <c r="C99" s="91" t="s">
        <v>1788</v>
      </c>
      <c r="D99" s="93">
        <v>98</v>
      </c>
      <c r="E99" s="93">
        <v>111</v>
      </c>
      <c r="F99" s="103">
        <f>IFERROR(INDEX(Tabella9[PLZ],MATCH(Tabella8[[#This Row],[Colonna2]],Tabella9[Ortschaftsname],0)), "Name not found")</f>
        <v>8447</v>
      </c>
      <c r="G99" s="103"/>
      <c r="H99" s="240">
        <f ca="1">SUMIF(Tabella2[[#Headers],[#Data],[Age]],$H$76,Tabella2[[#Headers],[#Data],[Federal taxes]])</f>
        <v>6804.3246087429152</v>
      </c>
      <c r="I9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99" s="240">
        <f ca="1">Tabella8[[#This Row],[Colonna7]]*Tabella8[[#This Row],[Colonna4]]/100</f>
        <v>11744.785809390545</v>
      </c>
      <c r="Q99" s="2"/>
      <c r="R99" s="36">
        <f>IF(Q83&lt;$R$85,$S$84, IF(Q83&lt;$R$86,$S$85+((Q83-$R$85)/100)*$T$85, IF(Q83&lt;$R$87,$S$86+((Q83-$R$86)/100)*$T$86, IF(Q83&lt;$R$88,$S$87+((Q83-$R$87)/100)*$T$87, IF(Q83&lt;$R$89,$S$88+((Q83-$R$88)/100)*$T$88,IF(Q83&lt;$R$90,$S$89+((Q83-$R$89)/100)*$T$89,IF(Q83&lt;$R$91,$S$90+((Q83-$R$90)/100)*$T$90,IF(Q83&lt;$R$92,$S$91+((Q83-$R$91)/100)*$T$91,IF(Q83&lt;$R$93,$S$92+((Q83-$R$92)/100)*$T$92,IF(Q83&lt;$R$94,$S$93+((Q83-$R$93)/100)*$T$93,IF(Q83&lt;$R$95,S94+((Q83-$R$94)/100)*$T$94,IF(Q83&lt;$R$96,$S$95+((Q83-$R$95)/100)*$T$95,IF(Q83&lt;$R$97,S96+((Q83-$R$96)/100)*$T$96,IF(Q83&lt;$R$98,$S$97+((Q83-$R$97)/100)*$T$97, IF(Q83&gt;=$R$98,$S$98+((Q83-$R$98)/100)*$T$98)))))))))))))))</f>
        <v>8863.4699999999993</v>
      </c>
      <c r="S99" s="2"/>
      <c r="T99" s="2"/>
    </row>
    <row r="100" spans="2:21">
      <c r="B100" s="92" t="s">
        <v>136</v>
      </c>
      <c r="C100" s="91" t="s">
        <v>1730</v>
      </c>
      <c r="D100" s="93">
        <v>98</v>
      </c>
      <c r="E100" s="93">
        <v>105</v>
      </c>
      <c r="F100" s="103">
        <f>IFERROR(INDEX(Tabella9[PLZ],MATCH(Tabella8[[#This Row],[Colonna2]],Tabella9[Ortschaftsname],0)), "Name not found")</f>
        <v>8157</v>
      </c>
      <c r="G100" s="103"/>
      <c r="H100" s="240">
        <f ca="1">SUMIF(Tabella2[[#Headers],[#Data],[Age]],$H$76,Tabella2[[#Headers],[#Data],[Federal taxes]])</f>
        <v>6804.3246087429152</v>
      </c>
      <c r="I10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0" s="240">
        <f ca="1">Tabella8[[#This Row],[Colonna7]]*Tabella8[[#This Row],[Colonna4]]/100</f>
        <v>11109.932522396462</v>
      </c>
    </row>
    <row r="101" spans="2:21">
      <c r="B101" s="92" t="s">
        <v>136</v>
      </c>
      <c r="C101" s="91" t="s">
        <v>1679</v>
      </c>
      <c r="D101" s="93">
        <v>98</v>
      </c>
      <c r="E101" s="93">
        <v>123</v>
      </c>
      <c r="F101" s="103">
        <f>IFERROR(INDEX(Tabella9[PLZ],MATCH(Tabella8[[#This Row],[Colonna2]],Tabella9[Ortschaftsname],0)), "Name not found")</f>
        <v>8953</v>
      </c>
      <c r="G101" s="103"/>
      <c r="H101" s="240">
        <f ca="1">SUMIF(Tabella2[[#Headers],[#Data],[Age]],$H$76,Tabella2[[#Headers],[#Data],[Federal taxes]])</f>
        <v>6804.3246087429152</v>
      </c>
      <c r="I10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1" s="240">
        <f ca="1">Tabella8[[#This Row],[Colonna7]]*Tabella8[[#This Row],[Colonna4]]/100</f>
        <v>13014.492383378711</v>
      </c>
      <c r="Q101" s="68" t="s">
        <v>2523</v>
      </c>
      <c r="R101" s="21" t="s">
        <v>82</v>
      </c>
      <c r="S101" s="21" t="s">
        <v>2511</v>
      </c>
      <c r="T101" s="21" t="s">
        <v>90</v>
      </c>
      <c r="U101" t="s">
        <v>4912</v>
      </c>
    </row>
    <row r="102" spans="2:21">
      <c r="B102" s="92" t="s">
        <v>136</v>
      </c>
      <c r="C102" s="91" t="s">
        <v>1717</v>
      </c>
      <c r="D102" s="93">
        <v>98</v>
      </c>
      <c r="E102" s="93">
        <v>105</v>
      </c>
      <c r="F102" s="103">
        <f>IFERROR(INDEX(Tabella9[PLZ],MATCH(Tabella8[[#This Row],[Colonna2]],Tabella9[Ortschaftsname],0)), "Name not found")</f>
        <v>8305</v>
      </c>
      <c r="G102" s="103"/>
      <c r="H102" s="240">
        <f ca="1">SUMIF(Tabella2[[#Headers],[#Data],[Age]],$H$76,Tabella2[[#Headers],[#Data],[Federal taxes]])</f>
        <v>6804.3246087429152</v>
      </c>
      <c r="I10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2" s="240">
        <f ca="1">Tabella8[[#This Row],[Colonna7]]*Tabella8[[#This Row],[Colonna4]]/100</f>
        <v>11109.932522396462</v>
      </c>
      <c r="Q102" s="94">
        <v>100000</v>
      </c>
      <c r="R102" s="11" t="s">
        <v>2512</v>
      </c>
      <c r="S102" s="11" t="s">
        <v>2513</v>
      </c>
      <c r="T102" s="11" t="s">
        <v>2514</v>
      </c>
    </row>
    <row r="103" spans="2:21">
      <c r="B103" s="92" t="s">
        <v>136</v>
      </c>
      <c r="C103" s="91" t="s">
        <v>1795</v>
      </c>
      <c r="D103" s="93">
        <v>98</v>
      </c>
      <c r="E103" s="93">
        <v>83</v>
      </c>
      <c r="F103" s="103">
        <f>IFERROR(INDEX(Tabella9[PLZ],MATCH(Tabella8[[#This Row],[Colonna2]],Tabella9[Ortschaftsname],0)), "Name not found")</f>
        <v>8474</v>
      </c>
      <c r="G103" s="103"/>
      <c r="H103" s="240">
        <f ca="1">SUMIF(Tabella2[[#Headers],[#Data],[Age]],$H$76,Tabella2[[#Headers],[#Data],[Federal taxes]])</f>
        <v>6804.3246087429152</v>
      </c>
      <c r="I10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3" s="240">
        <f ca="1">Tabella8[[#This Row],[Colonna7]]*Tabella8[[#This Row],[Colonna4]]/100</f>
        <v>8782.1371367514876</v>
      </c>
      <c r="Q103" s="26"/>
      <c r="R103" s="4">
        <v>0</v>
      </c>
      <c r="S103" s="4">
        <v>0</v>
      </c>
      <c r="T103" s="4">
        <v>0</v>
      </c>
    </row>
    <row r="104" spans="2:21">
      <c r="B104" s="92" t="s">
        <v>136</v>
      </c>
      <c r="C104" s="91" t="s">
        <v>1820</v>
      </c>
      <c r="D104" s="93">
        <v>98</v>
      </c>
      <c r="E104" s="93">
        <v>104</v>
      </c>
      <c r="F104" s="103">
        <f>IFERROR(INDEX(Tabella9[PLZ],MATCH(Tabella8[[#This Row],[Colonna2]],Tabella9[Ortschaftsname],0)), "Name not found")</f>
        <v>8458</v>
      </c>
      <c r="G104" s="103"/>
      <c r="H104" s="240">
        <f ca="1">SUMIF(Tabella2[[#Headers],[#Data],[Age]],$H$76,Tabella2[[#Headers],[#Data],[Federal taxes]])</f>
        <v>6804.3246087429152</v>
      </c>
      <c r="I10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4" s="240">
        <f ca="1">Tabella8[[#This Row],[Colonna7]]*Tabella8[[#This Row],[Colonna4]]/100</f>
        <v>11004.123641230781</v>
      </c>
      <c r="Q104" s="2"/>
      <c r="R104" s="4">
        <v>6900</v>
      </c>
      <c r="S104" s="4">
        <v>0</v>
      </c>
      <c r="T104" s="4">
        <v>2</v>
      </c>
    </row>
    <row r="105" spans="2:21">
      <c r="B105" s="92" t="s">
        <v>136</v>
      </c>
      <c r="C105" s="91" t="s">
        <v>1810</v>
      </c>
      <c r="D105" s="93">
        <v>98</v>
      </c>
      <c r="E105" s="93">
        <v>105</v>
      </c>
      <c r="F105" s="103">
        <f>IFERROR(INDEX(Tabella9[PLZ],MATCH(Tabella8[[#This Row],[Colonna2]],Tabella9[Ortschaftsname],0)), "Name not found")</f>
        <v>8471</v>
      </c>
      <c r="G105" s="103"/>
      <c r="H105" s="240">
        <f ca="1">SUMIF(Tabella2[[#Headers],[#Data],[Age]],$H$76,Tabella2[[#Headers],[#Data],[Federal taxes]])</f>
        <v>6804.3246087429152</v>
      </c>
      <c r="I10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5" s="240">
        <f ca="1">Tabella8[[#This Row],[Colonna7]]*Tabella8[[#This Row],[Colonna4]]/100</f>
        <v>11109.932522396462</v>
      </c>
      <c r="Q105" s="2"/>
      <c r="R105" s="4">
        <f>R104+4900</f>
        <v>11800</v>
      </c>
      <c r="S105" s="4">
        <v>98</v>
      </c>
      <c r="T105" s="4">
        <v>3</v>
      </c>
      <c r="U105" t="s">
        <v>4911</v>
      </c>
    </row>
    <row r="106" spans="2:21">
      <c r="B106" s="92" t="s">
        <v>136</v>
      </c>
      <c r="C106" s="91" t="s">
        <v>1755</v>
      </c>
      <c r="D106" s="93">
        <v>98</v>
      </c>
      <c r="E106" s="93">
        <v>108</v>
      </c>
      <c r="F106" s="103">
        <f>IFERROR(INDEX(Tabella9[PLZ],MATCH(Tabella8[[#This Row],[Colonna2]],Tabella9[Ortschaftsname],0)), "Name not found")</f>
        <v>8108</v>
      </c>
      <c r="G106" s="103"/>
      <c r="H106" s="240">
        <f ca="1">SUMIF(Tabella2[[#Headers],[#Data],[Age]],$H$76,Tabella2[[#Headers],[#Data],[Federal taxes]])</f>
        <v>6804.3246087429152</v>
      </c>
      <c r="I10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6" s="240">
        <f ca="1">Tabella8[[#This Row],[Colonna7]]*Tabella8[[#This Row],[Colonna4]]/100</f>
        <v>11427.359165893502</v>
      </c>
      <c r="Q106" s="2"/>
      <c r="R106" s="4">
        <f>R105+4800</f>
        <v>16600</v>
      </c>
      <c r="S106" s="4">
        <v>242</v>
      </c>
      <c r="T106" s="4">
        <v>4</v>
      </c>
    </row>
    <row r="107" spans="2:21">
      <c r="B107" s="92" t="s">
        <v>136</v>
      </c>
      <c r="C107" s="91" t="s">
        <v>1790</v>
      </c>
      <c r="D107" s="93">
        <v>98</v>
      </c>
      <c r="E107" s="93">
        <v>122</v>
      </c>
      <c r="F107" s="103">
        <v>8114</v>
      </c>
      <c r="G107" s="103"/>
      <c r="H107" s="240">
        <f ca="1">SUMIF(Tabella2[[#Headers],[#Data],[Age]],$H$76,Tabella2[[#Headers],[#Data],[Federal taxes]])</f>
        <v>6804.3246087429152</v>
      </c>
      <c r="I10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7" s="240">
        <f ca="1">Tabella8[[#This Row],[Colonna7]]*Tabella8[[#This Row],[Colonna4]]/100</f>
        <v>12908.683502213031</v>
      </c>
      <c r="Q107" s="2"/>
      <c r="R107" s="4">
        <f>R106+7900</f>
        <v>24500</v>
      </c>
      <c r="S107" s="4">
        <v>558</v>
      </c>
      <c r="T107" s="4">
        <v>5</v>
      </c>
    </row>
    <row r="108" spans="2:21">
      <c r="B108" s="92" t="s">
        <v>136</v>
      </c>
      <c r="C108" s="91" t="s">
        <v>1817</v>
      </c>
      <c r="D108" s="93">
        <v>98</v>
      </c>
      <c r="E108" s="93">
        <v>116</v>
      </c>
      <c r="F108" s="103">
        <f>IFERROR(INDEX(Tabella9[PLZ],MATCH(Tabella8[[#This Row],[Colonna2]],Tabella9[Ortschaftsname],0)), "Name not found")</f>
        <v>8421</v>
      </c>
      <c r="G108" s="103"/>
      <c r="H108" s="240">
        <f ca="1">SUMIF(Tabella2[[#Headers],[#Data],[Age]],$H$76,Tabella2[[#Headers],[#Data],[Federal taxes]])</f>
        <v>6804.3246087429152</v>
      </c>
      <c r="I10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8" s="240">
        <f ca="1">Tabella8[[#This Row],[Colonna7]]*Tabella8[[#This Row],[Colonna4]]/100</f>
        <v>12273.830215218948</v>
      </c>
      <c r="Q108" s="2"/>
      <c r="R108" s="4">
        <f>R107+9600</f>
        <v>34100</v>
      </c>
      <c r="S108" s="4">
        <v>1038</v>
      </c>
      <c r="T108" s="4">
        <v>6</v>
      </c>
    </row>
    <row r="109" spans="2:21">
      <c r="B109" s="92" t="s">
        <v>136</v>
      </c>
      <c r="C109" s="91" t="s">
        <v>1677</v>
      </c>
      <c r="D109" s="93">
        <v>98</v>
      </c>
      <c r="E109" s="93">
        <v>96</v>
      </c>
      <c r="F109" s="103">
        <f>IFERROR(INDEX(Tabella9[PLZ],MATCH(Tabella8[[#This Row],[Colonna2]],Tabella9[Ortschaftsname],0)), "Name not found")</f>
        <v>8600</v>
      </c>
      <c r="G109" s="103"/>
      <c r="H109" s="240">
        <f ca="1">SUMIF(Tabella2[[#Headers],[#Data],[Age]],$H$76,Tabella2[[#Headers],[#Data],[Federal taxes]])</f>
        <v>6804.3246087429152</v>
      </c>
      <c r="I10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09" s="240">
        <f ca="1">Tabella8[[#This Row],[Colonna7]]*Tabella8[[#This Row],[Colonna4]]/100</f>
        <v>10157.652591905335</v>
      </c>
      <c r="Q109" s="2"/>
      <c r="R109" s="4">
        <f>R108+11000</f>
        <v>45100</v>
      </c>
      <c r="S109" s="4">
        <v>1698</v>
      </c>
      <c r="T109" s="4">
        <v>7</v>
      </c>
    </row>
    <row r="110" spans="2:21">
      <c r="B110" s="92" t="s">
        <v>136</v>
      </c>
      <c r="C110" s="91" t="s">
        <v>1718</v>
      </c>
      <c r="D110" s="93">
        <v>98</v>
      </c>
      <c r="E110" s="93">
        <v>113</v>
      </c>
      <c r="F110" s="103">
        <f>IFERROR(INDEX(Tabella9[PLZ],MATCH(Tabella8[[#This Row],[Colonna2]],Tabella9[Ortschaftsname],0)), "Name not found")</f>
        <v>8635</v>
      </c>
      <c r="G110" s="103"/>
      <c r="H110" s="240">
        <f ca="1">SUMIF(Tabella2[[#Headers],[#Data],[Age]],$H$76,Tabella2[[#Headers],[#Data],[Federal taxes]])</f>
        <v>6804.3246087429152</v>
      </c>
      <c r="I11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0" s="240">
        <f ca="1">Tabella8[[#This Row],[Colonna7]]*Tabella8[[#This Row],[Colonna4]]/100</f>
        <v>11956.403571721905</v>
      </c>
      <c r="Q110" s="2"/>
      <c r="R110" s="4">
        <f>R109+12900</f>
        <v>58000</v>
      </c>
      <c r="S110" s="4">
        <v>2601</v>
      </c>
      <c r="T110" s="4">
        <v>8</v>
      </c>
    </row>
    <row r="111" spans="2:21">
      <c r="B111" s="92" t="s">
        <v>136</v>
      </c>
      <c r="C111" s="91" t="s">
        <v>1714</v>
      </c>
      <c r="D111" s="93">
        <v>98</v>
      </c>
      <c r="E111" s="93">
        <v>101</v>
      </c>
      <c r="F111" s="103">
        <v>8132</v>
      </c>
      <c r="G111" s="103"/>
      <c r="H111" s="240">
        <f ca="1">SUMIF(Tabella2[[#Headers],[#Data],[Age]],$H$76,Tabella2[[#Headers],[#Data],[Federal taxes]])</f>
        <v>6804.3246087429152</v>
      </c>
      <c r="I11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1" s="240">
        <f ca="1">Tabella8[[#This Row],[Colonna7]]*Tabella8[[#This Row],[Colonna4]]/100</f>
        <v>10686.696997733738</v>
      </c>
      <c r="Q111" s="2"/>
      <c r="R111" s="4">
        <f>R110+17400</f>
        <v>75400</v>
      </c>
      <c r="S111" s="4">
        <v>3993</v>
      </c>
      <c r="T111" s="4">
        <v>9</v>
      </c>
    </row>
    <row r="112" spans="2:21">
      <c r="B112" s="92" t="s">
        <v>136</v>
      </c>
      <c r="C112" s="91" t="s">
        <v>1741</v>
      </c>
      <c r="D112" s="93">
        <v>98</v>
      </c>
      <c r="E112" s="93">
        <v>113</v>
      </c>
      <c r="F112" s="103">
        <f>IFERROR(INDEX(Tabella9[PLZ],MATCH(Tabella8[[#This Row],[Colonna2]],Tabella9[Ortschaftsname],0)), "Name not found")</f>
        <v>8193</v>
      </c>
      <c r="G112" s="103"/>
      <c r="H112" s="240">
        <f ca="1">SUMIF(Tabella2[[#Headers],[#Data],[Age]],$H$76,Tabella2[[#Headers],[#Data],[Federal taxes]])</f>
        <v>6804.3246087429152</v>
      </c>
      <c r="I11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2" s="240">
        <f ca="1">Tabella8[[#This Row],[Colonna7]]*Tabella8[[#This Row],[Colonna4]]/100</f>
        <v>11956.403571721905</v>
      </c>
      <c r="Q112" s="2"/>
      <c r="R112" s="4">
        <f>R111+33600</f>
        <v>109000</v>
      </c>
      <c r="S112" s="4">
        <v>7017</v>
      </c>
      <c r="T112" s="4">
        <v>10</v>
      </c>
    </row>
    <row r="113" spans="2:20">
      <c r="B113" s="92" t="s">
        <v>136</v>
      </c>
      <c r="C113" s="91" t="s">
        <v>1746</v>
      </c>
      <c r="D113" s="93">
        <v>98</v>
      </c>
      <c r="E113" s="93">
        <v>119</v>
      </c>
      <c r="F113" s="103">
        <f>IFERROR(INDEX(Tabella9[PLZ],MATCH(Tabella8[[#This Row],[Colonna2]],Tabella9[Ortschaftsname],0)), "Name not found")</f>
        <v>8353</v>
      </c>
      <c r="G113" s="103"/>
      <c r="H113" s="240">
        <f ca="1">SUMIF(Tabella2[[#Headers],[#Data],[Age]],$H$76,Tabella2[[#Headers],[#Data],[Federal taxes]])</f>
        <v>6804.3246087429152</v>
      </c>
      <c r="I11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3" s="240">
        <f ca="1">Tabella8[[#This Row],[Colonna7]]*Tabella8[[#This Row],[Colonna4]]/100</f>
        <v>12591.256858715988</v>
      </c>
      <c r="Q113" s="2"/>
      <c r="R113" s="4">
        <f>R112+33200</f>
        <v>142200</v>
      </c>
      <c r="S113" s="4">
        <v>10337</v>
      </c>
      <c r="T113" s="4">
        <v>11</v>
      </c>
    </row>
    <row r="114" spans="2:20">
      <c r="B114" s="92" t="s">
        <v>136</v>
      </c>
      <c r="C114" s="91" t="s">
        <v>1815</v>
      </c>
      <c r="D114" s="93">
        <v>98</v>
      </c>
      <c r="E114" s="93">
        <v>115</v>
      </c>
      <c r="F114" s="103">
        <f>IFERROR(INDEX(Tabella9[PLZ],MATCH(Tabella8[[#This Row],[Colonna2]],Tabella9[Ortschaftsname],0)), "Name not found")</f>
        <v>8548</v>
      </c>
      <c r="G114" s="103"/>
      <c r="H114" s="240">
        <f ca="1">SUMIF(Tabella2[[#Headers],[#Data],[Age]],$H$76,Tabella2[[#Headers],[#Data],[Federal taxes]])</f>
        <v>6804.3246087429152</v>
      </c>
      <c r="I11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4" s="240">
        <f ca="1">Tabella8[[#This Row],[Colonna7]]*Tabella8[[#This Row],[Colonna4]]/100</f>
        <v>12168.021334053266</v>
      </c>
      <c r="Q114" s="2"/>
      <c r="R114" s="4">
        <f>R113+52700</f>
        <v>194900</v>
      </c>
      <c r="S114" s="4">
        <v>16134</v>
      </c>
      <c r="T114" s="4">
        <v>12</v>
      </c>
    </row>
    <row r="115" spans="2:20">
      <c r="B115" s="92" t="s">
        <v>136</v>
      </c>
      <c r="C115" s="91" t="s">
        <v>1765</v>
      </c>
      <c r="D115" s="93">
        <v>98</v>
      </c>
      <c r="E115" s="93">
        <v>120</v>
      </c>
      <c r="F115" s="103">
        <f>IFERROR(INDEX(Tabella9[PLZ],MATCH(Tabella8[[#This Row],[Colonna2]],Tabella9[Ortschaftsname],0)), "Name not found")</f>
        <v>8352</v>
      </c>
      <c r="G115" s="103"/>
      <c r="H115" s="240">
        <f ca="1">SUMIF(Tabella2[[#Headers],[#Data],[Age]],$H$76,Tabella2[[#Headers],[#Data],[Federal taxes]])</f>
        <v>6804.3246087429152</v>
      </c>
      <c r="I11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5" s="240">
        <f ca="1">Tabella8[[#This Row],[Colonna7]]*Tabella8[[#This Row],[Colonna4]]/100</f>
        <v>12697.065739881669</v>
      </c>
      <c r="Q115" s="2"/>
      <c r="R115" s="46">
        <f>R114+68400</f>
        <v>263300</v>
      </c>
      <c r="S115" s="46">
        <v>23342</v>
      </c>
      <c r="T115" s="46">
        <v>13</v>
      </c>
    </row>
    <row r="116" spans="2:20">
      <c r="B116" s="92" t="s">
        <v>136</v>
      </c>
      <c r="C116" s="91" t="s">
        <v>1709</v>
      </c>
      <c r="D116" s="93">
        <v>98</v>
      </c>
      <c r="E116" s="93">
        <v>114</v>
      </c>
      <c r="F116" s="103">
        <f>IFERROR(INDEX(Tabella9[PLZ],MATCH(Tabella8[[#This Row],[Colonna2]],Tabella9[Ortschaftsname],0)), "Name not found")</f>
        <v>8424</v>
      </c>
      <c r="G116" s="103"/>
      <c r="H116" s="240">
        <f ca="1">SUMIF(Tabella2[[#Headers],[#Data],[Age]],$H$76,Tabella2[[#Headers],[#Data],[Federal taxes]])</f>
        <v>6804.3246087429152</v>
      </c>
      <c r="I11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6" s="240">
        <f ca="1">Tabella8[[#This Row],[Colonna7]]*Tabella8[[#This Row],[Colonna4]]/100</f>
        <v>12062.212452887585</v>
      </c>
      <c r="Q116" s="2"/>
      <c r="R116" s="46"/>
      <c r="S116" s="46"/>
      <c r="T116" s="46"/>
    </row>
    <row r="117" spans="2:20">
      <c r="B117" s="92" t="s">
        <v>136</v>
      </c>
      <c r="C117" s="91" t="s">
        <v>1735</v>
      </c>
      <c r="D117" s="93">
        <v>98</v>
      </c>
      <c r="E117" s="93">
        <v>76</v>
      </c>
      <c r="F117" s="103">
        <v>8703</v>
      </c>
      <c r="G117" s="103"/>
      <c r="H117" s="240">
        <f ca="1">SUMIF(Tabella2[[#Headers],[#Data],[Age]],$H$76,Tabella2[[#Headers],[#Data],[Federal taxes]])</f>
        <v>6804.3246087429152</v>
      </c>
      <c r="I11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7" s="240">
        <f ca="1">Tabella8[[#This Row],[Colonna7]]*Tabella8[[#This Row],[Colonna4]]/100</f>
        <v>8041.4749685917232</v>
      </c>
      <c r="Q117" s="2"/>
      <c r="R117" s="46"/>
      <c r="S117" s="46"/>
      <c r="T117" s="46"/>
    </row>
    <row r="118" spans="2:20">
      <c r="B118" s="92" t="s">
        <v>136</v>
      </c>
      <c r="C118" s="91" t="s">
        <v>1724</v>
      </c>
      <c r="D118" s="93">
        <v>98</v>
      </c>
      <c r="E118" s="93">
        <v>109</v>
      </c>
      <c r="F118" s="103">
        <f>IFERROR(INDEX(Tabella9[PLZ],MATCH(Tabella8[[#This Row],[Colonna2]],Tabella9[Ortschaftsname],0)), "Name not found")</f>
        <v>8320</v>
      </c>
      <c r="G118" s="103"/>
      <c r="H118" s="240">
        <f ca="1">SUMIF(Tabella2[[#Headers],[#Data],[Age]],$H$76,Tabella2[[#Headers],[#Data],[Federal taxes]])</f>
        <v>6804.3246087429152</v>
      </c>
      <c r="I11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8" s="240">
        <f ca="1">Tabella8[[#This Row],[Colonna7]]*Tabella8[[#This Row],[Colonna4]]/100</f>
        <v>11533.168047059184</v>
      </c>
      <c r="Q118" s="2"/>
      <c r="R118" s="36">
        <f>IF(Q102&lt;$R$104,$S$103,IF(Q102&lt;$R$105,$S$104+((Q102-$R$104)/100)*$T$104,IF(Q102&lt;$R$106,$S$105+((Q102-$R$105)/100)*$T$105,IF(Q102&lt;$R$107,$S$106+((Q102-$R$106)/100)*$T$106,IF(Q102&lt;$R$108,$S$107+((Q102-$R$107)/100)*$T$107,IF(Q102&lt;$R$109,$S$108+((Q102-$R$108)/100)*$T$108,IF(Q102&lt;$R$110,$S$109+((Q102-$R$109)/100)*$T$109,IF(Q102&lt;$R$111,$S$110+((Q102-$R$110)/100)*$T$110,IF(Q102&lt;$R$112,$S$111+((Q102-$R$111)/100)*$T$111,IF(Q102&lt;$R$113,$S$112+((Q102-$R$112)/100)*$T$112,IF(Q102&lt;$R$114,$S$113+((Q102-$R$113)/100)*$T$113,IF(Q102&lt;$R$115,$S$114+((Q102-$R$114)/100)*$T$114,IF(Q102&gt;=$R$115,$S$115+((Q102-$R$115)/100)*$T$115)))))))))))))</f>
        <v>6207</v>
      </c>
      <c r="S118" s="2"/>
      <c r="T118" s="2"/>
    </row>
    <row r="119" spans="2:20">
      <c r="B119" s="92" t="s">
        <v>136</v>
      </c>
      <c r="C119" s="91" t="s">
        <v>1763</v>
      </c>
      <c r="D119" s="93">
        <v>98</v>
      </c>
      <c r="E119" s="93">
        <v>114</v>
      </c>
      <c r="F119" s="103">
        <f>IFERROR(INDEX(Tabella9[PLZ],MATCH(Tabella8[[#This Row],[Colonna2]],Tabella9[Ortschaftsname],0)), "Name not found")</f>
        <v>8245</v>
      </c>
      <c r="G119" s="103"/>
      <c r="H119" s="240">
        <f ca="1">SUMIF(Tabella2[[#Headers],[#Data],[Age]],$H$76,Tabella2[[#Headers],[#Data],[Federal taxes]])</f>
        <v>6804.3246087429152</v>
      </c>
      <c r="I11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19" s="240">
        <f ca="1">Tabella8[[#This Row],[Colonna7]]*Tabella8[[#This Row],[Colonna4]]/100</f>
        <v>12062.212452887585</v>
      </c>
    </row>
    <row r="120" spans="2:20">
      <c r="B120" s="92" t="s">
        <v>136</v>
      </c>
      <c r="C120" s="91" t="s">
        <v>1775</v>
      </c>
      <c r="D120" s="93">
        <v>98</v>
      </c>
      <c r="E120" s="93">
        <v>122</v>
      </c>
      <c r="F120" s="103">
        <f>IFERROR(INDEX(Tabella9[PLZ],MATCH(Tabella8[[#This Row],[Colonna2]],Tabella9[Ortschaftsname],0)), "Name not found")</f>
        <v>8497</v>
      </c>
      <c r="G120" s="103"/>
      <c r="H120" s="240">
        <f ca="1">SUMIF(Tabella2[[#Headers],[#Data],[Age]],$H$76,Tabella2[[#Headers],[#Data],[Federal taxes]])</f>
        <v>6804.3246087429152</v>
      </c>
      <c r="I12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0" s="240">
        <f ca="1">Tabella8[[#This Row],[Colonna7]]*Tabella8[[#This Row],[Colonna4]]/100</f>
        <v>12908.683502213031</v>
      </c>
      <c r="Q120" s="68" t="s">
        <v>2524</v>
      </c>
      <c r="R120" s="21" t="s">
        <v>82</v>
      </c>
      <c r="S120" s="21" t="s">
        <v>2511</v>
      </c>
      <c r="T120" s="21" t="s">
        <v>90</v>
      </c>
    </row>
    <row r="121" spans="2:20">
      <c r="B121" s="92" t="s">
        <v>136</v>
      </c>
      <c r="C121" s="91" t="s">
        <v>1800</v>
      </c>
      <c r="D121" s="93">
        <v>98</v>
      </c>
      <c r="E121" s="93">
        <v>107</v>
      </c>
      <c r="F121" s="103">
        <f>IFERROR(INDEX(Tabella9[PLZ],MATCH(Tabella8[[#This Row],[Colonna2]],Tabella9[Ortschaftsname],0)), "Name not found")</f>
        <v>8416</v>
      </c>
      <c r="G121" s="103"/>
      <c r="H121" s="240">
        <f ca="1">SUMIF(Tabella2[[#Headers],[#Data],[Age]],$H$76,Tabella2[[#Headers],[#Data],[Federal taxes]])</f>
        <v>6804.3246087429152</v>
      </c>
      <c r="I12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1" s="240">
        <f ca="1">Tabella8[[#This Row],[Colonna7]]*Tabella8[[#This Row],[Colonna4]]/100</f>
        <v>11321.55028472782</v>
      </c>
      <c r="Q121" s="94">
        <v>100000</v>
      </c>
      <c r="R121" s="11" t="s">
        <v>2512</v>
      </c>
      <c r="S121" s="11" t="s">
        <v>2525</v>
      </c>
      <c r="T121" s="11"/>
    </row>
    <row r="122" spans="2:20">
      <c r="B122" s="92" t="s">
        <v>136</v>
      </c>
      <c r="C122" s="91" t="s">
        <v>1797</v>
      </c>
      <c r="D122" s="93">
        <v>98</v>
      </c>
      <c r="E122" s="93">
        <v>111</v>
      </c>
      <c r="F122" s="103">
        <f>IFERROR(INDEX(Tabella9[PLZ],MATCH(Tabella8[[#This Row],[Colonna2]],Tabella9[Ortschaftsname],0)), "Name not found")</f>
        <v>8247</v>
      </c>
      <c r="G122" s="103"/>
      <c r="H122" s="240">
        <f ca="1">SUMIF(Tabella2[[#Headers],[#Data],[Age]],$H$76,Tabella2[[#Headers],[#Data],[Federal taxes]])</f>
        <v>6804.3246087429152</v>
      </c>
      <c r="I12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2" s="240">
        <f ca="1">Tabella8[[#This Row],[Colonna7]]*Tabella8[[#This Row],[Colonna4]]/100</f>
        <v>11744.785809390545</v>
      </c>
      <c r="Q122" s="26"/>
      <c r="R122" s="4">
        <v>0</v>
      </c>
      <c r="S122" s="39">
        <v>0</v>
      </c>
      <c r="T122" s="4"/>
    </row>
    <row r="123" spans="2:20">
      <c r="B123" s="92" t="s">
        <v>136</v>
      </c>
      <c r="C123" s="91" t="s">
        <v>1778</v>
      </c>
      <c r="D123" s="93">
        <v>98</v>
      </c>
      <c r="E123" s="93">
        <v>99</v>
      </c>
      <c r="F123" s="103">
        <v>8427</v>
      </c>
      <c r="G123" s="103"/>
      <c r="H123" s="240">
        <f ca="1">SUMIF(Tabella2[[#Headers],[#Data],[Age]],$H$76,Tabella2[[#Headers],[#Data],[Federal taxes]])</f>
        <v>6804.3246087429152</v>
      </c>
      <c r="I12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3" s="240">
        <f ca="1">Tabella8[[#This Row],[Colonna7]]*Tabella8[[#This Row],[Colonna4]]/100</f>
        <v>10475.079235402378</v>
      </c>
      <c r="Q123" s="2"/>
      <c r="R123" s="4">
        <v>11500</v>
      </c>
      <c r="S123" s="39">
        <v>0.04</v>
      </c>
      <c r="T123" s="4"/>
    </row>
    <row r="124" spans="2:20">
      <c r="B124" s="92" t="s">
        <v>136</v>
      </c>
      <c r="C124" s="91" t="s">
        <v>1712</v>
      </c>
      <c r="D124" s="93">
        <v>98</v>
      </c>
      <c r="E124" s="93">
        <v>99</v>
      </c>
      <c r="F124" s="103">
        <f>IFERROR(INDEX(Tabella9[PLZ],MATCH(Tabella8[[#This Row],[Colonna2]],Tabella9[Ortschaftsname],0)), "Name not found")</f>
        <v>8117</v>
      </c>
      <c r="G124" s="103"/>
      <c r="H124" s="240">
        <f ca="1">SUMIF(Tabella2[[#Headers],[#Data],[Age]],$H$76,Tabella2[[#Headers],[#Data],[Federal taxes]])</f>
        <v>6804.3246087429152</v>
      </c>
      <c r="I12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4" s="240">
        <f ca="1">Tabella8[[#This Row],[Colonna7]]*Tabella8[[#This Row],[Colonna4]]/100</f>
        <v>10475.079235402378</v>
      </c>
      <c r="Q124" s="2"/>
      <c r="R124" s="4">
        <f>R123+4200</f>
        <v>15700</v>
      </c>
      <c r="S124" s="39">
        <v>0.06</v>
      </c>
      <c r="T124" s="4"/>
    </row>
    <row r="125" spans="2:20">
      <c r="B125" s="92" t="s">
        <v>136</v>
      </c>
      <c r="C125" s="91" t="s">
        <v>1744</v>
      </c>
      <c r="D125" s="93">
        <v>98</v>
      </c>
      <c r="E125" s="93">
        <v>110</v>
      </c>
      <c r="F125" s="103">
        <f>IFERROR(INDEX(Tabella9[PLZ],MATCH(Tabella8[[#This Row],[Colonna2]],Tabella9[Ortschaftsname],0)), "Name not found")</f>
        <v>8954</v>
      </c>
      <c r="G125" s="103"/>
      <c r="H125" s="240">
        <f ca="1">SUMIF(Tabella2[[#Headers],[#Data],[Age]],$H$76,Tabella2[[#Headers],[#Data],[Federal taxes]])</f>
        <v>6804.3246087429152</v>
      </c>
      <c r="I12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5" s="240">
        <f ca="1">Tabella8[[#This Row],[Colonna7]]*Tabella8[[#This Row],[Colonna4]]/100</f>
        <v>11638.976928224864</v>
      </c>
      <c r="Q125" s="2"/>
      <c r="R125" s="4">
        <f>R124+17700</f>
        <v>33400</v>
      </c>
      <c r="S125" s="39">
        <v>0.08</v>
      </c>
      <c r="T125" s="4"/>
    </row>
    <row r="126" spans="2:20">
      <c r="B126" s="92" t="s">
        <v>136</v>
      </c>
      <c r="C126" s="91" t="s">
        <v>1740</v>
      </c>
      <c r="D126" s="93">
        <v>98</v>
      </c>
      <c r="E126" s="93">
        <v>120</v>
      </c>
      <c r="F126" s="103">
        <f>IFERROR(INDEX(Tabella9[PLZ],MATCH(Tabella8[[#This Row],[Colonna2]],Tabella9[Ortschaftsname],0)), "Name not found")</f>
        <v>8192</v>
      </c>
      <c r="G126" s="103"/>
      <c r="H126" s="240">
        <f ca="1">SUMIF(Tabella2[[#Headers],[#Data],[Age]],$H$76,Tabella2[[#Headers],[#Data],[Federal taxes]])</f>
        <v>6804.3246087429152</v>
      </c>
      <c r="I12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6" s="240">
        <f ca="1">Tabella8[[#This Row],[Colonna7]]*Tabella8[[#This Row],[Colonna4]]/100</f>
        <v>12697.065739881669</v>
      </c>
      <c r="Q126" s="2"/>
      <c r="R126" s="4">
        <f>R125+26100</f>
        <v>59500</v>
      </c>
      <c r="S126" s="39">
        <v>9.1999999999999998E-2</v>
      </c>
      <c r="T126" s="4"/>
    </row>
    <row r="127" spans="2:20">
      <c r="B127" s="92" t="s">
        <v>136</v>
      </c>
      <c r="C127" s="91" t="s">
        <v>1706</v>
      </c>
      <c r="D127" s="93">
        <v>98</v>
      </c>
      <c r="E127" s="93">
        <v>117</v>
      </c>
      <c r="F127" s="103">
        <v>8625</v>
      </c>
      <c r="G127" s="103"/>
      <c r="H127" s="240">
        <f ca="1">SUMIF(Tabella2[[#Headers],[#Data],[Age]],$H$76,Tabella2[[#Headers],[#Data],[Federal taxes]])</f>
        <v>6804.3246087429152</v>
      </c>
      <c r="I12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7" s="240">
        <f ca="1">Tabella8[[#This Row],[Colonna7]]*Tabella8[[#This Row],[Colonna4]]/100</f>
        <v>12379.639096384628</v>
      </c>
      <c r="Q127" s="2"/>
      <c r="R127" s="4">
        <f>R126+37500</f>
        <v>97000</v>
      </c>
      <c r="S127" s="39">
        <v>9.4E-2</v>
      </c>
      <c r="T127" s="4"/>
    </row>
    <row r="128" spans="2:20">
      <c r="B128" s="92" t="s">
        <v>136</v>
      </c>
      <c r="C128" s="91" t="s">
        <v>1739</v>
      </c>
      <c r="D128" s="93">
        <v>98</v>
      </c>
      <c r="E128" s="93">
        <v>94</v>
      </c>
      <c r="F128" s="103">
        <f>IFERROR(INDEX(Tabella9[PLZ],MATCH(Tabella8[[#This Row],[Colonna2]],Tabella9[Ortschaftsname],0)), "Name not found")</f>
        <v>8606</v>
      </c>
      <c r="G128" s="103"/>
      <c r="H128" s="240">
        <f ca="1">SUMIF(Tabella2[[#Headers],[#Data],[Age]],$H$76,Tabella2[[#Headers],[#Data],[Federal taxes]])</f>
        <v>6804.3246087429152</v>
      </c>
      <c r="I12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8" s="240">
        <f ca="1">Tabella8[[#This Row],[Colonna7]]*Tabella8[[#This Row],[Colonna4]]/100</f>
        <v>9946.034829573975</v>
      </c>
      <c r="Q128" s="2"/>
      <c r="R128" s="4">
        <f>R127+163800</f>
        <v>260800</v>
      </c>
      <c r="S128" s="39">
        <v>8.5000000000000006E-2</v>
      </c>
      <c r="T128" s="4"/>
    </row>
    <row r="129" spans="2:21">
      <c r="B129" s="92" t="s">
        <v>136</v>
      </c>
      <c r="C129" s="91" t="s">
        <v>1767</v>
      </c>
      <c r="D129" s="93">
        <v>98</v>
      </c>
      <c r="E129" s="93">
        <v>113</v>
      </c>
      <c r="F129" s="103">
        <f>IFERROR(INDEX(Tabella9[PLZ],MATCH(Tabella8[[#This Row],[Colonna2]],Tabella9[Ortschaftsname],0)), "Name not found")</f>
        <v>8627</v>
      </c>
      <c r="G129" s="103"/>
      <c r="H129" s="240">
        <f ca="1">SUMIF(Tabella2[[#Headers],[#Data],[Age]],$H$76,Tabella2[[#Headers],[#Data],[Federal taxes]])</f>
        <v>6804.3246087429152</v>
      </c>
      <c r="I12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29" s="240">
        <f ca="1">Tabella8[[#This Row],[Colonna7]]*Tabella8[[#This Row],[Colonna4]]/100</f>
        <v>11956.403571721905</v>
      </c>
      <c r="Q129" s="2"/>
      <c r="R129" s="4"/>
      <c r="S129" s="4"/>
      <c r="T129" s="4"/>
    </row>
    <row r="130" spans="2:21">
      <c r="B130" s="92" t="s">
        <v>136</v>
      </c>
      <c r="C130" s="91" t="s">
        <v>1805</v>
      </c>
      <c r="D130" s="93">
        <v>98</v>
      </c>
      <c r="E130" s="93">
        <v>118</v>
      </c>
      <c r="F130" s="103">
        <v>8523</v>
      </c>
      <c r="G130" s="103"/>
      <c r="H130" s="240">
        <f ca="1">SUMIF(Tabella2[[#Headers],[#Data],[Age]],$H$76,Tabella2[[#Headers],[#Data],[Federal taxes]])</f>
        <v>6804.3246087429152</v>
      </c>
      <c r="I13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0" s="240">
        <f ca="1">Tabella8[[#This Row],[Colonna7]]*Tabella8[[#This Row],[Colonna4]]/100</f>
        <v>12485.44797755031</v>
      </c>
      <c r="Q130" s="2"/>
      <c r="R130" s="4"/>
      <c r="S130" s="4"/>
      <c r="T130" s="4"/>
    </row>
    <row r="131" spans="2:21">
      <c r="B131" s="92" t="s">
        <v>136</v>
      </c>
      <c r="C131" s="91" t="s">
        <v>1762</v>
      </c>
      <c r="D131" s="93">
        <v>98</v>
      </c>
      <c r="E131" s="93">
        <v>112</v>
      </c>
      <c r="F131" s="103">
        <f>IFERROR(INDEX(Tabella9[PLZ],MATCH(Tabella8[[#This Row],[Colonna2]],Tabella9[Ortschaftsname],0)), "Name not found")</f>
        <v>8915</v>
      </c>
      <c r="G131" s="103"/>
      <c r="H131" s="240">
        <f ca="1">SUMIF(Tabella2[[#Headers],[#Data],[Age]],$H$76,Tabella2[[#Headers],[#Data],[Federal taxes]])</f>
        <v>6804.3246087429152</v>
      </c>
      <c r="I13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1" s="240">
        <f ca="1">Tabella8[[#This Row],[Colonna7]]*Tabella8[[#This Row],[Colonna4]]/100</f>
        <v>11850.594690556223</v>
      </c>
      <c r="Q131" s="2"/>
      <c r="R131" s="4"/>
      <c r="S131" s="4"/>
      <c r="T131" s="4"/>
    </row>
    <row r="132" spans="2:21">
      <c r="B132" s="92" t="s">
        <v>136</v>
      </c>
      <c r="C132" s="91" t="s">
        <v>1761</v>
      </c>
      <c r="D132" s="93">
        <v>98</v>
      </c>
      <c r="E132" s="93">
        <v>100</v>
      </c>
      <c r="F132" s="103">
        <f>IFERROR(INDEX(Tabella9[PLZ],MATCH(Tabella8[[#This Row],[Colonna2]],Tabella9[Ortschaftsname],0)), "Name not found")</f>
        <v>8908</v>
      </c>
      <c r="G132" s="103"/>
      <c r="H132" s="240">
        <f ca="1">SUMIF(Tabella2[[#Headers],[#Data],[Age]],$H$76,Tabella2[[#Headers],[#Data],[Federal taxes]])</f>
        <v>6804.3246087429152</v>
      </c>
      <c r="I13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2" s="240">
        <f ca="1">Tabella8[[#This Row],[Colonna7]]*Tabella8[[#This Row],[Colonna4]]/100</f>
        <v>10580.888116568058</v>
      </c>
      <c r="Q132" s="2"/>
      <c r="R132" s="4"/>
      <c r="S132" s="4"/>
      <c r="T132" s="4"/>
    </row>
    <row r="133" spans="2:21">
      <c r="B133" s="92" t="s">
        <v>136</v>
      </c>
      <c r="C133" s="91" t="s">
        <v>1781</v>
      </c>
      <c r="D133" s="93">
        <v>98</v>
      </c>
      <c r="E133" s="93">
        <v>102</v>
      </c>
      <c r="F133" s="103">
        <f>IFERROR(INDEX(Tabella9[PLZ],MATCH(Tabella8[[#This Row],[Colonna2]],Tabella9[Ortschaftsname],0)), "Name not found")</f>
        <v>8444</v>
      </c>
      <c r="G133" s="103"/>
      <c r="H133" s="240">
        <f ca="1">SUMIF(Tabella2[[#Headers],[#Data],[Age]],$H$76,Tabella2[[#Headers],[#Data],[Federal taxes]])</f>
        <v>6804.3246087429152</v>
      </c>
      <c r="I13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3" s="240">
        <f ca="1">Tabella8[[#This Row],[Colonna7]]*Tabella8[[#This Row],[Colonna4]]/100</f>
        <v>10792.505878899419</v>
      </c>
      <c r="Q133" s="2"/>
      <c r="R133" s="4"/>
      <c r="S133" s="4"/>
      <c r="T133" s="4"/>
    </row>
    <row r="134" spans="2:21">
      <c r="B134" s="92" t="s">
        <v>136</v>
      </c>
      <c r="C134" s="91" t="s">
        <v>1728</v>
      </c>
      <c r="D134" s="93">
        <v>98</v>
      </c>
      <c r="E134" s="93">
        <v>75</v>
      </c>
      <c r="F134" s="103">
        <f>IFERROR(INDEX(Tabella9[PLZ],MATCH(Tabella8[[#This Row],[Colonna2]],Tabella9[Ortschaftsname],0)), "Name not found")</f>
        <v>8704</v>
      </c>
      <c r="G134" s="103"/>
      <c r="H134" s="240">
        <f ca="1">SUMIF(Tabella2[[#Headers],[#Data],[Age]],$H$76,Tabella2[[#Headers],[#Data],[Federal taxes]])</f>
        <v>6804.3246087429152</v>
      </c>
      <c r="I13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4" s="240">
        <f ca="1">Tabella8[[#This Row],[Colonna7]]*Tabella8[[#This Row],[Colonna4]]/100</f>
        <v>7935.6660874260442</v>
      </c>
      <c r="Q134" s="2"/>
      <c r="R134" s="46"/>
      <c r="S134" s="46"/>
      <c r="T134" s="46"/>
    </row>
    <row r="135" spans="2:21">
      <c r="B135" s="92" t="s">
        <v>136</v>
      </c>
      <c r="C135" s="91" t="s">
        <v>1769</v>
      </c>
      <c r="D135" s="93">
        <v>98</v>
      </c>
      <c r="E135" s="93">
        <v>96</v>
      </c>
      <c r="F135" s="103">
        <f>IFERROR(INDEX(Tabella9[PLZ],MATCH(Tabella8[[#This Row],[Colonna2]],Tabella9[Ortschaftsname],0)), "Name not found")</f>
        <v>8442</v>
      </c>
      <c r="G135" s="103"/>
      <c r="H135" s="240">
        <f ca="1">SUMIF(Tabella2[[#Headers],[#Data],[Age]],$H$76,Tabella2[[#Headers],[#Data],[Federal taxes]])</f>
        <v>6804.3246087429152</v>
      </c>
      <c r="I13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5" s="240">
        <f ca="1">Tabella8[[#This Row],[Colonna7]]*Tabella8[[#This Row],[Colonna4]]/100</f>
        <v>10157.652591905335</v>
      </c>
      <c r="Q135" s="2"/>
      <c r="R135" s="46"/>
      <c r="S135" s="46"/>
      <c r="T135" s="46"/>
    </row>
    <row r="136" spans="2:21">
      <c r="B136" s="92" t="s">
        <v>136</v>
      </c>
      <c r="C136" s="91" t="s">
        <v>1703</v>
      </c>
      <c r="D136" s="93">
        <v>98</v>
      </c>
      <c r="E136" s="93">
        <v>112</v>
      </c>
      <c r="F136" s="103">
        <f>IFERROR(INDEX(Tabella9[PLZ],MATCH(Tabella8[[#This Row],[Colonna2]],Tabella9[Ortschaftsname],0)), "Name not found")</f>
        <v>8340</v>
      </c>
      <c r="G136" s="103"/>
      <c r="H136" s="240">
        <f ca="1">SUMIF(Tabella2[[#Headers],[#Data],[Age]],$H$76,Tabella2[[#Headers],[#Data],[Federal taxes]])</f>
        <v>6804.3246087429152</v>
      </c>
      <c r="I13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6" s="240">
        <f ca="1">Tabella8[[#This Row],[Colonna7]]*Tabella8[[#This Row],[Colonna4]]/100</f>
        <v>11850.594690556223</v>
      </c>
      <c r="Q136" s="2"/>
      <c r="R136" s="46"/>
      <c r="S136" s="46"/>
      <c r="T136" s="46"/>
    </row>
    <row r="137" spans="2:21">
      <c r="B137" s="92" t="s">
        <v>136</v>
      </c>
      <c r="C137" s="91" t="s">
        <v>1764</v>
      </c>
      <c r="D137" s="93">
        <v>98</v>
      </c>
      <c r="E137" s="93">
        <v>113</v>
      </c>
      <c r="F137" s="103">
        <f>IFERROR(INDEX(Tabella9[PLZ],MATCH(Tabella8[[#This Row],[Colonna2]],Tabella9[Ortschaftsname],0)), "Name not found")</f>
        <v>8335</v>
      </c>
      <c r="G137" s="103"/>
      <c r="H137" s="240">
        <f ca="1">SUMIF(Tabella2[[#Headers],[#Data],[Age]],$H$76,Tabella2[[#Headers],[#Data],[Federal taxes]])</f>
        <v>6804.3246087429152</v>
      </c>
      <c r="I13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7" s="240">
        <f ca="1">Tabella8[[#This Row],[Colonna7]]*Tabella8[[#This Row],[Colonna4]]/100</f>
        <v>11956.403571721905</v>
      </c>
      <c r="Q137" s="2"/>
      <c r="R137" s="36">
        <f>IF(Q121&lt;$R$123,Q121*S122,IF(Q121&lt;$R$124,Q$121*$S$123, IF(Q121&lt;$R$125,Q121*$S$124,IF(Q121&lt;$R$126,Q121*$S$125,IF(Q121&lt;$R$127,Q121*$S$126,IF(Q121&lt;$R$128,Q121*$S$127,IF(Q121&gt;$R$128,Q121*$S$128)))))))</f>
        <v>9400</v>
      </c>
      <c r="S137" s="2"/>
      <c r="T137" s="2"/>
    </row>
    <row r="138" spans="2:21">
      <c r="B138" s="92" t="s">
        <v>136</v>
      </c>
      <c r="C138" s="91" t="s">
        <v>1789</v>
      </c>
      <c r="D138" s="93">
        <v>98</v>
      </c>
      <c r="E138" s="93">
        <v>116</v>
      </c>
      <c r="F138" s="103">
        <f>IFERROR(INDEX(Tabella9[PLZ],MATCH(Tabella8[[#This Row],[Colonna2]],Tabella9[Ortschaftsname],0)), "Name not found")</f>
        <v>8182</v>
      </c>
      <c r="G138" s="103"/>
      <c r="H138" s="240">
        <f ca="1">SUMIF(Tabella2[[#Headers],[#Data],[Age]],$H$76,Tabella2[[#Headers],[#Data],[Federal taxes]])</f>
        <v>6804.3246087429152</v>
      </c>
      <c r="I13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8" s="240">
        <f ca="1">Tabella8[[#This Row],[Colonna7]]*Tabella8[[#This Row],[Colonna4]]/100</f>
        <v>12273.830215218948</v>
      </c>
    </row>
    <row r="139" spans="2:21">
      <c r="B139" s="92" t="s">
        <v>136</v>
      </c>
      <c r="C139" s="91" t="s">
        <v>1711</v>
      </c>
      <c r="D139" s="93">
        <v>98</v>
      </c>
      <c r="E139" s="93">
        <v>113</v>
      </c>
      <c r="F139" s="103">
        <f>IFERROR(INDEX(Tabella9[PLZ],MATCH(Tabella8[[#This Row],[Colonna2]],Tabella9[Ortschaftsname],0)), "Name not found")</f>
        <v>8634</v>
      </c>
      <c r="G139" s="103"/>
      <c r="H139" s="240">
        <f ca="1">SUMIF(Tabella2[[#Headers],[#Data],[Age]],$H$76,Tabella2[[#Headers],[#Data],[Federal taxes]])</f>
        <v>6804.3246087429152</v>
      </c>
      <c r="I13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39" s="240">
        <f ca="1">Tabella8[[#This Row],[Colonna7]]*Tabella8[[#This Row],[Colonna4]]/100</f>
        <v>11956.403571721905</v>
      </c>
      <c r="Q139" s="68" t="s">
        <v>2526</v>
      </c>
      <c r="R139" s="21" t="s">
        <v>82</v>
      </c>
      <c r="S139" s="21" t="s">
        <v>2511</v>
      </c>
      <c r="T139" s="21" t="s">
        <v>90</v>
      </c>
      <c r="U139" t="s">
        <v>4912</v>
      </c>
    </row>
    <row r="140" spans="2:21">
      <c r="B140" s="92" t="s">
        <v>136</v>
      </c>
      <c r="C140" s="91" t="s">
        <v>1683</v>
      </c>
      <c r="D140" s="93">
        <v>98</v>
      </c>
      <c r="E140" s="93">
        <v>90</v>
      </c>
      <c r="F140" s="103">
        <f>IFERROR(INDEX(Tabella9[PLZ],MATCH(Tabella8[[#This Row],[Colonna2]],Tabella9[Ortschaftsname],0)), "Name not found")</f>
        <v>8810</v>
      </c>
      <c r="G140" s="103"/>
      <c r="H140" s="240">
        <f ca="1">SUMIF(Tabella2[[#Headers],[#Data],[Age]],$H$76,Tabella2[[#Headers],[#Data],[Federal taxes]])</f>
        <v>6804.3246087429152</v>
      </c>
      <c r="I14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0" s="240">
        <f ca="1">Tabella8[[#This Row],[Colonna7]]*Tabella8[[#This Row],[Colonna4]]/100</f>
        <v>9522.799304911252</v>
      </c>
      <c r="Q140" s="94">
        <v>100000</v>
      </c>
      <c r="R140" s="11" t="s">
        <v>2512</v>
      </c>
      <c r="S140" s="11" t="s">
        <v>2513</v>
      </c>
      <c r="T140" s="11" t="s">
        <v>2514</v>
      </c>
    </row>
    <row r="141" spans="2:21">
      <c r="B141" s="92" t="s">
        <v>136</v>
      </c>
      <c r="C141" s="91" t="s">
        <v>1772</v>
      </c>
      <c r="D141" s="93">
        <v>98</v>
      </c>
      <c r="E141" s="93">
        <v>110</v>
      </c>
      <c r="F141" s="103">
        <f>IFERROR(INDEX(Tabella9[PLZ],MATCH(Tabella8[[#This Row],[Colonna2]],Tabella9[Ortschaftsname],0)), "Name not found")</f>
        <v>8181</v>
      </c>
      <c r="G141" s="103"/>
      <c r="H141" s="240">
        <f ca="1">SUMIF(Tabella2[[#Headers],[#Data],[Age]],$H$76,Tabella2[[#Headers],[#Data],[Federal taxes]])</f>
        <v>6804.3246087429152</v>
      </c>
      <c r="I14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1" s="240">
        <f ca="1">Tabella8[[#This Row],[Colonna7]]*Tabella8[[#This Row],[Colonna4]]/100</f>
        <v>11638.976928224864</v>
      </c>
      <c r="Q141" s="26"/>
      <c r="R141" s="4">
        <v>0</v>
      </c>
      <c r="S141" s="4">
        <v>0</v>
      </c>
      <c r="T141" s="4">
        <v>0.5</v>
      </c>
    </row>
    <row r="142" spans="2:21">
      <c r="B142" s="92" t="s">
        <v>136</v>
      </c>
      <c r="C142" s="91" t="s">
        <v>1809</v>
      </c>
      <c r="D142" s="93">
        <v>98</v>
      </c>
      <c r="E142" s="93">
        <v>108</v>
      </c>
      <c r="F142" s="103">
        <f>IFERROR(INDEX(Tabella9[PLZ],MATCH(Tabella8[[#This Row],[Colonna2]],Tabella9[Ortschaftsname],0)), "Name not found")</f>
        <v>8194</v>
      </c>
      <c r="G142" s="103"/>
      <c r="H142" s="240">
        <f ca="1">SUMIF(Tabella2[[#Headers],[#Data],[Age]],$H$76,Tabella2[[#Headers],[#Data],[Federal taxes]])</f>
        <v>6804.3246087429152</v>
      </c>
      <c r="I14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2" s="240">
        <f ca="1">Tabella8[[#This Row],[Colonna7]]*Tabella8[[#This Row],[Colonna4]]/100</f>
        <v>11427.359165893502</v>
      </c>
      <c r="Q142" s="2"/>
      <c r="R142" s="4">
        <v>1100</v>
      </c>
      <c r="S142" s="4">
        <v>6</v>
      </c>
      <c r="T142" s="4">
        <v>1</v>
      </c>
    </row>
    <row r="143" spans="2:21">
      <c r="B143" s="92" t="s">
        <v>136</v>
      </c>
      <c r="C143" s="91" t="s">
        <v>1813</v>
      </c>
      <c r="D143" s="93">
        <v>98</v>
      </c>
      <c r="E143" s="93">
        <v>115</v>
      </c>
      <c r="F143" s="103">
        <f>IFERROR(INDEX(Tabella9[PLZ],MATCH(Tabella8[[#This Row],[Colonna2]],Tabella9[Ortschaftsname],0)), "Name not found")</f>
        <v>8115</v>
      </c>
      <c r="G143" s="103"/>
      <c r="H143" s="240">
        <f ca="1">SUMIF(Tabella2[[#Headers],[#Data],[Age]],$H$76,Tabella2[[#Headers],[#Data],[Federal taxes]])</f>
        <v>6804.3246087429152</v>
      </c>
      <c r="I14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3" s="240">
        <f ca="1">Tabella8[[#This Row],[Colonna7]]*Tabella8[[#This Row],[Colonna4]]/100</f>
        <v>12168.021334053266</v>
      </c>
      <c r="Q143" s="2"/>
      <c r="R143" s="4">
        <v>3300</v>
      </c>
      <c r="S143" s="4">
        <v>28</v>
      </c>
      <c r="T143" s="4">
        <v>2</v>
      </c>
    </row>
    <row r="144" spans="2:21">
      <c r="B144" s="92" t="s">
        <v>136</v>
      </c>
      <c r="C144" s="91" t="s">
        <v>1692</v>
      </c>
      <c r="D144" s="93">
        <v>98</v>
      </c>
      <c r="E144" s="93">
        <v>110</v>
      </c>
      <c r="F144" s="103">
        <v>8307</v>
      </c>
      <c r="G144" s="103"/>
      <c r="H144" s="240">
        <f ca="1">SUMIF(Tabella2[[#Headers],[#Data],[Age]],$H$76,Tabella2[[#Headers],[#Data],[Federal taxes]])</f>
        <v>6804.3246087429152</v>
      </c>
      <c r="I14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4" s="240">
        <f ca="1">Tabella8[[#This Row],[Colonna7]]*Tabella8[[#This Row],[Colonna4]]/100</f>
        <v>11638.976928224864</v>
      </c>
      <c r="Q144" s="2"/>
      <c r="R144" s="4">
        <v>6100</v>
      </c>
      <c r="S144" s="4">
        <v>84</v>
      </c>
      <c r="T144" s="4">
        <v>3</v>
      </c>
    </row>
    <row r="145" spans="2:21">
      <c r="B145" s="92" t="s">
        <v>136</v>
      </c>
      <c r="C145" s="91" t="s">
        <v>1804</v>
      </c>
      <c r="D145" s="93">
        <v>98</v>
      </c>
      <c r="E145" s="93">
        <v>102</v>
      </c>
      <c r="F145" s="103">
        <f>IFERROR(INDEX(Tabella9[PLZ],MATCH(Tabella8[[#This Row],[Colonna2]],Tabella9[Ortschaftsname],0)), "Name not found")</f>
        <v>8926</v>
      </c>
      <c r="G145" s="103"/>
      <c r="H145" s="240">
        <f ca="1">SUMIF(Tabella2[[#Headers],[#Data],[Age]],$H$76,Tabella2[[#Headers],[#Data],[Federal taxes]])</f>
        <v>6804.3246087429152</v>
      </c>
      <c r="I14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5" s="240">
        <f ca="1">Tabella8[[#This Row],[Colonna7]]*Tabella8[[#This Row],[Colonna4]]/100</f>
        <v>10792.505878899419</v>
      </c>
      <c r="Q145" s="2"/>
      <c r="R145" s="4">
        <v>10000</v>
      </c>
      <c r="S145" s="4">
        <v>201</v>
      </c>
      <c r="T145" s="4">
        <v>3.25</v>
      </c>
      <c r="U145" t="s">
        <v>4913</v>
      </c>
    </row>
    <row r="146" spans="2:21">
      <c r="B146" s="92" t="s">
        <v>136</v>
      </c>
      <c r="C146" s="91" t="s">
        <v>1713</v>
      </c>
      <c r="D146" s="93">
        <v>98</v>
      </c>
      <c r="E146" s="93">
        <v>72</v>
      </c>
      <c r="F146" s="103">
        <v>8802</v>
      </c>
      <c r="G146" s="103"/>
      <c r="H146" s="240">
        <f ca="1">SUMIF(Tabella2[[#Headers],[#Data],[Age]],$H$76,Tabella2[[#Headers],[#Data],[Federal taxes]])</f>
        <v>6804.3246087429152</v>
      </c>
      <c r="I14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6" s="240">
        <f ca="1">Tabella8[[#This Row],[Colonna7]]*Tabella8[[#This Row],[Colonna4]]/100</f>
        <v>7618.2394439290019</v>
      </c>
      <c r="Q146" s="2"/>
      <c r="R146" s="4">
        <v>15100</v>
      </c>
      <c r="S146" s="4">
        <v>366</v>
      </c>
      <c r="T146" s="4">
        <v>3.5</v>
      </c>
    </row>
    <row r="147" spans="2:21">
      <c r="B147" s="92" t="s">
        <v>136</v>
      </c>
      <c r="C147" s="91" t="s">
        <v>1783</v>
      </c>
      <c r="D147" s="93">
        <v>98</v>
      </c>
      <c r="E147" s="93">
        <v>112</v>
      </c>
      <c r="F147" s="103">
        <f>IFERROR(INDEX(Tabella9[PLZ],MATCH(Tabella8[[#This Row],[Colonna2]],Tabella9[Ortschaftsname],0)), "Name not found")</f>
        <v>8451</v>
      </c>
      <c r="G147" s="103"/>
      <c r="H147" s="240">
        <f ca="1">SUMIF(Tabella2[[#Headers],[#Data],[Age]],$H$76,Tabella2[[#Headers],[#Data],[Federal taxes]])</f>
        <v>6804.3246087429152</v>
      </c>
      <c r="I14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7" s="240">
        <f ca="1">Tabella8[[#This Row],[Colonna7]]*Tabella8[[#This Row],[Colonna4]]/100</f>
        <v>11850.594690556223</v>
      </c>
      <c r="Q147" s="2"/>
      <c r="R147" s="4">
        <v>20800</v>
      </c>
      <c r="S147" s="4">
        <v>566</v>
      </c>
      <c r="T147" s="4">
        <v>4</v>
      </c>
    </row>
    <row r="148" spans="2:21">
      <c r="B148" s="92" t="s">
        <v>136</v>
      </c>
      <c r="C148" s="91" t="s">
        <v>1686</v>
      </c>
      <c r="D148" s="93">
        <v>98</v>
      </c>
      <c r="E148" s="93">
        <v>103</v>
      </c>
      <c r="F148" s="103">
        <f>IFERROR(INDEX(Tabella9[PLZ],MATCH(Tabella8[[#This Row],[Colonna2]],Tabella9[Ortschaftsname],0)), "Name not found")</f>
        <v>8302</v>
      </c>
      <c r="G148" s="103"/>
      <c r="H148" s="240">
        <f ca="1">SUMIF(Tabella2[[#Headers],[#Data],[Age]],$H$76,Tabella2[[#Headers],[#Data],[Federal taxes]])</f>
        <v>6804.3246087429152</v>
      </c>
      <c r="I14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8" s="240">
        <f ca="1">Tabella8[[#This Row],[Colonna7]]*Tabella8[[#This Row],[Colonna4]]/100</f>
        <v>10898.314760065099</v>
      </c>
      <c r="Q148" s="2"/>
      <c r="R148" s="4">
        <v>26500</v>
      </c>
      <c r="S148" s="4">
        <v>794</v>
      </c>
      <c r="T148" s="4">
        <v>4.5</v>
      </c>
    </row>
    <row r="149" spans="2:21">
      <c r="B149" s="92" t="s">
        <v>136</v>
      </c>
      <c r="C149" s="91" t="s">
        <v>1779</v>
      </c>
      <c r="D149" s="93">
        <v>98</v>
      </c>
      <c r="E149" s="93">
        <v>116</v>
      </c>
      <c r="F149" s="103">
        <f>IFERROR(INDEX(Tabella9[PLZ],MATCH(Tabella8[[#This Row],[Colonna2]],Tabella9[Ortschaftsname],0)), "Name not found")</f>
        <v>8934</v>
      </c>
      <c r="G149" s="103"/>
      <c r="H149" s="240">
        <f ca="1">SUMIF(Tabella2[[#Headers],[#Data],[Age]],$H$76,Tabella2[[#Headers],[#Data],[Federal taxes]])</f>
        <v>6804.3246087429152</v>
      </c>
      <c r="I14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49" s="240">
        <f ca="1">Tabella8[[#This Row],[Colonna7]]*Tabella8[[#This Row],[Colonna4]]/100</f>
        <v>12273.830215218948</v>
      </c>
      <c r="Q149" s="2"/>
      <c r="R149" s="4">
        <v>34400</v>
      </c>
      <c r="S149" s="4">
        <v>1149</v>
      </c>
      <c r="T149" s="4">
        <v>5.5</v>
      </c>
    </row>
    <row r="150" spans="2:21">
      <c r="B150" s="92" t="s">
        <v>136</v>
      </c>
      <c r="C150" s="91" t="s">
        <v>1695</v>
      </c>
      <c r="D150" s="93">
        <v>98</v>
      </c>
      <c r="E150" s="93">
        <v>73</v>
      </c>
      <c r="F150" s="103">
        <v>8700</v>
      </c>
      <c r="G150" s="103"/>
      <c r="H150" s="240">
        <f ca="1">SUMIF(Tabella2[[#Headers],[#Data],[Age]],$H$76,Tabella2[[#Headers],[#Data],[Federal taxes]])</f>
        <v>6804.3246087429152</v>
      </c>
      <c r="I15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0" s="240">
        <f ca="1">Tabella8[[#This Row],[Colonna7]]*Tabella8[[#This Row],[Colonna4]]/100</f>
        <v>7724.0483250946818</v>
      </c>
      <c r="Q150" s="2"/>
      <c r="R150" s="4">
        <v>45700</v>
      </c>
      <c r="S150" s="4">
        <v>1771</v>
      </c>
      <c r="T150" s="4">
        <v>5.5</v>
      </c>
    </row>
    <row r="151" spans="2:21">
      <c r="B151" s="92" t="s">
        <v>136</v>
      </c>
      <c r="C151" s="91" t="s">
        <v>1719</v>
      </c>
      <c r="D151" s="93">
        <v>98</v>
      </c>
      <c r="E151" s="93">
        <v>106</v>
      </c>
      <c r="F151" s="103">
        <f>IFERROR(INDEX(Tabella9[PLZ],MATCH(Tabella8[[#This Row],[Colonna2]],Tabella9[Ortschaftsname],0)), "Name not found")</f>
        <v>8135</v>
      </c>
      <c r="G151" s="103"/>
      <c r="H151" s="240">
        <f ca="1">SUMIF(Tabella2[[#Headers],[#Data],[Age]],$H$76,Tabella2[[#Headers],[#Data],[Federal taxes]])</f>
        <v>6804.3246087429152</v>
      </c>
      <c r="I15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1" s="240">
        <f ca="1">Tabella8[[#This Row],[Colonna7]]*Tabella8[[#This Row],[Colonna4]]/100</f>
        <v>11215.74140356214</v>
      </c>
      <c r="Q151" s="2"/>
      <c r="R151" s="4">
        <v>58800</v>
      </c>
      <c r="S151" s="4">
        <v>2491</v>
      </c>
      <c r="T151" s="4">
        <v>6.5</v>
      </c>
    </row>
    <row r="152" spans="2:21">
      <c r="B152" s="92" t="s">
        <v>136</v>
      </c>
      <c r="C152" s="91" t="s">
        <v>1793</v>
      </c>
      <c r="D152" s="93">
        <v>98</v>
      </c>
      <c r="E152" s="93">
        <v>104</v>
      </c>
      <c r="F152" s="103">
        <v>8248</v>
      </c>
      <c r="G152" s="103"/>
      <c r="H152" s="240">
        <f ca="1">SUMIF(Tabella2[[#Headers],[#Data],[Age]],$H$76,Tabella2[[#Headers],[#Data],[Federal taxes]])</f>
        <v>6804.3246087429152</v>
      </c>
      <c r="I15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2" s="240">
        <f ca="1">Tabella8[[#This Row],[Colonna7]]*Tabella8[[#This Row],[Colonna4]]/100</f>
        <v>11004.123641230781</v>
      </c>
      <c r="Q152" s="2"/>
      <c r="R152" s="4">
        <v>73600</v>
      </c>
      <c r="S152" s="4">
        <v>3453</v>
      </c>
      <c r="T152" s="4">
        <v>8</v>
      </c>
    </row>
    <row r="153" spans="2:21">
      <c r="B153" s="92" t="s">
        <v>136</v>
      </c>
      <c r="C153" s="91" t="s">
        <v>1733</v>
      </c>
      <c r="D153" s="93">
        <v>98</v>
      </c>
      <c r="E153" s="93">
        <v>106</v>
      </c>
      <c r="F153" s="103">
        <f>IFERROR(INDEX(Tabella9[PLZ],MATCH(Tabella8[[#This Row],[Colonna2]],Tabella9[Ortschaftsname],0)), "Name not found")</f>
        <v>8315</v>
      </c>
      <c r="G153" s="103"/>
      <c r="H153" s="240">
        <f ca="1">SUMIF(Tabella2[[#Headers],[#Data],[Age]],$H$76,Tabella2[[#Headers],[#Data],[Federal taxes]])</f>
        <v>6804.3246087429152</v>
      </c>
      <c r="I15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3" s="240">
        <f ca="1">Tabella8[[#This Row],[Colonna7]]*Tabella8[[#This Row],[Colonna4]]/100</f>
        <v>11215.74140356214</v>
      </c>
      <c r="Q153" s="2"/>
      <c r="R153" s="46">
        <v>93400</v>
      </c>
      <c r="S153" s="46">
        <v>5037</v>
      </c>
      <c r="T153" s="46">
        <v>10</v>
      </c>
    </row>
    <row r="154" spans="2:21">
      <c r="B154" s="92" t="s">
        <v>136</v>
      </c>
      <c r="C154" s="91" t="s">
        <v>1777</v>
      </c>
      <c r="D154" s="93">
        <v>98</v>
      </c>
      <c r="E154" s="93">
        <v>92</v>
      </c>
      <c r="F154" s="103">
        <f>IFERROR(INDEX(Tabella9[PLZ],MATCH(Tabella8[[#This Row],[Colonna2]],Tabella9[Ortschaftsname],0)), "Name not found")</f>
        <v>8426</v>
      </c>
      <c r="G154" s="103"/>
      <c r="H154" s="240">
        <f ca="1">SUMIF(Tabella2[[#Headers],[#Data],[Age]],$H$76,Tabella2[[#Headers],[#Data],[Federal taxes]])</f>
        <v>6804.3246087429152</v>
      </c>
      <c r="I15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4" s="240">
        <f ca="1">Tabella8[[#This Row],[Colonna7]]*Tabella8[[#This Row],[Colonna4]]/100</f>
        <v>9734.4170672426135</v>
      </c>
      <c r="Q154" s="2"/>
      <c r="R154" s="46">
        <v>118300</v>
      </c>
      <c r="S154" s="46">
        <v>7527</v>
      </c>
      <c r="T154" s="46">
        <v>9</v>
      </c>
    </row>
    <row r="155" spans="2:21">
      <c r="B155" s="92" t="s">
        <v>136</v>
      </c>
      <c r="C155" s="91" t="s">
        <v>1786</v>
      </c>
      <c r="D155" s="93">
        <v>98</v>
      </c>
      <c r="E155" s="93">
        <v>107</v>
      </c>
      <c r="F155" s="103">
        <f>IFERROR(INDEX(Tabella9[PLZ],MATCH(Tabella8[[#This Row],[Colonna2]],Tabella9[Ortschaftsname],0)), "Name not found")</f>
        <v>8460</v>
      </c>
      <c r="G155" s="103"/>
      <c r="H155" s="240">
        <f ca="1">SUMIF(Tabella2[[#Headers],[#Data],[Age]],$H$76,Tabella2[[#Headers],[#Data],[Federal taxes]])</f>
        <v>6804.3246087429152</v>
      </c>
      <c r="I15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5" s="240">
        <f ca="1">Tabella8[[#This Row],[Colonna7]]*Tabella8[[#This Row],[Colonna4]]/100</f>
        <v>11321.55028472782</v>
      </c>
      <c r="Q155" s="2"/>
      <c r="R155" s="46">
        <v>147700</v>
      </c>
      <c r="S155" s="46">
        <v>10173</v>
      </c>
      <c r="T155" s="46">
        <v>8</v>
      </c>
    </row>
    <row r="156" spans="2:21">
      <c r="B156" s="92" t="s">
        <v>136</v>
      </c>
      <c r="C156" s="91" t="s">
        <v>2527</v>
      </c>
      <c r="D156" s="93">
        <v>98</v>
      </c>
      <c r="E156" s="93">
        <v>130</v>
      </c>
      <c r="F156" s="103">
        <f>IFERROR(INDEX(Tabella9[PLZ],MATCH(Tabella8[[#This Row],[Colonna2]],Tabella9[Ortschaftsname],0)), "Name not found")</f>
        <v>8933</v>
      </c>
      <c r="G156" s="103"/>
      <c r="H156" s="240">
        <f ca="1">SUMIF(Tabella2[[#Headers],[#Data],[Age]],$H$76,Tabella2[[#Headers],[#Data],[Federal taxes]])</f>
        <v>6804.3246087429152</v>
      </c>
      <c r="I15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6" s="240">
        <f ca="1">Tabella8[[#This Row],[Colonna7]]*Tabella8[[#This Row],[Colonna4]]/100</f>
        <v>13755.154551538475</v>
      </c>
      <c r="Q156" s="2"/>
      <c r="R156" s="36">
        <f>IF(Q140&lt;$R$142,$S$141+((Q140-$R$141)/100)*$T$141, IF(Q140&lt;$R$143,S142+((Q140-$R$142)/100)*$T$142, IF(Q140&lt;$R$144,$S$143+((Q140-$R$143)/100)*$T$143, IF(Q140&lt;$R$145,$S$144+((Q140-$R$144)/100)*$T$144, IF(Q140&lt;$R$146,$S$145+((Q140-$R$145)/100)*$T$145,IF(Q140&lt;$R$147,$S$146+((Q140-$R$146)/100)*$T$146,IF(Q140&lt;$R$148,$S$147+((Q140-$R$147)/100)*$T$147,IF(Q140&lt;$R$149,$S$148+((Q140-$R$148)/100)*$T$148,IF(Q140&lt;$R$150,$S$149+((Q140-$R$149)/100)*$T$149,IF(Q140&lt;$R$151,$S$150+((Q140-$R$150)/100)*$T$150,IF(Q140&lt;$R$152,$S$151+((Q140-$R$151)/100)*$T$151,IF(Q140&lt;$R$153,$S$152+((Q140-$R$152)/100)*$T$152,IF(Q140&lt;$R$154,$S$153+((Q140-$R$153)/100)*$T$153,IF(Q140&lt;$R$155,$S$154+((Q140-$R$154)/100)*$T$154, IF(Q140&gt;=$R$155,$S$155+((Q140-$R$155)/100)*$T$155)))))))))))))))</f>
        <v>5697</v>
      </c>
      <c r="S156" s="2"/>
      <c r="T156" s="2"/>
    </row>
    <row r="157" spans="2:21">
      <c r="B157" s="92" t="s">
        <v>136</v>
      </c>
      <c r="C157" s="91" t="s">
        <v>1705</v>
      </c>
      <c r="D157" s="93">
        <v>98</v>
      </c>
      <c r="E157" s="93">
        <v>85</v>
      </c>
      <c r="F157" s="103">
        <f>IFERROR(INDEX(Tabella9[PLZ],MATCH(Tabella8[[#This Row],[Colonna2]],Tabella9[Ortschaftsname],0)), "Name not found")</f>
        <v>8124</v>
      </c>
      <c r="G157" s="103"/>
      <c r="H157" s="240">
        <f ca="1">SUMIF(Tabella2[[#Headers],[#Data],[Age]],$H$76,Tabella2[[#Headers],[#Data],[Federal taxes]])</f>
        <v>6804.3246087429152</v>
      </c>
      <c r="I15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7" s="240">
        <f ca="1">Tabella8[[#This Row],[Colonna7]]*Tabella8[[#This Row],[Colonna4]]/100</f>
        <v>8993.7548990828491</v>
      </c>
    </row>
    <row r="158" spans="2:21">
      <c r="B158" s="92" t="s">
        <v>136</v>
      </c>
      <c r="C158" s="91" t="s">
        <v>1696</v>
      </c>
      <c r="D158" s="93">
        <v>98</v>
      </c>
      <c r="E158" s="93">
        <v>79</v>
      </c>
      <c r="F158" s="103">
        <f>IFERROR(INDEX(Tabella9[PLZ],MATCH(Tabella8[[#This Row],[Colonna2]],Tabella9[Ortschaftsname],0)), "Name not found")</f>
        <v>8706</v>
      </c>
      <c r="G158" s="103"/>
      <c r="H158" s="240">
        <f ca="1">SUMIF(Tabella2[[#Headers],[#Data],[Age]],$H$76,Tabella2[[#Headers],[#Data],[Federal taxes]])</f>
        <v>6804.3246087429152</v>
      </c>
      <c r="I15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8" s="240">
        <f ca="1">Tabella8[[#This Row],[Colonna7]]*Tabella8[[#This Row],[Colonna4]]/100</f>
        <v>8358.9016120887645</v>
      </c>
      <c r="Q158" s="68" t="s">
        <v>2528</v>
      </c>
      <c r="R158" s="21" t="s">
        <v>82</v>
      </c>
      <c r="S158" s="21" t="s">
        <v>2511</v>
      </c>
      <c r="T158" s="21" t="s">
        <v>90</v>
      </c>
    </row>
    <row r="159" spans="2:21">
      <c r="B159" s="92" t="s">
        <v>136</v>
      </c>
      <c r="C159" s="91" t="s">
        <v>1747</v>
      </c>
      <c r="D159" s="93">
        <v>98</v>
      </c>
      <c r="E159" s="93">
        <v>98</v>
      </c>
      <c r="F159" s="103">
        <f>IFERROR(INDEX(Tabella9[PLZ],MATCH(Tabella8[[#This Row],[Colonna2]],Tabella9[Ortschaftsname],0)), "Name not found")</f>
        <v>8932</v>
      </c>
      <c r="G159" s="103"/>
      <c r="H159" s="240">
        <f ca="1">SUMIF(Tabella2[[#Headers],[#Data],[Age]],$H$76,Tabella2[[#Headers],[#Data],[Federal taxes]])</f>
        <v>6804.3246087429152</v>
      </c>
      <c r="I15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59" s="240">
        <f ca="1">Tabella8[[#This Row],[Colonna7]]*Tabella8[[#This Row],[Colonna4]]/100</f>
        <v>10369.270354236696</v>
      </c>
      <c r="Q159" s="94">
        <v>100000</v>
      </c>
      <c r="R159" s="11" t="s">
        <v>2512</v>
      </c>
      <c r="S159" s="11" t="s">
        <v>2525</v>
      </c>
      <c r="T159" s="11"/>
    </row>
    <row r="160" spans="2:21">
      <c r="B160" s="92" t="s">
        <v>136</v>
      </c>
      <c r="C160" s="91" t="s">
        <v>1704</v>
      </c>
      <c r="D160" s="93">
        <v>98</v>
      </c>
      <c r="E160" s="93">
        <v>93</v>
      </c>
      <c r="F160" s="103">
        <f>IFERROR(INDEX(Tabella9[PLZ],MATCH(Tabella8[[#This Row],[Colonna2]],Tabella9[Ortschaftsname],0)), "Name not found")</f>
        <v>8708</v>
      </c>
      <c r="G160" s="103"/>
      <c r="H160" s="240">
        <f ca="1">SUMIF(Tabella2[[#Headers],[#Data],[Age]],$H$76,Tabella2[[#Headers],[#Data],[Federal taxes]])</f>
        <v>6804.3246087429152</v>
      </c>
      <c r="I16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0" s="240">
        <f ca="1">Tabella8[[#This Row],[Colonna7]]*Tabella8[[#This Row],[Colonna4]]/100</f>
        <v>9840.2259484082933</v>
      </c>
      <c r="Q160" s="26"/>
      <c r="R160" s="4">
        <v>0</v>
      </c>
      <c r="S160" s="39">
        <v>1.95E-2</v>
      </c>
      <c r="T160" s="4"/>
    </row>
    <row r="161" spans="2:20">
      <c r="B161" s="92" t="s">
        <v>136</v>
      </c>
      <c r="C161" s="91" t="s">
        <v>1759</v>
      </c>
      <c r="D161" s="93">
        <v>98</v>
      </c>
      <c r="E161" s="93">
        <v>108</v>
      </c>
      <c r="F161" s="103">
        <f>IFERROR(INDEX(Tabella9[PLZ],MATCH(Tabella8[[#This Row],[Colonna2]],Tabella9[Ortschaftsname],0)), "Name not found")</f>
        <v>8617</v>
      </c>
      <c r="G161" s="103"/>
      <c r="H161" s="240">
        <f ca="1">SUMIF(Tabella2[[#Headers],[#Data],[Age]],$H$76,Tabella2[[#Headers],[#Data],[Federal taxes]])</f>
        <v>6804.3246087429152</v>
      </c>
      <c r="I16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1" s="240">
        <f ca="1">Tabella8[[#This Row],[Colonna7]]*Tabella8[[#This Row],[Colonna4]]/100</f>
        <v>11427.359165893502</v>
      </c>
      <c r="Q161" s="2"/>
      <c r="R161" s="4">
        <v>3200</v>
      </c>
      <c r="S161" s="39">
        <v>2.9000000000000001E-2</v>
      </c>
      <c r="T161" s="4"/>
    </row>
    <row r="162" spans="2:20">
      <c r="B162" s="92" t="s">
        <v>136</v>
      </c>
      <c r="C162" s="91" t="s">
        <v>1770</v>
      </c>
      <c r="D162" s="93">
        <v>98</v>
      </c>
      <c r="E162" s="93">
        <v>77</v>
      </c>
      <c r="F162" s="103">
        <f>IFERROR(INDEX(Tabella9[PLZ],MATCH(Tabella8[[#This Row],[Colonna2]],Tabella9[Ortschaftsname],0)), "Name not found")</f>
        <v>8173</v>
      </c>
      <c r="G162" s="103"/>
      <c r="H162" s="240">
        <f ca="1">SUMIF(Tabella2[[#Headers],[#Data],[Age]],$H$76,Tabella2[[#Headers],[#Data],[Federal taxes]])</f>
        <v>6804.3246087429152</v>
      </c>
      <c r="I16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2" s="240">
        <f ca="1">Tabella8[[#This Row],[Colonna7]]*Tabella8[[#This Row],[Colonna4]]/100</f>
        <v>8147.2838497574048</v>
      </c>
      <c r="Q162" s="2"/>
      <c r="R162" s="4">
        <f>R161+3200</f>
        <v>6400</v>
      </c>
      <c r="S162" s="39">
        <v>3.5999999999999997E-2</v>
      </c>
      <c r="T162" s="4"/>
    </row>
    <row r="163" spans="2:20">
      <c r="B163" s="92" t="s">
        <v>136</v>
      </c>
      <c r="C163" s="91" t="s">
        <v>1736</v>
      </c>
      <c r="D163" s="93">
        <v>98</v>
      </c>
      <c r="E163" s="93">
        <v>105</v>
      </c>
      <c r="F163" s="103">
        <f>IFERROR(INDEX(Tabella9[PLZ],MATCH(Tabella8[[#This Row],[Colonna2]],Tabella9[Ortschaftsname],0)), "Name not found")</f>
        <v>8413</v>
      </c>
      <c r="G163" s="103"/>
      <c r="H163" s="240">
        <f ca="1">SUMIF(Tabella2[[#Headers],[#Data],[Age]],$H$76,Tabella2[[#Headers],[#Data],[Federal taxes]])</f>
        <v>6804.3246087429152</v>
      </c>
      <c r="I16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3" s="240">
        <f ca="1">Tabella8[[#This Row],[Colonna7]]*Tabella8[[#This Row],[Colonna4]]/100</f>
        <v>11109.932522396462</v>
      </c>
      <c r="Q163" s="2"/>
      <c r="R163" s="4">
        <f>R162+9600</f>
        <v>16000</v>
      </c>
      <c r="S163" s="39">
        <v>4.1500000000000002E-2</v>
      </c>
      <c r="T163" s="4"/>
    </row>
    <row r="164" spans="2:20">
      <c r="B164" s="92" t="s">
        <v>136</v>
      </c>
      <c r="C164" s="91" t="s">
        <v>1743</v>
      </c>
      <c r="D164" s="93">
        <v>98</v>
      </c>
      <c r="E164" s="93">
        <v>106</v>
      </c>
      <c r="F164" s="103">
        <v>8172</v>
      </c>
      <c r="G164" s="103"/>
      <c r="H164" s="240">
        <f ca="1">SUMIF(Tabella2[[#Headers],[#Data],[Age]],$H$76,Tabella2[[#Headers],[#Data],[Federal taxes]])</f>
        <v>6804.3246087429152</v>
      </c>
      <c r="I16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4" s="240">
        <f ca="1">Tabella8[[#This Row],[Colonna7]]*Tabella8[[#This Row],[Colonna4]]/100</f>
        <v>11215.74140356214</v>
      </c>
      <c r="Q164" s="2"/>
      <c r="R164" s="4">
        <f>R163+15800</f>
        <v>31800</v>
      </c>
      <c r="S164" s="39">
        <v>4.4499999999999998E-2</v>
      </c>
      <c r="T164" s="4"/>
    </row>
    <row r="165" spans="2:20">
      <c r="B165" s="92" t="s">
        <v>136</v>
      </c>
      <c r="C165" s="91" t="s">
        <v>1710</v>
      </c>
      <c r="D165" s="93">
        <v>98</v>
      </c>
      <c r="E165" s="93">
        <v>112</v>
      </c>
      <c r="F165" s="103">
        <f>IFERROR(INDEX(Tabella9[PLZ],MATCH(Tabella8[[#This Row],[Colonna2]],Tabella9[Ortschaftsname],0)), "Name not found")</f>
        <v>8155</v>
      </c>
      <c r="G165" s="103"/>
      <c r="H165" s="240">
        <f ca="1">SUMIF(Tabella2[[#Headers],[#Data],[Age]],$H$76,Tabella2[[#Headers],[#Data],[Federal taxes]])</f>
        <v>6804.3246087429152</v>
      </c>
      <c r="I16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5" s="240">
        <f ca="1">Tabella8[[#This Row],[Colonna7]]*Tabella8[[#This Row],[Colonna4]]/100</f>
        <v>11850.594690556223</v>
      </c>
      <c r="Q165" s="2"/>
      <c r="R165" s="4">
        <f>R164+26300</f>
        <v>58100</v>
      </c>
      <c r="S165" s="39">
        <v>0.05</v>
      </c>
      <c r="T165" s="4"/>
    </row>
    <row r="166" spans="2:20">
      <c r="B166" s="92" t="s">
        <v>136</v>
      </c>
      <c r="C166" s="91" t="s">
        <v>2529</v>
      </c>
      <c r="D166" s="93">
        <v>98</v>
      </c>
      <c r="E166" s="93">
        <v>102</v>
      </c>
      <c r="F166" s="103">
        <f>IFERROR(INDEX(Tabella9[PLZ],MATCH(Tabella8[[#This Row],[Colonna2]],Tabella9[Ortschaftsname],0)), "Name not found")</f>
        <v>8166</v>
      </c>
      <c r="G166" s="103"/>
      <c r="H166" s="240">
        <f ca="1">SUMIF(Tabella2[[#Headers],[#Data],[Age]],$H$76,Tabella2[[#Headers],[#Data],[Federal taxes]])</f>
        <v>6804.3246087429152</v>
      </c>
      <c r="I16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6" s="240">
        <f ca="1">Tabella8[[#This Row],[Colonna7]]*Tabella8[[#This Row],[Colonna4]]/100</f>
        <v>10792.505878899419</v>
      </c>
      <c r="Q166" s="2"/>
      <c r="R166" s="4">
        <f t="shared" ref="R166:R170" si="0">R165+26300</f>
        <v>84400</v>
      </c>
      <c r="S166" s="39">
        <v>5.6000000000000001E-2</v>
      </c>
      <c r="T166" s="4"/>
    </row>
    <row r="167" spans="2:20">
      <c r="B167" s="92" t="s">
        <v>136</v>
      </c>
      <c r="C167" s="91" t="s">
        <v>1734</v>
      </c>
      <c r="D167" s="93">
        <v>98</v>
      </c>
      <c r="E167" s="93">
        <v>90</v>
      </c>
      <c r="F167" s="103">
        <f>IFERROR(INDEX(Tabella9[PLZ],MATCH(Tabella8[[#This Row],[Colonna2]],Tabella9[Ortschaftsname],0)), "Name not found")</f>
        <v>8309</v>
      </c>
      <c r="G167" s="103"/>
      <c r="H167" s="240">
        <f ca="1">SUMIF(Tabella2[[#Headers],[#Data],[Age]],$H$76,Tabella2[[#Headers],[#Data],[Federal taxes]])</f>
        <v>6804.3246087429152</v>
      </c>
      <c r="I16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7" s="240">
        <f ca="1">Tabella8[[#This Row],[Colonna7]]*Tabella8[[#This Row],[Colonna4]]/100</f>
        <v>9522.799304911252</v>
      </c>
      <c r="Q167" s="2"/>
      <c r="R167" s="4">
        <f t="shared" si="0"/>
        <v>110700</v>
      </c>
      <c r="S167" s="39">
        <v>5.7500000000000002E-2</v>
      </c>
      <c r="T167" s="4"/>
    </row>
    <row r="168" spans="2:20">
      <c r="B168" s="92" t="s">
        <v>136</v>
      </c>
      <c r="C168" s="91" t="s">
        <v>1808</v>
      </c>
      <c r="D168" s="93">
        <v>98</v>
      </c>
      <c r="E168" s="93">
        <v>122</v>
      </c>
      <c r="F168" s="103">
        <f>IFERROR(INDEX(Tabella9[PLZ],MATCH(Tabella8[[#This Row],[Colonna2]],Tabella9[Ortschaftsname],0)), "Name not found")</f>
        <v>8425</v>
      </c>
      <c r="G168" s="103"/>
      <c r="H168" s="240">
        <f ca="1">SUMIF(Tabella2[[#Headers],[#Data],[Age]],$H$76,Tabella2[[#Headers],[#Data],[Federal taxes]])</f>
        <v>6804.3246087429152</v>
      </c>
      <c r="I16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8" s="240">
        <f ca="1">Tabella8[[#This Row],[Colonna7]]*Tabella8[[#This Row],[Colonna4]]/100</f>
        <v>12908.683502213031</v>
      </c>
      <c r="Q168" s="2"/>
      <c r="R168" s="4">
        <f t="shared" si="0"/>
        <v>137000</v>
      </c>
      <c r="S168" s="39">
        <v>5.8999999999999997E-2</v>
      </c>
      <c r="T168" s="4"/>
    </row>
    <row r="169" spans="2:20">
      <c r="B169" s="92" t="s">
        <v>136</v>
      </c>
      <c r="C169" s="91" t="s">
        <v>1723</v>
      </c>
      <c r="D169" s="93">
        <v>98</v>
      </c>
      <c r="E169" s="93">
        <v>109</v>
      </c>
      <c r="F169" s="103">
        <f>IFERROR(INDEX(Tabella9[PLZ],MATCH(Tabella8[[#This Row],[Colonna2]],Tabella9[Ortschaftsname],0)), "Name not found")</f>
        <v>8102</v>
      </c>
      <c r="G169" s="103"/>
      <c r="H169" s="240">
        <f ca="1">SUMIF(Tabella2[[#Headers],[#Data],[Age]],$H$76,Tabella2[[#Headers],[#Data],[Federal taxes]])</f>
        <v>6804.3246087429152</v>
      </c>
      <c r="I16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69" s="240">
        <f ca="1">Tabella8[[#This Row],[Colonna7]]*Tabella8[[#This Row],[Colonna4]]/100</f>
        <v>11533.168047059184</v>
      </c>
      <c r="Q169" s="2"/>
      <c r="R169" s="4">
        <f t="shared" si="0"/>
        <v>163300</v>
      </c>
      <c r="S169" s="39">
        <v>6.0499999999999998E-2</v>
      </c>
      <c r="T169" s="4"/>
    </row>
    <row r="170" spans="2:20">
      <c r="B170" s="92" t="s">
        <v>136</v>
      </c>
      <c r="C170" s="91" t="s">
        <v>1722</v>
      </c>
      <c r="D170" s="93">
        <v>98</v>
      </c>
      <c r="E170" s="93">
        <v>117</v>
      </c>
      <c r="F170" s="103">
        <v>8154</v>
      </c>
      <c r="G170" s="103"/>
      <c r="H170" s="240">
        <f ca="1">SUMIF(Tabella2[[#Headers],[#Data],[Age]],$H$76,Tabella2[[#Headers],[#Data],[Federal taxes]])</f>
        <v>6804.3246087429152</v>
      </c>
      <c r="I17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0" s="240">
        <f ca="1">Tabella8[[#This Row],[Colonna7]]*Tabella8[[#This Row],[Colonna4]]/100</f>
        <v>12379.639096384628</v>
      </c>
      <c r="Q170" s="2"/>
      <c r="R170" s="4">
        <f t="shared" si="0"/>
        <v>189600</v>
      </c>
      <c r="S170" s="39">
        <v>6.1499999999999999E-2</v>
      </c>
      <c r="T170" s="4"/>
    </row>
    <row r="171" spans="2:20">
      <c r="B171" s="92" t="s">
        <v>136</v>
      </c>
      <c r="C171" s="91" t="s">
        <v>2530</v>
      </c>
      <c r="D171" s="93">
        <v>98</v>
      </c>
      <c r="E171" s="93">
        <v>88</v>
      </c>
      <c r="F171" s="103">
        <f>IFERROR(INDEX(Tabella9[PLZ],MATCH(Tabella8[[#This Row],[Colonna2]],Tabella9[Ortschaftsname],0)), "Name not found")</f>
        <v>8942</v>
      </c>
      <c r="G171" s="103"/>
      <c r="H171" s="240">
        <f ca="1">SUMIF(Tabella2[[#Headers],[#Data],[Age]],$H$76,Tabella2[[#Headers],[#Data],[Federal taxes]])</f>
        <v>6804.3246087429152</v>
      </c>
      <c r="I17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1" s="240">
        <f ca="1">Tabella8[[#This Row],[Colonna7]]*Tabella8[[#This Row],[Colonna4]]/100</f>
        <v>9311.1815425798904</v>
      </c>
      <c r="Q171" s="2"/>
      <c r="R171" s="4">
        <f>R170+36800</f>
        <v>226400</v>
      </c>
      <c r="S171" s="39">
        <v>6.3E-2</v>
      </c>
      <c r="T171" s="4"/>
    </row>
    <row r="172" spans="2:20">
      <c r="B172" s="92" t="s">
        <v>136</v>
      </c>
      <c r="C172" s="91" t="s">
        <v>1791</v>
      </c>
      <c r="D172" s="93">
        <v>98</v>
      </c>
      <c r="E172" s="93">
        <v>96</v>
      </c>
      <c r="F172" s="103">
        <f>IFERROR(INDEX(Tabella9[PLZ],MATCH(Tabella8[[#This Row],[Colonna2]],Tabella9[Ortschaftsname],0)), "Name not found")</f>
        <v>8165</v>
      </c>
      <c r="G172" s="103"/>
      <c r="H172" s="240">
        <f ca="1">SUMIF(Tabella2[[#Headers],[#Data],[Age]],$H$76,Tabella2[[#Headers],[#Data],[Federal taxes]])</f>
        <v>6804.3246087429152</v>
      </c>
      <c r="I17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2" s="240">
        <f ca="1">Tabella8[[#This Row],[Colonna7]]*Tabella8[[#This Row],[Colonna4]]/100</f>
        <v>10157.652591905335</v>
      </c>
      <c r="Q172" s="2"/>
      <c r="R172" s="4">
        <f>R171+85000</f>
        <v>311400</v>
      </c>
      <c r="S172" s="39">
        <v>6.4000000000000001E-2</v>
      </c>
      <c r="T172" s="46"/>
    </row>
    <row r="173" spans="2:20">
      <c r="B173" s="92" t="s">
        <v>136</v>
      </c>
      <c r="C173" s="91" t="s">
        <v>1738</v>
      </c>
      <c r="D173" s="93">
        <v>98</v>
      </c>
      <c r="E173" s="93">
        <v>121</v>
      </c>
      <c r="F173" s="103">
        <f>IFERROR(INDEX(Tabella9[PLZ],MATCH(Tabella8[[#This Row],[Colonna2]],Tabella9[Ortschaftsname],0)), "Name not found")</f>
        <v>8912</v>
      </c>
      <c r="G173" s="103"/>
      <c r="H173" s="240">
        <f ca="1">SUMIF(Tabella2[[#Headers],[#Data],[Age]],$H$76,Tabella2[[#Headers],[#Data],[Federal taxes]])</f>
        <v>6804.3246087429152</v>
      </c>
      <c r="I17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3" s="240">
        <f ca="1">Tabella8[[#This Row],[Colonna7]]*Tabella8[[#This Row],[Colonna4]]/100</f>
        <v>12802.874621047349</v>
      </c>
      <c r="Q173" s="2"/>
      <c r="R173" s="4">
        <f>R172+148700</f>
        <v>460100</v>
      </c>
      <c r="S173" s="39">
        <v>6.5000000000000002E-2</v>
      </c>
      <c r="T173" s="46"/>
    </row>
    <row r="174" spans="2:20">
      <c r="B174" s="92" t="s">
        <v>136</v>
      </c>
      <c r="C174" s="91" t="s">
        <v>1749</v>
      </c>
      <c r="D174" s="93">
        <v>98</v>
      </c>
      <c r="E174" s="93">
        <v>116</v>
      </c>
      <c r="F174" s="103">
        <f>IFERROR(INDEX(Tabella9[PLZ],MATCH(Tabella8[[#This Row],[Colonna2]],Tabella9[Ortschaftsname],0)), "Name not found")</f>
        <v>8618</v>
      </c>
      <c r="G174" s="103"/>
      <c r="H174" s="240">
        <f ca="1">SUMIF(Tabella2[[#Headers],[#Data],[Age]],$H$76,Tabella2[[#Headers],[#Data],[Federal taxes]])</f>
        <v>6804.3246087429152</v>
      </c>
      <c r="I17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4" s="240">
        <f ca="1">Tabella8[[#This Row],[Colonna7]]*Tabella8[[#This Row],[Colonna4]]/100</f>
        <v>12273.830215218948</v>
      </c>
      <c r="Q174" s="2"/>
      <c r="R174" s="46"/>
      <c r="S174" s="46"/>
      <c r="T174" s="46"/>
    </row>
    <row r="175" spans="2:20">
      <c r="B175" s="92" t="s">
        <v>136</v>
      </c>
      <c r="C175" s="91" t="s">
        <v>1776</v>
      </c>
      <c r="D175" s="93">
        <v>98</v>
      </c>
      <c r="E175" s="93">
        <v>105</v>
      </c>
      <c r="F175" s="103">
        <f>IFERROR(INDEX(Tabella9[PLZ],MATCH(Tabella8[[#This Row],[Colonna2]],Tabella9[Ortschaftsname],0)), "Name not found")</f>
        <v>8955</v>
      </c>
      <c r="G175" s="103"/>
      <c r="H175" s="240">
        <f ca="1">SUMIF(Tabella2[[#Headers],[#Data],[Age]],$H$76,Tabella2[[#Headers],[#Data],[Federal taxes]])</f>
        <v>6804.3246087429152</v>
      </c>
      <c r="I17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5" s="240">
        <f ca="1">Tabella8[[#This Row],[Colonna7]]*Tabella8[[#This Row],[Colonna4]]/100</f>
        <v>11109.932522396462</v>
      </c>
      <c r="Q175" s="2"/>
      <c r="R175" s="36">
        <f>IF(Q159&lt;$R$161,Q159*S160,IF(Q159&lt;$R$162,Q159*$S$161,IF(Q159&lt;$R$163,Q159*$S$162,IF(Q159&lt;R164,Q159*$S$163,IF(Q159&lt;$R$165,Q159*$S$164,IF(Q159&lt;$R$166,Q159*$S$165,IF(Q159&lt;$R$167,Q159*$S$166,IF(Q159&lt;$R$168,Q159*$S$167,IF(Q159&lt;$R$169,Q159*$S$168,IF(Q159&lt;$R$170,Q159*$S$169,IF(Q159&lt;$R$171,Q159*$S$170,IF(Q159&lt;$R$172,Q159*$S$171,IF(Q159&lt;$R$173,Q159*$S$172,IF(Q159&gt;$R$173,Q159*$S$173))))))))))))))</f>
        <v>5600</v>
      </c>
      <c r="S175" s="2"/>
      <c r="T175" s="2"/>
    </row>
    <row r="176" spans="2:20">
      <c r="B176" s="92" t="s">
        <v>136</v>
      </c>
      <c r="C176" s="91" t="s">
        <v>1684</v>
      </c>
      <c r="D176" s="93">
        <v>98</v>
      </c>
      <c r="E176" s="93">
        <v>94</v>
      </c>
      <c r="F176" s="103">
        <f>IFERROR(INDEX(Tabella9[PLZ],MATCH(Tabella8[[#This Row],[Colonna2]],Tabella9[Ortschaftsname],0)), "Name not found")</f>
        <v>8152</v>
      </c>
      <c r="G176" s="103"/>
      <c r="H176" s="240">
        <f ca="1">SUMIF(Tabella2[[#Headers],[#Data],[Age]],$H$76,Tabella2[[#Headers],[#Data],[Federal taxes]])</f>
        <v>6804.3246087429152</v>
      </c>
      <c r="I17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6" s="240">
        <f ca="1">Tabella8[[#This Row],[Colonna7]]*Tabella8[[#This Row],[Colonna4]]/100</f>
        <v>9946.034829573975</v>
      </c>
    </row>
    <row r="177" spans="2:20">
      <c r="B177" s="92" t="s">
        <v>136</v>
      </c>
      <c r="C177" s="91" t="s">
        <v>1794</v>
      </c>
      <c r="D177" s="93">
        <v>98</v>
      </c>
      <c r="E177" s="93">
        <v>99</v>
      </c>
      <c r="F177" s="103">
        <f>IFERROR(INDEX(Tabella9[PLZ],MATCH(Tabella8[[#This Row],[Colonna2]],Tabella9[Ortschaftsname],0)), "Name not found")</f>
        <v>8475</v>
      </c>
      <c r="G177" s="103"/>
      <c r="H177" s="240">
        <f ca="1">SUMIF(Tabella2[[#Headers],[#Data],[Age]],$H$76,Tabella2[[#Headers],[#Data],[Federal taxes]])</f>
        <v>6804.3246087429152</v>
      </c>
      <c r="I17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7" s="240">
        <f ca="1">Tabella8[[#This Row],[Colonna7]]*Tabella8[[#This Row],[Colonna4]]/100</f>
        <v>10475.079235402378</v>
      </c>
      <c r="Q177" s="68" t="s">
        <v>2531</v>
      </c>
      <c r="R177" s="21" t="s">
        <v>82</v>
      </c>
      <c r="S177" s="21" t="s">
        <v>2511</v>
      </c>
      <c r="T177" s="21" t="s">
        <v>90</v>
      </c>
    </row>
    <row r="178" spans="2:20">
      <c r="B178" s="92" t="s">
        <v>136</v>
      </c>
      <c r="C178" s="91" t="s">
        <v>2532</v>
      </c>
      <c r="D178" s="93">
        <v>98</v>
      </c>
      <c r="E178" s="93">
        <v>112</v>
      </c>
      <c r="F178" s="103">
        <f>IFERROR(INDEX(Tabella9[PLZ],MATCH(Tabella8[[#This Row],[Colonna2]],Tabella9[Ortschaftsname],0)), "Name not found")</f>
        <v>8112</v>
      </c>
      <c r="G178" s="103"/>
      <c r="H178" s="240">
        <f ca="1">SUMIF(Tabella2[[#Headers],[#Data],[Age]],$H$76,Tabella2[[#Headers],[#Data],[Federal taxes]])</f>
        <v>6804.3246087429152</v>
      </c>
      <c r="I17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8" s="240">
        <f ca="1">Tabella8[[#This Row],[Colonna7]]*Tabella8[[#This Row],[Colonna4]]/100</f>
        <v>11850.594690556223</v>
      </c>
      <c r="Q178" s="94">
        <v>100000</v>
      </c>
      <c r="R178" s="11" t="s">
        <v>2512</v>
      </c>
      <c r="S178" s="11" t="s">
        <v>2525</v>
      </c>
      <c r="T178" s="11"/>
    </row>
    <row r="179" spans="2:20">
      <c r="B179" s="92" t="s">
        <v>136</v>
      </c>
      <c r="C179" s="91" t="s">
        <v>1774</v>
      </c>
      <c r="D179" s="93">
        <v>98</v>
      </c>
      <c r="E179" s="93">
        <v>117</v>
      </c>
      <c r="F179" s="103">
        <f>IFERROR(INDEX(Tabella9[PLZ],MATCH(Tabella8[[#This Row],[Colonna2]],Tabella9[Ortschaftsname],0)), "Name not found")</f>
        <v>8913</v>
      </c>
      <c r="G179" s="103"/>
      <c r="H179" s="240">
        <f ca="1">SUMIF(Tabella2[[#Headers],[#Data],[Age]],$H$76,Tabella2[[#Headers],[#Data],[Federal taxes]])</f>
        <v>6804.3246087429152</v>
      </c>
      <c r="I17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79" s="240">
        <f ca="1">Tabella8[[#This Row],[Colonna7]]*Tabella8[[#This Row],[Colonna4]]/100</f>
        <v>12379.639096384628</v>
      </c>
      <c r="Q179" s="26"/>
      <c r="R179" s="4">
        <v>0</v>
      </c>
      <c r="S179" s="39">
        <v>2.5000000000000001E-3</v>
      </c>
      <c r="T179" s="4"/>
    </row>
    <row r="180" spans="2:20">
      <c r="B180" s="92" t="s">
        <v>136</v>
      </c>
      <c r="C180" s="91" t="s">
        <v>1757</v>
      </c>
      <c r="D180" s="93">
        <v>98</v>
      </c>
      <c r="E180" s="93">
        <v>117</v>
      </c>
      <c r="F180" s="103">
        <f>IFERROR(INDEX(Tabella9[PLZ],MATCH(Tabella8[[#This Row],[Colonna2]],Tabella9[Ortschaftsname],0)), "Name not found")</f>
        <v>8422</v>
      </c>
      <c r="G180" s="103"/>
      <c r="H180" s="240">
        <f ca="1">SUMIF(Tabella2[[#Headers],[#Data],[Age]],$H$76,Tabella2[[#Headers],[#Data],[Federal taxes]])</f>
        <v>6804.3246087429152</v>
      </c>
      <c r="I18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0" s="240">
        <f ca="1">Tabella8[[#This Row],[Colonna7]]*Tabella8[[#This Row],[Colonna4]]/100</f>
        <v>12379.639096384628</v>
      </c>
      <c r="Q180" s="2"/>
      <c r="R180" s="4">
        <v>1300</v>
      </c>
      <c r="S180" s="39">
        <v>5.0000000000000001E-3</v>
      </c>
      <c r="T180" s="4"/>
    </row>
    <row r="181" spans="2:20">
      <c r="B181" s="92" t="s">
        <v>136</v>
      </c>
      <c r="C181" s="91" t="s">
        <v>1701</v>
      </c>
      <c r="D181" s="93">
        <v>98</v>
      </c>
      <c r="E181" s="93">
        <v>110</v>
      </c>
      <c r="F181" s="103">
        <v>8330</v>
      </c>
      <c r="G181" s="103"/>
      <c r="H181" s="240">
        <f ca="1">SUMIF(Tabella2[[#Headers],[#Data],[Age]],$H$76,Tabella2[[#Headers],[#Data],[Federal taxes]])</f>
        <v>6804.3246087429152</v>
      </c>
      <c r="I18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1" s="240">
        <f ca="1">Tabella8[[#This Row],[Colonna7]]*Tabella8[[#This Row],[Colonna4]]/100</f>
        <v>11638.976928224864</v>
      </c>
      <c r="Q181" s="2"/>
      <c r="R181" s="4">
        <f>R180+1100</f>
        <v>2400</v>
      </c>
      <c r="S181" s="39">
        <v>7.4999999999999997E-3</v>
      </c>
      <c r="T181" s="4"/>
    </row>
    <row r="182" spans="2:20">
      <c r="B182" s="92" t="s">
        <v>136</v>
      </c>
      <c r="C182" s="91" t="s">
        <v>1752</v>
      </c>
      <c r="D182" s="93">
        <v>98</v>
      </c>
      <c r="E182" s="93">
        <v>113</v>
      </c>
      <c r="F182" s="103">
        <f>IFERROR(INDEX(Tabella9[PLZ],MATCH(Tabella8[[#This Row],[Colonna2]],Tabella9[Ortschaftsname],0)), "Name not found")</f>
        <v>8197</v>
      </c>
      <c r="G182" s="103"/>
      <c r="H182" s="240">
        <f ca="1">SUMIF(Tabella2[[#Headers],[#Data],[Age]],$H$76,Tabella2[[#Headers],[#Data],[Federal taxes]])</f>
        <v>6804.3246087429152</v>
      </c>
      <c r="I18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2" s="240">
        <f ca="1">Tabella8[[#This Row],[Colonna7]]*Tabella8[[#This Row],[Colonna4]]/100</f>
        <v>11956.403571721905</v>
      </c>
      <c r="Q182" s="2"/>
      <c r="R182" s="4">
        <f>R181+1000</f>
        <v>3400</v>
      </c>
      <c r="S182" s="39">
        <v>0.01</v>
      </c>
      <c r="T182" s="4"/>
    </row>
    <row r="183" spans="2:20">
      <c r="B183" s="92" t="s">
        <v>136</v>
      </c>
      <c r="C183" s="91" t="s">
        <v>2533</v>
      </c>
      <c r="D183" s="93">
        <v>98</v>
      </c>
      <c r="E183" s="93">
        <v>111</v>
      </c>
      <c r="F183" s="103">
        <f>IFERROR(INDEX(Tabella9[PLZ],MATCH(Tabella8[[#This Row],[Colonna2]],Tabella9[Ortschaftsname],0)), "Name not found")</f>
        <v>8158</v>
      </c>
      <c r="G183" s="103"/>
      <c r="H183" s="240">
        <f ca="1">SUMIF(Tabella2[[#Headers],[#Data],[Age]],$H$76,Tabella2[[#Headers],[#Data],[Federal taxes]])</f>
        <v>6804.3246087429152</v>
      </c>
      <c r="I18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3" s="240">
        <f ca="1">Tabella8[[#This Row],[Colonna7]]*Tabella8[[#This Row],[Colonna4]]/100</f>
        <v>11744.785809390545</v>
      </c>
      <c r="Q183" s="2"/>
      <c r="R183" s="4">
        <f>R182+900</f>
        <v>4300</v>
      </c>
      <c r="S183" s="39">
        <v>1.2500000000000001E-2</v>
      </c>
      <c r="T183" s="4"/>
    </row>
    <row r="184" spans="2:20">
      <c r="B184" s="92" t="s">
        <v>136</v>
      </c>
      <c r="C184" s="91" t="s">
        <v>1690</v>
      </c>
      <c r="D184" s="93">
        <v>98</v>
      </c>
      <c r="E184" s="93">
        <v>118</v>
      </c>
      <c r="F184" s="103">
        <f>IFERROR(INDEX(Tabella9[PLZ],MATCH(Tabella8[[#This Row],[Colonna2]],Tabella9[Ortschaftsname],0)), "Name not found")</f>
        <v>8105</v>
      </c>
      <c r="G184" s="103"/>
      <c r="H184" s="240">
        <f ca="1">SUMIF(Tabella2[[#Headers],[#Data],[Age]],$H$76,Tabella2[[#Headers],[#Data],[Federal taxes]])</f>
        <v>6804.3246087429152</v>
      </c>
      <c r="I18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4" s="240">
        <f ca="1">Tabella8[[#This Row],[Colonna7]]*Tabella8[[#This Row],[Colonna4]]/100</f>
        <v>12485.44797755031</v>
      </c>
      <c r="Q184" s="2"/>
      <c r="R184" s="4">
        <f>R183+900</f>
        <v>5200</v>
      </c>
      <c r="S184" s="39">
        <v>1.4999999999999999E-2</v>
      </c>
      <c r="T184" s="4"/>
    </row>
    <row r="185" spans="2:20">
      <c r="B185" s="92" t="s">
        <v>136</v>
      </c>
      <c r="C185" s="91" t="s">
        <v>1803</v>
      </c>
      <c r="D185" s="93">
        <v>98</v>
      </c>
      <c r="E185" s="93">
        <v>114</v>
      </c>
      <c r="F185" s="103">
        <f>IFERROR(INDEX(Tabella9[PLZ],MATCH(Tabella8[[#This Row],[Colonna2]],Tabella9[Ortschaftsname],0)), "Name not found")</f>
        <v>8462</v>
      </c>
      <c r="G185" s="103"/>
      <c r="H185" s="240">
        <f ca="1">SUMIF(Tabella2[[#Headers],[#Data],[Age]],$H$76,Tabella2[[#Headers],[#Data],[Federal taxes]])</f>
        <v>6804.3246087429152</v>
      </c>
      <c r="I18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5" s="240">
        <f ca="1">Tabella8[[#This Row],[Colonna7]]*Tabella8[[#This Row],[Colonna4]]/100</f>
        <v>12062.212452887585</v>
      </c>
      <c r="Q185" s="2"/>
      <c r="R185" s="4">
        <f>R184+1000</f>
        <v>6200</v>
      </c>
      <c r="S185" s="39">
        <v>1.7500000000000002E-2</v>
      </c>
      <c r="T185" s="4"/>
    </row>
    <row r="186" spans="2:20">
      <c r="B186" s="92" t="s">
        <v>136</v>
      </c>
      <c r="C186" s="91" t="s">
        <v>1697</v>
      </c>
      <c r="D186" s="93">
        <v>98</v>
      </c>
      <c r="E186" s="93">
        <v>99</v>
      </c>
      <c r="F186" s="103">
        <f>IFERROR(INDEX(Tabella9[PLZ],MATCH(Tabella8[[#This Row],[Colonna2]],Tabella9[Ortschaftsname],0)), "Name not found")</f>
        <v>8805</v>
      </c>
      <c r="G186" s="103"/>
      <c r="H186" s="240">
        <f ca="1">SUMIF(Tabella2[[#Headers],[#Data],[Age]],$H$76,Tabella2[[#Headers],[#Data],[Federal taxes]])</f>
        <v>6804.3246087429152</v>
      </c>
      <c r="I18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6" s="240">
        <f ca="1">Tabella8[[#This Row],[Colonna7]]*Tabella8[[#This Row],[Colonna4]]/100</f>
        <v>10475.079235402378</v>
      </c>
      <c r="Q186" s="2"/>
      <c r="R186" s="4">
        <f>R185+1100</f>
        <v>7300</v>
      </c>
      <c r="S186" s="39">
        <v>0.02</v>
      </c>
      <c r="T186" s="4"/>
    </row>
    <row r="187" spans="2:20">
      <c r="B187" s="92" t="s">
        <v>136</v>
      </c>
      <c r="C187" s="91" t="s">
        <v>1773</v>
      </c>
      <c r="D187" s="93">
        <v>98</v>
      </c>
      <c r="E187" s="93">
        <v>102</v>
      </c>
      <c r="F187" s="103">
        <v>8545</v>
      </c>
      <c r="G187" s="103"/>
      <c r="H187" s="240">
        <f ca="1">SUMIF(Tabella2[[#Headers],[#Data],[Age]],$H$76,Tabella2[[#Headers],[#Data],[Federal taxes]])</f>
        <v>6804.3246087429152</v>
      </c>
      <c r="I18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7" s="240">
        <f ca="1">Tabella8[[#This Row],[Colonna7]]*Tabella8[[#This Row],[Colonna4]]/100</f>
        <v>10792.505878899419</v>
      </c>
      <c r="Q187" s="2"/>
      <c r="R187" s="4">
        <f>R186+1600</f>
        <v>8900</v>
      </c>
      <c r="S187" s="39">
        <v>2.2499999999999999E-2</v>
      </c>
      <c r="T187" s="4"/>
    </row>
    <row r="188" spans="2:20">
      <c r="B188" s="92" t="s">
        <v>136</v>
      </c>
      <c r="C188" s="91" t="s">
        <v>1806</v>
      </c>
      <c r="D188" s="93">
        <v>98</v>
      </c>
      <c r="E188" s="93">
        <v>122</v>
      </c>
      <c r="F188" s="103">
        <f>IFERROR(INDEX(Tabella9[PLZ],MATCH(Tabella8[[#This Row],[Colonna2]],Tabella9[Ortschaftsname],0)), "Name not found")</f>
        <v>8911</v>
      </c>
      <c r="G188" s="103"/>
      <c r="H188" s="240">
        <f ca="1">SUMIF(Tabella2[[#Headers],[#Data],[Age]],$H$76,Tabella2[[#Headers],[#Data],[Federal taxes]])</f>
        <v>6804.3246087429152</v>
      </c>
      <c r="I18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8" s="240">
        <f ca="1">Tabella8[[#This Row],[Colonna7]]*Tabella8[[#This Row],[Colonna4]]/100</f>
        <v>12908.683502213031</v>
      </c>
      <c r="Q188" s="2"/>
      <c r="R188" s="4">
        <f>R187+2100</f>
        <v>11000</v>
      </c>
      <c r="S188" s="39">
        <v>2.5000000000000001E-2</v>
      </c>
      <c r="T188" s="4"/>
    </row>
    <row r="189" spans="2:20">
      <c r="B189" s="92" t="s">
        <v>136</v>
      </c>
      <c r="C189" s="91" t="s">
        <v>2534</v>
      </c>
      <c r="D189" s="93">
        <v>98</v>
      </c>
      <c r="E189" s="93">
        <v>103</v>
      </c>
      <c r="F189" s="103">
        <f>IFERROR(INDEX(Tabella9[PLZ],MATCH(Tabella8[[#This Row],[Colonna2]],Tabella9[Ortschaftsname],0)), "Name not found")</f>
        <v>8427</v>
      </c>
      <c r="G189" s="103"/>
      <c r="H189" s="240">
        <f ca="1">SUMIF(Tabella2[[#Headers],[#Data],[Age]],$H$76,Tabella2[[#Headers],[#Data],[Federal taxes]])</f>
        <v>6804.3246087429152</v>
      </c>
      <c r="I18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89" s="240">
        <f ca="1">Tabella8[[#This Row],[Colonna7]]*Tabella8[[#This Row],[Colonna4]]/100</f>
        <v>10898.314760065099</v>
      </c>
      <c r="Q189" s="2"/>
      <c r="R189" s="4">
        <f>R188+3200</f>
        <v>14200</v>
      </c>
      <c r="S189" s="39">
        <v>2.75E-2</v>
      </c>
      <c r="T189" s="4"/>
    </row>
    <row r="190" spans="2:20">
      <c r="B190" s="92" t="s">
        <v>136</v>
      </c>
      <c r="C190" s="91" t="s">
        <v>1753</v>
      </c>
      <c r="D190" s="93">
        <v>98</v>
      </c>
      <c r="E190" s="93">
        <v>113</v>
      </c>
      <c r="F190" s="103">
        <f>IFERROR(INDEX(Tabella9[PLZ],MATCH(Tabella8[[#This Row],[Colonna2]],Tabella9[Ortschaftsname],0)), "Name not found")</f>
        <v>8332</v>
      </c>
      <c r="G190" s="103"/>
      <c r="H190" s="240">
        <f ca="1">SUMIF(Tabella2[[#Headers],[#Data],[Age]],$H$76,Tabella2[[#Headers],[#Data],[Federal taxes]])</f>
        <v>6804.3246087429152</v>
      </c>
      <c r="I19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0" s="240">
        <f ca="1">Tabella8[[#This Row],[Colonna7]]*Tabella8[[#This Row],[Colonna4]]/100</f>
        <v>11956.403571721905</v>
      </c>
      <c r="Q190" s="2"/>
      <c r="R190" s="4">
        <f>R189+5300</f>
        <v>19500</v>
      </c>
      <c r="S190" s="39">
        <v>0.03</v>
      </c>
      <c r="T190" s="4"/>
    </row>
    <row r="191" spans="2:20">
      <c r="B191" s="92" t="s">
        <v>136</v>
      </c>
      <c r="C191" s="91" t="s">
        <v>1715</v>
      </c>
      <c r="D191" s="93">
        <v>98</v>
      </c>
      <c r="E191" s="93">
        <v>109</v>
      </c>
      <c r="F191" s="103">
        <f>IFERROR(INDEX(Tabella9[PLZ],MATCH(Tabella8[[#This Row],[Colonna2]],Tabella9[Ortschaftsname],0)), "Name not found")</f>
        <v>8153</v>
      </c>
      <c r="G191" s="103"/>
      <c r="H191" s="240">
        <f ca="1">SUMIF(Tabella2[[#Headers],[#Data],[Age]],$H$76,Tabella2[[#Headers],[#Data],[Federal taxes]])</f>
        <v>6804.3246087429152</v>
      </c>
      <c r="I19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1" s="240">
        <f ca="1">Tabella8[[#This Row],[Colonna7]]*Tabella8[[#This Row],[Colonna4]]/100</f>
        <v>11533.168047059184</v>
      </c>
      <c r="Q191" s="2"/>
      <c r="R191" s="4">
        <f>R190+7400</f>
        <v>26900</v>
      </c>
      <c r="S191" s="39">
        <v>3.2500000000000001E-2</v>
      </c>
      <c r="T191" s="46"/>
    </row>
    <row r="192" spans="2:20">
      <c r="B192" s="92" t="s">
        <v>136</v>
      </c>
      <c r="C192" s="91" t="s">
        <v>1732</v>
      </c>
      <c r="D192" s="93">
        <v>98</v>
      </c>
      <c r="E192" s="93">
        <v>75</v>
      </c>
      <c r="F192" s="103">
        <f>IFERROR(INDEX(Tabella9[PLZ],MATCH(Tabella8[[#This Row],[Colonna2]],Tabella9[Ortschaftsname],0)), "Name not found")</f>
        <v>8803</v>
      </c>
      <c r="G192" s="103"/>
      <c r="H192" s="240">
        <f ca="1">SUMIF(Tabella2[[#Headers],[#Data],[Age]],$H$76,Tabella2[[#Headers],[#Data],[Federal taxes]])</f>
        <v>6804.3246087429152</v>
      </c>
      <c r="I19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2" s="240">
        <f ca="1">Tabella8[[#This Row],[Colonna7]]*Tabella8[[#This Row],[Colonna4]]/100</f>
        <v>7935.6660874260442</v>
      </c>
      <c r="Q192" s="2"/>
      <c r="R192" s="4">
        <f>R191+9500</f>
        <v>36400</v>
      </c>
      <c r="S192" s="39">
        <v>3.5000000000000003E-2</v>
      </c>
      <c r="T192" s="46"/>
    </row>
    <row r="193" spans="2:20">
      <c r="B193" s="92" t="s">
        <v>136</v>
      </c>
      <c r="C193" s="91" t="s">
        <v>1699</v>
      </c>
      <c r="D193" s="93">
        <v>98</v>
      </c>
      <c r="E193" s="93">
        <v>119</v>
      </c>
      <c r="F193" s="103">
        <v>8630</v>
      </c>
      <c r="G193" s="103"/>
      <c r="H193" s="240">
        <f ca="1">SUMIF(Tabella2[[#Headers],[#Data],[Age]],$H$76,Tabella2[[#Headers],[#Data],[Federal taxes]])</f>
        <v>6804.3246087429152</v>
      </c>
      <c r="I19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3" s="240">
        <f ca="1">Tabella8[[#This Row],[Colonna7]]*Tabella8[[#This Row],[Colonna4]]/100</f>
        <v>12591.256858715988</v>
      </c>
      <c r="Q193" s="2"/>
      <c r="R193" s="4">
        <f>R192+10500</f>
        <v>46900</v>
      </c>
      <c r="S193" s="39">
        <v>3.6499999999999998E-2</v>
      </c>
      <c r="T193" s="46"/>
    </row>
    <row r="194" spans="2:20">
      <c r="B194" s="92" t="s">
        <v>136</v>
      </c>
      <c r="C194" s="91" t="s">
        <v>1819</v>
      </c>
      <c r="D194" s="93">
        <v>98</v>
      </c>
      <c r="E194" s="93">
        <v>125</v>
      </c>
      <c r="F194" s="103">
        <v>8418</v>
      </c>
      <c r="G194" s="103"/>
      <c r="H194" s="240">
        <f ca="1">SUMIF(Tabella2[[#Headers],[#Data],[Age]],$H$76,Tabella2[[#Headers],[#Data],[Federal taxes]])</f>
        <v>6804.3246087429152</v>
      </c>
      <c r="I19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4" s="240">
        <f ca="1">Tabella8[[#This Row],[Colonna7]]*Tabella8[[#This Row],[Colonna4]]/100</f>
        <v>13226.11014571007</v>
      </c>
      <c r="Q194" s="2"/>
      <c r="R194" s="4">
        <f>R193+8400</f>
        <v>55300</v>
      </c>
      <c r="S194" s="39">
        <v>3.9E-2</v>
      </c>
      <c r="T194" s="2"/>
    </row>
    <row r="195" spans="2:20">
      <c r="B195" s="92" t="s">
        <v>136</v>
      </c>
      <c r="C195" s="91" t="s">
        <v>1818</v>
      </c>
      <c r="D195" s="93">
        <v>98</v>
      </c>
      <c r="E195" s="93">
        <v>108</v>
      </c>
      <c r="F195" s="103">
        <f>IFERROR(INDEX(Tabella9[PLZ],MATCH(Tabella8[[#This Row],[Colonna2]],Tabella9[Ortschaftsname],0)), "Name not found")</f>
        <v>8165</v>
      </c>
      <c r="G195" s="103"/>
      <c r="H195" s="240">
        <f ca="1">SUMIF(Tabella2[[#Headers],[#Data],[Age]],$H$76,Tabella2[[#Headers],[#Data],[Federal taxes]])</f>
        <v>6804.3246087429152</v>
      </c>
      <c r="I19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5" s="240">
        <f ca="1">Tabella8[[#This Row],[Colonna7]]*Tabella8[[#This Row],[Colonna4]]/100</f>
        <v>11427.359165893502</v>
      </c>
      <c r="Q195" s="2"/>
      <c r="R195" s="4">
        <f>R194+175100</f>
        <v>230400</v>
      </c>
      <c r="S195" s="39">
        <v>7.0000000000000007E-2</v>
      </c>
      <c r="T195" s="2"/>
    </row>
    <row r="196" spans="2:20">
      <c r="B196" s="92" t="s">
        <v>136</v>
      </c>
      <c r="C196" s="91" t="s">
        <v>1688</v>
      </c>
      <c r="D196" s="93">
        <v>98</v>
      </c>
      <c r="E196" s="93">
        <v>111</v>
      </c>
      <c r="F196" s="103">
        <f>IFERROR(INDEX(Tabella9[PLZ],MATCH(Tabella8[[#This Row],[Colonna2]],Tabella9[Ortschaftsname],0)), "Name not found")</f>
        <v>8952</v>
      </c>
      <c r="G196" s="103"/>
      <c r="H196" s="240">
        <f ca="1">SUMIF(Tabella2[[#Headers],[#Data],[Age]],$H$76,Tabella2[[#Headers],[#Data],[Federal taxes]])</f>
        <v>6804.3246087429152</v>
      </c>
      <c r="I19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6" s="240">
        <f ca="1">Tabella8[[#This Row],[Colonna7]]*Tabella8[[#This Row],[Colonna4]]/100</f>
        <v>11744.785809390545</v>
      </c>
      <c r="Q196" s="2"/>
      <c r="R196" s="4">
        <v>155500</v>
      </c>
      <c r="S196" s="39">
        <v>0.05</v>
      </c>
      <c r="T196" s="2"/>
    </row>
    <row r="197" spans="2:20">
      <c r="B197" s="92" t="s">
        <v>136</v>
      </c>
      <c r="C197" s="91" t="s">
        <v>2535</v>
      </c>
      <c r="D197" s="93">
        <v>98</v>
      </c>
      <c r="E197" s="93">
        <v>101</v>
      </c>
      <c r="F197" s="103">
        <f>IFERROR(INDEX(Tabella9[PLZ],MATCH(Tabella8[[#This Row],[Colonna2]],Tabella9[Ortschaftsname],0)), "Name not found")</f>
        <v>8603</v>
      </c>
      <c r="G197" s="103"/>
      <c r="H197" s="240">
        <f ca="1">SUMIF(Tabella2[[#Headers],[#Data],[Age]],$H$76,Tabella2[[#Headers],[#Data],[Federal taxes]])</f>
        <v>6804.3246087429152</v>
      </c>
      <c r="I19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7" s="240">
        <f ca="1">Tabella8[[#This Row],[Colonna7]]*Tabella8[[#This Row],[Colonna4]]/100</f>
        <v>10686.696997733738</v>
      </c>
      <c r="Q197" s="2"/>
      <c r="R197" s="36">
        <f>IF(Q178&lt;$R$180,Q178*S179,IF(Q178&lt;$R$181,Q178*$S$180,IF(Q178&lt;$R$182,Q178*$S$181,IF(Q178&lt;$R$183,Q178*$S$182,IF(Q178&lt;$R$184,Q178*$S$183,IF(Q178&lt;$R$185,Q178*$S$184,IF(Q178&lt;$R$186,Q178*$S$185,IF(Q178&lt;$R$187,Q178*$S$186,IF(Q178&lt;$R$188,Q178*$S$187,IF(Q178&lt;$R$189,Q178*$S$188,IF(Q178&lt;$R$190,Q178*$S$189,IF(Q178&lt;$R$191,Q178*$S$190,IF(Q178&lt;$R$192,Q178*$S$191,IF(Q178&lt;$R$193,Q178*$S$192,IF(Q178&lt;$R$194,Q178*$S$193,IF(Q178&lt;$R$195,Q178*$S$194,IF(Q178&lt;$R$196,Q178*$S$195,IF(Q178&gt;R196,Q178*$S$196))))))))))))))))))</f>
        <v>3900</v>
      </c>
      <c r="S197" s="2"/>
      <c r="T197" s="2"/>
    </row>
    <row r="198" spans="2:20">
      <c r="B198" s="92" t="s">
        <v>136</v>
      </c>
      <c r="C198" s="91" t="s">
        <v>1799</v>
      </c>
      <c r="D198" s="93">
        <v>98</v>
      </c>
      <c r="E198" s="93">
        <v>99</v>
      </c>
      <c r="F198" s="103">
        <f>IFERROR(INDEX(Tabella9[PLZ],MATCH(Tabella8[[#This Row],[Colonna2]],Tabella9[Ortschaftsname],0)), "Name not found")</f>
        <v>8165</v>
      </c>
      <c r="G198" s="103"/>
      <c r="H198" s="240">
        <f ca="1">SUMIF(Tabella2[[#Headers],[#Data],[Age]],$H$76,Tabella2[[#Headers],[#Data],[Federal taxes]])</f>
        <v>6804.3246087429152</v>
      </c>
      <c r="I19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8" s="240">
        <f ca="1">Tabella8[[#This Row],[Colonna7]]*Tabella8[[#This Row],[Colonna4]]/100</f>
        <v>10475.079235402378</v>
      </c>
    </row>
    <row r="199" spans="2:20">
      <c r="B199" s="92" t="s">
        <v>136</v>
      </c>
      <c r="C199" s="91" t="s">
        <v>1796</v>
      </c>
      <c r="D199" s="93">
        <v>98</v>
      </c>
      <c r="E199" s="93">
        <v>113</v>
      </c>
      <c r="F199" s="103">
        <v>8607</v>
      </c>
      <c r="G199" s="103"/>
      <c r="H199" s="240">
        <f ca="1">SUMIF(Tabella2[[#Headers],[#Data],[Age]],$H$76,Tabella2[[#Headers],[#Data],[Federal taxes]])</f>
        <v>6804.3246087429152</v>
      </c>
      <c r="I19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199" s="240">
        <f ca="1">Tabella8[[#This Row],[Colonna7]]*Tabella8[[#This Row],[Colonna4]]/100</f>
        <v>11956.403571721905</v>
      </c>
      <c r="Q199" s="68" t="s">
        <v>2536</v>
      </c>
      <c r="R199" s="21" t="s">
        <v>82</v>
      </c>
      <c r="S199" s="21" t="s">
        <v>2511</v>
      </c>
      <c r="T199" s="21" t="s">
        <v>90</v>
      </c>
    </row>
    <row r="200" spans="2:20">
      <c r="B200" s="92" t="s">
        <v>136</v>
      </c>
      <c r="C200" s="91" t="s">
        <v>1720</v>
      </c>
      <c r="D200" s="93">
        <v>98</v>
      </c>
      <c r="E200" s="93">
        <v>99</v>
      </c>
      <c r="F200" s="103">
        <f>IFERROR(INDEX(Tabella9[PLZ],MATCH(Tabella8[[#This Row],[Colonna2]],Tabella9[Ortschaftsname],0)), "Name not found")</f>
        <v>8472</v>
      </c>
      <c r="G200" s="103"/>
      <c r="H200" s="240">
        <f ca="1">SUMIF(Tabella2[[#Headers],[#Data],[Age]],$H$76,Tabella2[[#Headers],[#Data],[Federal taxes]])</f>
        <v>6804.3246087429152</v>
      </c>
      <c r="I20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0" s="240">
        <f ca="1">Tabella8[[#This Row],[Colonna7]]*Tabella8[[#This Row],[Colonna4]]/100</f>
        <v>10475.079235402378</v>
      </c>
      <c r="Q200" s="94">
        <v>100000</v>
      </c>
      <c r="R200" s="11" t="s">
        <v>2512</v>
      </c>
      <c r="S200" s="11" t="s">
        <v>2513</v>
      </c>
      <c r="T200" s="11" t="s">
        <v>2514</v>
      </c>
    </row>
    <row r="201" spans="2:20">
      <c r="B201" s="92" t="s">
        <v>136</v>
      </c>
      <c r="C201" s="91" t="s">
        <v>1780</v>
      </c>
      <c r="D201" s="93">
        <v>98</v>
      </c>
      <c r="E201" s="93">
        <v>113</v>
      </c>
      <c r="F201" s="103">
        <v>8404</v>
      </c>
      <c r="G201" s="103"/>
      <c r="H201" s="240">
        <f ca="1">SUMIF(Tabella2[[#Headers],[#Data],[Age]],$H$76,Tabella2[[#Headers],[#Data],[Federal taxes]])</f>
        <v>6804.3246087429152</v>
      </c>
      <c r="I20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1" s="240">
        <f ca="1">Tabella8[[#This Row],[Colonna7]]*Tabella8[[#This Row],[Colonna4]]/100</f>
        <v>11956.403571721905</v>
      </c>
      <c r="Q201" s="26"/>
      <c r="R201" s="4">
        <v>0</v>
      </c>
      <c r="S201" s="4">
        <v>0</v>
      </c>
      <c r="T201" s="4">
        <v>0</v>
      </c>
    </row>
    <row r="202" spans="2:20">
      <c r="B202" s="92" t="s">
        <v>136</v>
      </c>
      <c r="C202" s="91" t="s">
        <v>1760</v>
      </c>
      <c r="D202" s="93">
        <v>98</v>
      </c>
      <c r="E202" s="93">
        <v>102</v>
      </c>
      <c r="F202" s="103">
        <f>IFERROR(INDEX(Tabella9[PLZ],MATCH(Tabella8[[#This Row],[Colonna2]],Tabella9[Ortschaftsname],0)), "Name not found")</f>
        <v>8143</v>
      </c>
      <c r="G202" s="103"/>
      <c r="H202" s="240">
        <f ca="1">SUMIF(Tabella2[[#Headers],[#Data],[Age]],$H$76,Tabella2[[#Headers],[#Data],[Federal taxes]])</f>
        <v>6804.3246087429152</v>
      </c>
      <c r="I20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2" s="240">
        <f ca="1">Tabella8[[#This Row],[Colonna7]]*Tabella8[[#This Row],[Colonna4]]/100</f>
        <v>10792.505878899419</v>
      </c>
      <c r="Q202" s="2"/>
      <c r="R202" s="4">
        <v>16430</v>
      </c>
      <c r="S202" s="4">
        <v>0</v>
      </c>
      <c r="T202" s="4">
        <v>2.5</v>
      </c>
    </row>
    <row r="203" spans="2:20">
      <c r="B203" s="92" t="s">
        <v>136</v>
      </c>
      <c r="C203" s="91" t="s">
        <v>1771</v>
      </c>
      <c r="D203" s="93">
        <v>98</v>
      </c>
      <c r="E203" s="93">
        <v>114</v>
      </c>
      <c r="F203" s="103">
        <v>8477</v>
      </c>
      <c r="G203" s="103"/>
      <c r="H203" s="240">
        <f ca="1">SUMIF(Tabella2[[#Headers],[#Data],[Age]],$H$76,Tabella2[[#Headers],[#Data],[Federal taxes]])</f>
        <v>6804.3246087429152</v>
      </c>
      <c r="I20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3" s="240">
        <f ca="1">Tabella8[[#This Row],[Colonna7]]*Tabella8[[#This Row],[Colonna4]]/100</f>
        <v>12062.212452887585</v>
      </c>
      <c r="Q203" s="2"/>
      <c r="R203" s="4">
        <v>17490</v>
      </c>
      <c r="S203" s="4">
        <v>26.5</v>
      </c>
      <c r="T203" s="4">
        <v>4</v>
      </c>
    </row>
    <row r="204" spans="2:20">
      <c r="B204" s="92" t="s">
        <v>136</v>
      </c>
      <c r="C204" s="91" t="s">
        <v>1771</v>
      </c>
      <c r="D204" s="93">
        <v>98</v>
      </c>
      <c r="E204" s="93">
        <v>114</v>
      </c>
      <c r="F204" s="103">
        <v>8466</v>
      </c>
      <c r="G204" s="103"/>
      <c r="H204" s="240">
        <f ca="1">SUMIF(Tabella2[[#Headers],[#Data],[Age]],$H$76,Tabella2[[#Headers],[#Data],[Federal taxes]])</f>
        <v>6804.3246087429152</v>
      </c>
      <c r="I20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4" s="240">
        <f ca="1">Tabella8[[#This Row],[Colonna7]]*Tabella8[[#This Row],[Colonna4]]/100</f>
        <v>12062.212452887585</v>
      </c>
      <c r="Q204" s="2"/>
      <c r="R204" s="4">
        <v>18550</v>
      </c>
      <c r="S204" s="4">
        <v>68.900000000000006</v>
      </c>
      <c r="T204" s="4">
        <v>5</v>
      </c>
    </row>
    <row r="205" spans="2:20">
      <c r="B205" s="92" t="s">
        <v>136</v>
      </c>
      <c r="C205" s="91" t="s">
        <v>1766</v>
      </c>
      <c r="D205" s="93">
        <v>98</v>
      </c>
      <c r="E205" s="93">
        <v>112</v>
      </c>
      <c r="F205" s="103">
        <f>IFERROR(INDEX(Tabella9[PLZ],MATCH(Tabella8[[#This Row],[Colonna2]],Tabella9[Ortschaftsname],0)), "Name not found")</f>
        <v>8162</v>
      </c>
      <c r="G205" s="103"/>
      <c r="H205" s="240">
        <f ca="1">SUMIF(Tabella2[[#Headers],[#Data],[Age]],$H$76,Tabella2[[#Headers],[#Data],[Federal taxes]])</f>
        <v>6804.3246087429152</v>
      </c>
      <c r="I20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5" s="240">
        <f ca="1">Tabella8[[#This Row],[Colonna7]]*Tabella8[[#This Row],[Colonna4]]/100</f>
        <v>11850.594690556223</v>
      </c>
      <c r="Q205" s="2"/>
      <c r="R205" s="4">
        <v>19610</v>
      </c>
      <c r="S205" s="4">
        <v>121.9</v>
      </c>
      <c r="T205" s="4">
        <v>6</v>
      </c>
    </row>
    <row r="206" spans="2:20">
      <c r="B206" s="92" t="s">
        <v>136</v>
      </c>
      <c r="C206" s="91" t="s">
        <v>1694</v>
      </c>
      <c r="D206" s="93">
        <v>98</v>
      </c>
      <c r="E206" s="93">
        <v>78</v>
      </c>
      <c r="F206" s="103">
        <f>IFERROR(INDEX(Tabella9[PLZ],MATCH(Tabella8[[#This Row],[Colonna2]],Tabella9[Ortschaftsname],0)), "Name not found")</f>
        <v>8712</v>
      </c>
      <c r="G206" s="103"/>
      <c r="H206" s="240">
        <f ca="1">SUMIF(Tabella2[[#Headers],[#Data],[Age]],$H$76,Tabella2[[#Headers],[#Data],[Federal taxes]])</f>
        <v>6804.3246087429152</v>
      </c>
      <c r="I20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6" s="240">
        <f ca="1">Tabella8[[#This Row],[Colonna7]]*Tabella8[[#This Row],[Colonna4]]/100</f>
        <v>8253.0927309230847</v>
      </c>
      <c r="Q206" s="2"/>
      <c r="R206" s="4">
        <v>20670</v>
      </c>
      <c r="S206" s="4">
        <v>185.5</v>
      </c>
      <c r="T206" s="4">
        <v>6.5</v>
      </c>
    </row>
    <row r="207" spans="2:20">
      <c r="B207" s="92" t="s">
        <v>136</v>
      </c>
      <c r="C207" s="91" t="s">
        <v>1814</v>
      </c>
      <c r="D207" s="93">
        <v>98</v>
      </c>
      <c r="E207" s="93">
        <v>104</v>
      </c>
      <c r="F207" s="103">
        <f>IFERROR(INDEX(Tabella9[PLZ],MATCH(Tabella8[[#This Row],[Colonna2]],Tabella9[Ortschaftsname],0)), "Name not found")</f>
        <v>8478</v>
      </c>
      <c r="G207" s="103"/>
      <c r="H207" s="240">
        <f ca="1">SUMIF(Tabella2[[#Headers],[#Data],[Age]],$H$76,Tabella2[[#Headers],[#Data],[Federal taxes]])</f>
        <v>6804.3246087429152</v>
      </c>
      <c r="I20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7" s="240">
        <f ca="1">Tabella8[[#This Row],[Colonna7]]*Tabella8[[#This Row],[Colonna4]]/100</f>
        <v>11004.123641230781</v>
      </c>
      <c r="Q207" s="2"/>
      <c r="R207" s="4">
        <v>21730</v>
      </c>
      <c r="S207" s="4">
        <v>254.4</v>
      </c>
      <c r="T207" s="4">
        <v>7</v>
      </c>
    </row>
    <row r="208" spans="2:20">
      <c r="B208" s="92" t="s">
        <v>136</v>
      </c>
      <c r="C208" s="91" t="s">
        <v>1691</v>
      </c>
      <c r="D208" s="93">
        <v>98</v>
      </c>
      <c r="E208" s="93">
        <v>83</v>
      </c>
      <c r="F208" s="103">
        <f>IFERROR(INDEX(Tabella9[PLZ],MATCH(Tabella8[[#This Row],[Colonna2]],Tabella9[Ortschaftsname],0)), "Name not found")</f>
        <v>8800</v>
      </c>
      <c r="G208" s="103"/>
      <c r="H208" s="240">
        <f ca="1">SUMIF(Tabella2[[#Headers],[#Data],[Age]],$H$76,Tabella2[[#Headers],[#Data],[Federal taxes]])</f>
        <v>6804.3246087429152</v>
      </c>
      <c r="I20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8" s="240">
        <f ca="1">Tabella8[[#This Row],[Colonna7]]*Tabella8[[#This Row],[Colonna4]]/100</f>
        <v>8782.1371367514876</v>
      </c>
      <c r="Q208" s="2"/>
      <c r="R208" s="4">
        <v>23850</v>
      </c>
      <c r="S208" s="4">
        <v>402.8</v>
      </c>
      <c r="T208" s="4">
        <v>8</v>
      </c>
    </row>
    <row r="209" spans="2:20">
      <c r="B209" s="92" t="s">
        <v>136</v>
      </c>
      <c r="C209" s="91" t="s">
        <v>2537</v>
      </c>
      <c r="D209" s="93">
        <v>98</v>
      </c>
      <c r="E209" s="93">
        <v>109</v>
      </c>
      <c r="F209" s="103">
        <f>IFERROR(INDEX(Tabella9[PLZ],MATCH(Tabella8[[#This Row],[Colonna2]],Tabella9[Ortschaftsname],0)), "Name not found")</f>
        <v>8467</v>
      </c>
      <c r="G209" s="103"/>
      <c r="H209" s="240">
        <f ca="1">SUMIF(Tabella2[[#Headers],[#Data],[Age]],$H$76,Tabella2[[#Headers],[#Data],[Federal taxes]])</f>
        <v>6804.3246087429152</v>
      </c>
      <c r="I20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09" s="240">
        <f ca="1">Tabella8[[#This Row],[Colonna7]]*Tabella8[[#This Row],[Colonna4]]/100</f>
        <v>11533.168047059184</v>
      </c>
      <c r="Q209" s="2"/>
      <c r="R209" s="4">
        <v>30210</v>
      </c>
      <c r="S209" s="4">
        <v>911.6</v>
      </c>
      <c r="T209" s="4">
        <v>8.5</v>
      </c>
    </row>
    <row r="210" spans="2:20">
      <c r="B210" s="92" t="s">
        <v>136</v>
      </c>
      <c r="C210" s="91" t="s">
        <v>1807</v>
      </c>
      <c r="D210" s="93">
        <v>98</v>
      </c>
      <c r="E210" s="93">
        <v>110</v>
      </c>
      <c r="F210" s="103">
        <f>IFERROR(INDEX(Tabella9[PLZ],MATCH(Tabella8[[#This Row],[Colonna2]],Tabella9[Ortschaftsname],0)), "Name not found")</f>
        <v>8466</v>
      </c>
      <c r="G210" s="103"/>
      <c r="H210" s="240">
        <f ca="1">SUMIF(Tabella2[[#Headers],[#Data],[Age]],$H$76,Tabella2[[#Headers],[#Data],[Federal taxes]])</f>
        <v>6804.3246087429152</v>
      </c>
      <c r="I21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0" s="240">
        <f ca="1">Tabella8[[#This Row],[Colonna7]]*Tabella8[[#This Row],[Colonna4]]/100</f>
        <v>11638.976928224864</v>
      </c>
      <c r="Q210" s="2"/>
      <c r="R210" s="4">
        <v>34450</v>
      </c>
      <c r="S210" s="4">
        <v>1272</v>
      </c>
      <c r="T210" s="4">
        <v>9</v>
      </c>
    </row>
    <row r="211" spans="2:20">
      <c r="B211" s="92" t="s">
        <v>136</v>
      </c>
      <c r="C211" s="91" t="s">
        <v>1750</v>
      </c>
      <c r="D211" s="93">
        <v>98</v>
      </c>
      <c r="E211" s="93">
        <v>122</v>
      </c>
      <c r="F211" s="103">
        <f>IFERROR(INDEX(Tabella9[PLZ],MATCH(Tabella8[[#This Row],[Colonna2]],Tabella9[Ortschaftsname],0)), "Name not found")</f>
        <v>8488</v>
      </c>
      <c r="G211" s="103"/>
      <c r="H211" s="240">
        <f ca="1">SUMIF(Tabella2[[#Headers],[#Data],[Age]],$H$76,Tabella2[[#Headers],[#Data],[Federal taxes]])</f>
        <v>6804.3246087429152</v>
      </c>
      <c r="I21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1" s="240">
        <f ca="1">Tabella8[[#This Row],[Colonna7]]*Tabella8[[#This Row],[Colonna4]]/100</f>
        <v>12908.683502213031</v>
      </c>
      <c r="Q211" s="2"/>
      <c r="R211" s="4">
        <v>38690</v>
      </c>
      <c r="S211" s="4">
        <v>1653.6</v>
      </c>
      <c r="T211" s="4">
        <v>9.5</v>
      </c>
    </row>
    <row r="212" spans="2:20">
      <c r="B212" s="92" t="s">
        <v>136</v>
      </c>
      <c r="C212" s="91" t="s">
        <v>1729</v>
      </c>
      <c r="D212" s="93">
        <v>98</v>
      </c>
      <c r="E212" s="93">
        <v>84</v>
      </c>
      <c r="F212" s="103">
        <f>IFERROR(INDEX(Tabella9[PLZ],MATCH(Tabella8[[#This Row],[Colonna2]],Tabella9[Ortschaftsname],0)), "Name not found")</f>
        <v>8707</v>
      </c>
      <c r="G212" s="103"/>
      <c r="H212" s="240">
        <f ca="1">SUMIF(Tabella2[[#Headers],[#Data],[Age]],$H$76,Tabella2[[#Headers],[#Data],[Federal taxes]])</f>
        <v>6804.3246087429152</v>
      </c>
      <c r="I21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2" s="240">
        <f ca="1">Tabella8[[#This Row],[Colonna7]]*Tabella8[[#This Row],[Colonna4]]/100</f>
        <v>8887.9460179171692</v>
      </c>
      <c r="Q212" s="2"/>
      <c r="R212" s="4">
        <v>42930</v>
      </c>
      <c r="S212" s="4">
        <v>2056.4</v>
      </c>
      <c r="T212" s="4">
        <v>10.3</v>
      </c>
    </row>
    <row r="213" spans="2:20">
      <c r="B213" s="92" t="s">
        <v>136</v>
      </c>
      <c r="C213" s="91" t="s">
        <v>1754</v>
      </c>
      <c r="D213" s="93">
        <v>98</v>
      </c>
      <c r="E213" s="93">
        <v>80</v>
      </c>
      <c r="F213" s="103">
        <v>8142</v>
      </c>
      <c r="G213" s="103"/>
      <c r="H213" s="240">
        <f ca="1">SUMIF(Tabella2[[#Headers],[#Data],[Age]],$H$76,Tabella2[[#Headers],[#Data],[Federal taxes]])</f>
        <v>6804.3246087429152</v>
      </c>
      <c r="I21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3" s="240">
        <f ca="1">Tabella8[[#This Row],[Colonna7]]*Tabella8[[#This Row],[Colonna4]]/100</f>
        <v>8464.7104932544462</v>
      </c>
      <c r="Q213" s="2"/>
      <c r="R213" s="46">
        <v>64130</v>
      </c>
      <c r="S213" s="46">
        <v>4240</v>
      </c>
      <c r="T213" s="46">
        <v>10.6</v>
      </c>
    </row>
    <row r="214" spans="2:20">
      <c r="B214" s="92" t="s">
        <v>136</v>
      </c>
      <c r="C214" s="91" t="s">
        <v>1758</v>
      </c>
      <c r="D214" s="93">
        <v>98</v>
      </c>
      <c r="E214" s="93">
        <v>100</v>
      </c>
      <c r="F214" s="103">
        <f>IFERROR(INDEX(Tabella9[PLZ],MATCH(Tabella8[[#This Row],[Colonna2]],Tabella9[Ortschaftsname],0)), "Name not found")</f>
        <v>8103</v>
      </c>
      <c r="G214" s="103"/>
      <c r="H214" s="240">
        <f ca="1">SUMIF(Tabella2[[#Headers],[#Data],[Age]],$H$76,Tabella2[[#Headers],[#Data],[Federal taxes]])</f>
        <v>6804.3246087429152</v>
      </c>
      <c r="I21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4" s="240">
        <f ca="1">Tabella8[[#This Row],[Colonna7]]*Tabella8[[#This Row],[Colonna4]]/100</f>
        <v>10580.888116568058</v>
      </c>
      <c r="Q214" s="2"/>
      <c r="R214" s="46">
        <v>85330</v>
      </c>
      <c r="S214" s="46">
        <v>6487.2</v>
      </c>
      <c r="T214" s="46">
        <v>10.7</v>
      </c>
    </row>
    <row r="215" spans="2:20">
      <c r="B215" s="92" t="s">
        <v>136</v>
      </c>
      <c r="C215" s="91" t="s">
        <v>1708</v>
      </c>
      <c r="D215" s="93">
        <v>98</v>
      </c>
      <c r="E215" s="93">
        <v>115</v>
      </c>
      <c r="F215" s="103">
        <f>IFERROR(INDEX(Tabella9[PLZ],MATCH(Tabella8[[#This Row],[Colonna2]],Tabella9[Ortschaftsname],0)), "Name not found")</f>
        <v>8902</v>
      </c>
      <c r="G215" s="103"/>
      <c r="H215" s="240">
        <f ca="1">SUMIF(Tabella2[[#Headers],[#Data],[Age]],$H$76,Tabella2[[#Headers],[#Data],[Federal taxes]])</f>
        <v>6804.3246087429152</v>
      </c>
      <c r="I21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5" s="240">
        <f ca="1">Tabella8[[#This Row],[Colonna7]]*Tabella8[[#This Row],[Colonna4]]/100</f>
        <v>12168.021334053266</v>
      </c>
      <c r="Q215" s="2"/>
      <c r="R215" s="46">
        <v>106530</v>
      </c>
      <c r="S215" s="46">
        <v>8755.6</v>
      </c>
      <c r="T215" s="46">
        <v>11.2</v>
      </c>
    </row>
    <row r="216" spans="2:20">
      <c r="B216" s="92" t="s">
        <v>136</v>
      </c>
      <c r="C216" s="91" t="s">
        <v>1675</v>
      </c>
      <c r="D216" s="93">
        <v>98</v>
      </c>
      <c r="E216" s="93">
        <v>112</v>
      </c>
      <c r="F216" s="103">
        <f>IFERROR(INDEX(Tabella9[PLZ],MATCH(Tabella8[[#This Row],[Colonna2]],Tabella9[Ortschaftsname],0)), "Name not found")</f>
        <v>8610</v>
      </c>
      <c r="G216" s="103"/>
      <c r="H216" s="240">
        <f ca="1">SUMIF(Tabella2[[#Headers],[#Data],[Age]],$H$76,Tabella2[[#Headers],[#Data],[Federal taxes]])</f>
        <v>6804.3246087429152</v>
      </c>
      <c r="I21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6" s="240">
        <f ca="1">Tabella8[[#This Row],[Colonna7]]*Tabella8[[#This Row],[Colonna4]]/100</f>
        <v>11850.594690556223</v>
      </c>
      <c r="Q216" s="2"/>
      <c r="R216" s="46">
        <v>212530</v>
      </c>
      <c r="S216" s="4">
        <v>20627.599999999999</v>
      </c>
      <c r="T216" s="4">
        <v>11.3</v>
      </c>
    </row>
    <row r="217" spans="2:20">
      <c r="B217" s="92" t="s">
        <v>136</v>
      </c>
      <c r="C217" s="91" t="s">
        <v>2538</v>
      </c>
      <c r="D217" s="93">
        <v>98</v>
      </c>
      <c r="E217" s="93">
        <v>111</v>
      </c>
      <c r="F217" s="103">
        <f>IFERROR(INDEX(Tabella9[PLZ],MATCH(Tabella8[[#This Row],[Colonna2]],Tabella9[Ortschaftsname],0)), "Name not found")</f>
        <v>8459</v>
      </c>
      <c r="G217" s="103"/>
      <c r="H217" s="240">
        <f ca="1">SUMIF(Tabella2[[#Headers],[#Data],[Age]],$H$76,Tabella2[[#Headers],[#Data],[Federal taxes]])</f>
        <v>6804.3246087429152</v>
      </c>
      <c r="I21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7" s="240">
        <f ca="1">Tabella8[[#This Row],[Colonna7]]*Tabella8[[#This Row],[Colonna4]]/100</f>
        <v>11744.785809390545</v>
      </c>
      <c r="Q217" s="2"/>
      <c r="R217" s="46">
        <v>318530</v>
      </c>
      <c r="S217" s="46">
        <v>32605.599999999999</v>
      </c>
      <c r="T217" s="46">
        <v>11.4</v>
      </c>
    </row>
    <row r="218" spans="2:20">
      <c r="B218" s="92" t="s">
        <v>136</v>
      </c>
      <c r="C218" s="91" t="s">
        <v>1689</v>
      </c>
      <c r="D218" s="93">
        <v>98</v>
      </c>
      <c r="E218" s="93">
        <v>101</v>
      </c>
      <c r="F218" s="103">
        <f>IFERROR(INDEX(Tabella9[PLZ],MATCH(Tabella8[[#This Row],[Colonna2]],Tabella9[Ortschaftsname],0)), "Name not found")</f>
        <v>8604</v>
      </c>
      <c r="G218" s="103"/>
      <c r="H218" s="240">
        <f ca="1">SUMIF(Tabella2[[#Headers],[#Data],[Age]],$H$76,Tabella2[[#Headers],[#Data],[Federal taxes]])</f>
        <v>6804.3246087429152</v>
      </c>
      <c r="I21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8" s="240">
        <f ca="1">Tabella8[[#This Row],[Colonna7]]*Tabella8[[#This Row],[Colonna4]]/100</f>
        <v>10686.696997733738</v>
      </c>
      <c r="Q218" s="2"/>
      <c r="R218" s="46">
        <v>424530</v>
      </c>
      <c r="S218" s="46">
        <v>44689.599999999999</v>
      </c>
      <c r="T218" s="46">
        <v>11.6</v>
      </c>
    </row>
    <row r="219" spans="2:20">
      <c r="B219" s="92" t="s">
        <v>136</v>
      </c>
      <c r="C219" s="91" t="s">
        <v>1707</v>
      </c>
      <c r="D219" s="93">
        <v>98</v>
      </c>
      <c r="E219" s="93">
        <v>122</v>
      </c>
      <c r="F219" s="103">
        <v>8636</v>
      </c>
      <c r="G219" s="103"/>
      <c r="H219" s="240">
        <f ca="1">SUMIF(Tabella2[[#Headers],[#Data],[Age]],$H$76,Tabella2[[#Headers],[#Data],[Federal taxes]])</f>
        <v>6804.3246087429152</v>
      </c>
      <c r="I21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19" s="240">
        <f ca="1">Tabella8[[#This Row],[Colonna7]]*Tabella8[[#This Row],[Colonna4]]/100</f>
        <v>12908.683502213031</v>
      </c>
      <c r="Q219" s="2"/>
      <c r="R219" s="46">
        <v>758960</v>
      </c>
      <c r="S219" s="46">
        <v>83483.48</v>
      </c>
      <c r="T219" s="46">
        <v>11</v>
      </c>
    </row>
    <row r="220" spans="2:20">
      <c r="B220" s="92" t="s">
        <v>136</v>
      </c>
      <c r="C220" s="91" t="s">
        <v>1693</v>
      </c>
      <c r="D220" s="93">
        <v>98</v>
      </c>
      <c r="E220" s="93">
        <v>95</v>
      </c>
      <c r="F220" s="103">
        <f>IFERROR(INDEX(Tabella9[PLZ],MATCH(Tabella8[[#This Row],[Colonna2]],Tabella9[Ortschaftsname],0)), "Name not found")</f>
        <v>8304</v>
      </c>
      <c r="G220" s="103"/>
      <c r="H220" s="240">
        <f ca="1">SUMIF(Tabella2[[#Headers],[#Data],[Age]],$H$76,Tabella2[[#Headers],[#Data],[Federal taxes]])</f>
        <v>6804.3246087429152</v>
      </c>
      <c r="I22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0" s="240">
        <f ca="1">Tabella8[[#This Row],[Colonna7]]*Tabella8[[#This Row],[Colonna4]]/100</f>
        <v>10051.843710739655</v>
      </c>
      <c r="Q220" s="2"/>
      <c r="R220" s="46">
        <v>758961</v>
      </c>
      <c r="S220" s="4">
        <v>83485.710000000006</v>
      </c>
      <c r="T220" s="4">
        <v>11</v>
      </c>
    </row>
    <row r="221" spans="2:20">
      <c r="B221" s="92" t="s">
        <v>136</v>
      </c>
      <c r="C221" s="91" t="s">
        <v>1716</v>
      </c>
      <c r="D221" s="93">
        <v>98</v>
      </c>
      <c r="E221" s="93">
        <v>101</v>
      </c>
      <c r="F221" s="103">
        <v>8602</v>
      </c>
      <c r="G221" s="103"/>
      <c r="H221" s="240">
        <f ca="1">SUMIF(Tabella2[[#Headers],[#Data],[Age]],$H$76,Tabella2[[#Headers],[#Data],[Federal taxes]])</f>
        <v>6804.3246087429152</v>
      </c>
      <c r="I22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1" s="240">
        <f ca="1">Tabella8[[#This Row],[Colonna7]]*Tabella8[[#This Row],[Colonna4]]/100</f>
        <v>10686.696997733738</v>
      </c>
      <c r="Q221" s="2"/>
      <c r="R221" s="36">
        <f>IF(Q200&lt;$R$202,$S$201,IF(Q200&lt;$R$203,$S$202+((Q200-$R$202)/100)*$T$202,IF(Q200&lt;$R$204,$S$203+((Q200-$R$203)/100)*$T$203,IF(Q200&lt;$R$205,$S$204+((Q200-$R$204)/100)*$T$204,IF(Q200&lt;$R$206,$S$205+((Q200-$R$205)/100)*$T$205,IF(Q200&lt;$R$207,$S$206+((Q200-$R$206)/100)*$T$206,IF(Q200&lt;$R$208,$S$207+((Q200-$R$207)/100)*$T$207,IF(Q200&lt;$R$209,$S$208+((Q200-$R$208)/100)*$T$208,IF(Q200&lt;$R$210,$S$209+((Q200-$R$209)/100)*$T$209,IF(Q200&lt;$R$211,$S$210+((Q200-$R$210)/100)*$T$210,IF(Q200&lt;$R$212,$S$211+((Q200-$R$211)/100)*$T$211,IF(Q200&lt;$R$213,$S$212+((Q200-$R$212)/100)*$T$212,IF(Q200&lt;$R$214,$S$213+((Q200-$R$213)/100)*$T$213,IF(Q200&lt;$R$215,$S$214+((Q200-$R$214)/100)*$T$214,IF(Q200&lt;$R$215,$S$214+((Q200-$R$214)/100)*$T$214,IF(Q200&lt;$R$216,$S$215+((Q200-$R$215)/100)*$T$215,IF(Q200&lt;$R$217,$S$216+((Q200-$R$216)/100)*$T$216,IF(Q200&lt;$R$218,$S$217+((Q200-$R$217)/100)*$T$217,IF(Q200&lt;$R$219,$S$218+((Q200-$R$218)/100)*$T$218,IF(Q200&lt;$R$220,$S$219+((Q200-$R$219)/100)*$T$219,IF(Q200&gt;=$R$220,$S$220+((Q200-$R$220)/100)*$T$220)))))))))))))))))))))</f>
        <v>8056.8899999999994</v>
      </c>
      <c r="S221" s="2"/>
      <c r="T221" s="2"/>
    </row>
    <row r="222" spans="2:20">
      <c r="B222" s="92" t="s">
        <v>136</v>
      </c>
      <c r="C222" s="91" t="s">
        <v>2539</v>
      </c>
      <c r="D222" s="93">
        <v>98</v>
      </c>
      <c r="E222" s="93">
        <v>116</v>
      </c>
      <c r="F222" s="103">
        <f>IFERROR(INDEX(Tabella9[PLZ],MATCH(Tabella8[[#This Row],[Colonna2]],Tabella9[Ortschaftsname],0)), "Name not found")</f>
        <v>8195</v>
      </c>
      <c r="G222" s="103"/>
      <c r="H222" s="240">
        <f ca="1">SUMIF(Tabella2[[#Headers],[#Data],[Age]],$H$76,Tabella2[[#Headers],[#Data],[Federal taxes]])</f>
        <v>6804.3246087429152</v>
      </c>
      <c r="I22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2" s="240">
        <f ca="1">Tabella8[[#This Row],[Colonna7]]*Tabella8[[#This Row],[Colonna4]]/100</f>
        <v>12273.830215218948</v>
      </c>
    </row>
    <row r="223" spans="2:20">
      <c r="B223" s="92" t="s">
        <v>136</v>
      </c>
      <c r="C223" s="91" t="s">
        <v>1792</v>
      </c>
      <c r="D223" s="93">
        <v>98</v>
      </c>
      <c r="E223" s="93">
        <v>96</v>
      </c>
      <c r="F223" s="103">
        <f>IFERROR(INDEX(Tabella9[PLZ],MATCH(Tabella8[[#This Row],[Colonna2]],Tabella9[Ortschaftsname],0)), "Name not found")</f>
        <v>8187</v>
      </c>
      <c r="G223" s="103"/>
      <c r="H223" s="240">
        <f ca="1">SUMIF(Tabella2[[#Headers],[#Data],[Age]],$H$76,Tabella2[[#Headers],[#Data],[Federal taxes]])</f>
        <v>6804.3246087429152</v>
      </c>
      <c r="I22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3" s="240">
        <f ca="1">Tabella8[[#This Row],[Colonna7]]*Tabella8[[#This Row],[Colonna4]]/100</f>
        <v>10157.652591905335</v>
      </c>
      <c r="Q223" s="68" t="s">
        <v>2540</v>
      </c>
      <c r="R223" s="21" t="s">
        <v>82</v>
      </c>
      <c r="S223" s="21" t="s">
        <v>2511</v>
      </c>
      <c r="T223" s="21" t="s">
        <v>90</v>
      </c>
    </row>
    <row r="224" spans="2:20">
      <c r="B224" s="92" t="s">
        <v>136</v>
      </c>
      <c r="C224" s="91" t="s">
        <v>1748</v>
      </c>
      <c r="D224" s="93">
        <v>98</v>
      </c>
      <c r="E224" s="93">
        <v>103</v>
      </c>
      <c r="F224" s="103">
        <v>8104</v>
      </c>
      <c r="G224" s="103"/>
      <c r="H224" s="240">
        <f ca="1">SUMIF(Tabella2[[#Headers],[#Data],[Age]],$H$76,Tabella2[[#Headers],[#Data],[Federal taxes]])</f>
        <v>6804.3246087429152</v>
      </c>
      <c r="I22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4" s="240">
        <f ca="1">Tabella8[[#This Row],[Colonna7]]*Tabella8[[#This Row],[Colonna4]]/100</f>
        <v>10898.314760065099</v>
      </c>
      <c r="Q224" s="94">
        <v>100000</v>
      </c>
      <c r="R224" s="11" t="s">
        <v>2512</v>
      </c>
      <c r="S224" s="11" t="s">
        <v>2513</v>
      </c>
      <c r="T224" s="11" t="s">
        <v>2514</v>
      </c>
    </row>
    <row r="225" spans="2:20">
      <c r="B225" s="92" t="s">
        <v>136</v>
      </c>
      <c r="C225" s="91" t="s">
        <v>1768</v>
      </c>
      <c r="D225" s="93">
        <v>98</v>
      </c>
      <c r="E225" s="93">
        <v>116</v>
      </c>
      <c r="F225" s="103">
        <f>IFERROR(INDEX(Tabella9[PLZ],MATCH(Tabella8[[#This Row],[Colonna2]],Tabella9[Ortschaftsname],0)), "Name not found")</f>
        <v>8484</v>
      </c>
      <c r="G225" s="103"/>
      <c r="H225" s="240">
        <f ca="1">SUMIF(Tabella2[[#Headers],[#Data],[Age]],$H$76,Tabella2[[#Headers],[#Data],[Federal taxes]])</f>
        <v>6804.3246087429152</v>
      </c>
      <c r="I22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5" s="240">
        <f ca="1">Tabella8[[#This Row],[Colonna7]]*Tabella8[[#This Row],[Colonna4]]/100</f>
        <v>12273.830215218948</v>
      </c>
      <c r="Q225" s="26"/>
      <c r="R225" s="4">
        <v>0</v>
      </c>
      <c r="S225" s="4">
        <v>0</v>
      </c>
      <c r="T225" s="4">
        <v>0</v>
      </c>
    </row>
    <row r="226" spans="2:20">
      <c r="B226" s="92" t="s">
        <v>136</v>
      </c>
      <c r="C226" s="91" t="s">
        <v>2541</v>
      </c>
      <c r="D226" s="93">
        <v>98</v>
      </c>
      <c r="E226" s="93">
        <v>90</v>
      </c>
      <c r="F226" s="103">
        <v>8907</v>
      </c>
      <c r="G226" s="103"/>
      <c r="H226" s="240">
        <f ca="1">SUMIF(Tabella2[[#Headers],[#Data],[Age]],$H$76,Tabella2[[#Headers],[#Data],[Federal taxes]])</f>
        <v>6804.3246087429152</v>
      </c>
      <c r="I22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6" s="240">
        <f ca="1">Tabella8[[#This Row],[Colonna7]]*Tabella8[[#This Row],[Colonna4]]/100</f>
        <v>9522.799304911252</v>
      </c>
      <c r="Q226" s="2"/>
      <c r="R226" s="4">
        <v>18480</v>
      </c>
      <c r="S226" s="4">
        <v>0</v>
      </c>
      <c r="T226" s="4">
        <v>8</v>
      </c>
    </row>
    <row r="227" spans="2:20">
      <c r="B227" s="92" t="s">
        <v>136</v>
      </c>
      <c r="C227" s="91" t="s">
        <v>1682</v>
      </c>
      <c r="D227" s="93">
        <v>98</v>
      </c>
      <c r="E227" s="93">
        <v>119</v>
      </c>
      <c r="F227" s="103">
        <v>8620</v>
      </c>
      <c r="G227" s="103"/>
      <c r="H227" s="240">
        <f ca="1">SUMIF(Tabella2[[#Headers],[#Data],[Age]],$H$76,Tabella2[[#Headers],[#Data],[Federal taxes]])</f>
        <v>6804.3246087429152</v>
      </c>
      <c r="I22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7" s="240">
        <f ca="1">Tabella8[[#This Row],[Colonna7]]*Tabella8[[#This Row],[Colonna4]]/100</f>
        <v>12591.256858715988</v>
      </c>
      <c r="Q227" s="2"/>
      <c r="R227" s="4">
        <v>22265</v>
      </c>
      <c r="S227" s="4">
        <v>302.8</v>
      </c>
      <c r="T227" s="4">
        <v>9</v>
      </c>
    </row>
    <row r="228" spans="2:20">
      <c r="B228" s="92" t="s">
        <v>136</v>
      </c>
      <c r="C228" s="91" t="s">
        <v>1726</v>
      </c>
      <c r="D228" s="93">
        <v>98</v>
      </c>
      <c r="E228" s="93">
        <v>88</v>
      </c>
      <c r="F228" s="103">
        <f>IFERROR(INDEX(Tabella9[PLZ],MATCH(Tabella8[[#This Row],[Colonna2]],Tabella9[Ortschaftsname],0)), "Name not found")</f>
        <v>8542</v>
      </c>
      <c r="G228" s="103"/>
      <c r="H228" s="240">
        <f ca="1">SUMIF(Tabella2[[#Headers],[#Data],[Age]],$H$76,Tabella2[[#Headers],[#Data],[Federal taxes]])</f>
        <v>6804.3246087429152</v>
      </c>
      <c r="I22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8" s="240">
        <f ca="1">Tabella8[[#This Row],[Colonna7]]*Tabella8[[#This Row],[Colonna4]]/100</f>
        <v>9311.1815425798904</v>
      </c>
      <c r="Q228" s="2"/>
      <c r="R228" s="4">
        <v>24492</v>
      </c>
      <c r="S228" s="4">
        <v>503.25</v>
      </c>
      <c r="T228" s="4">
        <v>10</v>
      </c>
    </row>
    <row r="229" spans="2:20">
      <c r="B229" s="92" t="s">
        <v>136</v>
      </c>
      <c r="C229" s="91" t="s">
        <v>1798</v>
      </c>
      <c r="D229" s="93">
        <v>98</v>
      </c>
      <c r="E229" s="93">
        <v>99</v>
      </c>
      <c r="F229" s="103">
        <v>8196</v>
      </c>
      <c r="G229" s="103"/>
      <c r="H229" s="240">
        <f ca="1">SUMIF(Tabella2[[#Headers],[#Data],[Age]],$H$76,Tabella2[[#Headers],[#Data],[Federal taxes]])</f>
        <v>6804.3246087429152</v>
      </c>
      <c r="I229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29" s="240">
        <f ca="1">Tabella8[[#This Row],[Colonna7]]*Tabella8[[#This Row],[Colonna4]]/100</f>
        <v>10475.079235402378</v>
      </c>
      <c r="Q229" s="2"/>
      <c r="R229" s="4">
        <v>26718</v>
      </c>
      <c r="S229" s="4">
        <v>725.85</v>
      </c>
      <c r="T229" s="4">
        <v>11</v>
      </c>
    </row>
    <row r="230" spans="2:20">
      <c r="B230" s="92" t="s">
        <v>136</v>
      </c>
      <c r="C230" s="91" t="s">
        <v>1785</v>
      </c>
      <c r="D230" s="93">
        <v>98</v>
      </c>
      <c r="E230" s="93">
        <v>125</v>
      </c>
      <c r="F230" s="103">
        <f>IFERROR(INDEX(Tabella9[PLZ],MATCH(Tabella8[[#This Row],[Colonna2]],Tabella9[Ortschaftsname],0)), "Name not found")</f>
        <v>8492</v>
      </c>
      <c r="G230" s="103"/>
      <c r="H230" s="240">
        <f ca="1">SUMIF(Tabella2[[#Headers],[#Data],[Age]],$H$76,Tabella2[[#Headers],[#Data],[Federal taxes]])</f>
        <v>6804.3246087429152</v>
      </c>
      <c r="I230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0" s="240">
        <f ca="1">Tabella8[[#This Row],[Colonna7]]*Tabella8[[#This Row],[Colonna4]]/100</f>
        <v>13226.11014571007</v>
      </c>
      <c r="Q230" s="2"/>
      <c r="R230" s="4">
        <v>28944</v>
      </c>
      <c r="S230" s="4">
        <v>970.7</v>
      </c>
      <c r="T230" s="4">
        <v>12</v>
      </c>
    </row>
    <row r="231" spans="2:20">
      <c r="B231" s="92" t="s">
        <v>136</v>
      </c>
      <c r="C231" s="91" t="s">
        <v>1811</v>
      </c>
      <c r="D231" s="93">
        <v>98</v>
      </c>
      <c r="E231" s="93">
        <v>127</v>
      </c>
      <c r="F231" s="103">
        <f>IFERROR(INDEX(Tabella9[PLZ],MATCH(Tabella8[[#This Row],[Colonna2]],Tabella9[Ortschaftsname],0)), "Name not found")</f>
        <v>8489</v>
      </c>
      <c r="G231" s="103"/>
      <c r="H231" s="240">
        <f ca="1">SUMIF(Tabella2[[#Headers],[#Data],[Age]],$H$76,Tabella2[[#Headers],[#Data],[Federal taxes]])</f>
        <v>6804.3246087429152</v>
      </c>
      <c r="I231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1" s="240">
        <f ca="1">Tabella8[[#This Row],[Colonna7]]*Tabella8[[#This Row],[Colonna4]]/100</f>
        <v>13437.727908041434</v>
      </c>
      <c r="Q231" s="2"/>
      <c r="R231" s="4">
        <v>34510</v>
      </c>
      <c r="S231" s="4">
        <v>1638.65</v>
      </c>
      <c r="T231" s="4">
        <v>13</v>
      </c>
    </row>
    <row r="232" spans="2:20">
      <c r="B232" s="92" t="s">
        <v>136</v>
      </c>
      <c r="C232" s="91" t="s">
        <v>1751</v>
      </c>
      <c r="D232" s="93">
        <v>98</v>
      </c>
      <c r="E232" s="93">
        <v>76</v>
      </c>
      <c r="F232" s="103">
        <f>IFERROR(INDEX(Tabella9[PLZ],MATCH(Tabella8[[#This Row],[Colonna2]],Tabella9[Ortschaftsname],0)), "Name not found")</f>
        <v>8185</v>
      </c>
      <c r="G232" s="103"/>
      <c r="H232" s="240">
        <f ca="1">SUMIF(Tabella2[[#Headers],[#Data],[Age]],$H$76,Tabella2[[#Headers],[#Data],[Federal taxes]])</f>
        <v>6804.3246087429152</v>
      </c>
      <c r="I232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2" s="240">
        <f ca="1">Tabella8[[#This Row],[Colonna7]]*Tabella8[[#This Row],[Colonna4]]/100</f>
        <v>8041.4749685917232</v>
      </c>
      <c r="Q232" s="2"/>
      <c r="R232" s="4">
        <v>38963</v>
      </c>
      <c r="S232" s="4">
        <v>2217.5</v>
      </c>
      <c r="T232" s="4">
        <v>14</v>
      </c>
    </row>
    <row r="233" spans="2:20">
      <c r="B233" s="92" t="s">
        <v>136</v>
      </c>
      <c r="C233" s="91" t="s">
        <v>1676</v>
      </c>
      <c r="D233" s="93">
        <v>98</v>
      </c>
      <c r="E233" s="93">
        <v>125</v>
      </c>
      <c r="F233" s="103">
        <f>IFERROR(INDEX(Tabella9[PLZ],MATCH(Tabella8[[#This Row],[Colonna2]],Tabella9[Ortschaftsname],0)), "Name not found")</f>
        <v>8405</v>
      </c>
      <c r="G233" s="103"/>
      <c r="H233" s="240">
        <f ca="1">SUMIF(Tabella2[[#Headers],[#Data],[Age]],$H$76,Tabella2[[#Headers],[#Data],[Federal taxes]])</f>
        <v>6804.3246087429152</v>
      </c>
      <c r="I233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3" s="240">
        <f ca="1">Tabella8[[#This Row],[Colonna7]]*Tabella8[[#This Row],[Colonna4]]/100</f>
        <v>13226.11014571007</v>
      </c>
      <c r="Q233" s="2"/>
      <c r="R233" s="4">
        <v>43417</v>
      </c>
      <c r="S233" s="4">
        <v>2841.1</v>
      </c>
      <c r="T233" s="4">
        <v>14.5</v>
      </c>
    </row>
    <row r="234" spans="2:20">
      <c r="B234" s="92" t="s">
        <v>136</v>
      </c>
      <c r="C234" s="91" t="s">
        <v>1681</v>
      </c>
      <c r="D234" s="93">
        <v>98</v>
      </c>
      <c r="E234" s="93">
        <v>104</v>
      </c>
      <c r="F234" s="103">
        <f>IFERROR(INDEX(Tabella9[PLZ],MATCH(Tabella8[[#This Row],[Colonna2]],Tabella9[Ortschaftsname],0)), "Name not found")</f>
        <v>8820</v>
      </c>
      <c r="G234" s="103"/>
      <c r="H234" s="240">
        <f ca="1">SUMIF(Tabella2[[#Headers],[#Data],[Age]],$H$76,Tabella2[[#Headers],[#Data],[Federal taxes]])</f>
        <v>6804.3246087429152</v>
      </c>
      <c r="I234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4" s="240">
        <f ca="1">Tabella8[[#This Row],[Colonna7]]*Tabella8[[#This Row],[Colonna4]]/100</f>
        <v>11004.123641230781</v>
      </c>
      <c r="Q234" s="2"/>
      <c r="R234" s="4">
        <v>47869</v>
      </c>
      <c r="S234" s="4">
        <v>3486.6</v>
      </c>
      <c r="T234" s="4">
        <v>15</v>
      </c>
    </row>
    <row r="235" spans="2:20">
      <c r="B235" s="92" t="s">
        <v>136</v>
      </c>
      <c r="C235" s="91" t="s">
        <v>1731</v>
      </c>
      <c r="D235" s="93">
        <v>98</v>
      </c>
      <c r="E235" s="93">
        <v>118</v>
      </c>
      <c r="F235" s="103">
        <v>8487</v>
      </c>
      <c r="G235" s="103"/>
      <c r="H235" s="240">
        <f ca="1">SUMIF(Tabella2[[#Headers],[#Data],[Age]],$H$76,Tabella2[[#Headers],[#Data],[Federal taxes]])</f>
        <v>6804.3246087429152</v>
      </c>
      <c r="I235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5" s="240">
        <f ca="1">Tabella8[[#This Row],[Colonna7]]*Tabella8[[#This Row],[Colonna4]]/100</f>
        <v>12485.44797755031</v>
      </c>
      <c r="Q235" s="2"/>
      <c r="R235" s="4">
        <v>76812</v>
      </c>
      <c r="S235" s="4">
        <v>7828.05</v>
      </c>
      <c r="T235" s="4">
        <v>15.5</v>
      </c>
    </row>
    <row r="236" spans="2:20">
      <c r="B236" s="92" t="s">
        <v>136</v>
      </c>
      <c r="C236" s="91" t="s">
        <v>1698</v>
      </c>
      <c r="D236" s="93">
        <v>98</v>
      </c>
      <c r="E236" s="93">
        <v>76</v>
      </c>
      <c r="F236" s="103">
        <f>IFERROR(INDEX(Tabella9[PLZ],MATCH(Tabella8[[#This Row],[Colonna2]],Tabella9[Ortschaftsname],0)), "Name not found")</f>
        <v>8702</v>
      </c>
      <c r="G236" s="103"/>
      <c r="H236" s="240">
        <f ca="1">SUMIF(Tabella2[[#Headers],[#Data],[Age]],$H$76,Tabella2[[#Headers],[#Data],[Federal taxes]])</f>
        <v>6804.3246087429152</v>
      </c>
      <c r="I236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6" s="240">
        <f ca="1">Tabella8[[#This Row],[Colonna7]]*Tabella8[[#This Row],[Colonna4]]/100</f>
        <v>8041.4749685917232</v>
      </c>
      <c r="Q236" s="2"/>
      <c r="R236" s="4">
        <v>125794</v>
      </c>
      <c r="S236" s="4">
        <v>15420.3</v>
      </c>
      <c r="T236" s="4">
        <v>16</v>
      </c>
    </row>
    <row r="237" spans="2:20">
      <c r="B237" s="92" t="s">
        <v>136</v>
      </c>
      <c r="C237" s="91" t="s">
        <v>1742</v>
      </c>
      <c r="D237" s="93">
        <v>98</v>
      </c>
      <c r="E237" s="93">
        <v>77</v>
      </c>
      <c r="F237" s="103">
        <f>IFERROR(INDEX(Tabella9[PLZ],MATCH(Tabella8[[#This Row],[Colonna2]],Tabella9[Ortschaftsname],0)), "Name not found")</f>
        <v>8126</v>
      </c>
      <c r="G237" s="103"/>
      <c r="H237" s="240">
        <f ca="1">SUMIF(Tabella2[[#Headers],[#Data],[Age]],$H$76,Tabella2[[#Headers],[#Data],[Federal taxes]])</f>
        <v>6804.3246087429152</v>
      </c>
      <c r="I237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7" s="240">
        <f ca="1">Tabella8[[#This Row],[Colonna7]]*Tabella8[[#This Row],[Colonna4]]/100</f>
        <v>8147.2838497574048</v>
      </c>
      <c r="Q237" s="2"/>
      <c r="R237" s="46">
        <v>169209</v>
      </c>
      <c r="S237" s="46">
        <v>22366.7</v>
      </c>
      <c r="T237" s="46">
        <v>16.5</v>
      </c>
    </row>
    <row r="238" spans="2:20">
      <c r="B238" s="92" t="s">
        <v>136</v>
      </c>
      <c r="C238" s="91" t="s">
        <v>162</v>
      </c>
      <c r="D238" s="93">
        <v>98</v>
      </c>
      <c r="E238" s="93">
        <v>119</v>
      </c>
      <c r="F238" s="103">
        <f>IFERROR(INDEX(Tabella9[PLZ],MATCH(Tabella8[[#This Row],[Colonna2]],Tabella9[Ortschaftsname],0)), "Name not found")</f>
        <v>8052</v>
      </c>
      <c r="G238" s="103"/>
      <c r="H238" s="240">
        <f ca="1">SUMIF(Tabella2[[#Headers],[#Data],[Age]],$H$76,Tabella2[[#Headers],[#Data],[Federal taxes]])</f>
        <v>6804.3246087429152</v>
      </c>
      <c r="I238" s="240">
        <f ca="1">IFERROR(INDEX(Tabella13[[TI]:[VS commun]], MATCH($H$76, Tabella13[Age], 0), MATCH(Tabella8[[#This Row],[Colonna1]], Tabella13[[#Headers], [TI]:[VS commun]], 0)), "Valore non trovato")*Tabella8[[#This Row],[Colonna3]]/100</f>
        <v>10580.888116568058</v>
      </c>
      <c r="J238" s="240">
        <f ca="1">Tabella8[[#This Row],[Colonna7]]*Tabella8[[#This Row],[Colonna4]]/100</f>
        <v>12591.256858715988</v>
      </c>
      <c r="Q238" s="2"/>
      <c r="R238" s="46">
        <v>191474</v>
      </c>
      <c r="S238" s="46">
        <v>26040.400000000001</v>
      </c>
      <c r="T238" s="46">
        <v>17</v>
      </c>
    </row>
    <row r="239" spans="2:20">
      <c r="B239" s="92" t="s">
        <v>138</v>
      </c>
      <c r="C239" s="91" t="s">
        <v>2229</v>
      </c>
      <c r="D239" s="93">
        <v>302.5</v>
      </c>
      <c r="E239" s="93">
        <v>165</v>
      </c>
      <c r="F239" s="103">
        <f>IFERROR(INDEX(Tabella9[PLZ],MATCH(Tabella8[[#This Row],[Colonna2]],Tabella9[Ortschaftsname],0)), "Name not found")</f>
        <v>3270</v>
      </c>
      <c r="G239" s="103"/>
      <c r="H239" s="240">
        <f ca="1">SUMIF(Tabella2[[#Headers],[#Data],[Age]],$H$76,Tabella2[[#Headers],[#Data],[Federal taxes]])</f>
        <v>6804.3246087429152</v>
      </c>
      <c r="I23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39" s="240">
        <f ca="1">Tabella8[[#This Row],[Colonna7]]*Tabella8[[#This Row],[Colonna4]]/100</f>
        <v>43106.597205680882</v>
      </c>
      <c r="Q239" s="2"/>
      <c r="R239" s="46">
        <v>273851</v>
      </c>
      <c r="S239" s="46">
        <v>40044.5</v>
      </c>
      <c r="T239" s="46">
        <v>17.5</v>
      </c>
    </row>
    <row r="240" spans="2:20">
      <c r="B240" s="92" t="s">
        <v>138</v>
      </c>
      <c r="C240" s="91" t="s">
        <v>2230</v>
      </c>
      <c r="D240" s="93">
        <v>302.5</v>
      </c>
      <c r="E240" s="93">
        <v>157</v>
      </c>
      <c r="F240" s="103">
        <f>IFERROR(INDEX(Tabella9[PLZ],MATCH(Tabella8[[#This Row],[Colonna2]],Tabella9[Ortschaftsname],0)), "Name not found")</f>
        <v>4912</v>
      </c>
      <c r="G240" s="103"/>
      <c r="H240" s="240">
        <f ca="1">SUMIF(Tabella2[[#Headers],[#Data],[Age]],$H$76,Tabella2[[#Headers],[#Data],[Federal taxes]])</f>
        <v>6804.3246087429152</v>
      </c>
      <c r="I24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0" s="240">
        <f ca="1">Tabella8[[#This Row],[Colonna7]]*Tabella8[[#This Row],[Colonna4]]/100</f>
        <v>41016.580371466043</v>
      </c>
      <c r="Q240" s="2"/>
      <c r="R240" s="46">
        <v>291662</v>
      </c>
      <c r="S240" s="4">
        <v>43161.4</v>
      </c>
      <c r="T240" s="4">
        <v>18</v>
      </c>
    </row>
    <row r="241" spans="2:20">
      <c r="B241" s="92" t="s">
        <v>138</v>
      </c>
      <c r="C241" s="91" t="s">
        <v>2254</v>
      </c>
      <c r="D241" s="93">
        <v>302.5</v>
      </c>
      <c r="E241" s="93">
        <v>199</v>
      </c>
      <c r="F241" s="103">
        <f>IFERROR(INDEX(Tabella9[PLZ],MATCH(Tabella8[[#This Row],[Colonna2]],Tabella9[Ortschaftsname],0)), "Name not found")</f>
        <v>3715</v>
      </c>
      <c r="G241" s="103"/>
      <c r="H241" s="240">
        <f ca="1">SUMIF(Tabella2[[#Headers],[#Data],[Age]],$H$76,Tabella2[[#Headers],[#Data],[Federal taxes]])</f>
        <v>6804.3246087429152</v>
      </c>
      <c r="I24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1" s="240">
        <f ca="1">Tabella8[[#This Row],[Colonna7]]*Tabella8[[#This Row],[Colonna4]]/100</f>
        <v>51989.168751093901</v>
      </c>
      <c r="Q241" s="2"/>
      <c r="R241" s="46">
        <v>410776</v>
      </c>
      <c r="S241" s="46">
        <v>64601.95</v>
      </c>
      <c r="T241" s="46">
        <v>18.5</v>
      </c>
    </row>
    <row r="242" spans="2:20">
      <c r="B242" s="92" t="s">
        <v>138</v>
      </c>
      <c r="C242" s="91" t="s">
        <v>2368</v>
      </c>
      <c r="D242" s="93">
        <v>302.5</v>
      </c>
      <c r="E242" s="93">
        <v>190</v>
      </c>
      <c r="F242" s="103">
        <f>IFERROR(INDEX(Tabella9[PLZ],MATCH(Tabella8[[#This Row],[Colonna2]],Tabella9[Ortschaftsname],0)), "Name not found")</f>
        <v>3426</v>
      </c>
      <c r="G242" s="103"/>
      <c r="H242" s="240">
        <f ca="1">SUMIF(Tabella2[[#Headers],[#Data],[Age]],$H$76,Tabella2[[#Headers],[#Data],[Federal taxes]])</f>
        <v>6804.3246087429152</v>
      </c>
      <c r="I24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2" s="240">
        <f ca="1">Tabella8[[#This Row],[Colonna7]]*Tabella8[[#This Row],[Colonna4]]/100</f>
        <v>49637.899812602227</v>
      </c>
      <c r="Q242" s="2"/>
      <c r="R242" s="46">
        <v>643436</v>
      </c>
      <c r="S242" s="46">
        <v>107644.05</v>
      </c>
      <c r="T242" s="46">
        <v>19</v>
      </c>
    </row>
    <row r="243" spans="2:20">
      <c r="B243" s="92" t="s">
        <v>138</v>
      </c>
      <c r="C243" s="91" t="s">
        <v>2307</v>
      </c>
      <c r="D243" s="93">
        <v>302.5</v>
      </c>
      <c r="E243" s="93">
        <v>179</v>
      </c>
      <c r="F243" s="103">
        <f>IFERROR(INDEX(Tabella9[PLZ],MATCH(Tabella8[[#This Row],[Colonna2]],Tabella9[Ortschaftsname],0)), "Name not found")</f>
        <v>2558</v>
      </c>
      <c r="G243" s="103"/>
      <c r="H243" s="240">
        <f ca="1">SUMIF(Tabella2[[#Headers],[#Data],[Age]],$H$76,Tabella2[[#Headers],[#Data],[Federal taxes]])</f>
        <v>6804.3246087429152</v>
      </c>
      <c r="I24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3" s="240">
        <f ca="1">Tabella8[[#This Row],[Colonna7]]*Tabella8[[#This Row],[Colonna4]]/100</f>
        <v>46764.126665556832</v>
      </c>
      <c r="Q243" s="2"/>
      <c r="R243" s="46"/>
      <c r="S243" s="46"/>
      <c r="T243" s="46"/>
    </row>
    <row r="244" spans="2:20">
      <c r="B244" s="92" t="s">
        <v>138</v>
      </c>
      <c r="C244" s="91" t="s">
        <v>2298</v>
      </c>
      <c r="D244" s="93">
        <v>302.5</v>
      </c>
      <c r="E244" s="93">
        <v>179</v>
      </c>
      <c r="F244" s="103">
        <v>3703</v>
      </c>
      <c r="G244" s="103"/>
      <c r="H244" s="240">
        <f ca="1">SUMIF(Tabella2[[#Headers],[#Data],[Age]],$H$76,Tabella2[[#Headers],[#Data],[Federal taxes]])</f>
        <v>6804.3246087429152</v>
      </c>
      <c r="I24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4" s="240">
        <f ca="1">Tabella8[[#This Row],[Colonna7]]*Tabella8[[#This Row],[Colonna4]]/100</f>
        <v>46764.126665556832</v>
      </c>
      <c r="Q244" s="2"/>
      <c r="R244" s="46"/>
      <c r="S244" s="4"/>
      <c r="T244" s="4"/>
    </row>
    <row r="245" spans="2:20">
      <c r="B245" s="92" t="s">
        <v>138</v>
      </c>
      <c r="C245" s="91" t="s">
        <v>2363</v>
      </c>
      <c r="D245" s="93">
        <v>302.5</v>
      </c>
      <c r="E245" s="93">
        <v>186</v>
      </c>
      <c r="F245" s="103">
        <f>IFERROR(INDEX(Tabella9[PLZ],MATCH(Tabella8[[#This Row],[Colonna2]],Tabella9[Ortschaftsname],0)), "Name not found")</f>
        <v>3416</v>
      </c>
      <c r="G245" s="103"/>
      <c r="H245" s="240">
        <f ca="1">SUMIF(Tabella2[[#Headers],[#Data],[Age]],$H$76,Tabella2[[#Headers],[#Data],[Federal taxes]])</f>
        <v>6804.3246087429152</v>
      </c>
      <c r="I24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5" s="240">
        <f ca="1">Tabella8[[#This Row],[Colonna7]]*Tabella8[[#This Row],[Colonna4]]/100</f>
        <v>48592.891395494808</v>
      </c>
      <c r="Q245" s="2"/>
      <c r="R245" s="36">
        <f>IF(Q224&lt;$R$226,$S$225,IF(Q224&lt;$R$227,$S$226+((Q224-$R$226)/100)*$T$226,IF(Q224&lt;$R$228,$S$227+((Q224-$R$227)/100)*$T$227,IF(Q224&lt;$R$229,$S$228+((Q224-$R$228)/100)*$T$228,IF(Q224&lt;$R$230,$S$229+((Q224-$R$229)/100)*$T$229,IF(Q224&lt;$R$231,$S$230+((Q224-$R$230)/100)*$T$230,IF(Q224&lt;$R$232,$S$231+((Q224-$R$231)/100)*$T$231,IF(Q224&lt;$R$233,$S$232+((Q224-$R$232)/100)*$T$232,IF(Q224&lt;$R$234,$S$233+((Q224-$R$233)/100)*$T$233,IF(Q224&lt;$R$235,$S$234+((Q224-$R$234)/100)*$T$234,IF(Q224&lt;$R$236,$S$235+((Q224-$R$235)/100)*$T$235,IF(Q224&lt;$R$237,$S$236+((Q224-$R$236)/100)*$T$236,IF(Q224&lt;$R$238,$S$237+((Q224-$R$237)/100)*$T$237,IF(Q224&lt;$R$239,$S$238+((Q224-$R$238)/100)*$T$238,IF(Q224&lt;$R$240,$S$239+((Q224-$R$239)/100)*$T$239,IF(Q224&lt;$R$241,$S$240+((Q224-$R$240)/100)*$T$240,IF(Q224&lt;$R$242,$S$241+((Q224-$R$241)/100)*$T$241,IF(Q224&gt;=$R$242,$S$242+((Q224-$R$242)/100)*$T$242))))))))))))))))))</f>
        <v>11422.19</v>
      </c>
      <c r="S245" s="2"/>
      <c r="T245" s="2"/>
    </row>
    <row r="246" spans="2:20">
      <c r="B246" s="92" t="s">
        <v>138</v>
      </c>
      <c r="C246" s="91" t="s">
        <v>2430</v>
      </c>
      <c r="D246" s="93">
        <v>302.5</v>
      </c>
      <c r="E246" s="93">
        <v>175</v>
      </c>
      <c r="F246" s="103">
        <f>IFERROR(INDEX(Tabella9[PLZ],MATCH(Tabella8[[#This Row],[Colonna2]],Tabella9[Ortschaftsname],0)), "Name not found")</f>
        <v>3473</v>
      </c>
      <c r="G246" s="103"/>
      <c r="H246" s="240">
        <f ca="1">SUMIF(Tabella2[[#Headers],[#Data],[Age]],$H$76,Tabella2[[#Headers],[#Data],[Federal taxes]])</f>
        <v>6804.3246087429152</v>
      </c>
      <c r="I24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6" s="240">
        <f ca="1">Tabella8[[#This Row],[Colonna7]]*Tabella8[[#This Row],[Colonna4]]/100</f>
        <v>45719.118248449413</v>
      </c>
    </row>
    <row r="247" spans="2:20">
      <c r="B247" s="92" t="s">
        <v>138</v>
      </c>
      <c r="C247" s="91" t="s">
        <v>2429</v>
      </c>
      <c r="D247" s="93">
        <v>302.5</v>
      </c>
      <c r="E247" s="93">
        <v>125</v>
      </c>
      <c r="F247" s="103">
        <v>3112</v>
      </c>
      <c r="G247" s="103"/>
      <c r="H247" s="240">
        <f ca="1">SUMIF(Tabella2[[#Headers],[#Data],[Age]],$H$76,Tabella2[[#Headers],[#Data],[Federal taxes]])</f>
        <v>6804.3246087429152</v>
      </c>
      <c r="I24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7" s="240">
        <f ca="1">Tabella8[[#This Row],[Colonna7]]*Tabella8[[#This Row],[Colonna4]]/100</f>
        <v>32656.513034606724</v>
      </c>
      <c r="Q247" s="68" t="s">
        <v>2542</v>
      </c>
      <c r="R247" s="21" t="s">
        <v>82</v>
      </c>
      <c r="S247" s="21" t="s">
        <v>2511</v>
      </c>
      <c r="T247" s="21" t="s">
        <v>90</v>
      </c>
    </row>
    <row r="248" spans="2:20">
      <c r="B248" s="92" t="s">
        <v>138</v>
      </c>
      <c r="C248" s="91" t="s">
        <v>2399</v>
      </c>
      <c r="D248" s="93">
        <v>302.5</v>
      </c>
      <c r="E248" s="93">
        <v>185</v>
      </c>
      <c r="F248" s="103">
        <f>IFERROR(INDEX(Tabella9[PLZ],MATCH(Tabella8[[#This Row],[Colonna2]],Tabella9[Ortschaftsname],0)), "Name not found")</f>
        <v>3633</v>
      </c>
      <c r="G248" s="103"/>
      <c r="H248" s="240">
        <f ca="1">SUMIF(Tabella2[[#Headers],[#Data],[Age]],$H$76,Tabella2[[#Headers],[#Data],[Federal taxes]])</f>
        <v>6804.3246087429152</v>
      </c>
      <c r="I24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8" s="240">
        <f ca="1">Tabella8[[#This Row],[Colonna7]]*Tabella8[[#This Row],[Colonna4]]/100</f>
        <v>48331.639291217951</v>
      </c>
      <c r="Q248" s="94">
        <v>100000</v>
      </c>
      <c r="R248" s="11" t="s">
        <v>2512</v>
      </c>
      <c r="S248" s="11" t="s">
        <v>2525</v>
      </c>
      <c r="T248" s="11"/>
    </row>
    <row r="249" spans="2:20">
      <c r="B249" s="92" t="s">
        <v>138</v>
      </c>
      <c r="C249" s="91" t="s">
        <v>2325</v>
      </c>
      <c r="D249" s="93">
        <v>302.5</v>
      </c>
      <c r="E249" s="93">
        <v>175</v>
      </c>
      <c r="F249" s="103">
        <f>IFERROR(INDEX(Tabella9[PLZ],MATCH(Tabella8[[#This Row],[Colonna2]],Tabella9[Ortschaftsname],0)), "Name not found")</f>
        <v>3296</v>
      </c>
      <c r="G249" s="103"/>
      <c r="H249" s="240">
        <f ca="1">SUMIF(Tabella2[[#Headers],[#Data],[Age]],$H$76,Tabella2[[#Headers],[#Data],[Federal taxes]])</f>
        <v>6804.3246087429152</v>
      </c>
      <c r="I24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49" s="240">
        <f ca="1">Tabella8[[#This Row],[Colonna7]]*Tabella8[[#This Row],[Colonna4]]/100</f>
        <v>45719.118248449413</v>
      </c>
      <c r="Q249" s="26"/>
      <c r="R249" s="4">
        <v>0</v>
      </c>
      <c r="S249" s="39">
        <v>0</v>
      </c>
      <c r="T249" s="4"/>
    </row>
    <row r="250" spans="2:20">
      <c r="B250" s="92" t="s">
        <v>138</v>
      </c>
      <c r="C250" s="91" t="s">
        <v>2384</v>
      </c>
      <c r="D250" s="93">
        <v>302.5</v>
      </c>
      <c r="E250" s="93">
        <v>174</v>
      </c>
      <c r="F250" s="103">
        <v>3508</v>
      </c>
      <c r="G250" s="103"/>
      <c r="H250" s="240">
        <f ca="1">SUMIF(Tabella2[[#Headers],[#Data],[Age]],$H$76,Tabella2[[#Headers],[#Data],[Federal taxes]])</f>
        <v>6804.3246087429152</v>
      </c>
      <c r="I25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0" s="240">
        <f ca="1">Tabella8[[#This Row],[Colonna7]]*Tabella8[[#This Row],[Colonna4]]/100</f>
        <v>45457.866144172556</v>
      </c>
      <c r="Q250" s="2"/>
      <c r="R250" s="4">
        <v>4200</v>
      </c>
      <c r="S250" s="39">
        <v>0.01</v>
      </c>
      <c r="T250" s="4"/>
    </row>
    <row r="251" spans="2:20">
      <c r="B251" s="92" t="s">
        <v>138</v>
      </c>
      <c r="C251" s="91" t="s">
        <v>2332</v>
      </c>
      <c r="D251" s="93">
        <v>302.5</v>
      </c>
      <c r="E251" s="93">
        <v>164</v>
      </c>
      <c r="F251" s="103">
        <f>IFERROR(INDEX(Tabella9[PLZ],MATCH(Tabella8[[#This Row],[Colonna2]],Tabella9[Ortschaftsname],0)), "Name not found")</f>
        <v>4536</v>
      </c>
      <c r="G251" s="103"/>
      <c r="H251" s="240">
        <f ca="1">SUMIF(Tabella2[[#Headers],[#Data],[Age]],$H$76,Tabella2[[#Headers],[#Data],[Federal taxes]])</f>
        <v>6804.3246087429152</v>
      </c>
      <c r="I25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1" s="240">
        <f ca="1">Tabella8[[#This Row],[Colonna7]]*Tabella8[[#This Row],[Colonna4]]/100</f>
        <v>42845.345101404026</v>
      </c>
      <c r="Q251" s="2"/>
      <c r="R251" s="4">
        <f>R250+3800</f>
        <v>8000</v>
      </c>
      <c r="S251" s="39">
        <v>0.02</v>
      </c>
      <c r="T251" s="4"/>
    </row>
    <row r="252" spans="2:20">
      <c r="B252" s="92" t="s">
        <v>138</v>
      </c>
      <c r="C252" s="91" t="s">
        <v>2460</v>
      </c>
      <c r="D252" s="93">
        <v>302.5</v>
      </c>
      <c r="E252" s="93">
        <v>175</v>
      </c>
      <c r="F252" s="103">
        <f>IFERROR(INDEX(Tabella9[PLZ],MATCH(Tabella8[[#This Row],[Colonna2]],Tabella9[Ortschaftsname],0)), "Name not found")</f>
        <v>4944</v>
      </c>
      <c r="G252" s="103"/>
      <c r="H252" s="240">
        <f ca="1">SUMIF(Tabella2[[#Headers],[#Data],[Age]],$H$76,Tabella2[[#Headers],[#Data],[Federal taxes]])</f>
        <v>6804.3246087429152</v>
      </c>
      <c r="I25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2" s="240">
        <f ca="1">Tabella8[[#This Row],[Colonna7]]*Tabella8[[#This Row],[Colonna4]]/100</f>
        <v>45719.118248449413</v>
      </c>
      <c r="Q252" s="2"/>
      <c r="R252" s="4">
        <f>R251+3800</f>
        <v>11800</v>
      </c>
      <c r="S252" s="39">
        <v>0.03</v>
      </c>
      <c r="T252" s="4"/>
    </row>
    <row r="253" spans="2:20">
      <c r="B253" s="92" t="s">
        <v>138</v>
      </c>
      <c r="C253" s="91" t="s">
        <v>2413</v>
      </c>
      <c r="D253" s="93">
        <v>302.5</v>
      </c>
      <c r="E253" s="93">
        <v>180</v>
      </c>
      <c r="F253" s="103">
        <f>IFERROR(INDEX(Tabella9[PLZ],MATCH(Tabella8[[#This Row],[Colonna2]],Tabella9[Ortschaftsname],0)), "Name not found")</f>
        <v>4913</v>
      </c>
      <c r="G253" s="103"/>
      <c r="H253" s="240">
        <f ca="1">SUMIF(Tabella2[[#Headers],[#Data],[Age]],$H$76,Tabella2[[#Headers],[#Data],[Federal taxes]])</f>
        <v>6804.3246087429152</v>
      </c>
      <c r="I25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3" s="240">
        <f ca="1">Tabella8[[#This Row],[Colonna7]]*Tabella8[[#This Row],[Colonna4]]/100</f>
        <v>47025.378769833682</v>
      </c>
      <c r="Q253" s="2"/>
      <c r="R253" s="4">
        <f>R252+4200</f>
        <v>16000</v>
      </c>
      <c r="S253" s="39">
        <v>0.04</v>
      </c>
      <c r="T253" s="4"/>
    </row>
    <row r="254" spans="2:20">
      <c r="B254" s="92" t="s">
        <v>138</v>
      </c>
      <c r="C254" s="91" t="s">
        <v>2374</v>
      </c>
      <c r="D254" s="93">
        <v>302.5</v>
      </c>
      <c r="E254" s="93">
        <v>184</v>
      </c>
      <c r="F254" s="103">
        <v>3282</v>
      </c>
      <c r="G254" s="103"/>
      <c r="H254" s="240">
        <f ca="1">SUMIF(Tabella2[[#Headers],[#Data],[Age]],$H$76,Tabella2[[#Headers],[#Data],[Federal taxes]])</f>
        <v>6804.3246087429152</v>
      </c>
      <c r="I25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4" s="240">
        <f ca="1">Tabella8[[#This Row],[Colonna7]]*Tabella8[[#This Row],[Colonna4]]/100</f>
        <v>48070.387186941094</v>
      </c>
      <c r="Q254" s="2"/>
      <c r="R254" s="4">
        <f>R253+4200</f>
        <v>20200</v>
      </c>
      <c r="S254" s="39">
        <v>0.05</v>
      </c>
      <c r="T254" s="4"/>
    </row>
    <row r="255" spans="2:20">
      <c r="B255" s="92" t="s">
        <v>138</v>
      </c>
      <c r="C255" s="91" t="s">
        <v>2355</v>
      </c>
      <c r="D255" s="93">
        <v>302.5</v>
      </c>
      <c r="E255" s="93">
        <v>198</v>
      </c>
      <c r="F255" s="103">
        <f>IFERROR(INDEX(Tabella9[PLZ],MATCH(Tabella8[[#This Row],[Colonna2]],Tabella9[Ortschaftsname],0)), "Name not found")</f>
        <v>3803</v>
      </c>
      <c r="G255" s="103"/>
      <c r="H255" s="240">
        <f ca="1">SUMIF(Tabella2[[#Headers],[#Data],[Age]],$H$76,Tabella2[[#Headers],[#Data],[Federal taxes]])</f>
        <v>6804.3246087429152</v>
      </c>
      <c r="I25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5" s="240">
        <f ca="1">Tabella8[[#This Row],[Colonna7]]*Tabella8[[#This Row],[Colonna4]]/100</f>
        <v>51727.916646817044</v>
      </c>
      <c r="Q255" s="2"/>
      <c r="R255" s="4">
        <f>R254+5100</f>
        <v>25300</v>
      </c>
      <c r="S255" s="39">
        <v>0.06</v>
      </c>
      <c r="T255" s="4"/>
    </row>
    <row r="256" spans="2:20">
      <c r="B256" s="92" t="s">
        <v>138</v>
      </c>
      <c r="C256" s="91" t="s">
        <v>2320</v>
      </c>
      <c r="D256" s="93">
        <v>302.5</v>
      </c>
      <c r="E256" s="93">
        <v>130</v>
      </c>
      <c r="F256" s="103">
        <f>IFERROR(INDEX(Tabella9[PLZ],MATCH(Tabella8[[#This Row],[Colonna2]],Tabella9[Ortschaftsname],0)), "Name not found")</f>
        <v>2564</v>
      </c>
      <c r="G256" s="103"/>
      <c r="H256" s="240">
        <f ca="1">SUMIF(Tabella2[[#Headers],[#Data],[Age]],$H$76,Tabella2[[#Headers],[#Data],[Federal taxes]])</f>
        <v>6804.3246087429152</v>
      </c>
      <c r="I25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6" s="240">
        <f ca="1">Tabella8[[#This Row],[Colonna7]]*Tabella8[[#This Row],[Colonna4]]/100</f>
        <v>33962.773555990992</v>
      </c>
      <c r="Q256" s="2"/>
      <c r="R256" s="4">
        <f>R255+7400</f>
        <v>32700</v>
      </c>
      <c r="S256" s="39">
        <v>7.0000000000000007E-2</v>
      </c>
      <c r="T256" s="4"/>
    </row>
    <row r="257" spans="2:20">
      <c r="B257" s="92" t="s">
        <v>138</v>
      </c>
      <c r="C257" s="91" t="s">
        <v>2196</v>
      </c>
      <c r="D257" s="93">
        <v>302.5</v>
      </c>
      <c r="E257" s="93">
        <v>140</v>
      </c>
      <c r="F257" s="103">
        <f>IFERROR(INDEX(Tabella9[PLZ],MATCH(Tabella8[[#This Row],[Colonna2]],Tabella9[Ortschaftsname],0)), "Name not found")</f>
        <v>3123</v>
      </c>
      <c r="G257" s="103"/>
      <c r="H257" s="240">
        <f ca="1">SUMIF(Tabella2[[#Headers],[#Data],[Age]],$H$76,Tabella2[[#Headers],[#Data],[Federal taxes]])</f>
        <v>6804.3246087429152</v>
      </c>
      <c r="I25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7" s="240">
        <f ca="1">Tabella8[[#This Row],[Colonna7]]*Tabella8[[#This Row],[Colonna4]]/100</f>
        <v>36575.29459875953</v>
      </c>
      <c r="Q257" s="2"/>
      <c r="R257" s="4">
        <f>R256+8400</f>
        <v>41100</v>
      </c>
      <c r="S257" s="39">
        <v>0.08</v>
      </c>
      <c r="T257" s="4"/>
    </row>
    <row r="258" spans="2:20">
      <c r="B258" s="92" t="s">
        <v>138</v>
      </c>
      <c r="C258" s="91" t="s">
        <v>2543</v>
      </c>
      <c r="D258" s="93">
        <v>302.5</v>
      </c>
      <c r="E258" s="93">
        <v>193</v>
      </c>
      <c r="F258" s="103">
        <f>IFERROR(INDEX(Tabella9[PLZ],MATCH(Tabella8[[#This Row],[Colonna2]],Tabella9[Ortschaftsname],0)), "Name not found")</f>
        <v>2744</v>
      </c>
      <c r="G258" s="103"/>
      <c r="H258" s="240">
        <f ca="1">SUMIF(Tabella2[[#Headers],[#Data],[Age]],$H$76,Tabella2[[#Headers],[#Data],[Federal taxes]])</f>
        <v>6804.3246087429152</v>
      </c>
      <c r="I25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8" s="240">
        <f ca="1">Tabella8[[#This Row],[Colonna7]]*Tabella8[[#This Row],[Colonna4]]/100</f>
        <v>50421.656125432783</v>
      </c>
      <c r="Q258" s="2"/>
      <c r="R258" s="4">
        <f>R257+9500</f>
        <v>50600</v>
      </c>
      <c r="S258" s="39">
        <v>8.5000000000000006E-2</v>
      </c>
      <c r="T258" s="4"/>
    </row>
    <row r="259" spans="2:20">
      <c r="B259" s="92" t="s">
        <v>138</v>
      </c>
      <c r="C259" s="91" t="s">
        <v>2544</v>
      </c>
      <c r="D259" s="93">
        <v>302.5</v>
      </c>
      <c r="E259" s="93">
        <v>110.00000000000001</v>
      </c>
      <c r="F259" s="103">
        <f>IFERROR(INDEX(Tabella9[PLZ],MATCH(Tabella8[[#This Row],[Colonna2]],Tabella9[Ortschaftsname],0)), "Name not found")</f>
        <v>3376</v>
      </c>
      <c r="G259" s="103"/>
      <c r="H259" s="240">
        <f ca="1">SUMIF(Tabella2[[#Headers],[#Data],[Age]],$H$76,Tabella2[[#Headers],[#Data],[Federal taxes]])</f>
        <v>6804.3246087429152</v>
      </c>
      <c r="I25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59" s="240">
        <f ca="1">Tabella8[[#This Row],[Colonna7]]*Tabella8[[#This Row],[Colonna4]]/100</f>
        <v>28737.73147045392</v>
      </c>
      <c r="Q259" s="2"/>
      <c r="R259" s="4">
        <f>R258+11600</f>
        <v>62200</v>
      </c>
      <c r="S259" s="39">
        <v>0.09</v>
      </c>
      <c r="T259" s="4"/>
    </row>
    <row r="260" spans="2:20">
      <c r="B260" s="92" t="s">
        <v>138</v>
      </c>
      <c r="C260" s="91" t="s">
        <v>164</v>
      </c>
      <c r="D260" s="93">
        <v>302.5</v>
      </c>
      <c r="E260" s="93">
        <v>154</v>
      </c>
      <c r="F260" s="103">
        <f>IFERROR(INDEX(Tabella9[PLZ],MATCH(Tabella8[[#This Row],[Colonna2]],Tabella9[Ortschaftsname],0)), "Name not found")</f>
        <v>3004</v>
      </c>
      <c r="G260" s="103"/>
      <c r="H260" s="240">
        <f ca="1">SUMIF(Tabella2[[#Headers],[#Data],[Age]],$H$76,Tabella2[[#Headers],[#Data],[Federal taxes]])</f>
        <v>6804.3246087429152</v>
      </c>
      <c r="I26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0" s="240">
        <f ca="1">Tabella8[[#This Row],[Colonna7]]*Tabella8[[#This Row],[Colonna4]]/100</f>
        <v>40232.82405863548</v>
      </c>
      <c r="Q260" s="2"/>
      <c r="R260" s="4">
        <f>R259+11600</f>
        <v>73800</v>
      </c>
      <c r="S260" s="39">
        <v>9.5000000000000001E-2</v>
      </c>
      <c r="T260" s="4"/>
    </row>
    <row r="261" spans="2:20">
      <c r="B261" s="92" t="s">
        <v>138</v>
      </c>
      <c r="C261" s="91" t="s">
        <v>2418</v>
      </c>
      <c r="D261" s="93">
        <v>302.5</v>
      </c>
      <c r="E261" s="93">
        <v>155</v>
      </c>
      <c r="F261" s="103">
        <f>IFERROR(INDEX(Tabella9[PLZ],MATCH(Tabella8[[#This Row],[Colonna2]],Tabella9[Ortschaftsname],0)), "Name not found")</f>
        <v>3366</v>
      </c>
      <c r="G261" s="103"/>
      <c r="H261" s="240">
        <f ca="1">SUMIF(Tabella2[[#Headers],[#Data],[Age]],$H$76,Tabella2[[#Headers],[#Data],[Federal taxes]])</f>
        <v>6804.3246087429152</v>
      </c>
      <c r="I26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1" s="240">
        <f ca="1">Tabella8[[#This Row],[Colonna7]]*Tabella8[[#This Row],[Colonna4]]/100</f>
        <v>40494.076162912337</v>
      </c>
      <c r="Q261" s="2"/>
      <c r="R261" s="4">
        <f>R260+34800</f>
        <v>108600</v>
      </c>
      <c r="S261" s="39">
        <v>0.1</v>
      </c>
      <c r="T261" s="46"/>
    </row>
    <row r="262" spans="2:20">
      <c r="B262" s="92" t="s">
        <v>138</v>
      </c>
      <c r="C262" s="91" t="s">
        <v>2545</v>
      </c>
      <c r="D262" s="93">
        <v>302.5</v>
      </c>
      <c r="E262" s="93">
        <v>163</v>
      </c>
      <c r="F262" s="103">
        <f>IFERROR(INDEX(Tabella9[PLZ],MATCH(Tabella8[[#This Row],[Colonna2]],Tabella9[Ortschaftsname],0)), "Name not found")</f>
        <v>2502</v>
      </c>
      <c r="G262" s="103"/>
      <c r="H262" s="240">
        <f ca="1">SUMIF(Tabella2[[#Headers],[#Data],[Age]],$H$76,Tabella2[[#Headers],[#Data],[Federal taxes]])</f>
        <v>6804.3246087429152</v>
      </c>
      <c r="I26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2" s="240">
        <f ca="1">Tabella8[[#This Row],[Colonna7]]*Tabella8[[#This Row],[Colonna4]]/100</f>
        <v>42584.092997127169</v>
      </c>
      <c r="Q262" s="2"/>
      <c r="R262" s="4">
        <f>R261+65400</f>
        <v>174000</v>
      </c>
      <c r="S262" s="39">
        <v>0.105</v>
      </c>
      <c r="T262" s="46"/>
    </row>
    <row r="263" spans="2:20">
      <c r="B263" s="92" t="s">
        <v>138</v>
      </c>
      <c r="C263" s="91" t="s">
        <v>2313</v>
      </c>
      <c r="D263" s="93">
        <v>302.5</v>
      </c>
      <c r="E263" s="93">
        <v>190</v>
      </c>
      <c r="F263" s="103">
        <f>IFERROR(INDEX(Tabella9[PLZ],MATCH(Tabella8[[#This Row],[Colonna2]],Tabella9[Ortschaftsname],0)), "Name not found")</f>
        <v>3507</v>
      </c>
      <c r="G263" s="103"/>
      <c r="H263" s="240">
        <f ca="1">SUMIF(Tabella2[[#Headers],[#Data],[Age]],$H$76,Tabella2[[#Headers],[#Data],[Federal taxes]])</f>
        <v>6804.3246087429152</v>
      </c>
      <c r="I26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3" s="240">
        <f ca="1">Tabella8[[#This Row],[Colonna7]]*Tabella8[[#This Row],[Colonna4]]/100</f>
        <v>49637.899812602227</v>
      </c>
      <c r="Q263" s="2"/>
      <c r="R263" s="4">
        <f>R262+173900</f>
        <v>347900</v>
      </c>
      <c r="S263" s="39">
        <v>0.11</v>
      </c>
      <c r="T263" s="46"/>
    </row>
    <row r="264" spans="2:20">
      <c r="B264" s="92" t="s">
        <v>138</v>
      </c>
      <c r="C264" s="91" t="s">
        <v>2410</v>
      </c>
      <c r="D264" s="93">
        <v>302.5</v>
      </c>
      <c r="E264" s="93">
        <v>145</v>
      </c>
      <c r="F264" s="103">
        <f>IFERROR(INDEX(Tabella9[PLZ],MATCH(Tabella8[[#This Row],[Colonna2]],Tabella9[Ortschaftsname],0)), "Name not found")</f>
        <v>3368</v>
      </c>
      <c r="G264" s="103"/>
      <c r="H264" s="240">
        <f ca="1">SUMIF(Tabella2[[#Headers],[#Data],[Age]],$H$76,Tabella2[[#Headers],[#Data],[Federal taxes]])</f>
        <v>6804.3246087429152</v>
      </c>
      <c r="I26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4" s="240">
        <f ca="1">Tabella8[[#This Row],[Colonna7]]*Tabella8[[#This Row],[Colonna4]]/100</f>
        <v>37881.555120143799</v>
      </c>
      <c r="Q264" s="2"/>
      <c r="R264" s="4"/>
      <c r="S264" s="39"/>
      <c r="T264" s="2"/>
    </row>
    <row r="265" spans="2:20">
      <c r="B265" s="92" t="s">
        <v>138</v>
      </c>
      <c r="C265" s="91" t="s">
        <v>2354</v>
      </c>
      <c r="D265" s="93">
        <v>302.5</v>
      </c>
      <c r="E265" s="93">
        <v>175</v>
      </c>
      <c r="F265" s="103">
        <f>IFERROR(INDEX(Tabella9[PLZ],MATCH(Tabella8[[#This Row],[Colonna2]],Tabella9[Ortschaftsname],0)), "Name not found")</f>
        <v>3638</v>
      </c>
      <c r="G265" s="103"/>
      <c r="H265" s="240">
        <f ca="1">SUMIF(Tabella2[[#Headers],[#Data],[Age]],$H$76,Tabella2[[#Headers],[#Data],[Federal taxes]])</f>
        <v>6804.3246087429152</v>
      </c>
      <c r="I26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5" s="240">
        <f ca="1">Tabella8[[#This Row],[Colonna7]]*Tabella8[[#This Row],[Colonna4]]/100</f>
        <v>45719.118248449413</v>
      </c>
      <c r="Q265" s="2"/>
      <c r="R265" s="4"/>
      <c r="S265" s="39"/>
      <c r="T265" s="2"/>
    </row>
    <row r="266" spans="2:20">
      <c r="B266" s="92" t="s">
        <v>138</v>
      </c>
      <c r="C266" s="91" t="s">
        <v>2210</v>
      </c>
      <c r="D266" s="93">
        <v>302.5</v>
      </c>
      <c r="E266" s="93">
        <v>160</v>
      </c>
      <c r="F266" s="103">
        <f>IFERROR(INDEX(Tabella9[PLZ],MATCH(Tabella8[[#This Row],[Colonna2]],Tabella9[Ortschaftsname],0)), "Name not found")</f>
        <v>3065</v>
      </c>
      <c r="G266" s="103"/>
      <c r="H266" s="240">
        <f ca="1">SUMIF(Tabella2[[#Headers],[#Data],[Age]],$H$76,Tabella2[[#Headers],[#Data],[Federal taxes]])</f>
        <v>6804.3246087429152</v>
      </c>
      <c r="I26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6" s="240">
        <f ca="1">Tabella8[[#This Row],[Colonna7]]*Tabella8[[#This Row],[Colonna4]]/100</f>
        <v>41800.336684296606</v>
      </c>
      <c r="Q266" s="2"/>
      <c r="R266" s="4"/>
      <c r="S266" s="39"/>
      <c r="T266" s="2"/>
    </row>
    <row r="267" spans="2:20">
      <c r="B267" s="92" t="s">
        <v>138</v>
      </c>
      <c r="C267" s="91" t="s">
        <v>2348</v>
      </c>
      <c r="D267" s="93">
        <v>302.5</v>
      </c>
      <c r="E267" s="93">
        <v>170</v>
      </c>
      <c r="F267" s="103">
        <f>IFERROR(INDEX(Tabella9[PLZ],MATCH(Tabella8[[#This Row],[Colonna2]],Tabella9[Ortschaftsname],0)), "Name not found")</f>
        <v>3766</v>
      </c>
      <c r="G267" s="103"/>
      <c r="H267" s="240">
        <f ca="1">SUMIF(Tabella2[[#Headers],[#Data],[Age]],$H$76,Tabella2[[#Headers],[#Data],[Federal taxes]])</f>
        <v>6804.3246087429152</v>
      </c>
      <c r="I26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7" s="240">
        <f ca="1">Tabella8[[#This Row],[Colonna7]]*Tabella8[[#This Row],[Colonna4]]/100</f>
        <v>44412.857727065144</v>
      </c>
      <c r="Q267" s="2"/>
      <c r="R267" s="36">
        <f>IF(Q248&lt;$R$250,Q248*$S$249,IF(Q248&lt;$R$251,Q248*$S$250,IF(Q248&lt;$R$252,Q248*$S$251,IF(Q248&lt;$R$253,Q248*$S$252,IF(Q248&lt;$R$254,Q248*$S$253,IF(Q248&lt;$R$255,Q248*$S$254,IF(Q248&lt;$R$256,Q248*$S$255,IF(Q248&lt;$R$257,Q248*$S$256,IF(Q248&lt;$R$258,Q248*$S$257,IF(Q248&lt;$R$259,Q248*$S$258,IF(Q248&lt;$R$260,Q248*$S$259,IF(Q248&lt;$R$261,Q248*$S$260,IF(Q248&lt;$R$262,Q248*$S$261,IF(Q248&lt;$R$263,Q248*$S$262,IF(Q248&gt;$R$263,Q248*$S$263)))))))))))))))</f>
        <v>9500</v>
      </c>
      <c r="S267" s="2"/>
      <c r="T267" s="2"/>
    </row>
    <row r="268" spans="2:20">
      <c r="B268" s="92" t="s">
        <v>138</v>
      </c>
      <c r="C268" s="91" t="s">
        <v>2342</v>
      </c>
      <c r="D268" s="93">
        <v>302.5</v>
      </c>
      <c r="E268" s="93">
        <v>184</v>
      </c>
      <c r="F268" s="103">
        <f>IFERROR(INDEX(Tabella9[PLZ],MATCH(Tabella8[[#This Row],[Colonna2]],Tabella9[Ortschaftsname],0)), "Name not found")</f>
        <v>3533</v>
      </c>
      <c r="G268" s="103"/>
      <c r="H268" s="240">
        <f ca="1">SUMIF(Tabella2[[#Headers],[#Data],[Age]],$H$76,Tabella2[[#Headers],[#Data],[Federal taxes]])</f>
        <v>6804.3246087429152</v>
      </c>
      <c r="I26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8" s="240">
        <f ca="1">Tabella8[[#This Row],[Colonna7]]*Tabella8[[#This Row],[Colonna4]]/100</f>
        <v>48070.387186941094</v>
      </c>
    </row>
    <row r="269" spans="2:20">
      <c r="B269" s="92" t="s">
        <v>138</v>
      </c>
      <c r="C269" s="91" t="s">
        <v>2231</v>
      </c>
      <c r="D269" s="93">
        <v>302.5</v>
      </c>
      <c r="E269" s="93">
        <v>149</v>
      </c>
      <c r="F269" s="103">
        <v>3047</v>
      </c>
      <c r="G269" s="103"/>
      <c r="H269" s="240">
        <f ca="1">SUMIF(Tabella2[[#Headers],[#Data],[Age]],$H$76,Tabella2[[#Headers],[#Data],[Federal taxes]])</f>
        <v>6804.3246087429152</v>
      </c>
      <c r="I26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69" s="240">
        <f ca="1">Tabella8[[#This Row],[Colonna7]]*Tabella8[[#This Row],[Colonna4]]/100</f>
        <v>38926.563537251212</v>
      </c>
      <c r="Q269" s="68" t="s">
        <v>2546</v>
      </c>
      <c r="R269" s="21" t="s">
        <v>82</v>
      </c>
      <c r="S269" s="21" t="s">
        <v>2511</v>
      </c>
      <c r="T269" s="21" t="s">
        <v>90</v>
      </c>
    </row>
    <row r="270" spans="2:20">
      <c r="B270" s="92" t="s">
        <v>138</v>
      </c>
      <c r="C270" s="91" t="s">
        <v>2451</v>
      </c>
      <c r="D270" s="93">
        <v>302.5</v>
      </c>
      <c r="E270" s="93">
        <v>176</v>
      </c>
      <c r="F270" s="103">
        <f>IFERROR(INDEX(Tabella9[PLZ],MATCH(Tabella8[[#This Row],[Colonna2]],Tabella9[Ortschaftsname],0)), "Name not found")</f>
        <v>3671</v>
      </c>
      <c r="G270" s="103"/>
      <c r="H270" s="240">
        <f ca="1">SUMIF(Tabella2[[#Headers],[#Data],[Age]],$H$76,Tabella2[[#Headers],[#Data],[Federal taxes]])</f>
        <v>6804.3246087429152</v>
      </c>
      <c r="I27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0" s="240">
        <f ca="1">Tabella8[[#This Row],[Colonna7]]*Tabella8[[#This Row],[Colonna4]]/100</f>
        <v>45980.370352726262</v>
      </c>
      <c r="Q270" s="94">
        <v>100000</v>
      </c>
      <c r="R270" s="11" t="s">
        <v>2512</v>
      </c>
      <c r="S270" s="11" t="s">
        <v>2525</v>
      </c>
      <c r="T270" s="11"/>
    </row>
    <row r="271" spans="2:20">
      <c r="B271" s="92" t="s">
        <v>138</v>
      </c>
      <c r="C271" s="91" t="s">
        <v>2261</v>
      </c>
      <c r="D271" s="93">
        <v>302.5</v>
      </c>
      <c r="E271" s="93">
        <v>175</v>
      </c>
      <c r="F271" s="103">
        <v>3855</v>
      </c>
      <c r="G271" s="103"/>
      <c r="H271" s="240">
        <f ca="1">SUMIF(Tabella2[[#Headers],[#Data],[Age]],$H$76,Tabella2[[#Headers],[#Data],[Federal taxes]])</f>
        <v>6804.3246087429152</v>
      </c>
      <c r="I27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1" s="240">
        <f ca="1">Tabella8[[#This Row],[Colonna7]]*Tabella8[[#This Row],[Colonna4]]/100</f>
        <v>45719.118248449413</v>
      </c>
      <c r="Q271" s="26"/>
      <c r="R271" s="4">
        <v>0</v>
      </c>
      <c r="S271" s="39">
        <v>0</v>
      </c>
      <c r="T271" s="4"/>
    </row>
    <row r="272" spans="2:20">
      <c r="B272" s="92" t="s">
        <v>138</v>
      </c>
      <c r="C272" s="91" t="s">
        <v>2449</v>
      </c>
      <c r="D272" s="93">
        <v>302.5</v>
      </c>
      <c r="E272" s="93">
        <v>164</v>
      </c>
      <c r="F272" s="103">
        <f>IFERROR(INDEX(Tabella9[PLZ],MATCH(Tabella8[[#This Row],[Colonna2]],Tabella9[Ortschaftsname],0)), "Name not found")</f>
        <v>3856</v>
      </c>
      <c r="G272" s="103"/>
      <c r="H272" s="240">
        <f ca="1">SUMIF(Tabella2[[#Headers],[#Data],[Age]],$H$76,Tabella2[[#Headers],[#Data],[Federal taxes]])</f>
        <v>6804.3246087429152</v>
      </c>
      <c r="I27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2" s="240">
        <f ca="1">Tabella8[[#This Row],[Colonna7]]*Tabella8[[#This Row],[Colonna4]]/100</f>
        <v>42845.345101404026</v>
      </c>
      <c r="Q272" s="2"/>
      <c r="R272" s="4">
        <v>3000</v>
      </c>
      <c r="S272" s="39">
        <v>0.01</v>
      </c>
      <c r="T272" s="4"/>
    </row>
    <row r="273" spans="2:20">
      <c r="B273" s="92" t="s">
        <v>138</v>
      </c>
      <c r="C273" s="91" t="s">
        <v>2234</v>
      </c>
      <c r="D273" s="93">
        <v>302.5</v>
      </c>
      <c r="E273" s="93">
        <v>169</v>
      </c>
      <c r="F273" s="103">
        <v>2555</v>
      </c>
      <c r="G273" s="103"/>
      <c r="H273" s="240">
        <f ca="1">SUMIF(Tabella2[[#Headers],[#Data],[Age]],$H$76,Tabella2[[#Headers],[#Data],[Federal taxes]])</f>
        <v>6804.3246087429152</v>
      </c>
      <c r="I27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3" s="240">
        <f ca="1">Tabella8[[#This Row],[Colonna7]]*Tabella8[[#This Row],[Colonna4]]/100</f>
        <v>44151.605622788287</v>
      </c>
      <c r="Q273" s="2"/>
      <c r="R273" s="4">
        <f>R272+3000</f>
        <v>6000</v>
      </c>
      <c r="S273" s="39">
        <v>0.02</v>
      </c>
      <c r="T273" s="4"/>
    </row>
    <row r="274" spans="2:20">
      <c r="B274" s="92" t="s">
        <v>138</v>
      </c>
      <c r="C274" s="91" t="s">
        <v>2428</v>
      </c>
      <c r="D274" s="93">
        <v>302.5</v>
      </c>
      <c r="E274" s="93">
        <v>190</v>
      </c>
      <c r="F274" s="103">
        <f>IFERROR(INDEX(Tabella9[PLZ],MATCH(Tabella8[[#This Row],[Colonna2]],Tabella9[Ortschaftsname],0)), "Name not found")</f>
        <v>3237</v>
      </c>
      <c r="G274" s="103"/>
      <c r="H274" s="240">
        <f ca="1">SUMIF(Tabella2[[#Headers],[#Data],[Age]],$H$76,Tabella2[[#Headers],[#Data],[Federal taxes]])</f>
        <v>6804.3246087429152</v>
      </c>
      <c r="I27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4" s="240">
        <f ca="1">Tabella8[[#This Row],[Colonna7]]*Tabella8[[#This Row],[Colonna4]]/100</f>
        <v>49637.899812602227</v>
      </c>
      <c r="Q274" s="2"/>
      <c r="R274" s="4">
        <f>R273+3000</f>
        <v>9000</v>
      </c>
      <c r="S274" s="39">
        <v>0.03</v>
      </c>
      <c r="T274" s="4"/>
    </row>
    <row r="275" spans="2:20">
      <c r="B275" s="92" t="s">
        <v>138</v>
      </c>
      <c r="C275" s="91" t="s">
        <v>2326</v>
      </c>
      <c r="D275" s="93">
        <v>302.5</v>
      </c>
      <c r="E275" s="93">
        <v>180</v>
      </c>
      <c r="F275" s="103">
        <v>3615</v>
      </c>
      <c r="G275" s="103"/>
      <c r="H275" s="240">
        <f ca="1">SUMIF(Tabella2[[#Headers],[#Data],[Age]],$H$76,Tabella2[[#Headers],[#Data],[Federal taxes]])</f>
        <v>6804.3246087429152</v>
      </c>
      <c r="I27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5" s="240">
        <f ca="1">Tabella8[[#This Row],[Colonna7]]*Tabella8[[#This Row],[Colonna4]]/100</f>
        <v>47025.378769833682</v>
      </c>
      <c r="Q275" s="2"/>
      <c r="R275" s="4">
        <f>R274+3000</f>
        <v>12000</v>
      </c>
      <c r="S275" s="39">
        <v>0.04</v>
      </c>
      <c r="T275" s="4"/>
    </row>
    <row r="276" spans="2:20">
      <c r="B276" s="92" t="s">
        <v>138</v>
      </c>
      <c r="C276" s="91" t="s">
        <v>2190</v>
      </c>
      <c r="D276" s="93">
        <v>302.5</v>
      </c>
      <c r="E276" s="93">
        <v>163</v>
      </c>
      <c r="F276" s="103">
        <f>IFERROR(INDEX(Tabella9[PLZ],MATCH(Tabella8[[#This Row],[Colonna2]],Tabella9[Ortschaftsname],0)), "Name not found")</f>
        <v>3400</v>
      </c>
      <c r="G276" s="103"/>
      <c r="H276" s="240">
        <f ca="1">SUMIF(Tabella2[[#Headers],[#Data],[Age]],$H$76,Tabella2[[#Headers],[#Data],[Federal taxes]])</f>
        <v>6804.3246087429152</v>
      </c>
      <c r="I27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6" s="240">
        <f ca="1">Tabella8[[#This Row],[Colonna7]]*Tabella8[[#This Row],[Colonna4]]/100</f>
        <v>42584.092997127169</v>
      </c>
      <c r="Q276" s="2"/>
      <c r="R276" s="4">
        <f>R275+3000</f>
        <v>15000</v>
      </c>
      <c r="S276" s="39">
        <v>0.05</v>
      </c>
      <c r="T276" s="4"/>
    </row>
    <row r="277" spans="2:20">
      <c r="B277" s="92" t="s">
        <v>138</v>
      </c>
      <c r="C277" s="91" t="s">
        <v>2367</v>
      </c>
      <c r="D277" s="93">
        <v>302.5</v>
      </c>
      <c r="E277" s="93">
        <v>195</v>
      </c>
      <c r="F277" s="103">
        <f>IFERROR(INDEX(Tabella9[PLZ],MATCH(Tabella8[[#This Row],[Colonna2]],Tabella9[Ortschaftsname],0)), "Name not found")</f>
        <v>3664</v>
      </c>
      <c r="G277" s="103"/>
      <c r="H277" s="240">
        <f ca="1">SUMIF(Tabella2[[#Headers],[#Data],[Age]],$H$76,Tabella2[[#Headers],[#Data],[Federal taxes]])</f>
        <v>6804.3246087429152</v>
      </c>
      <c r="I27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7" s="240">
        <f ca="1">Tabella8[[#This Row],[Colonna7]]*Tabella8[[#This Row],[Colonna4]]/100</f>
        <v>50944.160333986489</v>
      </c>
      <c r="Q277" s="2"/>
      <c r="R277" s="4">
        <f>R276+3000</f>
        <v>18000</v>
      </c>
      <c r="S277" s="39">
        <v>0.06</v>
      </c>
      <c r="T277" s="4"/>
    </row>
    <row r="278" spans="2:20">
      <c r="B278" s="92" t="s">
        <v>138</v>
      </c>
      <c r="C278" s="91" t="s">
        <v>2547</v>
      </c>
      <c r="D278" s="93">
        <v>302.5</v>
      </c>
      <c r="E278" s="93">
        <v>160</v>
      </c>
      <c r="F278" s="103">
        <v>4917</v>
      </c>
      <c r="G278" s="103"/>
      <c r="H278" s="240">
        <f ca="1">SUMIF(Tabella2[[#Headers],[#Data],[Age]],$H$76,Tabella2[[#Headers],[#Data],[Federal taxes]])</f>
        <v>6804.3246087429152</v>
      </c>
      <c r="I27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8" s="240">
        <f ca="1">Tabella8[[#This Row],[Colonna7]]*Tabella8[[#This Row],[Colonna4]]/100</f>
        <v>41800.336684296606</v>
      </c>
      <c r="Q278" s="2"/>
      <c r="R278" s="4">
        <f>R277+4000</f>
        <v>22000</v>
      </c>
      <c r="S278" s="39">
        <v>7.0000000000000007E-2</v>
      </c>
      <c r="T278" s="4"/>
    </row>
    <row r="279" spans="2:20">
      <c r="B279" s="92" t="s">
        <v>138</v>
      </c>
      <c r="C279" s="91" t="s">
        <v>2372</v>
      </c>
      <c r="D279" s="93">
        <v>302.5</v>
      </c>
      <c r="E279" s="93">
        <v>164</v>
      </c>
      <c r="F279" s="103">
        <v>3323</v>
      </c>
      <c r="G279" s="103"/>
      <c r="H279" s="240">
        <f ca="1">SUMIF(Tabella2[[#Headers],[#Data],[Age]],$H$76,Tabella2[[#Headers],[#Data],[Federal taxes]])</f>
        <v>6804.3246087429152</v>
      </c>
      <c r="I27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79" s="240">
        <f ca="1">Tabella8[[#This Row],[Colonna7]]*Tabella8[[#This Row],[Colonna4]]/100</f>
        <v>42845.345101404026</v>
      </c>
      <c r="Q279" s="2"/>
      <c r="R279" s="4">
        <f>R278+4000</f>
        <v>26000</v>
      </c>
      <c r="S279" s="39">
        <v>7.4999999999999997E-2</v>
      </c>
      <c r="T279" s="4"/>
    </row>
    <row r="280" spans="2:20">
      <c r="B280" s="92" t="s">
        <v>138</v>
      </c>
      <c r="C280" s="91" t="s">
        <v>2260</v>
      </c>
      <c r="D280" s="93">
        <v>302.5</v>
      </c>
      <c r="E280" s="93">
        <v>170</v>
      </c>
      <c r="F280" s="103">
        <f>IFERROR(INDEX(Tabella9[PLZ],MATCH(Tabella8[[#This Row],[Colonna2]],Tabella9[Ortschaftsname],0)), "Name not found")</f>
        <v>3315</v>
      </c>
      <c r="G280" s="103"/>
      <c r="H280" s="240">
        <f ca="1">SUMIF(Tabella2[[#Headers],[#Data],[Age]],$H$76,Tabella2[[#Headers],[#Data],[Federal taxes]])</f>
        <v>6804.3246087429152</v>
      </c>
      <c r="I28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0" s="240">
        <f ca="1">Tabella8[[#This Row],[Colonna7]]*Tabella8[[#This Row],[Colonna4]]/100</f>
        <v>44412.857727065144</v>
      </c>
      <c r="Q280" s="2"/>
      <c r="R280" s="4">
        <f>R279+4000</f>
        <v>30000</v>
      </c>
      <c r="S280" s="39">
        <v>0.08</v>
      </c>
      <c r="T280" s="4"/>
    </row>
    <row r="281" spans="2:20">
      <c r="B281" s="92" t="s">
        <v>138</v>
      </c>
      <c r="C281" s="91" t="s">
        <v>2282</v>
      </c>
      <c r="D281" s="93">
        <v>302.5</v>
      </c>
      <c r="E281" s="93">
        <v>190</v>
      </c>
      <c r="F281" s="103">
        <v>3806</v>
      </c>
      <c r="G281" s="103"/>
      <c r="H281" s="240">
        <f ca="1">SUMIF(Tabella2[[#Headers],[#Data],[Age]],$H$76,Tabella2[[#Headers],[#Data],[Federal taxes]])</f>
        <v>6804.3246087429152</v>
      </c>
      <c r="I28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1" s="240">
        <f ca="1">Tabella8[[#This Row],[Colonna7]]*Tabella8[[#This Row],[Colonna4]]/100</f>
        <v>49637.899812602227</v>
      </c>
      <c r="Q281" s="2"/>
      <c r="R281" s="4">
        <f>R280+10000</f>
        <v>40000</v>
      </c>
      <c r="S281" s="39">
        <v>8.5000000000000006E-2</v>
      </c>
      <c r="T281" s="4"/>
    </row>
    <row r="282" spans="2:20">
      <c r="B282" s="92" t="s">
        <v>138</v>
      </c>
      <c r="C282" s="91" t="s">
        <v>2393</v>
      </c>
      <c r="D282" s="93">
        <v>302.5</v>
      </c>
      <c r="E282" s="93">
        <v>135</v>
      </c>
      <c r="F282" s="103">
        <f>IFERROR(INDEX(Tabella9[PLZ],MATCH(Tabella8[[#This Row],[Colonna2]],Tabella9[Ortschaftsname],0)), "Name not found")</f>
        <v>3263</v>
      </c>
      <c r="G282" s="103"/>
      <c r="H282" s="240">
        <f ca="1">SUMIF(Tabella2[[#Headers],[#Data],[Age]],$H$76,Tabella2[[#Headers],[#Data],[Federal taxes]])</f>
        <v>6804.3246087429152</v>
      </c>
      <c r="I28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2" s="240">
        <f ca="1">Tabella8[[#This Row],[Colonna7]]*Tabella8[[#This Row],[Colonna4]]/100</f>
        <v>35269.034077375261</v>
      </c>
      <c r="Q282" s="2"/>
      <c r="R282" s="4">
        <f>R281+34000</f>
        <v>74000</v>
      </c>
      <c r="S282" s="39">
        <v>0.09</v>
      </c>
      <c r="T282" s="4"/>
    </row>
    <row r="283" spans="2:20">
      <c r="B283" s="92" t="s">
        <v>138</v>
      </c>
      <c r="C283" s="91" t="s">
        <v>2458</v>
      </c>
      <c r="D283" s="93">
        <v>302.5</v>
      </c>
      <c r="E283" s="93">
        <v>155</v>
      </c>
      <c r="F283" s="103">
        <v>3179</v>
      </c>
      <c r="G283" s="103"/>
      <c r="H283" s="240">
        <f ca="1">SUMIF(Tabella2[[#Headers],[#Data],[Age]],$H$76,Tabella2[[#Headers],[#Data],[Federal taxes]])</f>
        <v>6804.3246087429152</v>
      </c>
      <c r="I28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3" s="240">
        <f ca="1">Tabella8[[#This Row],[Colonna7]]*Tabella8[[#This Row],[Colonna4]]/100</f>
        <v>40494.076162912337</v>
      </c>
      <c r="Q283" s="2"/>
      <c r="R283" s="4">
        <f>R282+66000</f>
        <v>140000</v>
      </c>
      <c r="S283" s="39">
        <v>8.5000000000000006E-2</v>
      </c>
      <c r="T283" s="46"/>
    </row>
    <row r="284" spans="2:20">
      <c r="B284" s="92" t="s">
        <v>138</v>
      </c>
      <c r="C284" s="91" t="s">
        <v>2251</v>
      </c>
      <c r="D284" s="93">
        <v>302.5</v>
      </c>
      <c r="E284" s="93">
        <v>164</v>
      </c>
      <c r="F284" s="103">
        <f>IFERROR(INDEX(Tabella9[PLZ],MATCH(Tabella8[[#This Row],[Colonna2]],Tabella9[Ortschaftsname],0)), "Name not found")</f>
        <v>3294</v>
      </c>
      <c r="G284" s="103"/>
      <c r="H284" s="240">
        <f ca="1">SUMIF(Tabella2[[#Headers],[#Data],[Age]],$H$76,Tabella2[[#Headers],[#Data],[Federal taxes]])</f>
        <v>6804.3246087429152</v>
      </c>
      <c r="I28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4" s="240">
        <f ca="1">Tabella8[[#This Row],[Colonna7]]*Tabella8[[#This Row],[Colonna4]]/100</f>
        <v>42845.345101404026</v>
      </c>
      <c r="Q284" s="2"/>
      <c r="R284" s="4">
        <f>R283+60000</f>
        <v>200000</v>
      </c>
      <c r="S284" s="39">
        <v>0.08</v>
      </c>
      <c r="T284" s="46"/>
    </row>
    <row r="285" spans="2:20">
      <c r="B285" s="92" t="s">
        <v>138</v>
      </c>
      <c r="C285" s="91" t="s">
        <v>2548</v>
      </c>
      <c r="D285" s="93">
        <v>302.5</v>
      </c>
      <c r="E285" s="93">
        <v>170</v>
      </c>
      <c r="F285" s="103">
        <f>IFERROR(INDEX(Tabella9[PLZ],MATCH(Tabella8[[#This Row],[Colonna2]],Tabella9[Ortschaftsname],0)), "Name not found")</f>
        <v>2735</v>
      </c>
      <c r="G285" s="103"/>
      <c r="H285" s="240">
        <f ca="1">SUMIF(Tabella2[[#Headers],[#Data],[Age]],$H$76,Tabella2[[#Headers],[#Data],[Federal taxes]])</f>
        <v>6804.3246087429152</v>
      </c>
      <c r="I28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5" s="240">
        <f ca="1">Tabella8[[#This Row],[Colonna7]]*Tabella8[[#This Row],[Colonna4]]/100</f>
        <v>44412.857727065144</v>
      </c>
      <c r="Q285" s="2"/>
      <c r="R285" s="4"/>
      <c r="S285" s="39"/>
      <c r="T285" s="46"/>
    </row>
    <row r="286" spans="2:20">
      <c r="B286" s="92" t="s">
        <v>138</v>
      </c>
      <c r="C286" s="91" t="s">
        <v>2549</v>
      </c>
      <c r="D286" s="93">
        <v>302.5</v>
      </c>
      <c r="E286" s="93">
        <v>194</v>
      </c>
      <c r="F286" s="103">
        <v>2747</v>
      </c>
      <c r="G286" s="103"/>
      <c r="H286" s="240">
        <f ca="1">SUMIF(Tabella2[[#Headers],[#Data],[Age]],$H$76,Tabella2[[#Headers],[#Data],[Federal taxes]])</f>
        <v>6804.3246087429152</v>
      </c>
      <c r="I28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6" s="240">
        <f ca="1">Tabella8[[#This Row],[Colonna7]]*Tabella8[[#This Row],[Colonna4]]/100</f>
        <v>50682.908229709632</v>
      </c>
      <c r="Q286" s="2"/>
      <c r="R286" s="4"/>
      <c r="S286" s="39"/>
      <c r="T286" s="2"/>
    </row>
    <row r="287" spans="2:20">
      <c r="B287" s="92" t="s">
        <v>138</v>
      </c>
      <c r="C287" s="91" t="s">
        <v>2319</v>
      </c>
      <c r="D287" s="93">
        <v>302.5</v>
      </c>
      <c r="E287" s="93">
        <v>179</v>
      </c>
      <c r="F287" s="103">
        <f>IFERROR(INDEX(Tabella9[PLZ],MATCH(Tabella8[[#This Row],[Colonna2]],Tabella9[Ortschaftsname],0)), "Name not found")</f>
        <v>2606</v>
      </c>
      <c r="G287" s="103"/>
      <c r="H287" s="240">
        <f ca="1">SUMIF(Tabella2[[#Headers],[#Data],[Age]],$H$76,Tabella2[[#Headers],[#Data],[Federal taxes]])</f>
        <v>6804.3246087429152</v>
      </c>
      <c r="I28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7" s="240">
        <f ca="1">Tabella8[[#This Row],[Colonna7]]*Tabella8[[#This Row],[Colonna4]]/100</f>
        <v>46764.126665556832</v>
      </c>
      <c r="Q287" s="2"/>
      <c r="R287" s="4"/>
      <c r="S287" s="39"/>
      <c r="T287" s="2"/>
    </row>
    <row r="288" spans="2:20">
      <c r="B288" s="92" t="s">
        <v>138</v>
      </c>
      <c r="C288" s="91" t="s">
        <v>2453</v>
      </c>
      <c r="D288" s="93">
        <v>302.5</v>
      </c>
      <c r="E288" s="93">
        <v>204</v>
      </c>
      <c r="F288" s="103">
        <f>IFERROR(INDEX(Tabella9[PLZ],MATCH(Tabella8[[#This Row],[Colonna2]],Tabella9[Ortschaftsname],0)), "Name not found")</f>
        <v>2612</v>
      </c>
      <c r="G288" s="103"/>
      <c r="H288" s="240">
        <f ca="1">SUMIF(Tabella2[[#Headers],[#Data],[Age]],$H$76,Tabella2[[#Headers],[#Data],[Federal taxes]])</f>
        <v>6804.3246087429152</v>
      </c>
      <c r="I28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8" s="240">
        <f ca="1">Tabella8[[#This Row],[Colonna7]]*Tabella8[[#This Row],[Colonna4]]/100</f>
        <v>53295.429272478177</v>
      </c>
      <c r="Q288" s="2"/>
      <c r="R288" s="4"/>
      <c r="S288" s="39"/>
      <c r="T288" s="2"/>
    </row>
    <row r="289" spans="2:20">
      <c r="B289" s="92" t="s">
        <v>138</v>
      </c>
      <c r="C289" s="91" t="s">
        <v>2409</v>
      </c>
      <c r="D289" s="93">
        <v>302.5</v>
      </c>
      <c r="E289" s="93">
        <v>199</v>
      </c>
      <c r="F289" s="103">
        <f>IFERROR(INDEX(Tabella9[PLZ],MATCH(Tabella8[[#This Row],[Colonna2]],Tabella9[Ortschaftsname],0)), "Name not found")</f>
        <v>2607</v>
      </c>
      <c r="G289" s="103"/>
      <c r="H289" s="240">
        <f ca="1">SUMIF(Tabella2[[#Headers],[#Data],[Age]],$H$76,Tabella2[[#Headers],[#Data],[Federal taxes]])</f>
        <v>6804.3246087429152</v>
      </c>
      <c r="I28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89" s="240">
        <f ca="1">Tabella8[[#This Row],[Colonna7]]*Tabella8[[#This Row],[Colonna4]]/100</f>
        <v>51989.168751093901</v>
      </c>
      <c r="Q289" s="2"/>
      <c r="R289" s="36">
        <f>IF(Q270&lt;$R$272,Q270*$S$271,IF(Q270&lt;$R$273,Q270*$S$272,IF(Q270&lt;$R$274,Q270*$S$273,IF(Q270&lt;$R$275,Q270*$S$274,IF(Q270&lt;$R$276,Q270*$S$275,IF(Q270&lt;$R$277,Q270*$S$276,IF(Q270&lt;$R$278,Q270*$S$277,IF(Q270&lt;$R$279,Q270*$S$278,IF(Q270&lt;$R$280,Q270*$S$279,IF(Q270&lt;$R$281,Q270*$S$280,IF(Q270&lt;$R$282,Q270*$S$281,IF(Q270&lt;$R$283,Q270*$S$282,IF(Q270&lt;$R$284,Q270*$S$283,IF(Q270&gt;$R$284,Q270*$S$284))))))))))))))</f>
        <v>9000</v>
      </c>
      <c r="S289" s="2"/>
      <c r="T289" s="2"/>
    </row>
    <row r="290" spans="2:20">
      <c r="B290" s="92" t="s">
        <v>138</v>
      </c>
      <c r="C290" s="91" t="s">
        <v>2334</v>
      </c>
      <c r="D290" s="93">
        <v>302.5</v>
      </c>
      <c r="E290" s="93">
        <v>194</v>
      </c>
      <c r="F290" s="103">
        <f>IFERROR(INDEX(Tabella9[PLZ],MATCH(Tabella8[[#This Row],[Colonna2]],Tabella9[Ortschaftsname],0)), "Name not found")</f>
        <v>2738</v>
      </c>
      <c r="G290" s="103"/>
      <c r="H290" s="240">
        <f ca="1">SUMIF(Tabella2[[#Headers],[#Data],[Age]],$H$76,Tabella2[[#Headers],[#Data],[Federal taxes]])</f>
        <v>6804.3246087429152</v>
      </c>
      <c r="I29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0" s="240">
        <f ca="1">Tabella8[[#This Row],[Colonna7]]*Tabella8[[#This Row],[Colonna4]]/100</f>
        <v>50682.908229709632</v>
      </c>
    </row>
    <row r="291" spans="2:20">
      <c r="B291" s="92" t="s">
        <v>138</v>
      </c>
      <c r="C291" s="91" t="s">
        <v>2339</v>
      </c>
      <c r="D291" s="93">
        <v>302.5</v>
      </c>
      <c r="E291" s="93">
        <v>214</v>
      </c>
      <c r="F291" s="103">
        <f>IFERROR(INDEX(Tabella9[PLZ],MATCH(Tabella8[[#This Row],[Colonna2]],Tabella9[Ortschaftsname],0)), "Name not found")</f>
        <v>2608</v>
      </c>
      <c r="G291" s="103"/>
      <c r="H291" s="240">
        <f ca="1">SUMIF(Tabella2[[#Headers],[#Data],[Age]],$H$76,Tabella2[[#Headers],[#Data],[Federal taxes]])</f>
        <v>6804.3246087429152</v>
      </c>
      <c r="I29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1" s="240">
        <f ca="1">Tabella8[[#This Row],[Colonna7]]*Tabella8[[#This Row],[Colonna4]]/100</f>
        <v>55907.950315246715</v>
      </c>
      <c r="Q291" s="68" t="s">
        <v>2550</v>
      </c>
      <c r="R291" s="21" t="s">
        <v>82</v>
      </c>
      <c r="S291" s="21" t="s">
        <v>2511</v>
      </c>
      <c r="T291" s="21" t="s">
        <v>90</v>
      </c>
    </row>
    <row r="292" spans="2:20">
      <c r="B292" s="92" t="s">
        <v>138</v>
      </c>
      <c r="C292" s="91" t="s">
        <v>2445</v>
      </c>
      <c r="D292" s="93">
        <v>302.5</v>
      </c>
      <c r="E292" s="93">
        <v>194</v>
      </c>
      <c r="F292" s="103">
        <f>IFERROR(INDEX(Tabella9[PLZ],MATCH(Tabella8[[#This Row],[Colonna2]],Tabella9[Ortschaftsname],0)), "Name not found")</f>
        <v>2746</v>
      </c>
      <c r="G292" s="103"/>
      <c r="H292" s="240">
        <f ca="1">SUMIF(Tabella2[[#Headers],[#Data],[Age]],$H$76,Tabella2[[#Headers],[#Data],[Federal taxes]])</f>
        <v>6804.3246087429152</v>
      </c>
      <c r="I29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2" s="240">
        <f ca="1">Tabella8[[#This Row],[Colonna7]]*Tabella8[[#This Row],[Colonna4]]/100</f>
        <v>50682.908229709632</v>
      </c>
      <c r="Q292" s="94">
        <v>100000</v>
      </c>
      <c r="R292" s="11" t="s">
        <v>2512</v>
      </c>
      <c r="S292" s="11" t="s">
        <v>2525</v>
      </c>
      <c r="T292" s="11"/>
    </row>
    <row r="293" spans="2:20">
      <c r="B293" s="92" t="s">
        <v>138</v>
      </c>
      <c r="C293" s="91" t="s">
        <v>2551</v>
      </c>
      <c r="D293" s="93">
        <v>302.5</v>
      </c>
      <c r="E293" s="93">
        <v>89</v>
      </c>
      <c r="F293" s="103">
        <v>3053</v>
      </c>
      <c r="G293" s="103"/>
      <c r="H293" s="240">
        <f ca="1">SUMIF(Tabella2[[#Headers],[#Data],[Age]],$H$76,Tabella2[[#Headers],[#Data],[Federal taxes]])</f>
        <v>6804.3246087429152</v>
      </c>
      <c r="I29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3" s="240">
        <f ca="1">Tabella8[[#This Row],[Colonna7]]*Tabella8[[#This Row],[Colonna4]]/100</f>
        <v>23251.437280639988</v>
      </c>
      <c r="Q293" s="26"/>
      <c r="R293" s="4">
        <v>0</v>
      </c>
      <c r="S293" s="39">
        <v>0</v>
      </c>
      <c r="T293" s="4"/>
    </row>
    <row r="294" spans="2:20">
      <c r="B294" s="92" t="s">
        <v>138</v>
      </c>
      <c r="C294" s="91" t="s">
        <v>2301</v>
      </c>
      <c r="D294" s="93">
        <v>302.5</v>
      </c>
      <c r="E294" s="93">
        <v>190</v>
      </c>
      <c r="F294" s="103">
        <f>IFERROR(INDEX(Tabella9[PLZ],MATCH(Tabella8[[#This Row],[Colonna2]],Tabella9[Ortschaftsname],0)), "Name not found")</f>
        <v>3754</v>
      </c>
      <c r="G294" s="103"/>
      <c r="H294" s="240">
        <f ca="1">SUMIF(Tabella2[[#Headers],[#Data],[Age]],$H$76,Tabella2[[#Headers],[#Data],[Federal taxes]])</f>
        <v>6804.3246087429152</v>
      </c>
      <c r="I29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4" s="240">
        <f ca="1">Tabella8[[#This Row],[Colonna7]]*Tabella8[[#This Row],[Colonna4]]/100</f>
        <v>49637.899812602227</v>
      </c>
      <c r="Q294" s="2"/>
      <c r="R294" s="4">
        <v>8300</v>
      </c>
      <c r="S294" s="39">
        <v>6.0000000000000001E-3</v>
      </c>
      <c r="T294" s="4"/>
    </row>
    <row r="295" spans="2:20">
      <c r="B295" s="92" t="s">
        <v>138</v>
      </c>
      <c r="C295" s="91" t="s">
        <v>2377</v>
      </c>
      <c r="D295" s="93">
        <v>302.5</v>
      </c>
      <c r="E295" s="93">
        <v>180</v>
      </c>
      <c r="F295" s="103">
        <v>3264</v>
      </c>
      <c r="G295" s="103"/>
      <c r="H295" s="240">
        <f ca="1">SUMIF(Tabella2[[#Headers],[#Data],[Age]],$H$76,Tabella2[[#Headers],[#Data],[Federal taxes]])</f>
        <v>6804.3246087429152</v>
      </c>
      <c r="I29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5" s="240">
        <f ca="1">Tabella8[[#This Row],[Colonna7]]*Tabella8[[#This Row],[Colonna4]]/100</f>
        <v>47025.378769833682</v>
      </c>
      <c r="Q295" s="2"/>
      <c r="R295" s="4">
        <f>R294+1600</f>
        <v>9900</v>
      </c>
      <c r="S295" s="39">
        <v>0.01</v>
      </c>
      <c r="T295" s="4"/>
    </row>
    <row r="296" spans="2:20">
      <c r="B296" s="92" t="s">
        <v>138</v>
      </c>
      <c r="C296" s="91" t="s">
        <v>2330</v>
      </c>
      <c r="D296" s="93">
        <v>302.5</v>
      </c>
      <c r="E296" s="93">
        <v>185</v>
      </c>
      <c r="F296" s="103">
        <f>IFERROR(INDEX(Tabella9[PLZ],MATCH(Tabella8[[#This Row],[Colonna2]],Tabella9[Ortschaftsname],0)), "Name not found")</f>
        <v>3293</v>
      </c>
      <c r="G296" s="103"/>
      <c r="H296" s="240">
        <f ca="1">SUMIF(Tabella2[[#Headers],[#Data],[Age]],$H$76,Tabella2[[#Headers],[#Data],[Federal taxes]])</f>
        <v>6804.3246087429152</v>
      </c>
      <c r="I29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6" s="240">
        <f ca="1">Tabella8[[#This Row],[Colonna7]]*Tabella8[[#This Row],[Colonna4]]/100</f>
        <v>48331.639291217951</v>
      </c>
      <c r="Q296" s="2"/>
      <c r="R296" s="4">
        <f>R295+1600</f>
        <v>11500</v>
      </c>
      <c r="S296" s="39">
        <v>1.4999999999999999E-2</v>
      </c>
      <c r="T296" s="4"/>
    </row>
    <row r="297" spans="2:20">
      <c r="B297" s="92" t="s">
        <v>138</v>
      </c>
      <c r="C297" s="91" t="s">
        <v>2466</v>
      </c>
      <c r="D297" s="93">
        <v>302.5</v>
      </c>
      <c r="E297" s="93">
        <v>189</v>
      </c>
      <c r="F297" s="103">
        <f>IFERROR(INDEX(Tabella9[PLZ],MATCH(Tabella8[[#This Row],[Colonna2]],Tabella9[Ortschaftsname],0)), "Name not found")</f>
        <v>3707</v>
      </c>
      <c r="G297" s="103"/>
      <c r="H297" s="240">
        <f ca="1">SUMIF(Tabella2[[#Headers],[#Data],[Age]],$H$76,Tabella2[[#Headers],[#Data],[Federal taxes]])</f>
        <v>6804.3246087429152</v>
      </c>
      <c r="I29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7" s="240">
        <f ca="1">Tabella8[[#This Row],[Colonna7]]*Tabella8[[#This Row],[Colonna4]]/100</f>
        <v>49376.64770832537</v>
      </c>
      <c r="Q297" s="2"/>
      <c r="R297" s="4">
        <f>R296+4200</f>
        <v>15700</v>
      </c>
      <c r="S297" s="39">
        <v>1.7999999999999999E-2</v>
      </c>
      <c r="T297" s="4"/>
    </row>
    <row r="298" spans="2:20">
      <c r="B298" s="92" t="s">
        <v>138</v>
      </c>
      <c r="C298" s="91" t="s">
        <v>2392</v>
      </c>
      <c r="D298" s="93">
        <v>302.5</v>
      </c>
      <c r="E298" s="93">
        <v>160</v>
      </c>
      <c r="F298" s="103">
        <f>IFERROR(INDEX(Tabella9[PLZ],MATCH(Tabella8[[#This Row],[Colonna2]],Tabella9[Ortschaftsname],0)), "Name not found")</f>
        <v>3763</v>
      </c>
      <c r="G298" s="103"/>
      <c r="H298" s="240">
        <f ca="1">SUMIF(Tabella2[[#Headers],[#Data],[Age]],$H$76,Tabella2[[#Headers],[#Data],[Federal taxes]])</f>
        <v>6804.3246087429152</v>
      </c>
      <c r="I29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8" s="240">
        <f ca="1">Tabella8[[#This Row],[Colonna7]]*Tabella8[[#This Row],[Colonna4]]/100</f>
        <v>41800.336684296606</v>
      </c>
      <c r="Q298" s="2"/>
      <c r="R298" s="4">
        <f>R297+11500</f>
        <v>27200</v>
      </c>
      <c r="S298" s="39">
        <v>2.1999999999999999E-2</v>
      </c>
      <c r="T298" s="4"/>
    </row>
    <row r="299" spans="2:20">
      <c r="B299" s="92" t="s">
        <v>138</v>
      </c>
      <c r="C299" s="91" t="s">
        <v>2373</v>
      </c>
      <c r="D299" s="93">
        <v>302.5</v>
      </c>
      <c r="E299" s="93">
        <v>189</v>
      </c>
      <c r="F299" s="103">
        <f>IFERROR(INDEX(Tabella9[PLZ],MATCH(Tabella8[[#This Row],[Colonna2]],Tabella9[Ortschaftsname],0)), "Name not found")</f>
        <v>3465</v>
      </c>
      <c r="G299" s="103"/>
      <c r="H299" s="240">
        <f ca="1">SUMIF(Tabella2[[#Headers],[#Data],[Age]],$H$76,Tabella2[[#Headers],[#Data],[Federal taxes]])</f>
        <v>6804.3246087429152</v>
      </c>
      <c r="I29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299" s="240">
        <f ca="1">Tabella8[[#This Row],[Colonna7]]*Tabella8[[#This Row],[Colonna4]]/100</f>
        <v>49376.64770832537</v>
      </c>
      <c r="Q299" s="2"/>
      <c r="R299" s="4">
        <f>R298+14600</f>
        <v>41800</v>
      </c>
      <c r="S299" s="39">
        <v>2.4E-2</v>
      </c>
      <c r="T299" s="4"/>
    </row>
    <row r="300" spans="2:20">
      <c r="B300" s="92" t="s">
        <v>138</v>
      </c>
      <c r="C300" s="91" t="s">
        <v>2286</v>
      </c>
      <c r="D300" s="93">
        <v>302.5</v>
      </c>
      <c r="E300" s="93">
        <v>180</v>
      </c>
      <c r="F300" s="103">
        <f>IFERROR(INDEX(Tabella9[PLZ],MATCH(Tabella8[[#This Row],[Colonna2]],Tabella9[Ortschaftsname],0)), "Name not found")</f>
        <v>3537</v>
      </c>
      <c r="G300" s="103"/>
      <c r="H300" s="240">
        <f ca="1">SUMIF(Tabella2[[#Headers],[#Data],[Age]],$H$76,Tabella2[[#Headers],[#Data],[Federal taxes]])</f>
        <v>6804.3246087429152</v>
      </c>
      <c r="I30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0" s="240">
        <f ca="1">Tabella8[[#This Row],[Colonna7]]*Tabella8[[#This Row],[Colonna4]]/100</f>
        <v>47025.378769833682</v>
      </c>
      <c r="Q300" s="2"/>
      <c r="R300" s="4">
        <f>R299+12500</f>
        <v>54300</v>
      </c>
      <c r="S300" s="39">
        <v>2.5999999999999999E-2</v>
      </c>
      <c r="T300" s="4"/>
    </row>
    <row r="301" spans="2:20">
      <c r="B301" s="92" t="s">
        <v>138</v>
      </c>
      <c r="C301" s="91" t="s">
        <v>2552</v>
      </c>
      <c r="D301" s="93">
        <v>302.5</v>
      </c>
      <c r="E301" s="93">
        <v>170</v>
      </c>
      <c r="F301" s="103">
        <f>IFERROR(INDEX(Tabella9[PLZ],MATCH(Tabella8[[#This Row],[Colonna2]],Tabella9[Ortschaftsname],0)), "Name not found")</f>
        <v>3272</v>
      </c>
      <c r="G301" s="103"/>
      <c r="H301" s="240">
        <f ca="1">SUMIF(Tabella2[[#Headers],[#Data],[Age]],$H$76,Tabella2[[#Headers],[#Data],[Federal taxes]])</f>
        <v>6804.3246087429152</v>
      </c>
      <c r="I30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1" s="240">
        <f ca="1">Tabella8[[#This Row],[Colonna7]]*Tabella8[[#This Row],[Colonna4]]/100</f>
        <v>44412.857727065144</v>
      </c>
      <c r="Q301" s="2"/>
      <c r="R301" s="4">
        <f>R300+19800</f>
        <v>74100</v>
      </c>
      <c r="S301" s="39">
        <v>2.7E-2</v>
      </c>
      <c r="T301" s="4"/>
    </row>
    <row r="302" spans="2:20">
      <c r="B302" s="92" t="s">
        <v>138</v>
      </c>
      <c r="C302" s="91" t="s">
        <v>2337</v>
      </c>
      <c r="D302" s="93">
        <v>302.5</v>
      </c>
      <c r="E302" s="93">
        <v>179</v>
      </c>
      <c r="F302" s="103">
        <f>IFERROR(INDEX(Tabella9[PLZ],MATCH(Tabella8[[#This Row],[Colonna2]],Tabella9[Ortschaftsname],0)), "Name not found")</f>
        <v>4952</v>
      </c>
      <c r="G302" s="103"/>
      <c r="H302" s="240">
        <f ca="1">SUMIF(Tabella2[[#Headers],[#Data],[Age]],$H$76,Tabella2[[#Headers],[#Data],[Federal taxes]])</f>
        <v>6804.3246087429152</v>
      </c>
      <c r="I30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2" s="240">
        <f ca="1">Tabella8[[#This Row],[Colonna7]]*Tabella8[[#This Row],[Colonna4]]/100</f>
        <v>46764.126665556832</v>
      </c>
      <c r="Q302" s="2"/>
      <c r="R302" s="4">
        <f>R301+14600</f>
        <v>88700</v>
      </c>
      <c r="S302" s="39">
        <v>2.8000000000000001E-2</v>
      </c>
      <c r="T302" s="4"/>
    </row>
    <row r="303" spans="2:20">
      <c r="B303" s="92" t="s">
        <v>138</v>
      </c>
      <c r="C303" s="91" t="s">
        <v>2450</v>
      </c>
      <c r="D303" s="93">
        <v>302.5</v>
      </c>
      <c r="E303" s="93">
        <v>180</v>
      </c>
      <c r="F303" s="103">
        <f>IFERROR(INDEX(Tabella9[PLZ],MATCH(Tabella8[[#This Row],[Colonna2]],Tabella9[Ortschaftsname],0)), "Name not found")</f>
        <v>3619</v>
      </c>
      <c r="G303" s="103"/>
      <c r="H303" s="240">
        <f ca="1">SUMIF(Tabella2[[#Headers],[#Data],[Age]],$H$76,Tabella2[[#Headers],[#Data],[Federal taxes]])</f>
        <v>6804.3246087429152</v>
      </c>
      <c r="I30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3" s="240">
        <f ca="1">Tabella8[[#This Row],[Colonna7]]*Tabella8[[#This Row],[Colonna4]]/100</f>
        <v>47025.378769833682</v>
      </c>
      <c r="Q303" s="2"/>
      <c r="R303" s="4">
        <f>R302+36500</f>
        <v>125200</v>
      </c>
      <c r="S303" s="39">
        <v>2.9000000000000001E-2</v>
      </c>
      <c r="T303" s="4"/>
    </row>
    <row r="304" spans="2:20">
      <c r="B304" s="92" t="s">
        <v>138</v>
      </c>
      <c r="C304" s="91" t="s">
        <v>2335</v>
      </c>
      <c r="D304" s="93">
        <v>302.5</v>
      </c>
      <c r="E304" s="93">
        <v>150</v>
      </c>
      <c r="F304" s="103">
        <f>IFERROR(INDEX(Tabella9[PLZ],MATCH(Tabella8[[#This Row],[Colonna2]],Tabella9[Ortschaftsname],0)), "Name not found")</f>
        <v>3235</v>
      </c>
      <c r="G304" s="103"/>
      <c r="H304" s="240">
        <f ca="1">SUMIF(Tabella2[[#Headers],[#Data],[Age]],$H$76,Tabella2[[#Headers],[#Data],[Federal taxes]])</f>
        <v>6804.3246087429152</v>
      </c>
      <c r="I30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4" s="240">
        <f ca="1">Tabella8[[#This Row],[Colonna7]]*Tabella8[[#This Row],[Colonna4]]/100</f>
        <v>39187.815641528068</v>
      </c>
      <c r="Q304" s="2"/>
      <c r="R304" s="4">
        <f>R303+135600</f>
        <v>260800</v>
      </c>
      <c r="S304" s="39">
        <v>2.5999999999999999E-2</v>
      </c>
      <c r="T304" s="4"/>
    </row>
    <row r="305" spans="2:21">
      <c r="B305" s="92" t="s">
        <v>138</v>
      </c>
      <c r="C305" s="91" t="s">
        <v>2316</v>
      </c>
      <c r="D305" s="93">
        <v>302.5</v>
      </c>
      <c r="E305" s="93">
        <v>164</v>
      </c>
      <c r="F305" s="103">
        <f>IFERROR(INDEX(Tabella9[PLZ],MATCH(Tabella8[[#This Row],[Colonna2]],Tabella9[Ortschaftsname],0)), "Name not found")</f>
        <v>3762</v>
      </c>
      <c r="G305" s="103"/>
      <c r="H305" s="240">
        <f ca="1">SUMIF(Tabella2[[#Headers],[#Data],[Age]],$H$76,Tabella2[[#Headers],[#Data],[Federal taxes]])</f>
        <v>6804.3246087429152</v>
      </c>
      <c r="I30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5" s="240">
        <f ca="1">Tabella8[[#This Row],[Colonna7]]*Tabella8[[#This Row],[Colonna4]]/100</f>
        <v>42845.345101404026</v>
      </c>
      <c r="Q305" s="2"/>
      <c r="R305" s="4"/>
      <c r="S305" s="39"/>
      <c r="T305" s="46"/>
    </row>
    <row r="306" spans="2:21">
      <c r="B306" s="92" t="s">
        <v>138</v>
      </c>
      <c r="C306" s="91" t="s">
        <v>2305</v>
      </c>
      <c r="D306" s="93">
        <v>302.5</v>
      </c>
      <c r="E306" s="93">
        <v>170</v>
      </c>
      <c r="F306" s="103">
        <f>IFERROR(INDEX(Tabella9[PLZ],MATCH(Tabella8[[#This Row],[Colonna2]],Tabella9[Ortschaftsname],0)), "Name not found")</f>
        <v>3423</v>
      </c>
      <c r="G306" s="103"/>
      <c r="H306" s="240">
        <f ca="1">SUMIF(Tabella2[[#Headers],[#Data],[Age]],$H$76,Tabella2[[#Headers],[#Data],[Federal taxes]])</f>
        <v>6804.3246087429152</v>
      </c>
      <c r="I30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6" s="240">
        <f ca="1">Tabella8[[#This Row],[Colonna7]]*Tabella8[[#This Row],[Colonna4]]/100</f>
        <v>44412.857727065144</v>
      </c>
      <c r="Q306" s="2"/>
      <c r="R306" s="4"/>
      <c r="S306" s="39"/>
      <c r="T306" s="46"/>
    </row>
    <row r="307" spans="2:21">
      <c r="B307" s="92" t="s">
        <v>138</v>
      </c>
      <c r="C307" s="91" t="s">
        <v>2553</v>
      </c>
      <c r="D307" s="93">
        <v>302.5</v>
      </c>
      <c r="E307" s="93">
        <v>194</v>
      </c>
      <c r="F307" s="103">
        <f>IFERROR(INDEX(Tabella9[PLZ],MATCH(Tabella8[[#This Row],[Colonna2]],Tabella9[Ortschaftsname],0)), "Name not found")</f>
        <v>2743</v>
      </c>
      <c r="G307" s="103"/>
      <c r="H307" s="240">
        <f ca="1">SUMIF(Tabella2[[#Headers],[#Data],[Age]],$H$76,Tabella2[[#Headers],[#Data],[Federal taxes]])</f>
        <v>6804.3246087429152</v>
      </c>
      <c r="I30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7" s="240">
        <f ca="1">Tabella8[[#This Row],[Colonna7]]*Tabella8[[#This Row],[Colonna4]]/100</f>
        <v>50682.908229709632</v>
      </c>
      <c r="Q307" s="2"/>
      <c r="R307" s="4"/>
      <c r="S307" s="39"/>
      <c r="T307" s="46"/>
    </row>
    <row r="308" spans="2:21">
      <c r="B308" s="92" t="s">
        <v>138</v>
      </c>
      <c r="C308" s="91" t="s">
        <v>2278</v>
      </c>
      <c r="D308" s="93">
        <v>302.5</v>
      </c>
      <c r="E308" s="93">
        <v>152</v>
      </c>
      <c r="F308" s="103">
        <f>IFERROR(INDEX(Tabella9[PLZ],MATCH(Tabella8[[#This Row],[Colonna2]],Tabella9[Ortschaftsname],0)), "Name not found")</f>
        <v>2533</v>
      </c>
      <c r="G308" s="103"/>
      <c r="H308" s="240">
        <f ca="1">SUMIF(Tabella2[[#Headers],[#Data],[Age]],$H$76,Tabella2[[#Headers],[#Data],[Federal taxes]])</f>
        <v>6804.3246087429152</v>
      </c>
      <c r="I30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8" s="240">
        <f ca="1">Tabella8[[#This Row],[Colonna7]]*Tabella8[[#This Row],[Colonna4]]/100</f>
        <v>39710.319850081774</v>
      </c>
      <c r="Q308" s="2"/>
      <c r="R308" s="4"/>
      <c r="S308" s="39"/>
      <c r="T308" s="2"/>
    </row>
    <row r="309" spans="2:21">
      <c r="B309" s="92" t="s">
        <v>138</v>
      </c>
      <c r="C309" s="91" t="s">
        <v>2403</v>
      </c>
      <c r="D309" s="93">
        <v>302.5</v>
      </c>
      <c r="E309" s="93">
        <v>178</v>
      </c>
      <c r="F309" s="103">
        <v>3617</v>
      </c>
      <c r="G309" s="103"/>
      <c r="H309" s="240">
        <f ca="1">SUMIF(Tabella2[[#Headers],[#Data],[Age]],$H$76,Tabella2[[#Headers],[#Data],[Federal taxes]])</f>
        <v>6804.3246087429152</v>
      </c>
      <c r="I30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09" s="240">
        <f ca="1">Tabella8[[#This Row],[Colonna7]]*Tabella8[[#This Row],[Colonna4]]/100</f>
        <v>46502.874561279976</v>
      </c>
      <c r="Q309" s="2"/>
      <c r="R309" s="4"/>
      <c r="S309" s="39"/>
      <c r="T309" s="2"/>
    </row>
    <row r="310" spans="2:21">
      <c r="B310" s="92" t="s">
        <v>138</v>
      </c>
      <c r="C310" s="91" t="s">
        <v>2554</v>
      </c>
      <c r="D310" s="93">
        <v>302.5</v>
      </c>
      <c r="E310" s="93">
        <v>169</v>
      </c>
      <c r="F310" s="103">
        <f>IFERROR(INDEX(Tabella9[PLZ],MATCH(Tabella8[[#This Row],[Colonna2]],Tabella9[Ortschaftsname],0)), "Name not found")</f>
        <v>4539</v>
      </c>
      <c r="G310" s="103"/>
      <c r="H310" s="240">
        <f ca="1">SUMIF(Tabella2[[#Headers],[#Data],[Age]],$H$76,Tabella2[[#Headers],[#Data],[Federal taxes]])</f>
        <v>6804.3246087429152</v>
      </c>
      <c r="I31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0" s="240">
        <f ca="1">Tabella8[[#This Row],[Colonna7]]*Tabella8[[#This Row],[Colonna4]]/100</f>
        <v>44151.605622788287</v>
      </c>
      <c r="Q310" s="2"/>
      <c r="R310" s="4"/>
      <c r="S310" s="39"/>
      <c r="T310" s="2"/>
    </row>
    <row r="311" spans="2:21">
      <c r="B311" s="92" t="s">
        <v>138</v>
      </c>
      <c r="C311" s="91" t="s">
        <v>2351</v>
      </c>
      <c r="D311" s="93">
        <v>302.5</v>
      </c>
      <c r="E311" s="93">
        <v>175</v>
      </c>
      <c r="F311" s="103">
        <f>IFERROR(INDEX(Tabella9[PLZ],MATCH(Tabella8[[#This Row],[Colonna2]],Tabella9[Ortschaftsname],0)), "Name not found")</f>
        <v>3206</v>
      </c>
      <c r="G311" s="103"/>
      <c r="H311" s="240">
        <f ca="1">SUMIF(Tabella2[[#Headers],[#Data],[Age]],$H$76,Tabella2[[#Headers],[#Data],[Federal taxes]])</f>
        <v>6804.3246087429152</v>
      </c>
      <c r="I31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1" s="240">
        <f ca="1">Tabella8[[#This Row],[Colonna7]]*Tabella8[[#This Row],[Colonna4]]/100</f>
        <v>45719.118248449413</v>
      </c>
      <c r="Q311" s="2"/>
      <c r="R311" s="36">
        <f>IF(Q292&lt;$R$294,Q292*$S$293,IF(Q292&lt;$R$295,Q292*$S$294,IF(Q292&lt;$R$296,Q292*$S$295,IF(Q292&lt;$R$297,Q292*$S$296,IF(Q292&lt;$R$298,Q292*$S$297,IF(Q292&lt;$R$299,Q292*$S$298,IF(Q292&lt;$R$300,Q292*$S$299,IF(Q292&lt;$R$301,Q292*$S$300,IF(Q292&lt;$R$302,Q292*$S$301,IF(Q292&lt;$R$303,Q292*$S$302,IF(Q292&lt;$R$304,Q292*$S$303,IF(Q292&gt;$R$304,Q292*S304))))))))))))</f>
        <v>2800</v>
      </c>
      <c r="S311" s="2"/>
      <c r="T311" s="2"/>
    </row>
    <row r="312" spans="2:21">
      <c r="B312" s="92" t="s">
        <v>138</v>
      </c>
      <c r="C312" s="91" t="s">
        <v>2438</v>
      </c>
      <c r="D312" s="93">
        <v>302.5</v>
      </c>
      <c r="E312" s="93">
        <v>180</v>
      </c>
      <c r="F312" s="103">
        <f>IFERROR(INDEX(Tabella9[PLZ],MATCH(Tabella8[[#This Row],[Colonna2]],Tabella9[Ortschaftsname],0)), "Name not found")</f>
        <v>2577</v>
      </c>
      <c r="G312" s="103"/>
      <c r="H312" s="240">
        <f ca="1">SUMIF(Tabella2[[#Headers],[#Data],[Age]],$H$76,Tabella2[[#Headers],[#Data],[Federal taxes]])</f>
        <v>6804.3246087429152</v>
      </c>
      <c r="I31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2" s="240">
        <f ca="1">Tabella8[[#This Row],[Colonna7]]*Tabella8[[#This Row],[Colonna4]]/100</f>
        <v>47025.378769833682</v>
      </c>
    </row>
    <row r="313" spans="2:21">
      <c r="B313" s="92" t="s">
        <v>138</v>
      </c>
      <c r="C313" s="91" t="s">
        <v>2405</v>
      </c>
      <c r="D313" s="93">
        <v>302.5</v>
      </c>
      <c r="E313" s="93">
        <v>170</v>
      </c>
      <c r="F313" s="103">
        <v>3634</v>
      </c>
      <c r="G313" s="103"/>
      <c r="H313" s="240">
        <f ca="1">SUMIF(Tabella2[[#Headers],[#Data],[Age]],$H$76,Tabella2[[#Headers],[#Data],[Federal taxes]])</f>
        <v>6804.3246087429152</v>
      </c>
      <c r="I31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3" s="240">
        <f ca="1">Tabella8[[#This Row],[Colonna7]]*Tabella8[[#This Row],[Colonna4]]/100</f>
        <v>44412.857727065144</v>
      </c>
      <c r="Q313" s="68" t="s">
        <v>2555</v>
      </c>
      <c r="R313" s="21" t="s">
        <v>82</v>
      </c>
      <c r="S313" s="21" t="s">
        <v>2511</v>
      </c>
      <c r="T313" s="21" t="s">
        <v>90</v>
      </c>
      <c r="U313" s="21" t="s">
        <v>2505</v>
      </c>
    </row>
    <row r="314" spans="2:21">
      <c r="B314" s="92" t="s">
        <v>138</v>
      </c>
      <c r="C314" s="91" t="s">
        <v>2223</v>
      </c>
      <c r="D314" s="93">
        <v>302.5</v>
      </c>
      <c r="E314" s="93">
        <v>175</v>
      </c>
      <c r="F314" s="103">
        <f>IFERROR(INDEX(Tabella9[PLZ],MATCH(Tabella8[[#This Row],[Colonna2]],Tabella9[Ortschaftsname],0)), "Name not found")</f>
        <v>3312</v>
      </c>
      <c r="G314" s="103"/>
      <c r="H314" s="240">
        <f ca="1">SUMIF(Tabella2[[#Headers],[#Data],[Age]],$H$76,Tabella2[[#Headers],[#Data],[Federal taxes]])</f>
        <v>6804.3246087429152</v>
      </c>
      <c r="I31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4" s="240">
        <f ca="1">Tabella8[[#This Row],[Colonna7]]*Tabella8[[#This Row],[Colonna4]]/100</f>
        <v>45719.118248449413</v>
      </c>
      <c r="Q314" s="94">
        <v>100000</v>
      </c>
      <c r="R314" s="11" t="s">
        <v>2556</v>
      </c>
      <c r="S314" s="11" t="s">
        <v>2557</v>
      </c>
      <c r="T314" s="11" t="s">
        <v>2558</v>
      </c>
      <c r="U314" s="11"/>
    </row>
    <row r="315" spans="2:21">
      <c r="B315" s="92" t="s">
        <v>138</v>
      </c>
      <c r="C315" s="91" t="s">
        <v>2353</v>
      </c>
      <c r="D315" s="93">
        <v>302.5</v>
      </c>
      <c r="E315" s="93">
        <v>160</v>
      </c>
      <c r="F315" s="103">
        <f>IFERROR(INDEX(Tabella9[PLZ],MATCH(Tabella8[[#This Row],[Colonna2]],Tabella9[Ortschaftsname],0)), "Name not found")</f>
        <v>3202</v>
      </c>
      <c r="G315" s="103"/>
      <c r="H315" s="240">
        <f ca="1">SUMIF(Tabella2[[#Headers],[#Data],[Age]],$H$76,Tabella2[[#Headers],[#Data],[Federal taxes]])</f>
        <v>6804.3246087429152</v>
      </c>
      <c r="I31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5" s="240">
        <f ca="1">Tabella8[[#This Row],[Colonna7]]*Tabella8[[#This Row],[Colonna4]]/100</f>
        <v>41800.336684296606</v>
      </c>
      <c r="Q315" s="26"/>
      <c r="R315" s="4"/>
      <c r="S315" s="39"/>
      <c r="T315" s="4"/>
      <c r="U315" s="4"/>
    </row>
    <row r="316" spans="2:21">
      <c r="B316" s="92" t="s">
        <v>138</v>
      </c>
      <c r="C316" s="91" t="s">
        <v>2456</v>
      </c>
      <c r="D316" s="93">
        <v>302.5</v>
      </c>
      <c r="E316" s="93">
        <v>180</v>
      </c>
      <c r="F316" s="103">
        <f>IFERROR(INDEX(Tabella9[PLZ],MATCH(Tabella8[[#This Row],[Colonna2]],Tabella9[Ortschaftsname],0)), "Name not found")</f>
        <v>3510</v>
      </c>
      <c r="G316" s="103"/>
      <c r="H316" s="240">
        <f ca="1">SUMIF(Tabella2[[#Headers],[#Data],[Age]],$H$76,Tabella2[[#Headers],[#Data],[Federal taxes]])</f>
        <v>6804.3246087429152</v>
      </c>
      <c r="I31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6" s="240">
        <f ca="1">Tabella8[[#This Row],[Colonna7]]*Tabella8[[#This Row],[Colonna4]]/100</f>
        <v>47025.378769833682</v>
      </c>
      <c r="Q316" s="4">
        <v>0</v>
      </c>
      <c r="R316" s="4">
        <v>0</v>
      </c>
      <c r="S316" s="4">
        <v>0</v>
      </c>
      <c r="T316" s="4">
        <v>0</v>
      </c>
      <c r="U316" s="4"/>
    </row>
    <row r="317" spans="2:21">
      <c r="B317" s="92" t="s">
        <v>138</v>
      </c>
      <c r="C317" s="91" t="s">
        <v>2205</v>
      </c>
      <c r="D317" s="93">
        <v>302.5</v>
      </c>
      <c r="E317" s="93">
        <v>185</v>
      </c>
      <c r="F317" s="103">
        <f>IFERROR(INDEX(Tabella9[PLZ],MATCH(Tabella8[[#This Row],[Colonna2]],Tabella9[Ortschaftsname],0)), "Name not found")</f>
        <v>3714</v>
      </c>
      <c r="G317" s="103"/>
      <c r="H317" s="240">
        <f ca="1">SUMIF(Tabella2[[#Headers],[#Data],[Age]],$H$76,Tabella2[[#Headers],[#Data],[Federal taxes]])</f>
        <v>6804.3246087429152</v>
      </c>
      <c r="I31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7" s="240">
        <f ca="1">Tabella8[[#This Row],[Colonna7]]*Tabella8[[#This Row],[Colonna4]]/100</f>
        <v>48331.639291217951</v>
      </c>
      <c r="Q317" s="4">
        <v>16500</v>
      </c>
      <c r="R317" s="112">
        <v>-0.82628100000000004</v>
      </c>
      <c r="S317" s="113">
        <v>8.9719999999999994E-2</v>
      </c>
      <c r="T317" s="114">
        <v>818.725099</v>
      </c>
      <c r="U317" s="4"/>
    </row>
    <row r="318" spans="2:21">
      <c r="B318" s="92" t="s">
        <v>138</v>
      </c>
      <c r="C318" s="91" t="s">
        <v>2401</v>
      </c>
      <c r="D318" s="93">
        <v>302.5</v>
      </c>
      <c r="E318" s="93">
        <v>139</v>
      </c>
      <c r="F318" s="103">
        <f>IFERROR(INDEX(Tabella9[PLZ],MATCH(Tabella8[[#This Row],[Colonna2]],Tabella9[Ortschaftsname],0)), "Name not found")</f>
        <v>3238</v>
      </c>
      <c r="G318" s="103"/>
      <c r="H318" s="240">
        <f ca="1">SUMIF(Tabella2[[#Headers],[#Data],[Age]],$H$76,Tabella2[[#Headers],[#Data],[Federal taxes]])</f>
        <v>6804.3246087429152</v>
      </c>
      <c r="I31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8" s="240">
        <f ca="1">Tabella8[[#This Row],[Colonna7]]*Tabella8[[#This Row],[Colonna4]]/100</f>
        <v>36314.042494482681</v>
      </c>
      <c r="Q318" s="4">
        <v>44000</v>
      </c>
      <c r="R318" s="112">
        <v>-0.32791900000000002</v>
      </c>
      <c r="S318" s="113">
        <v>4.3109000000000001E-2</v>
      </c>
      <c r="T318" s="114">
        <v>-1232.14815</v>
      </c>
      <c r="U318" s="4"/>
    </row>
    <row r="319" spans="2:21">
      <c r="B319" s="92" t="s">
        <v>138</v>
      </c>
      <c r="C319" s="91" t="s">
        <v>2382</v>
      </c>
      <c r="D319" s="93">
        <v>302.5</v>
      </c>
      <c r="E319" s="93">
        <v>119</v>
      </c>
      <c r="F319" s="103">
        <f>IFERROR(INDEX(Tabella9[PLZ],MATCH(Tabella8[[#This Row],[Colonna2]],Tabella9[Ortschaftsname],0)), "Name not found")</f>
        <v>3236</v>
      </c>
      <c r="G319" s="103"/>
      <c r="H319" s="240">
        <f ca="1">SUMIF(Tabella2[[#Headers],[#Data],[Age]],$H$76,Tabella2[[#Headers],[#Data],[Federal taxes]])</f>
        <v>6804.3246087429152</v>
      </c>
      <c r="I31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19" s="240">
        <f ca="1">Tabella8[[#This Row],[Colonna7]]*Tabella8[[#This Row],[Colonna4]]/100</f>
        <v>31089.000408945602</v>
      </c>
      <c r="Q319" s="4">
        <v>110000</v>
      </c>
      <c r="R319" s="112">
        <v>5.1298000000000003E-2</v>
      </c>
      <c r="S319" s="113">
        <v>1.0441000000000001E-2</v>
      </c>
      <c r="T319" s="114">
        <v>-4825.5355250000002</v>
      </c>
      <c r="U319" s="4"/>
    </row>
    <row r="320" spans="2:21">
      <c r="B320" s="92" t="s">
        <v>138</v>
      </c>
      <c r="C320" s="91" t="s">
        <v>2357</v>
      </c>
      <c r="D320" s="93">
        <v>302.5</v>
      </c>
      <c r="E320" s="93">
        <v>154</v>
      </c>
      <c r="F320" s="103">
        <f>IFERROR(INDEX(Tabella9[PLZ],MATCH(Tabella8[[#This Row],[Colonna2]],Tabella9[Ortschaftsname],0)), "Name not found")</f>
        <v>3115</v>
      </c>
      <c r="G320" s="103"/>
      <c r="H320" s="240">
        <f ca="1">SUMIF(Tabella2[[#Headers],[#Data],[Age]],$H$76,Tabella2[[#Headers],[#Data],[Federal taxes]])</f>
        <v>6804.3246087429152</v>
      </c>
      <c r="I32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0" s="240">
        <f ca="1">Tabella8[[#This Row],[Colonna7]]*Tabella8[[#This Row],[Colonna4]]/100</f>
        <v>40232.82405863548</v>
      </c>
      <c r="Q320" s="4">
        <v>1265000</v>
      </c>
      <c r="R320" s="112">
        <v>232436.77</v>
      </c>
      <c r="S320" s="113">
        <v>0.1862</v>
      </c>
      <c r="T320" s="4"/>
      <c r="U320" s="4"/>
    </row>
    <row r="321" spans="2:21">
      <c r="B321" s="92" t="s">
        <v>138</v>
      </c>
      <c r="C321" s="91" t="s">
        <v>2408</v>
      </c>
      <c r="D321" s="93">
        <v>302.5</v>
      </c>
      <c r="E321" s="93">
        <v>184</v>
      </c>
      <c r="F321" s="103">
        <f>IFERROR(INDEX(Tabella9[PLZ],MATCH(Tabella8[[#This Row],[Colonna2]],Tabella9[Ortschaftsname],0)), "Name not found")</f>
        <v>4955</v>
      </c>
      <c r="G321" s="103"/>
      <c r="H321" s="240">
        <f ca="1">SUMIF(Tabella2[[#Headers],[#Data],[Age]],$H$76,Tabella2[[#Headers],[#Data],[Federal taxes]])</f>
        <v>6804.3246087429152</v>
      </c>
      <c r="I32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1" s="240">
        <f ca="1">Tabella8[[#This Row],[Colonna7]]*Tabella8[[#This Row],[Colonna4]]/100</f>
        <v>48070.387186941094</v>
      </c>
      <c r="Q321" s="2"/>
      <c r="R321" s="4"/>
      <c r="S321" s="39"/>
      <c r="T321" s="4"/>
      <c r="U321" s="4"/>
    </row>
    <row r="322" spans="2:21">
      <c r="B322" s="92" t="s">
        <v>138</v>
      </c>
      <c r="C322" s="91" t="s">
        <v>2559</v>
      </c>
      <c r="D322" s="93">
        <v>302.5</v>
      </c>
      <c r="E322" s="93">
        <v>150</v>
      </c>
      <c r="F322" s="103">
        <f>IFERROR(INDEX(Tabella9[PLZ],MATCH(Tabella8[[#This Row],[Colonna2]],Tabella9[Ortschaftsname],0)), "Name not found")</f>
        <v>3376</v>
      </c>
      <c r="G322" s="103"/>
      <c r="H322" s="240">
        <f ca="1">SUMIF(Tabella2[[#Headers],[#Data],[Age]],$H$76,Tabella2[[#Headers],[#Data],[Federal taxes]])</f>
        <v>6804.3246087429152</v>
      </c>
      <c r="I32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2" s="240">
        <f ca="1">Tabella8[[#This Row],[Colonna7]]*Tabella8[[#This Row],[Colonna4]]/100</f>
        <v>39187.815641528068</v>
      </c>
      <c r="Q322" s="2"/>
      <c r="R322" s="4"/>
      <c r="S322" s="39"/>
      <c r="T322" s="4"/>
      <c r="U322" s="4"/>
    </row>
    <row r="323" spans="2:21">
      <c r="B323" s="92" t="s">
        <v>138</v>
      </c>
      <c r="C323" s="91" t="s">
        <v>2560</v>
      </c>
      <c r="D323" s="93">
        <v>302.5</v>
      </c>
      <c r="E323" s="93">
        <v>174</v>
      </c>
      <c r="F323" s="103">
        <f>IFERROR(INDEX(Tabella9[PLZ],MATCH(Tabella8[[#This Row],[Colonna2]],Tabella9[Ortschaftsname],0)), "Name not found")</f>
        <v>2745</v>
      </c>
      <c r="G323" s="103"/>
      <c r="H323" s="240">
        <f ca="1">SUMIF(Tabella2[[#Headers],[#Data],[Age]],$H$76,Tabella2[[#Headers],[#Data],[Federal taxes]])</f>
        <v>6804.3246087429152</v>
      </c>
      <c r="I32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3" s="240">
        <f ca="1">Tabella8[[#This Row],[Colonna7]]*Tabella8[[#This Row],[Colonna4]]/100</f>
        <v>45457.866144172556</v>
      </c>
      <c r="Q323" s="2" t="s">
        <v>2561</v>
      </c>
      <c r="R323" s="4">
        <f>LOG($Q$314)-1</f>
        <v>4</v>
      </c>
      <c r="S323" s="39"/>
      <c r="T323" s="4"/>
      <c r="U323" s="4"/>
    </row>
    <row r="324" spans="2:21">
      <c r="B324" s="92" t="s">
        <v>138</v>
      </c>
      <c r="C324" s="91" t="s">
        <v>2245</v>
      </c>
      <c r="D324" s="93">
        <v>302.5</v>
      </c>
      <c r="E324" s="93">
        <v>179</v>
      </c>
      <c r="F324" s="103">
        <f>IFERROR(INDEX(Tabella9[PLZ],MATCH(Tabella8[[#This Row],[Colonna2]],Tabella9[Ortschaftsname],0)), "Name not found")</f>
        <v>3818</v>
      </c>
      <c r="G324" s="103"/>
      <c r="H324" s="240">
        <f ca="1">SUMIF(Tabella2[[#Headers],[#Data],[Age]],$H$76,Tabella2[[#Headers],[#Data],[Federal taxes]])</f>
        <v>6804.3246087429152</v>
      </c>
      <c r="I32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4" s="240">
        <f ca="1">Tabella8[[#This Row],[Colonna7]]*Tabella8[[#This Row],[Colonna4]]/100</f>
        <v>46764.126665556832</v>
      </c>
      <c r="Q324" s="2"/>
      <c r="R324" s="4"/>
      <c r="S324" s="39"/>
      <c r="T324" s="4"/>
      <c r="U324" s="4"/>
    </row>
    <row r="325" spans="2:21">
      <c r="B325" s="92" t="s">
        <v>138</v>
      </c>
      <c r="C325" s="91" t="s">
        <v>2265</v>
      </c>
      <c r="D325" s="93">
        <v>302.5</v>
      </c>
      <c r="E325" s="93">
        <v>169</v>
      </c>
      <c r="F325" s="103">
        <f>IFERROR(INDEX(Tabella9[PLZ],MATCH(Tabella8[[#This Row],[Colonna2]],Tabella9[Ortschaftsname],0)), "Name not found")</f>
        <v>3257</v>
      </c>
      <c r="G325" s="103"/>
      <c r="H325" s="240">
        <f ca="1">SUMIF(Tabella2[[#Headers],[#Data],[Age]],$H$76,Tabella2[[#Headers],[#Data],[Federal taxes]])</f>
        <v>6804.3246087429152</v>
      </c>
      <c r="I32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5" s="240">
        <f ca="1">Tabella8[[#This Row],[Colonna7]]*Tabella8[[#This Row],[Colonna4]]/100</f>
        <v>44151.605622788287</v>
      </c>
      <c r="Q325" s="2"/>
      <c r="R325" s="4">
        <f>($R$319*$Q$314+$S$319*$Q$314*$R$323+$T$319)</f>
        <v>4480.6644750000005</v>
      </c>
      <c r="S325" s="39"/>
      <c r="T325" s="4"/>
      <c r="U325" s="4"/>
    </row>
    <row r="326" spans="2:21">
      <c r="B326" s="92" t="s">
        <v>138</v>
      </c>
      <c r="C326" s="91" t="s">
        <v>2237</v>
      </c>
      <c r="D326" s="93">
        <v>302.5</v>
      </c>
      <c r="E326" s="93">
        <v>162</v>
      </c>
      <c r="F326" s="103">
        <f>IFERROR(INDEX(Tabella9[PLZ],MATCH(Tabella8[[#This Row],[Colonna2]],Tabella9[Ortschaftsname],0)), "Name not found")</f>
        <v>3506</v>
      </c>
      <c r="G326" s="103"/>
      <c r="H326" s="240">
        <f ca="1">SUMIF(Tabella2[[#Headers],[#Data],[Age]],$H$76,Tabella2[[#Headers],[#Data],[Federal taxes]])</f>
        <v>6804.3246087429152</v>
      </c>
      <c r="I32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6" s="240">
        <f ca="1">Tabella8[[#This Row],[Colonna7]]*Tabella8[[#This Row],[Colonna4]]/100</f>
        <v>42322.840892850312</v>
      </c>
      <c r="Q326" s="2"/>
      <c r="R326" s="4"/>
      <c r="S326" s="39"/>
      <c r="T326" s="4"/>
      <c r="U326" s="4"/>
    </row>
    <row r="327" spans="2:21">
      <c r="B327" s="92" t="s">
        <v>138</v>
      </c>
      <c r="C327" s="91" t="s">
        <v>2381</v>
      </c>
      <c r="D327" s="93">
        <v>302.5</v>
      </c>
      <c r="E327" s="93">
        <v>130</v>
      </c>
      <c r="F327" s="103">
        <v>3785</v>
      </c>
      <c r="G327" s="103"/>
      <c r="H327" s="240">
        <f ca="1">SUMIF(Tabella2[[#Headers],[#Data],[Age]],$H$76,Tabella2[[#Headers],[#Data],[Federal taxes]])</f>
        <v>6804.3246087429152</v>
      </c>
      <c r="I32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7" s="240">
        <f ca="1">Tabella8[[#This Row],[Colonna7]]*Tabella8[[#This Row],[Colonna4]]/100</f>
        <v>33962.773555990992</v>
      </c>
      <c r="Q327" s="2"/>
      <c r="R327" s="4"/>
      <c r="S327" s="39"/>
      <c r="T327" s="46"/>
      <c r="U327" s="46"/>
    </row>
    <row r="328" spans="2:21">
      <c r="B328" s="92" t="s">
        <v>138</v>
      </c>
      <c r="C328" s="91" t="s">
        <v>2562</v>
      </c>
      <c r="D328" s="93">
        <v>302.5</v>
      </c>
      <c r="E328" s="93">
        <v>193</v>
      </c>
      <c r="F328" s="103">
        <f>IFERROR(INDEX(Tabella9[PLZ],MATCH(Tabella8[[#This Row],[Colonna2]],Tabella9[Ortschaftsname],0)), "Name not found")</f>
        <v>3814</v>
      </c>
      <c r="G328" s="103"/>
      <c r="H328" s="240">
        <f ca="1">SUMIF(Tabella2[[#Headers],[#Data],[Age]],$H$76,Tabella2[[#Headers],[#Data],[Federal taxes]])</f>
        <v>6804.3246087429152</v>
      </c>
      <c r="I32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8" s="240">
        <f ca="1">Tabella8[[#This Row],[Colonna7]]*Tabella8[[#This Row],[Colonna4]]/100</f>
        <v>50421.656125432783</v>
      </c>
      <c r="Q328" s="2"/>
      <c r="R328" s="4"/>
      <c r="S328" s="39"/>
      <c r="T328" s="46"/>
      <c r="U328" s="46"/>
    </row>
    <row r="329" spans="2:21">
      <c r="B329" s="92" t="s">
        <v>138</v>
      </c>
      <c r="C329" s="91" t="s">
        <v>2328</v>
      </c>
      <c r="D329" s="93">
        <v>302.5</v>
      </c>
      <c r="E329" s="93">
        <v>189</v>
      </c>
      <c r="F329" s="103">
        <f>IFERROR(INDEX(Tabella9[PLZ],MATCH(Tabella8[[#This Row],[Colonna2]],Tabella9[Ortschaftsname],0)), "Name not found")</f>
        <v>3158</v>
      </c>
      <c r="G329" s="103"/>
      <c r="H329" s="240">
        <f ca="1">SUMIF(Tabella2[[#Headers],[#Data],[Age]],$H$76,Tabella2[[#Headers],[#Data],[Federal taxes]])</f>
        <v>6804.3246087429152</v>
      </c>
      <c r="I32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29" s="240">
        <f ca="1">Tabella8[[#This Row],[Colonna7]]*Tabella8[[#This Row],[Colonna4]]/100</f>
        <v>49376.64770832537</v>
      </c>
      <c r="Q329" s="2"/>
      <c r="R329" s="36">
        <f>IF(Q314&lt;=0,0,IF(Q314&lt;=16500,
-0.826281*Q314+0.08972*Q314*(LOG(Q314)-1)+818.725099,IF(Q314&lt;=44000,
-0.327919*Q314+0.043109*Q314*(LOG(Q314)-1)+(-1232.14815),IF(Q314&lt;=110000,
0.051298*Q314+0.010441*Q314*(LOG(Q314)-1)+(-4825.535525),IF(Q314&gt;1265000,
232436.77+0.1862*(Q314-1265000),
IF(Q314=0,0))))))</f>
        <v>4480.6644750000005</v>
      </c>
      <c r="S329" s="39"/>
      <c r="T329" s="46"/>
      <c r="U329" s="46"/>
    </row>
    <row r="330" spans="2:21">
      <c r="B330" s="92" t="s">
        <v>138</v>
      </c>
      <c r="C330" s="91" t="s">
        <v>2563</v>
      </c>
      <c r="D330" s="93">
        <v>302.5</v>
      </c>
      <c r="E330" s="93">
        <v>190</v>
      </c>
      <c r="F330" s="103">
        <f>IFERROR(INDEX(Tabella9[PLZ],MATCH(Tabella8[[#This Row],[Colonna2]],Tabella9[Ortschaftsname],0)), "Name not found")</f>
        <v>3208</v>
      </c>
      <c r="G330" s="103"/>
      <c r="H330" s="240">
        <f ca="1">SUMIF(Tabella2[[#Headers],[#Data],[Age]],$H$76,Tabella2[[#Headers],[#Data],[Federal taxes]])</f>
        <v>6804.3246087429152</v>
      </c>
      <c r="I33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0" s="240">
        <f ca="1">Tabella8[[#This Row],[Colonna7]]*Tabella8[[#This Row],[Colonna4]]/100</f>
        <v>49637.899812602227</v>
      </c>
      <c r="Q330" s="2"/>
      <c r="R330" s="4"/>
      <c r="S330" s="39"/>
      <c r="T330" s="2"/>
      <c r="U330" s="2"/>
    </row>
    <row r="331" spans="2:21">
      <c r="B331" s="92" t="s">
        <v>138</v>
      </c>
      <c r="C331" s="91" t="s">
        <v>2397</v>
      </c>
      <c r="D331" s="93">
        <v>302.5</v>
      </c>
      <c r="E331" s="93">
        <v>183</v>
      </c>
      <c r="F331" s="103">
        <f>IFERROR(INDEX(Tabella9[PLZ],MATCH(Tabella8[[#This Row],[Colonna2]],Tabella9[Ortschaftsname],0)), "Name not found")</f>
        <v>3663</v>
      </c>
      <c r="G331" s="103"/>
      <c r="H331" s="240">
        <f ca="1">SUMIF(Tabella2[[#Headers],[#Data],[Age]],$H$76,Tabella2[[#Headers],[#Data],[Federal taxes]])</f>
        <v>6804.3246087429152</v>
      </c>
      <c r="I33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1" s="240">
        <f ca="1">Tabella8[[#This Row],[Colonna7]]*Tabella8[[#This Row],[Colonna4]]/100</f>
        <v>47809.135082664245</v>
      </c>
      <c r="Q331" s="2"/>
      <c r="R331" s="4" cm="1">
        <f t="array" ref="R331">IF(Q314 &lt;= 16500, -0.826281*Q314 + 0.08972*Q314*(LOG(Q314) - 1) + 818.725099,
IF(Q314 &lt;= 44000, -0.327919*v + 0.043109*Q314*(LOG(Q314) - 1) - 1232.14815,
IF(Q314 &lt;= 1265000, 0.051298*Q314 + 0.010441*Q314*(LOG(Q314) - 1) - 4825.535525,
IF(Q314 &gt; 1265000, 232436.77 + 0.1862*(Q314 - 1265000), 0))))</f>
        <v>4480.6644750000005</v>
      </c>
      <c r="S331" s="39"/>
      <c r="T331" s="2"/>
      <c r="U331" s="2"/>
    </row>
    <row r="332" spans="2:21">
      <c r="B332" s="92" t="s">
        <v>138</v>
      </c>
      <c r="C332" s="91" t="s">
        <v>2564</v>
      </c>
      <c r="D332" s="93">
        <v>302.5</v>
      </c>
      <c r="E332" s="93">
        <v>165</v>
      </c>
      <c r="F332" s="103">
        <f>IFERROR(INDEX(Tabella9[PLZ],MATCH(Tabella8[[#This Row],[Colonna2]],Tabella9[Ortschaftsname],0)), "Name not found")</f>
        <v>3864</v>
      </c>
      <c r="G332" s="103"/>
      <c r="H332" s="240">
        <f ca="1">SUMIF(Tabella2[[#Headers],[#Data],[Age]],$H$76,Tabella2[[#Headers],[#Data],[Federal taxes]])</f>
        <v>6804.3246087429152</v>
      </c>
      <c r="I33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2" s="240">
        <f ca="1">Tabella8[[#This Row],[Colonna7]]*Tabella8[[#This Row],[Colonna4]]/100</f>
        <v>43106.597205680882</v>
      </c>
      <c r="Q332" s="2"/>
      <c r="R332" s="4"/>
      <c r="S332" s="39"/>
      <c r="T332" s="2"/>
      <c r="U332" s="2"/>
    </row>
    <row r="333" spans="2:21">
      <c r="B333" s="92" t="s">
        <v>138</v>
      </c>
      <c r="C333" s="91" t="s">
        <v>2565</v>
      </c>
      <c r="D333" s="93">
        <v>302.5</v>
      </c>
      <c r="E333" s="93">
        <v>200</v>
      </c>
      <c r="F333" s="103">
        <f>IFERROR(INDEX(Tabella9[PLZ],MATCH(Tabella8[[#This Row],[Colonna2]],Tabella9[Ortschaftsname],0)), "Name not found")</f>
        <v>3815</v>
      </c>
      <c r="G333" s="103"/>
      <c r="H333" s="240">
        <f ca="1">SUMIF(Tabella2[[#Headers],[#Data],[Age]],$H$76,Tabella2[[#Headers],[#Data],[Federal taxes]])</f>
        <v>6804.3246087429152</v>
      </c>
      <c r="I33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3" s="240">
        <f ca="1">Tabella8[[#This Row],[Colonna7]]*Tabella8[[#This Row],[Colonna4]]/100</f>
        <v>52250.420855370758</v>
      </c>
      <c r="Q333" s="2"/>
      <c r="R333" s="86">
        <f>IF(Q314&lt;$Q$317,$R$316,IF(Q314&lt;$Q$318,$R$317*Q314+$S$317*Q314*(LOG(Q314-1))+($T$317), IF(Q314&lt;$Q$319,$R$318*Q314+$S$318*Q314*(LOG(Q314-1))+($T$318), IF(Q314&lt;$Q$320,$R$319*Q314+$S$319*(LOG(Q314-1))*Q314+($T$319), IF(Q314&gt;=$Q$320, $R$320+$S$320*(Q314-$Q$320))))))</f>
        <v>-12469.56687209443</v>
      </c>
      <c r="S333" s="2"/>
      <c r="T333" s="2"/>
      <c r="U333" s="2"/>
    </row>
    <row r="334" spans="2:21">
      <c r="B334" s="92" t="s">
        <v>138</v>
      </c>
      <c r="C334" s="91" t="s">
        <v>2417</v>
      </c>
      <c r="D334" s="93">
        <v>302.5</v>
      </c>
      <c r="E334" s="93">
        <v>185</v>
      </c>
      <c r="F334" s="103">
        <f>IFERROR(INDEX(Tabella9[PLZ],MATCH(Tabella8[[#This Row],[Colonna2]],Tabella9[Ortschaftsname],0)), "Name not found")</f>
        <v>3804</v>
      </c>
      <c r="G334" s="103"/>
      <c r="H334" s="240">
        <f ca="1">SUMIF(Tabella2[[#Headers],[#Data],[Age]],$H$76,Tabella2[[#Headers],[#Data],[Federal taxes]])</f>
        <v>6804.3246087429152</v>
      </c>
      <c r="I33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4" s="240">
        <f ca="1">Tabella8[[#This Row],[Colonna7]]*Tabella8[[#This Row],[Colonna4]]/100</f>
        <v>48331.639291217951</v>
      </c>
    </row>
    <row r="335" spans="2:21">
      <c r="B335" s="92" t="s">
        <v>138</v>
      </c>
      <c r="C335" s="91" t="s">
        <v>2566</v>
      </c>
      <c r="D335" s="93">
        <v>302.5</v>
      </c>
      <c r="E335" s="93">
        <v>150</v>
      </c>
      <c r="F335" s="103">
        <f>IFERROR(INDEX(Tabella9[PLZ],MATCH(Tabella8[[#This Row],[Colonna2]],Tabella9[Ortschaftsname],0)), "Name not found")</f>
        <v>2575</v>
      </c>
      <c r="G335" s="103"/>
      <c r="H335" s="240">
        <f ca="1">SUMIF(Tabella2[[#Headers],[#Data],[Age]],$H$76,Tabella2[[#Headers],[#Data],[Federal taxes]])</f>
        <v>6804.3246087429152</v>
      </c>
      <c r="I33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5" s="240">
        <f ca="1">Tabella8[[#This Row],[Colonna7]]*Tabella8[[#This Row],[Colonna4]]/100</f>
        <v>39187.815641528068</v>
      </c>
      <c r="Q335" s="68" t="s">
        <v>2567</v>
      </c>
      <c r="R335" s="21" t="s">
        <v>82</v>
      </c>
      <c r="S335" s="21" t="s">
        <v>2511</v>
      </c>
      <c r="T335" s="21" t="s">
        <v>90</v>
      </c>
      <c r="U335" t="s">
        <v>4912</v>
      </c>
    </row>
    <row r="336" spans="2:21">
      <c r="B336" s="92" t="s">
        <v>138</v>
      </c>
      <c r="C336" s="91" t="s">
        <v>2255</v>
      </c>
      <c r="D336" s="93">
        <v>302.5</v>
      </c>
      <c r="E336" s="93">
        <v>179</v>
      </c>
      <c r="F336" s="103">
        <v>3415</v>
      </c>
      <c r="G336" s="103"/>
      <c r="H336" s="240">
        <f ca="1">SUMIF(Tabella2[[#Headers],[#Data],[Age]],$H$76,Tabella2[[#Headers],[#Data],[Federal taxes]])</f>
        <v>6804.3246087429152</v>
      </c>
      <c r="I33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6" s="240">
        <f ca="1">Tabella8[[#This Row],[Colonna7]]*Tabella8[[#This Row],[Colonna4]]/100</f>
        <v>46764.126665556832</v>
      </c>
      <c r="Q336" s="94">
        <v>100000</v>
      </c>
      <c r="R336" s="11" t="s">
        <v>2512</v>
      </c>
      <c r="S336" s="11" t="s">
        <v>2513</v>
      </c>
      <c r="T336" s="11" t="s">
        <v>2514</v>
      </c>
    </row>
    <row r="337" spans="2:21">
      <c r="B337" s="92" t="s">
        <v>138</v>
      </c>
      <c r="C337" s="91" t="s">
        <v>2359</v>
      </c>
      <c r="D337" s="93">
        <v>302.5</v>
      </c>
      <c r="E337" s="93">
        <v>210</v>
      </c>
      <c r="F337" s="103">
        <v>6083</v>
      </c>
      <c r="G337" s="103"/>
      <c r="H337" s="240">
        <f ca="1">SUMIF(Tabella2[[#Headers],[#Data],[Age]],$H$76,Tabella2[[#Headers],[#Data],[Federal taxes]])</f>
        <v>6804.3246087429152</v>
      </c>
      <c r="I33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7" s="240">
        <f ca="1">Tabella8[[#This Row],[Colonna7]]*Tabella8[[#This Row],[Colonna4]]/100</f>
        <v>54862.941898139296</v>
      </c>
      <c r="Q337" s="26"/>
      <c r="R337" s="4">
        <v>0</v>
      </c>
      <c r="S337" s="4">
        <v>0</v>
      </c>
      <c r="T337" s="39">
        <v>0.21</v>
      </c>
    </row>
    <row r="338" spans="2:21">
      <c r="B338" s="92" t="s">
        <v>138</v>
      </c>
      <c r="C338" s="91" t="s">
        <v>2412</v>
      </c>
      <c r="D338" s="93">
        <v>302.5</v>
      </c>
      <c r="E338" s="93">
        <v>189</v>
      </c>
      <c r="F338" s="103">
        <f>IFERROR(INDEX(Tabella9[PLZ],MATCH(Tabella8[[#This Row],[Colonna2]],Tabella9[Ortschaftsname],0)), "Name not found")</f>
        <v>3625</v>
      </c>
      <c r="G338" s="103"/>
      <c r="H338" s="240">
        <f ca="1">SUMIF(Tabella2[[#Headers],[#Data],[Age]],$H$76,Tabella2[[#Headers],[#Data],[Federal taxes]])</f>
        <v>6804.3246087429152</v>
      </c>
      <c r="I33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8" s="240">
        <f ca="1">Tabella8[[#This Row],[Colonna7]]*Tabella8[[#This Row],[Colonna4]]/100</f>
        <v>49376.64770832537</v>
      </c>
      <c r="Q338" s="2"/>
      <c r="R338" s="4">
        <v>209800</v>
      </c>
      <c r="S338" s="4">
        <v>44058</v>
      </c>
      <c r="T338" s="39">
        <v>0.27250000000000002</v>
      </c>
    </row>
    <row r="339" spans="2:21">
      <c r="B339" s="92" t="s">
        <v>138</v>
      </c>
      <c r="C339" s="91" t="s">
        <v>2209</v>
      </c>
      <c r="D339" s="93">
        <v>302.5</v>
      </c>
      <c r="E339" s="93">
        <v>160</v>
      </c>
      <c r="F339" s="103">
        <f>IFERROR(INDEX(Tabella9[PLZ],MATCH(Tabella8[[#This Row],[Colonna2]],Tabella9[Ortschaftsname],0)), "Name not found")</f>
        <v>3627</v>
      </c>
      <c r="G339" s="103"/>
      <c r="H339" s="240">
        <f ca="1">SUMIF(Tabella2[[#Headers],[#Data],[Age]],$H$76,Tabella2[[#Headers],[#Data],[Federal taxes]])</f>
        <v>6804.3246087429152</v>
      </c>
      <c r="I33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39" s="240">
        <f ca="1">Tabella8[[#This Row],[Colonna7]]*Tabella8[[#This Row],[Colonna4]]/100</f>
        <v>41800.336684296606</v>
      </c>
      <c r="Q339" s="2"/>
      <c r="R339" s="4">
        <v>312300</v>
      </c>
      <c r="S339" s="4">
        <v>71989</v>
      </c>
      <c r="T339" s="39">
        <v>0.28249999999999997</v>
      </c>
    </row>
    <row r="340" spans="2:21">
      <c r="B340" s="92" t="s">
        <v>138</v>
      </c>
      <c r="C340" s="91" t="s">
        <v>2366</v>
      </c>
      <c r="D340" s="93">
        <v>302.5</v>
      </c>
      <c r="E340" s="93">
        <v>146</v>
      </c>
      <c r="F340" s="103">
        <f>IFERROR(INDEX(Tabella9[PLZ],MATCH(Tabella8[[#This Row],[Colonna2]],Tabella9[Ortschaftsname],0)), "Name not found")</f>
        <v>3373</v>
      </c>
      <c r="G340" s="103"/>
      <c r="H340" s="240">
        <f ca="1">SUMIF(Tabella2[[#Headers],[#Data],[Age]],$H$76,Tabella2[[#Headers],[#Data],[Federal taxes]])</f>
        <v>6804.3246087429152</v>
      </c>
      <c r="I34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0" s="240">
        <f ca="1">Tabella8[[#This Row],[Colonna7]]*Tabella8[[#This Row],[Colonna4]]/100</f>
        <v>38142.807224420656</v>
      </c>
      <c r="Q340" s="2"/>
      <c r="R340" s="4"/>
      <c r="S340" s="4"/>
      <c r="T340" s="4"/>
      <c r="U340" t="s">
        <v>4914</v>
      </c>
    </row>
    <row r="341" spans="2:21">
      <c r="B341" s="92" t="s">
        <v>138</v>
      </c>
      <c r="C341" s="91" t="s">
        <v>2324</v>
      </c>
      <c r="D341" s="93">
        <v>302.5</v>
      </c>
      <c r="E341" s="93">
        <v>184</v>
      </c>
      <c r="F341" s="103">
        <f>IFERROR(INDEX(Tabella9[PLZ],MATCH(Tabella8[[#This Row],[Colonna2]],Tabella9[Ortschaftsname],0)), "Name not found")</f>
        <v>3412</v>
      </c>
      <c r="G341" s="103"/>
      <c r="H341" s="240">
        <f ca="1">SUMIF(Tabella2[[#Headers],[#Data],[Age]],$H$76,Tabella2[[#Headers],[#Data],[Federal taxes]])</f>
        <v>6804.3246087429152</v>
      </c>
      <c r="I34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1" s="240">
        <f ca="1">Tabella8[[#This Row],[Colonna7]]*Tabella8[[#This Row],[Colonna4]]/100</f>
        <v>48070.387186941094</v>
      </c>
      <c r="Q341" s="2"/>
      <c r="R341" s="4"/>
      <c r="S341" s="4"/>
      <c r="T341" s="4"/>
    </row>
    <row r="342" spans="2:21">
      <c r="B342" s="92" t="s">
        <v>138</v>
      </c>
      <c r="C342" s="91" t="s">
        <v>2568</v>
      </c>
      <c r="D342" s="93">
        <v>302.5</v>
      </c>
      <c r="E342" s="93">
        <v>180</v>
      </c>
      <c r="F342" s="103">
        <f>IFERROR(INDEX(Tabella9[PLZ],MATCH(Tabella8[[#This Row],[Colonna2]],Tabella9[Ortschaftsname],0)), "Name not found")</f>
        <v>3429</v>
      </c>
      <c r="G342" s="103"/>
      <c r="H342" s="240">
        <f ca="1">SUMIF(Tabella2[[#Headers],[#Data],[Age]],$H$76,Tabella2[[#Headers],[#Data],[Federal taxes]])</f>
        <v>6804.3246087429152</v>
      </c>
      <c r="I34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2" s="240">
        <f ca="1">Tabella8[[#This Row],[Colonna7]]*Tabella8[[#This Row],[Colonna4]]/100</f>
        <v>47025.378769833682</v>
      </c>
      <c r="Q342" s="2"/>
      <c r="R342" s="4"/>
      <c r="S342" s="4"/>
      <c r="T342" s="4"/>
    </row>
    <row r="343" spans="2:21">
      <c r="B343" s="92" t="s">
        <v>138</v>
      </c>
      <c r="C343" s="91" t="s">
        <v>2427</v>
      </c>
      <c r="D343" s="93">
        <v>302.5</v>
      </c>
      <c r="E343" s="93">
        <v>170</v>
      </c>
      <c r="F343" s="103">
        <f>IFERROR(INDEX(Tabella9[PLZ],MATCH(Tabella8[[#This Row],[Colonna2]],Tabella9[Ortschaftsname],0)), "Name not found")</f>
        <v>3671</v>
      </c>
      <c r="G343" s="103"/>
      <c r="H343" s="240">
        <f ca="1">SUMIF(Tabella2[[#Headers],[#Data],[Age]],$H$76,Tabella2[[#Headers],[#Data],[Federal taxes]])</f>
        <v>6804.3246087429152</v>
      </c>
      <c r="I34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3" s="240">
        <f ca="1">Tabella8[[#This Row],[Colonna7]]*Tabella8[[#This Row],[Colonna4]]/100</f>
        <v>44412.857727065144</v>
      </c>
      <c r="Q343" s="2"/>
      <c r="R343" s="4"/>
      <c r="S343" s="4"/>
      <c r="T343" s="4"/>
    </row>
    <row r="344" spans="2:21">
      <c r="B344" s="92" t="s">
        <v>138</v>
      </c>
      <c r="C344" s="91" t="s">
        <v>2569</v>
      </c>
      <c r="D344" s="93">
        <v>302.5</v>
      </c>
      <c r="E344" s="93">
        <v>190</v>
      </c>
      <c r="F344" s="103">
        <f>IFERROR(INDEX(Tabella9[PLZ],MATCH(Tabella8[[#This Row],[Colonna2]],Tabella9[Ortschaftsname],0)), "Name not found")</f>
        <v>3274</v>
      </c>
      <c r="G344" s="103"/>
      <c r="H344" s="240">
        <f ca="1">SUMIF(Tabella2[[#Headers],[#Data],[Age]],$H$76,Tabella2[[#Headers],[#Data],[Federal taxes]])</f>
        <v>6804.3246087429152</v>
      </c>
      <c r="I34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4" s="240">
        <f ca="1">Tabella8[[#This Row],[Colonna7]]*Tabella8[[#This Row],[Colonna4]]/100</f>
        <v>49637.899812602227</v>
      </c>
      <c r="Q344" s="2"/>
      <c r="R344" s="4"/>
      <c r="S344" s="4"/>
      <c r="T344" s="4"/>
    </row>
    <row r="345" spans="2:21">
      <c r="B345" s="92" t="s">
        <v>138</v>
      </c>
      <c r="C345" s="91" t="s">
        <v>2204</v>
      </c>
      <c r="D345" s="93">
        <v>302.5</v>
      </c>
      <c r="E345" s="93">
        <v>165</v>
      </c>
      <c r="F345" s="103">
        <f>IFERROR(INDEX(Tabella9[PLZ],MATCH(Tabella8[[#This Row],[Colonna2]],Tabella9[Ortschaftsname],0)), "Name not found")</f>
        <v>3360</v>
      </c>
      <c r="G345" s="103"/>
      <c r="H345" s="240">
        <f ca="1">SUMIF(Tabella2[[#Headers],[#Data],[Age]],$H$76,Tabella2[[#Headers],[#Data],[Federal taxes]])</f>
        <v>6804.3246087429152</v>
      </c>
      <c r="I34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5" s="240">
        <f ca="1">Tabella8[[#This Row],[Colonna7]]*Tabella8[[#This Row],[Colonna4]]/100</f>
        <v>43106.597205680882</v>
      </c>
      <c r="Q345" s="2"/>
      <c r="R345" s="4"/>
      <c r="S345" s="4"/>
      <c r="T345" s="4"/>
    </row>
    <row r="346" spans="2:21">
      <c r="B346" s="92" t="s">
        <v>138</v>
      </c>
      <c r="C346" s="91" t="s">
        <v>2240</v>
      </c>
      <c r="D346" s="93">
        <v>302.5</v>
      </c>
      <c r="E346" s="93">
        <v>155</v>
      </c>
      <c r="F346" s="103">
        <f>IFERROR(INDEX(Tabella9[PLZ],MATCH(Tabella8[[#This Row],[Colonna2]],Tabella9[Ortschaftsname],0)), "Name not found")</f>
        <v>3652</v>
      </c>
      <c r="G346" s="103"/>
      <c r="H346" s="240">
        <f ca="1">SUMIF(Tabella2[[#Headers],[#Data],[Age]],$H$76,Tabella2[[#Headers],[#Data],[Federal taxes]])</f>
        <v>6804.3246087429152</v>
      </c>
      <c r="I34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6" s="240">
        <f ca="1">Tabella8[[#This Row],[Colonna7]]*Tabella8[[#This Row],[Colonna4]]/100</f>
        <v>40494.076162912337</v>
      </c>
      <c r="Q346" s="2"/>
      <c r="R346" s="4"/>
      <c r="S346" s="4"/>
      <c r="T346" s="4"/>
    </row>
    <row r="347" spans="2:21">
      <c r="B347" s="92" t="s">
        <v>138</v>
      </c>
      <c r="C347" s="91" t="s">
        <v>2284</v>
      </c>
      <c r="D347" s="93">
        <v>302.5</v>
      </c>
      <c r="E347" s="93">
        <v>159</v>
      </c>
      <c r="F347" s="103">
        <f>IFERROR(INDEX(Tabella9[PLZ],MATCH(Tabella8[[#This Row],[Colonna2]],Tabella9[Ortschaftsname],0)), "Name not found")</f>
        <v>3324</v>
      </c>
      <c r="G347" s="103"/>
      <c r="H347" s="240">
        <f ca="1">SUMIF(Tabella2[[#Headers],[#Data],[Age]],$H$76,Tabella2[[#Headers],[#Data],[Federal taxes]])</f>
        <v>6804.3246087429152</v>
      </c>
      <c r="I34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7" s="240">
        <f ca="1">Tabella8[[#This Row],[Colonna7]]*Tabella8[[#This Row],[Colonna4]]/100</f>
        <v>41539.084580019757</v>
      </c>
      <c r="Q347" s="2"/>
      <c r="R347" s="4"/>
      <c r="S347" s="4"/>
      <c r="T347" s="4"/>
    </row>
    <row r="348" spans="2:21">
      <c r="B348" s="92" t="s">
        <v>138</v>
      </c>
      <c r="C348" s="91" t="s">
        <v>2443</v>
      </c>
      <c r="D348" s="93">
        <v>302.5</v>
      </c>
      <c r="E348" s="93">
        <v>164</v>
      </c>
      <c r="F348" s="103">
        <v>3858</v>
      </c>
      <c r="G348" s="103"/>
      <c r="H348" s="240">
        <f ca="1">SUMIF(Tabella2[[#Headers],[#Data],[Age]],$H$76,Tabella2[[#Headers],[#Data],[Federal taxes]])</f>
        <v>6804.3246087429152</v>
      </c>
      <c r="I34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8" s="240">
        <f ca="1">Tabella8[[#This Row],[Colonna7]]*Tabella8[[#This Row],[Colonna4]]/100</f>
        <v>42845.345101404026</v>
      </c>
      <c r="Q348" s="2"/>
      <c r="R348" s="4"/>
      <c r="S348" s="4"/>
      <c r="T348" s="4"/>
    </row>
    <row r="349" spans="2:21">
      <c r="B349" s="92" t="s">
        <v>138</v>
      </c>
      <c r="C349" s="91" t="s">
        <v>2444</v>
      </c>
      <c r="D349" s="93">
        <v>302.5</v>
      </c>
      <c r="E349" s="93">
        <v>184</v>
      </c>
      <c r="F349" s="103">
        <v>3622</v>
      </c>
      <c r="G349" s="103"/>
      <c r="H349" s="240">
        <f ca="1">SUMIF(Tabella2[[#Headers],[#Data],[Age]],$H$76,Tabella2[[#Headers],[#Data],[Federal taxes]])</f>
        <v>6804.3246087429152</v>
      </c>
      <c r="I34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49" s="240">
        <f ca="1">Tabella8[[#This Row],[Colonna7]]*Tabella8[[#This Row],[Colonna4]]/100</f>
        <v>48070.387186941094</v>
      </c>
      <c r="Q349" s="2"/>
      <c r="R349" s="46"/>
      <c r="S349" s="46"/>
      <c r="T349" s="46"/>
    </row>
    <row r="350" spans="2:21">
      <c r="B350" s="92" t="s">
        <v>138</v>
      </c>
      <c r="C350" s="91" t="s">
        <v>2570</v>
      </c>
      <c r="D350" s="93">
        <v>302.5</v>
      </c>
      <c r="E350" s="93">
        <v>170</v>
      </c>
      <c r="F350" s="103">
        <v>3623</v>
      </c>
      <c r="G350" s="103"/>
      <c r="H350" s="240">
        <f ca="1">SUMIF(Tabella2[[#Headers],[#Data],[Age]],$H$76,Tabella2[[#Headers],[#Data],[Federal taxes]])</f>
        <v>6804.3246087429152</v>
      </c>
      <c r="I35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0" s="240">
        <f ca="1">Tabella8[[#This Row],[Colonna7]]*Tabella8[[#This Row],[Colonna4]]/100</f>
        <v>44412.857727065144</v>
      </c>
      <c r="Q350" s="2"/>
      <c r="R350" s="46"/>
      <c r="S350" s="46"/>
      <c r="T350" s="46"/>
    </row>
    <row r="351" spans="2:21">
      <c r="B351" s="92" t="s">
        <v>138</v>
      </c>
      <c r="C351" s="91" t="s">
        <v>2224</v>
      </c>
      <c r="D351" s="93">
        <v>302.5</v>
      </c>
      <c r="E351" s="93">
        <v>165</v>
      </c>
      <c r="F351" s="103">
        <f>IFERROR(INDEX(Tabella9[PLZ],MATCH(Tabella8[[#This Row],[Colonna2]],Tabella9[Ortschaftsname],0)), "Name not found")</f>
        <v>4950</v>
      </c>
      <c r="G351" s="103"/>
      <c r="H351" s="240">
        <f ca="1">SUMIF(Tabella2[[#Headers],[#Data],[Age]],$H$76,Tabella2[[#Headers],[#Data],[Federal taxes]])</f>
        <v>6804.3246087429152</v>
      </c>
      <c r="I35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1" s="240">
        <f ca="1">Tabella8[[#This Row],[Colonna7]]*Tabella8[[#This Row],[Colonna4]]/100</f>
        <v>43106.597205680882</v>
      </c>
      <c r="Q351" s="2"/>
      <c r="R351" s="46"/>
      <c r="S351" s="46"/>
      <c r="T351" s="46"/>
    </row>
    <row r="352" spans="2:21">
      <c r="B352" s="92" t="s">
        <v>138</v>
      </c>
      <c r="C352" s="91" t="s">
        <v>2571</v>
      </c>
      <c r="D352" s="93">
        <v>302.5</v>
      </c>
      <c r="E352" s="93">
        <v>145</v>
      </c>
      <c r="F352" s="103">
        <f>IFERROR(INDEX(Tabella9[PLZ],MATCH(Tabella8[[#This Row],[Colonna2]],Tabella9[Ortschaftsname],0)), "Name not found")</f>
        <v>3510</v>
      </c>
      <c r="G352" s="103"/>
      <c r="H352" s="240">
        <f ca="1">SUMIF(Tabella2[[#Headers],[#Data],[Age]],$H$76,Tabella2[[#Headers],[#Data],[Federal taxes]])</f>
        <v>6804.3246087429152</v>
      </c>
      <c r="I35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2" s="240">
        <f ca="1">Tabella8[[#This Row],[Colonna7]]*Tabella8[[#This Row],[Colonna4]]/100</f>
        <v>37881.555120143799</v>
      </c>
      <c r="Q352" s="2"/>
      <c r="R352" s="36">
        <f>IF(Q336&lt;$R$338,Q336*T337,IF(Q336&lt;$R$339,$S$338+((Q336-$R$338)/100)*$T$338,IF(Q336&gt;=$R$339,$S$339+((Q336-$R$338)/100)*$T$339)))</f>
        <v>21000</v>
      </c>
      <c r="S352" s="2"/>
      <c r="T352" s="2"/>
    </row>
    <row r="353" spans="2:20">
      <c r="B353" s="92" t="s">
        <v>138</v>
      </c>
      <c r="C353" s="91" t="s">
        <v>2572</v>
      </c>
      <c r="D353" s="93">
        <v>302.5</v>
      </c>
      <c r="E353" s="93">
        <v>175</v>
      </c>
      <c r="F353" s="103">
        <f>IFERROR(INDEX(Tabella9[PLZ],MATCH(Tabella8[[#This Row],[Colonna2]],Tabella9[Ortschaftsname],0)), "Name not found")</f>
        <v>3429</v>
      </c>
      <c r="G353" s="103"/>
      <c r="H353" s="240">
        <f ca="1">SUMIF(Tabella2[[#Headers],[#Data],[Age]],$H$76,Tabella2[[#Headers],[#Data],[Federal taxes]])</f>
        <v>6804.3246087429152</v>
      </c>
      <c r="I35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3" s="240">
        <f ca="1">Tabella8[[#This Row],[Colonna7]]*Tabella8[[#This Row],[Colonna4]]/100</f>
        <v>45719.118248449413</v>
      </c>
    </row>
    <row r="354" spans="2:20">
      <c r="B354" s="92" t="s">
        <v>138</v>
      </c>
      <c r="C354" s="91" t="s">
        <v>2462</v>
      </c>
      <c r="D354" s="93">
        <v>302.5</v>
      </c>
      <c r="E354" s="93">
        <v>150</v>
      </c>
      <c r="F354" s="103">
        <f>IFERROR(INDEX(Tabella9[PLZ],MATCH(Tabella8[[#This Row],[Colonna2]],Tabella9[Ortschaftsname],0)), "Name not found")</f>
        <v>3305</v>
      </c>
      <c r="G354" s="103"/>
      <c r="H354" s="240">
        <f ca="1">SUMIF(Tabella2[[#Headers],[#Data],[Age]],$H$76,Tabella2[[#Headers],[#Data],[Federal taxes]])</f>
        <v>6804.3246087429152</v>
      </c>
      <c r="I35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4" s="240">
        <f ca="1">Tabella8[[#This Row],[Colonna7]]*Tabella8[[#This Row],[Colonna4]]/100</f>
        <v>39187.815641528068</v>
      </c>
      <c r="Q354" s="68" t="s">
        <v>2573</v>
      </c>
      <c r="R354" s="21" t="s">
        <v>82</v>
      </c>
      <c r="S354" s="21" t="s">
        <v>2511</v>
      </c>
      <c r="T354" s="21" t="s">
        <v>90</v>
      </c>
    </row>
    <row r="355" spans="2:20">
      <c r="B355" s="92" t="s">
        <v>138</v>
      </c>
      <c r="C355" s="91" t="s">
        <v>2424</v>
      </c>
      <c r="D355" s="93">
        <v>302.5</v>
      </c>
      <c r="E355" s="93">
        <v>175</v>
      </c>
      <c r="F355" s="103">
        <f>IFERROR(INDEX(Tabella9[PLZ],MATCH(Tabella8[[#This Row],[Colonna2]],Tabella9[Ortschaftsname],0)), "Name not found")</f>
        <v>3375</v>
      </c>
      <c r="G355" s="103"/>
      <c r="H355" s="240">
        <f ca="1">SUMIF(Tabella2[[#Headers],[#Data],[Age]],$H$76,Tabella2[[#Headers],[#Data],[Federal taxes]])</f>
        <v>6804.3246087429152</v>
      </c>
      <c r="I35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5" s="240">
        <f ca="1">Tabella8[[#This Row],[Colonna7]]*Tabella8[[#This Row],[Colonna4]]/100</f>
        <v>45719.118248449413</v>
      </c>
      <c r="Q355" s="94">
        <v>100000</v>
      </c>
      <c r="R355" s="11" t="s">
        <v>2512</v>
      </c>
      <c r="S355" s="11" t="s">
        <v>2525</v>
      </c>
      <c r="T355" s="11"/>
    </row>
    <row r="356" spans="2:20">
      <c r="B356" s="92" t="s">
        <v>138</v>
      </c>
      <c r="C356" s="91" t="s">
        <v>2371</v>
      </c>
      <c r="D356" s="93">
        <v>302.5</v>
      </c>
      <c r="E356" s="93">
        <v>160</v>
      </c>
      <c r="F356" s="103">
        <f>IFERROR(INDEX(Tabella9[PLZ],MATCH(Tabella8[[#This Row],[Colonna2]],Tabella9[Ortschaftsname],0)), "Name not found")</f>
        <v>3862</v>
      </c>
      <c r="G356" s="103"/>
      <c r="H356" s="240">
        <f ca="1">SUMIF(Tabella2[[#Headers],[#Data],[Age]],$H$76,Tabella2[[#Headers],[#Data],[Federal taxes]])</f>
        <v>6804.3246087429152</v>
      </c>
      <c r="I35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6" s="240">
        <f ca="1">Tabella8[[#This Row],[Colonna7]]*Tabella8[[#This Row],[Colonna4]]/100</f>
        <v>41800.336684296606</v>
      </c>
      <c r="Q356" s="26"/>
      <c r="R356" s="4">
        <v>0</v>
      </c>
      <c r="S356" s="39">
        <v>0.01</v>
      </c>
      <c r="T356" s="4"/>
    </row>
    <row r="357" spans="2:20">
      <c r="B357" s="92" t="s">
        <v>138</v>
      </c>
      <c r="C357" s="91" t="s">
        <v>2252</v>
      </c>
      <c r="D357" s="93">
        <v>302.5</v>
      </c>
      <c r="E357" s="93">
        <v>163</v>
      </c>
      <c r="F357" s="103">
        <f>IFERROR(INDEX(Tabella9[PLZ],MATCH(Tabella8[[#This Row],[Colonna2]],Tabella9[Ortschaftsname],0)), "Name not found")</f>
        <v>3232</v>
      </c>
      <c r="G357" s="103"/>
      <c r="H357" s="240">
        <f ca="1">SUMIF(Tabella2[[#Headers],[#Data],[Age]],$H$76,Tabella2[[#Headers],[#Data],[Federal taxes]])</f>
        <v>6804.3246087429152</v>
      </c>
      <c r="I35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7" s="240">
        <f ca="1">Tabella8[[#This Row],[Colonna7]]*Tabella8[[#This Row],[Colonna4]]/100</f>
        <v>42584.092997127169</v>
      </c>
      <c r="Q357" s="2"/>
      <c r="R357" s="4">
        <v>5200</v>
      </c>
      <c r="S357" s="39">
        <v>0.01</v>
      </c>
      <c r="T357" s="4"/>
    </row>
    <row r="358" spans="2:20">
      <c r="B358" s="92" t="s">
        <v>138</v>
      </c>
      <c r="C358" s="91" t="s">
        <v>2216</v>
      </c>
      <c r="D358" s="93">
        <v>302.5</v>
      </c>
      <c r="E358" s="93">
        <v>167</v>
      </c>
      <c r="F358" s="103">
        <f>IFERROR(INDEX(Tabella9[PLZ],MATCH(Tabella8[[#This Row],[Colonna2]],Tabella9[Ortschaftsname],0)), "Name not found")</f>
        <v>3800</v>
      </c>
      <c r="G358" s="103"/>
      <c r="H358" s="240">
        <f ca="1">SUMIF(Tabella2[[#Headers],[#Data],[Age]],$H$76,Tabella2[[#Headers],[#Data],[Federal taxes]])</f>
        <v>6804.3246087429152</v>
      </c>
      <c r="I35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8" s="240">
        <f ca="1">Tabella8[[#This Row],[Colonna7]]*Tabella8[[#This Row],[Colonna4]]/100</f>
        <v>43629.101414234581</v>
      </c>
      <c r="Q358" s="2"/>
      <c r="R358" s="4">
        <v>17500</v>
      </c>
      <c r="S358" s="39">
        <v>4.1700000000000001E-2</v>
      </c>
      <c r="T358" s="4"/>
    </row>
    <row r="359" spans="2:20">
      <c r="B359" s="92" t="s">
        <v>138</v>
      </c>
      <c r="C359" s="91" t="s">
        <v>2244</v>
      </c>
      <c r="D359" s="93">
        <v>302.5</v>
      </c>
      <c r="E359" s="93">
        <v>159</v>
      </c>
      <c r="F359" s="103">
        <f>IFERROR(INDEX(Tabella9[PLZ],MATCH(Tabella8[[#This Row],[Colonna2]],Tabella9[Ortschaftsname],0)), "Name not found")</f>
        <v>2563</v>
      </c>
      <c r="G359" s="103"/>
      <c r="H359" s="240">
        <f ca="1">SUMIF(Tabella2[[#Headers],[#Data],[Age]],$H$76,Tabella2[[#Headers],[#Data],[Federal taxes]])</f>
        <v>6804.3246087429152</v>
      </c>
      <c r="I35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59" s="240">
        <f ca="1">Tabella8[[#This Row],[Colonna7]]*Tabella8[[#This Row],[Colonna4]]/100</f>
        <v>41539.084580019757</v>
      </c>
      <c r="Q359" s="2"/>
      <c r="R359" s="4">
        <v>31400</v>
      </c>
      <c r="S359" s="39">
        <v>6.2100000000000002E-2</v>
      </c>
      <c r="T359" s="4"/>
    </row>
    <row r="360" spans="2:20">
      <c r="B360" s="92" t="s">
        <v>138</v>
      </c>
      <c r="C360" s="91" t="s">
        <v>2463</v>
      </c>
      <c r="D360" s="93">
        <v>302.5</v>
      </c>
      <c r="E360" s="93">
        <v>185</v>
      </c>
      <c r="F360" s="103">
        <f>IFERROR(INDEX(Tabella9[PLZ],MATCH(Tabella8[[#This Row],[Colonna2]],Tabella9[Ortschaftsname],0)), "Name not found")</f>
        <v>3807</v>
      </c>
      <c r="G360" s="103"/>
      <c r="H360" s="240">
        <f ca="1">SUMIF(Tabella2[[#Headers],[#Data],[Age]],$H$76,Tabella2[[#Headers],[#Data],[Federal taxes]])</f>
        <v>6804.3246087429152</v>
      </c>
      <c r="I36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0" s="240">
        <f ca="1">Tabella8[[#This Row],[Colonna7]]*Tabella8[[#This Row],[Colonna4]]/100</f>
        <v>48331.639291217951</v>
      </c>
      <c r="Q360" s="2"/>
      <c r="R360" s="4">
        <v>48300</v>
      </c>
      <c r="S360" s="39">
        <v>8.0399999999999999E-2</v>
      </c>
      <c r="T360" s="4"/>
    </row>
    <row r="361" spans="2:20">
      <c r="B361" s="92" t="s">
        <v>138</v>
      </c>
      <c r="C361" s="91" t="s">
        <v>2198</v>
      </c>
      <c r="D361" s="93">
        <v>302.5</v>
      </c>
      <c r="E361" s="93">
        <v>112.99999999999999</v>
      </c>
      <c r="F361" s="103">
        <f>IFERROR(INDEX(Tabella9[PLZ],MATCH(Tabella8[[#This Row],[Colonna2]],Tabella9[Ortschaftsname],0)), "Name not found")</f>
        <v>3063</v>
      </c>
      <c r="G361" s="103"/>
      <c r="H361" s="240">
        <f ca="1">SUMIF(Tabella2[[#Headers],[#Data],[Age]],$H$76,Tabella2[[#Headers],[#Data],[Federal taxes]])</f>
        <v>6804.3246087429152</v>
      </c>
      <c r="I36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1" s="240">
        <f ca="1">Tabella8[[#This Row],[Colonna7]]*Tabella8[[#This Row],[Colonna4]]/100</f>
        <v>29521.487783284476</v>
      </c>
      <c r="Q361" s="2"/>
      <c r="R361" s="4">
        <v>63800</v>
      </c>
      <c r="S361" s="39">
        <v>9.0999999999999998E-2</v>
      </c>
      <c r="T361" s="4"/>
    </row>
    <row r="362" spans="2:20">
      <c r="B362" s="92" t="s">
        <v>138</v>
      </c>
      <c r="C362" s="91" t="s">
        <v>2574</v>
      </c>
      <c r="D362" s="93">
        <v>302.5</v>
      </c>
      <c r="E362" s="93">
        <v>149</v>
      </c>
      <c r="F362" s="103">
        <f>IFERROR(INDEX(Tabella9[PLZ],MATCH(Tabella8[[#This Row],[Colonna2]],Tabella9[Ortschaftsname],0)), "Name not found")</f>
        <v>3629</v>
      </c>
      <c r="G362" s="103"/>
      <c r="H362" s="240">
        <f ca="1">SUMIF(Tabella2[[#Headers],[#Data],[Age]],$H$76,Tabella2[[#Headers],[#Data],[Federal taxes]])</f>
        <v>6804.3246087429152</v>
      </c>
      <c r="I36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2" s="240">
        <f ca="1">Tabella8[[#This Row],[Colonna7]]*Tabella8[[#This Row],[Colonna4]]/100</f>
        <v>38926.563537251212</v>
      </c>
      <c r="Q362" s="2"/>
      <c r="R362" s="4">
        <v>77600</v>
      </c>
      <c r="S362" s="39">
        <v>9.98E-2</v>
      </c>
      <c r="T362" s="4"/>
    </row>
    <row r="363" spans="2:20">
      <c r="B363" s="92" t="s">
        <v>138</v>
      </c>
      <c r="C363" s="91" t="s">
        <v>2215</v>
      </c>
      <c r="D363" s="93">
        <v>302.5</v>
      </c>
      <c r="E363" s="93">
        <v>153</v>
      </c>
      <c r="F363" s="103">
        <f>IFERROR(INDEX(Tabella9[PLZ],MATCH(Tabella8[[#This Row],[Colonna2]],Tabella9[Ortschaftsname],0)), "Name not found")</f>
        <v>3303</v>
      </c>
      <c r="G363" s="103"/>
      <c r="H363" s="240">
        <f ca="1">SUMIF(Tabella2[[#Headers],[#Data],[Age]],$H$76,Tabella2[[#Headers],[#Data],[Federal taxes]])</f>
        <v>6804.3246087429152</v>
      </c>
      <c r="I36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3" s="240">
        <f ca="1">Tabella8[[#This Row],[Colonna7]]*Tabella8[[#This Row],[Colonna4]]/100</f>
        <v>39971.571954358631</v>
      </c>
      <c r="Q363" s="2"/>
      <c r="R363" s="4">
        <v>102100</v>
      </c>
      <c r="S363" s="39">
        <v>0.1087</v>
      </c>
      <c r="T363" s="4"/>
    </row>
    <row r="364" spans="2:20">
      <c r="B364" s="92" t="s">
        <v>138</v>
      </c>
      <c r="C364" s="91" t="s">
        <v>2415</v>
      </c>
      <c r="D364" s="93">
        <v>302.5</v>
      </c>
      <c r="E364" s="93">
        <v>190</v>
      </c>
      <c r="F364" s="103">
        <f>IFERROR(INDEX(Tabella9[PLZ],MATCH(Tabella8[[#This Row],[Colonna2]],Tabella9[Ortschaftsname],0)), "Name not found")</f>
        <v>2565</v>
      </c>
      <c r="G364" s="103"/>
      <c r="H364" s="240">
        <f ca="1">SUMIF(Tabella2[[#Headers],[#Data],[Age]],$H$76,Tabella2[[#Headers],[#Data],[Federal taxes]])</f>
        <v>6804.3246087429152</v>
      </c>
      <c r="I36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4" s="240">
        <f ca="1">Tabella8[[#This Row],[Colonna7]]*Tabella8[[#This Row],[Colonna4]]/100</f>
        <v>49637.899812602227</v>
      </c>
      <c r="Q364" s="2"/>
      <c r="R364" s="4">
        <v>128700</v>
      </c>
      <c r="S364" s="39">
        <v>0.1172</v>
      </c>
      <c r="T364" s="4"/>
    </row>
    <row r="365" spans="2:20">
      <c r="B365" s="92" t="s">
        <v>138</v>
      </c>
      <c r="C365" s="91" t="s">
        <v>2300</v>
      </c>
      <c r="D365" s="93">
        <v>302.5</v>
      </c>
      <c r="E365" s="93">
        <v>145</v>
      </c>
      <c r="F365" s="103">
        <f>IFERROR(INDEX(Tabella9[PLZ],MATCH(Tabella8[[#This Row],[Colonna2]],Tabella9[Ortschaftsname],0)), "Name not found")</f>
        <v>3283</v>
      </c>
      <c r="G365" s="103"/>
      <c r="H365" s="240">
        <f ca="1">SUMIF(Tabella2[[#Headers],[#Data],[Age]],$H$76,Tabella2[[#Headers],[#Data],[Federal taxes]])</f>
        <v>6804.3246087429152</v>
      </c>
      <c r="I36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5" s="240">
        <f ca="1">Tabella8[[#This Row],[Colonna7]]*Tabella8[[#This Row],[Colonna4]]/100</f>
        <v>37881.555120143799</v>
      </c>
      <c r="Q365" s="2"/>
      <c r="R365" s="4">
        <v>156000</v>
      </c>
      <c r="S365" s="39">
        <v>0.12540000000000001</v>
      </c>
      <c r="T365" s="4"/>
    </row>
    <row r="366" spans="2:20">
      <c r="B366" s="92" t="s">
        <v>138</v>
      </c>
      <c r="C366" s="91" t="s">
        <v>2404</v>
      </c>
      <c r="D366" s="93">
        <v>302.5</v>
      </c>
      <c r="E366" s="93">
        <v>185</v>
      </c>
      <c r="F366" s="103">
        <f>IFERROR(INDEX(Tabella9[PLZ],MATCH(Tabella8[[#This Row],[Colonna2]],Tabella9[Ortschaftsname],0)), "Name not found")</f>
        <v>3716</v>
      </c>
      <c r="G366" s="103"/>
      <c r="H366" s="240">
        <f ca="1">SUMIF(Tabella2[[#Headers],[#Data],[Age]],$H$76,Tabella2[[#Headers],[#Data],[Federal taxes]])</f>
        <v>6804.3246087429152</v>
      </c>
      <c r="I36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6" s="240">
        <f ca="1">Tabella8[[#This Row],[Colonna7]]*Tabella8[[#This Row],[Colonna4]]/100</f>
        <v>48331.639291217951</v>
      </c>
      <c r="Q366" s="2"/>
      <c r="R366" s="4">
        <v>181000</v>
      </c>
      <c r="S366" s="39">
        <v>0.13109999999999999</v>
      </c>
      <c r="T366" s="4"/>
    </row>
    <row r="367" spans="2:20">
      <c r="B367" s="92" t="s">
        <v>138</v>
      </c>
      <c r="C367" s="91" t="s">
        <v>2346</v>
      </c>
      <c r="D367" s="93">
        <v>302.5</v>
      </c>
      <c r="E367" s="93">
        <v>180</v>
      </c>
      <c r="F367" s="103">
        <f>IFERROR(INDEX(Tabella9[PLZ],MATCH(Tabella8[[#This Row],[Colonna2]],Tabella9[Ortschaftsname],0)), "Name not found")</f>
        <v>3718</v>
      </c>
      <c r="G367" s="103"/>
      <c r="H367" s="240">
        <f ca="1">SUMIF(Tabella2[[#Headers],[#Data],[Age]],$H$76,Tabella2[[#Headers],[#Data],[Federal taxes]])</f>
        <v>6804.3246087429152</v>
      </c>
      <c r="I36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7" s="240">
        <f ca="1">Tabella8[[#This Row],[Colonna7]]*Tabella8[[#This Row],[Colonna4]]/100</f>
        <v>47025.378769833682</v>
      </c>
      <c r="Q367" s="2"/>
      <c r="R367" s="4">
        <v>207100</v>
      </c>
      <c r="S367" s="39">
        <v>0.13500000000000001</v>
      </c>
      <c r="T367" s="4"/>
    </row>
    <row r="368" spans="2:20">
      <c r="B368" s="92" t="s">
        <v>138</v>
      </c>
      <c r="C368" s="91" t="s">
        <v>2575</v>
      </c>
      <c r="D368" s="93">
        <v>302.5</v>
      </c>
      <c r="E368" s="93">
        <v>160</v>
      </c>
      <c r="F368" s="103">
        <f>IFERROR(INDEX(Tabella9[PLZ],MATCH(Tabella8[[#This Row],[Colonna2]],Tabella9[Ortschaftsname],0)), "Name not found")</f>
        <v>3273</v>
      </c>
      <c r="G368" s="103"/>
      <c r="H368" s="240">
        <f ca="1">SUMIF(Tabella2[[#Headers],[#Data],[Age]],$H$76,Tabella2[[#Headers],[#Data],[Federal taxes]])</f>
        <v>6804.3246087429152</v>
      </c>
      <c r="I36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8" s="240">
        <f ca="1">Tabella8[[#This Row],[Colonna7]]*Tabella8[[#This Row],[Colonna4]]/100</f>
        <v>41800.336684296606</v>
      </c>
      <c r="Q368" s="2"/>
      <c r="R368" s="4"/>
      <c r="S368" s="39"/>
      <c r="T368" s="46"/>
    </row>
    <row r="369" spans="2:20">
      <c r="B369" s="92" t="s">
        <v>138</v>
      </c>
      <c r="C369" s="91" t="s">
        <v>2369</v>
      </c>
      <c r="D369" s="93">
        <v>302.5</v>
      </c>
      <c r="E369" s="93">
        <v>188</v>
      </c>
      <c r="F369" s="103">
        <f>IFERROR(INDEX(Tabella9[PLZ],MATCH(Tabella8[[#This Row],[Colonna2]],Tabella9[Ortschaftsname],0)), "Name not found")</f>
        <v>3126</v>
      </c>
      <c r="G369" s="103"/>
      <c r="H369" s="240">
        <f ca="1">SUMIF(Tabella2[[#Headers],[#Data],[Age]],$H$76,Tabella2[[#Headers],[#Data],[Federal taxes]])</f>
        <v>6804.3246087429152</v>
      </c>
      <c r="I36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69" s="240">
        <f ca="1">Tabella8[[#This Row],[Colonna7]]*Tabella8[[#This Row],[Colonna4]]/100</f>
        <v>49115.395604048514</v>
      </c>
      <c r="Q369" s="2"/>
      <c r="R369" s="4"/>
      <c r="S369" s="39"/>
      <c r="T369" s="46"/>
    </row>
    <row r="370" spans="2:20">
      <c r="B370" s="92" t="s">
        <v>138</v>
      </c>
      <c r="C370" s="91" t="s">
        <v>2235</v>
      </c>
      <c r="D370" s="93">
        <v>302.5</v>
      </c>
      <c r="E370" s="93">
        <v>164</v>
      </c>
      <c r="F370" s="103">
        <f>IFERROR(INDEX(Tabella9[PLZ],MATCH(Tabella8[[#This Row],[Colonna2]],Tabella9[Ortschaftsname],0)), "Name not found")</f>
        <v>3122</v>
      </c>
      <c r="G370" s="103"/>
      <c r="H370" s="240">
        <f ca="1">SUMIF(Tabella2[[#Headers],[#Data],[Age]],$H$76,Tabella2[[#Headers],[#Data],[Federal taxes]])</f>
        <v>6804.3246087429152</v>
      </c>
      <c r="I37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0" s="240">
        <f ca="1">Tabella8[[#This Row],[Colonna7]]*Tabella8[[#This Row],[Colonna4]]/100</f>
        <v>42845.345101404026</v>
      </c>
      <c r="Q370" s="2"/>
      <c r="R370" s="4"/>
      <c r="S370" s="39"/>
      <c r="T370" s="46"/>
    </row>
    <row r="371" spans="2:20">
      <c r="B371" s="92" t="s">
        <v>138</v>
      </c>
      <c r="C371" s="91" t="s">
        <v>2442</v>
      </c>
      <c r="D371" s="93">
        <v>302.5</v>
      </c>
      <c r="E371" s="93">
        <v>150</v>
      </c>
      <c r="F371" s="103">
        <f>IFERROR(INDEX(Tabella9[PLZ],MATCH(Tabella8[[#This Row],[Colonna2]],Tabella9[Ortschaftsname],0)), "Name not found")</f>
        <v>3309</v>
      </c>
      <c r="G371" s="103"/>
      <c r="H371" s="240">
        <f ca="1">SUMIF(Tabella2[[#Headers],[#Data],[Age]],$H$76,Tabella2[[#Headers],[#Data],[Federal taxes]])</f>
        <v>6804.3246087429152</v>
      </c>
      <c r="I37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1" s="240">
        <f ca="1">Tabella8[[#This Row],[Colonna7]]*Tabella8[[#This Row],[Colonna4]]/100</f>
        <v>39187.815641528068</v>
      </c>
      <c r="Q371" s="2"/>
      <c r="R371" s="4"/>
      <c r="S371" s="39"/>
      <c r="T371" s="2"/>
    </row>
    <row r="372" spans="2:20">
      <c r="B372" s="92" t="s">
        <v>138</v>
      </c>
      <c r="C372" s="91" t="s">
        <v>2378</v>
      </c>
      <c r="D372" s="93">
        <v>302.5</v>
      </c>
      <c r="E372" s="93">
        <v>154</v>
      </c>
      <c r="F372" s="103">
        <f>IFERROR(INDEX(Tabella9[PLZ],MATCH(Tabella8[[#This Row],[Colonna2]],Tabella9[Ortschaftsname],0)), "Name not found")</f>
        <v>3629</v>
      </c>
      <c r="G372" s="103"/>
      <c r="H372" s="240">
        <f ca="1">SUMIF(Tabella2[[#Headers],[#Data],[Age]],$H$76,Tabella2[[#Headers],[#Data],[Federal taxes]])</f>
        <v>6804.3246087429152</v>
      </c>
      <c r="I37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2" s="240">
        <f ca="1">Tabella8[[#This Row],[Colonna7]]*Tabella8[[#This Row],[Colonna4]]/100</f>
        <v>40232.82405863548</v>
      </c>
      <c r="Q372" s="2"/>
      <c r="R372" s="4"/>
      <c r="S372" s="39"/>
      <c r="T372" s="2"/>
    </row>
    <row r="373" spans="2:20">
      <c r="B373" s="92" t="s">
        <v>138</v>
      </c>
      <c r="C373" s="91" t="s">
        <v>2213</v>
      </c>
      <c r="D373" s="93">
        <v>302.5</v>
      </c>
      <c r="E373" s="93">
        <v>159</v>
      </c>
      <c r="F373" s="103">
        <v>3422</v>
      </c>
      <c r="G373" s="103"/>
      <c r="H373" s="240">
        <f ca="1">SUMIF(Tabella2[[#Headers],[#Data],[Age]],$H$76,Tabella2[[#Headers],[#Data],[Federal taxes]])</f>
        <v>6804.3246087429152</v>
      </c>
      <c r="I37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3" s="240">
        <f ca="1">Tabella8[[#This Row],[Colonna7]]*Tabella8[[#This Row],[Colonna4]]/100</f>
        <v>41539.084580019757</v>
      </c>
      <c r="Q373" s="2"/>
      <c r="R373" s="4"/>
      <c r="S373" s="39"/>
      <c r="T373" s="2"/>
    </row>
    <row r="374" spans="2:20">
      <c r="B374" s="92" t="s">
        <v>138</v>
      </c>
      <c r="C374" s="91" t="s">
        <v>2312</v>
      </c>
      <c r="D374" s="93">
        <v>302.5</v>
      </c>
      <c r="E374" s="93">
        <v>151</v>
      </c>
      <c r="F374" s="103">
        <v>3116</v>
      </c>
      <c r="G374" s="103"/>
      <c r="H374" s="240">
        <f ca="1">SUMIF(Tabella2[[#Headers],[#Data],[Age]],$H$76,Tabella2[[#Headers],[#Data],[Federal taxes]])</f>
        <v>6804.3246087429152</v>
      </c>
      <c r="I37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4" s="240">
        <f ca="1">Tabella8[[#This Row],[Colonna7]]*Tabella8[[#This Row],[Colonna4]]/100</f>
        <v>39449.067745804925</v>
      </c>
      <c r="Q374" s="2"/>
      <c r="R374" s="36">
        <f>IF(Q355&lt;$R$357,Q355*$S$356,IF(Q355&lt;$R$358,Q355*$S$357,IF(Q355&lt;$R$359,Q355*$S$358,IF(Q355&lt;$R$360,Q355*$S$359,IF(Q355&lt;$R$361,Q355*$S$360,IF(Q355&lt;$R$362,Q355*$S$361,IF(Q355&lt;$R$363,Q355*$S$362,IF(Q355&lt;$R$364,Q355*$S$363,IF(Q355&lt;$R$365,Q355*$S$364,IF(Q355&lt;$R$366,Q355*$S$365,IF(Q355&lt;$R$367,Q355*$S$366,IF(Q355&gt;$R$367,Q355*$S$367))))))))))))</f>
        <v>9980</v>
      </c>
      <c r="S374" s="2"/>
      <c r="T374" s="2"/>
    </row>
    <row r="375" spans="2:20">
      <c r="B375" s="92" t="s">
        <v>138</v>
      </c>
      <c r="C375" s="91" t="s">
        <v>2267</v>
      </c>
      <c r="D375" s="93">
        <v>302.5</v>
      </c>
      <c r="E375" s="93">
        <v>150</v>
      </c>
      <c r="F375" s="103">
        <f>IFERROR(INDEX(Tabella9[PLZ],MATCH(Tabella8[[#This Row],[Colonna2]],Tabella9[Ortschaftsname],0)), "Name not found")</f>
        <v>3038</v>
      </c>
      <c r="G375" s="103"/>
      <c r="H375" s="240">
        <f ca="1">SUMIF(Tabella2[[#Headers],[#Data],[Age]],$H$76,Tabella2[[#Headers],[#Data],[Federal taxes]])</f>
        <v>6804.3246087429152</v>
      </c>
      <c r="I37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5" s="240">
        <f ca="1">Tabella8[[#This Row],[Colonna7]]*Tabella8[[#This Row],[Colonna4]]/100</f>
        <v>39187.815641528068</v>
      </c>
    </row>
    <row r="376" spans="2:20">
      <c r="B376" s="92" t="s">
        <v>138</v>
      </c>
      <c r="C376" s="91" t="s">
        <v>2218</v>
      </c>
      <c r="D376" s="93">
        <v>302.5</v>
      </c>
      <c r="E376" s="93">
        <v>159</v>
      </c>
      <c r="F376" s="103">
        <f>IFERROR(INDEX(Tabella9[PLZ],MATCH(Tabella8[[#This Row],[Colonna2]],Tabella9[Ortschaftsname],0)), "Name not found")</f>
        <v>3510</v>
      </c>
      <c r="G376" s="103"/>
      <c r="H376" s="240">
        <f ca="1">SUMIF(Tabella2[[#Headers],[#Data],[Age]],$H$76,Tabella2[[#Headers],[#Data],[Federal taxes]])</f>
        <v>6804.3246087429152</v>
      </c>
      <c r="I37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6" s="240">
        <f ca="1">Tabella8[[#This Row],[Colonna7]]*Tabella8[[#This Row],[Colonna4]]/100</f>
        <v>41539.084580019757</v>
      </c>
      <c r="Q376" s="68" t="s">
        <v>2576</v>
      </c>
      <c r="R376" s="21" t="s">
        <v>82</v>
      </c>
      <c r="S376" s="21" t="s">
        <v>2511</v>
      </c>
      <c r="T376" s="21" t="s">
        <v>90</v>
      </c>
    </row>
    <row r="377" spans="2:20">
      <c r="B377" s="92" t="s">
        <v>138</v>
      </c>
      <c r="C377" s="91" t="s">
        <v>2303</v>
      </c>
      <c r="D377" s="93">
        <v>302.5</v>
      </c>
      <c r="E377" s="93">
        <v>165</v>
      </c>
      <c r="F377" s="103">
        <f>IFERROR(INDEX(Tabella9[PLZ],MATCH(Tabella8[[#This Row],[Colonna2]],Tabella9[Ortschaftsname],0)), "Name not found")</f>
        <v>3425</v>
      </c>
      <c r="G377" s="103"/>
      <c r="H377" s="240">
        <f ca="1">SUMIF(Tabella2[[#Headers],[#Data],[Age]],$H$76,Tabella2[[#Headers],[#Data],[Federal taxes]])</f>
        <v>6804.3246087429152</v>
      </c>
      <c r="I37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7" s="240">
        <f ca="1">Tabella8[[#This Row],[Colonna7]]*Tabella8[[#This Row],[Colonna4]]/100</f>
        <v>43106.597205680882</v>
      </c>
      <c r="Q377" s="94">
        <v>100000</v>
      </c>
      <c r="R377" s="11" t="s">
        <v>2512</v>
      </c>
      <c r="S377" s="11" t="s">
        <v>2513</v>
      </c>
      <c r="T377" s="11" t="s">
        <v>2514</v>
      </c>
    </row>
    <row r="378" spans="2:20">
      <c r="B378" s="92" t="s">
        <v>138</v>
      </c>
      <c r="C378" s="91" t="s">
        <v>2364</v>
      </c>
      <c r="D378" s="93">
        <v>302.5</v>
      </c>
      <c r="E378" s="93">
        <v>170</v>
      </c>
      <c r="F378" s="103">
        <f>IFERROR(INDEX(Tabella9[PLZ],MATCH(Tabella8[[#This Row],[Colonna2]],Tabella9[Ortschaftsname],0)), "Name not found")</f>
        <v>3704</v>
      </c>
      <c r="G378" s="103"/>
      <c r="H378" s="240">
        <f ca="1">SUMIF(Tabella2[[#Headers],[#Data],[Age]],$H$76,Tabella2[[#Headers],[#Data],[Federal taxes]])</f>
        <v>6804.3246087429152</v>
      </c>
      <c r="I37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8" s="240">
        <f ca="1">Tabella8[[#This Row],[Colonna7]]*Tabella8[[#This Row],[Colonna4]]/100</f>
        <v>44412.857727065144</v>
      </c>
      <c r="Q378" s="26"/>
      <c r="R378" s="4">
        <v>0</v>
      </c>
      <c r="S378" s="4">
        <v>0</v>
      </c>
      <c r="T378" s="4">
        <v>0</v>
      </c>
    </row>
    <row r="379" spans="2:20">
      <c r="B379" s="92" t="s">
        <v>138</v>
      </c>
      <c r="C379" s="91" t="s">
        <v>2294</v>
      </c>
      <c r="D379" s="93">
        <v>302.5</v>
      </c>
      <c r="E379" s="93">
        <v>179</v>
      </c>
      <c r="F379" s="103">
        <f>IFERROR(INDEX(Tabella9[PLZ],MATCH(Tabella8[[#This Row],[Colonna2]],Tabella9[Ortschaftsname],0)), "Name not found")</f>
        <v>3326</v>
      </c>
      <c r="G379" s="103"/>
      <c r="H379" s="240">
        <f ca="1">SUMIF(Tabella2[[#Headers],[#Data],[Age]],$H$76,Tabella2[[#Headers],[#Data],[Federal taxes]])</f>
        <v>6804.3246087429152</v>
      </c>
      <c r="I37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79" s="240">
        <f ca="1">Tabella8[[#This Row],[Colonna7]]*Tabella8[[#This Row],[Colonna4]]/100</f>
        <v>46764.126665556832</v>
      </c>
      <c r="Q379" s="2"/>
      <c r="R379" s="4">
        <v>10200</v>
      </c>
      <c r="S379" s="4">
        <v>0</v>
      </c>
      <c r="T379" s="4">
        <v>8</v>
      </c>
    </row>
    <row r="380" spans="2:20">
      <c r="B380" s="92" t="s">
        <v>138</v>
      </c>
      <c r="C380" s="91" t="s">
        <v>2467</v>
      </c>
      <c r="D380" s="93">
        <v>302.5</v>
      </c>
      <c r="E380" s="93">
        <v>179</v>
      </c>
      <c r="F380" s="103">
        <f>IFERROR(INDEX(Tabella9[PLZ],MATCH(Tabella8[[#This Row],[Colonna2]],Tabella9[Ortschaftsname],0)), "Name not found")</f>
        <v>3179</v>
      </c>
      <c r="G380" s="103"/>
      <c r="H380" s="240">
        <f ca="1">SUMIF(Tabella2[[#Headers],[#Data],[Age]],$H$76,Tabella2[[#Headers],[#Data],[Federal taxes]])</f>
        <v>6804.3246087429152</v>
      </c>
      <c r="I38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0" s="240">
        <f ca="1">Tabella8[[#This Row],[Colonna7]]*Tabella8[[#This Row],[Colonna4]]/100</f>
        <v>46764.126665556832</v>
      </c>
      <c r="Q380" s="2"/>
      <c r="R380" s="4">
        <v>20400</v>
      </c>
      <c r="S380" s="4">
        <v>816</v>
      </c>
      <c r="T380" s="4">
        <v>11</v>
      </c>
    </row>
    <row r="381" spans="2:20">
      <c r="B381" s="92" t="s">
        <v>138</v>
      </c>
      <c r="C381" s="91" t="s">
        <v>2188</v>
      </c>
      <c r="D381" s="93">
        <v>302.5</v>
      </c>
      <c r="E381" s="93">
        <v>158</v>
      </c>
      <c r="F381" s="103">
        <f>IFERROR(INDEX(Tabella9[PLZ],MATCH(Tabella8[[#This Row],[Colonna2]],Tabella9[Ortschaftsname],0)), "Name not found")</f>
        <v>3098</v>
      </c>
      <c r="G381" s="103"/>
      <c r="H381" s="240">
        <f ca="1">SUMIF(Tabella2[[#Headers],[#Data],[Age]],$H$76,Tabella2[[#Headers],[#Data],[Federal taxes]])</f>
        <v>6804.3246087429152</v>
      </c>
      <c r="I38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1" s="240">
        <f ca="1">Tabella8[[#This Row],[Colonna7]]*Tabella8[[#This Row],[Colonna4]]/100</f>
        <v>41277.8324757429</v>
      </c>
      <c r="Q381" s="2"/>
      <c r="R381" s="4">
        <v>30500</v>
      </c>
      <c r="S381" s="4">
        <v>1932</v>
      </c>
      <c r="T381" s="4">
        <v>13</v>
      </c>
    </row>
    <row r="382" spans="2:20">
      <c r="B382" s="92" t="s">
        <v>138</v>
      </c>
      <c r="C382" s="91" t="s">
        <v>2441</v>
      </c>
      <c r="D382" s="93">
        <v>302.5</v>
      </c>
      <c r="E382" s="93">
        <v>194</v>
      </c>
      <c r="F382" s="103">
        <f>IFERROR(INDEX(Tabella9[PLZ],MATCH(Tabella8[[#This Row],[Colonna2]],Tabella9[Ortschaftsname],0)), "Name not found")</f>
        <v>2333</v>
      </c>
      <c r="G382" s="103"/>
      <c r="H382" s="240">
        <f ca="1">SUMIF(Tabella2[[#Headers],[#Data],[Age]],$H$76,Tabella2[[#Headers],[#Data],[Federal taxes]])</f>
        <v>6804.3246087429152</v>
      </c>
      <c r="I38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2" s="240">
        <f ca="1">Tabella8[[#This Row],[Colonna7]]*Tabella8[[#This Row],[Colonna4]]/100</f>
        <v>50682.908229709632</v>
      </c>
      <c r="Q382" s="2"/>
      <c r="R382" s="4">
        <v>50900</v>
      </c>
      <c r="S382" s="4">
        <v>4581</v>
      </c>
      <c r="T382" s="4">
        <v>15</v>
      </c>
    </row>
    <row r="383" spans="2:20">
      <c r="B383" s="92" t="s">
        <v>138</v>
      </c>
      <c r="C383" s="91" t="s">
        <v>2247</v>
      </c>
      <c r="D383" s="93">
        <v>302.5</v>
      </c>
      <c r="E383" s="93">
        <v>165</v>
      </c>
      <c r="F383" s="103">
        <f>IFERROR(INDEX(Tabella9[PLZ],MATCH(Tabella8[[#This Row],[Colonna2]],Tabella9[Ortschaftsname],0)), "Name not found")</f>
        <v>2520</v>
      </c>
      <c r="G383" s="103"/>
      <c r="H383" s="240">
        <f ca="1">SUMIF(Tabella2[[#Headers],[#Data],[Age]],$H$76,Tabella2[[#Headers],[#Data],[Federal taxes]])</f>
        <v>6804.3246087429152</v>
      </c>
      <c r="I38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3" s="240">
        <f ca="1">Tabella8[[#This Row],[Colonna7]]*Tabella8[[#This Row],[Colonna4]]/100</f>
        <v>43106.597205680882</v>
      </c>
      <c r="Q383" s="2"/>
      <c r="R383" s="4">
        <v>101800</v>
      </c>
      <c r="S383" s="4">
        <v>12216</v>
      </c>
      <c r="T383" s="4">
        <v>16</v>
      </c>
    </row>
    <row r="384" spans="2:20">
      <c r="B384" s="92" t="s">
        <v>138</v>
      </c>
      <c r="C384" s="91" t="s">
        <v>2420</v>
      </c>
      <c r="D384" s="93">
        <v>302.5</v>
      </c>
      <c r="E384" s="93">
        <v>185</v>
      </c>
      <c r="F384" s="103">
        <f>IFERROR(INDEX(Tabella9[PLZ],MATCH(Tabella8[[#This Row],[Colonna2]],Tabella9[Ortschaftsname],0)), "Name not found")</f>
        <v>3434</v>
      </c>
      <c r="G384" s="103"/>
      <c r="H384" s="240">
        <f ca="1">SUMIF(Tabella2[[#Headers],[#Data],[Age]],$H$76,Tabella2[[#Headers],[#Data],[Federal taxes]])</f>
        <v>6804.3246087429152</v>
      </c>
      <c r="I38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4" s="240">
        <f ca="1">Tabella8[[#This Row],[Colonna7]]*Tabella8[[#This Row],[Colonna4]]/100</f>
        <v>48331.639291217951</v>
      </c>
      <c r="Q384" s="2"/>
      <c r="R384" s="4">
        <v>152600</v>
      </c>
      <c r="S384" s="4">
        <v>20347</v>
      </c>
      <c r="T384" s="4">
        <v>17.5</v>
      </c>
    </row>
    <row r="385" spans="2:20">
      <c r="B385" s="92" t="s">
        <v>138</v>
      </c>
      <c r="C385" s="91" t="s">
        <v>1591</v>
      </c>
      <c r="D385" s="93">
        <v>302.5</v>
      </c>
      <c r="E385" s="93">
        <v>144</v>
      </c>
      <c r="F385" s="103">
        <f>IFERROR(INDEX(Tabella9[PLZ],MATCH(Tabella8[[#This Row],[Colonna2]],Tabella9[Ortschaftsname],0)), "Name not found")</f>
        <v>4900</v>
      </c>
      <c r="G385" s="103"/>
      <c r="H385" s="240">
        <f ca="1">SUMIF(Tabella2[[#Headers],[#Data],[Age]],$H$76,Tabella2[[#Headers],[#Data],[Federal taxes]])</f>
        <v>6804.3246087429152</v>
      </c>
      <c r="I38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5" s="240">
        <f ca="1">Tabella8[[#This Row],[Colonna7]]*Tabella8[[#This Row],[Colonna4]]/100</f>
        <v>37620.303015866943</v>
      </c>
      <c r="Q385" s="2"/>
      <c r="R385" s="4">
        <v>254400</v>
      </c>
      <c r="S385" s="4">
        <v>38160</v>
      </c>
      <c r="T385" s="4">
        <v>19</v>
      </c>
    </row>
    <row r="386" spans="2:20">
      <c r="B386" s="92" t="s">
        <v>138</v>
      </c>
      <c r="C386" s="91" t="s">
        <v>2201</v>
      </c>
      <c r="D386" s="93">
        <v>302.5</v>
      </c>
      <c r="E386" s="93">
        <v>194</v>
      </c>
      <c r="F386" s="103">
        <f>IFERROR(INDEX(Tabella9[PLZ],MATCH(Tabella8[[#This Row],[Colonna2]],Tabella9[Ortschaftsname],0)), "Name not found")</f>
        <v>3550</v>
      </c>
      <c r="G386" s="103"/>
      <c r="H386" s="240">
        <f ca="1">SUMIF(Tabella2[[#Headers],[#Data],[Age]],$H$76,Tabella2[[#Headers],[#Data],[Federal taxes]])</f>
        <v>6804.3246087429152</v>
      </c>
      <c r="I38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6" s="240">
        <f ca="1">Tabella8[[#This Row],[Colonna7]]*Tabella8[[#This Row],[Colonna4]]/100</f>
        <v>50682.908229709632</v>
      </c>
      <c r="Q386" s="2"/>
      <c r="R386" s="4">
        <v>407000</v>
      </c>
      <c r="S386" s="4">
        <v>67155</v>
      </c>
      <c r="T386" s="4">
        <v>21</v>
      </c>
    </row>
    <row r="387" spans="2:20">
      <c r="B387" s="92" t="s">
        <v>138</v>
      </c>
      <c r="C387" s="91" t="s">
        <v>2398</v>
      </c>
      <c r="D387" s="93">
        <v>302.5</v>
      </c>
      <c r="E387" s="93">
        <v>170</v>
      </c>
      <c r="F387" s="103">
        <v>3782</v>
      </c>
      <c r="G387" s="103"/>
      <c r="H387" s="240">
        <f ca="1">SUMIF(Tabella2[[#Headers],[#Data],[Age]],$H$76,Tabella2[[#Headers],[#Data],[Federal taxes]])</f>
        <v>6804.3246087429152</v>
      </c>
      <c r="I38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7" s="240">
        <f ca="1">Tabella8[[#This Row],[Colonna7]]*Tabella8[[#This Row],[Colonna4]]/100</f>
        <v>44412.857727065144</v>
      </c>
      <c r="Q387" s="2"/>
      <c r="R387" s="4">
        <v>457900</v>
      </c>
      <c r="S387" s="4">
        <v>77843</v>
      </c>
      <c r="T387" s="4">
        <v>17</v>
      </c>
    </row>
    <row r="388" spans="2:20">
      <c r="B388" s="92" t="s">
        <v>138</v>
      </c>
      <c r="C388" s="91" t="s">
        <v>2264</v>
      </c>
      <c r="D388" s="93">
        <v>302.5</v>
      </c>
      <c r="E388" s="93">
        <v>174</v>
      </c>
      <c r="F388" s="103">
        <v>3177</v>
      </c>
      <c r="G388" s="103"/>
      <c r="H388" s="240">
        <f ca="1">SUMIF(Tabella2[[#Headers],[#Data],[Age]],$H$76,Tabella2[[#Headers],[#Data],[Federal taxes]])</f>
        <v>6804.3246087429152</v>
      </c>
      <c r="I38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8" s="240">
        <f ca="1">Tabella8[[#This Row],[Colonna7]]*Tabella8[[#This Row],[Colonna4]]/100</f>
        <v>45457.866144172556</v>
      </c>
      <c r="Q388" s="2"/>
      <c r="R388" s="4"/>
      <c r="S388" s="4"/>
      <c r="T388" s="4"/>
    </row>
    <row r="389" spans="2:20">
      <c r="B389" s="92" t="s">
        <v>138</v>
      </c>
      <c r="C389" s="91" t="s">
        <v>2279</v>
      </c>
      <c r="D389" s="93">
        <v>302.5</v>
      </c>
      <c r="E389" s="93">
        <v>185</v>
      </c>
      <c r="F389" s="103">
        <f>IFERROR(INDEX(Tabella9[PLZ],MATCH(Tabella8[[#This Row],[Colonna2]],Tabella9[Ortschaftsname],0)), "Name not found")</f>
        <v>3438</v>
      </c>
      <c r="G389" s="103"/>
      <c r="H389" s="240">
        <f ca="1">SUMIF(Tabella2[[#Headers],[#Data],[Age]],$H$76,Tabella2[[#Headers],[#Data],[Federal taxes]])</f>
        <v>6804.3246087429152</v>
      </c>
      <c r="I38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89" s="240">
        <f ca="1">Tabella8[[#This Row],[Colonna7]]*Tabella8[[#This Row],[Colonna4]]/100</f>
        <v>48331.639291217951</v>
      </c>
      <c r="Q389" s="2"/>
      <c r="R389" s="4"/>
      <c r="S389" s="4"/>
      <c r="T389" s="4"/>
    </row>
    <row r="390" spans="2:20">
      <c r="B390" s="92" t="s">
        <v>138</v>
      </c>
      <c r="C390" s="91" t="s">
        <v>2292</v>
      </c>
      <c r="D390" s="93">
        <v>302.5</v>
      </c>
      <c r="E390" s="93">
        <v>184</v>
      </c>
      <c r="F390" s="103">
        <f>IFERROR(INDEX(Tabella9[PLZ],MATCH(Tabella8[[#This Row],[Colonna2]],Tabella9[Ortschaftsname],0)), "Name not found")</f>
        <v>3822</v>
      </c>
      <c r="G390" s="103"/>
      <c r="H390" s="240">
        <f ca="1">SUMIF(Tabella2[[#Headers],[#Data],[Age]],$H$76,Tabella2[[#Headers],[#Data],[Federal taxes]])</f>
        <v>6804.3246087429152</v>
      </c>
      <c r="I39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0" s="240">
        <f ca="1">Tabella8[[#This Row],[Colonna7]]*Tabella8[[#This Row],[Colonna4]]/100</f>
        <v>48070.387186941094</v>
      </c>
      <c r="Q390" s="2"/>
      <c r="R390" s="46"/>
      <c r="S390" s="46"/>
      <c r="T390" s="46"/>
    </row>
    <row r="391" spans="2:20">
      <c r="B391" s="92" t="s">
        <v>138</v>
      </c>
      <c r="C391" s="91" t="s">
        <v>2370</v>
      </c>
      <c r="D391" s="93">
        <v>302.5</v>
      </c>
      <c r="E391" s="93">
        <v>190</v>
      </c>
      <c r="F391" s="103">
        <f>IFERROR(INDEX(Tabella9[PLZ],MATCH(Tabella8[[#This Row],[Colonna2]],Tabella9[Ortschaftsname],0)), "Name not found")</f>
        <v>3706</v>
      </c>
      <c r="G391" s="103"/>
      <c r="H391" s="240">
        <f ca="1">SUMIF(Tabella2[[#Headers],[#Data],[Age]],$H$76,Tabella2[[#Headers],[#Data],[Federal taxes]])</f>
        <v>6804.3246087429152</v>
      </c>
      <c r="I39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1" s="240">
        <f ca="1">Tabella8[[#This Row],[Colonna7]]*Tabella8[[#This Row],[Colonna4]]/100</f>
        <v>49637.899812602227</v>
      </c>
      <c r="Q391" s="2"/>
      <c r="R391" s="46"/>
      <c r="S391" s="46"/>
      <c r="T391" s="46"/>
    </row>
    <row r="392" spans="2:20">
      <c r="B392" s="92" t="s">
        <v>138</v>
      </c>
      <c r="C392" s="91" t="s">
        <v>2220</v>
      </c>
      <c r="D392" s="93">
        <v>302.5</v>
      </c>
      <c r="E392" s="93">
        <v>154</v>
      </c>
      <c r="F392" s="103">
        <v>2543</v>
      </c>
      <c r="G392" s="103"/>
      <c r="H392" s="240">
        <f ca="1">SUMIF(Tabella2[[#Headers],[#Data],[Age]],$H$76,Tabella2[[#Headers],[#Data],[Federal taxes]])</f>
        <v>6804.3246087429152</v>
      </c>
      <c r="I39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2" s="240">
        <f ca="1">Tabella8[[#This Row],[Colonna7]]*Tabella8[[#This Row],[Colonna4]]/100</f>
        <v>40232.82405863548</v>
      </c>
      <c r="Q392" s="2"/>
      <c r="R392" s="46"/>
      <c r="S392" s="46"/>
      <c r="T392" s="46"/>
    </row>
    <row r="393" spans="2:20">
      <c r="B393" s="92" t="s">
        <v>138</v>
      </c>
      <c r="C393" s="91" t="s">
        <v>2293</v>
      </c>
      <c r="D393" s="93">
        <v>302.5</v>
      </c>
      <c r="E393" s="93">
        <v>179</v>
      </c>
      <c r="F393" s="103">
        <v>3775</v>
      </c>
      <c r="G393" s="103"/>
      <c r="H393" s="240">
        <f ca="1">SUMIF(Tabella2[[#Headers],[#Data],[Age]],$H$76,Tabella2[[#Headers],[#Data],[Federal taxes]])</f>
        <v>6804.3246087429152</v>
      </c>
      <c r="I39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3" s="240">
        <f ca="1">Tabella8[[#This Row],[Colonna7]]*Tabella8[[#This Row],[Colonna4]]/100</f>
        <v>46764.126665556832</v>
      </c>
      <c r="Q393" s="2"/>
      <c r="R393" s="46"/>
      <c r="S393" s="4"/>
      <c r="T393" s="4"/>
    </row>
    <row r="394" spans="2:20">
      <c r="B394" s="92" t="s">
        <v>138</v>
      </c>
      <c r="C394" s="91" t="s">
        <v>2350</v>
      </c>
      <c r="D394" s="93">
        <v>302.5</v>
      </c>
      <c r="E394" s="93">
        <v>179</v>
      </c>
      <c r="F394" s="103">
        <f>IFERROR(INDEX(Tabella9[PLZ],MATCH(Tabella8[[#This Row],[Colonna2]],Tabella9[Ortschaftsname],0)), "Name not found")</f>
        <v>3297</v>
      </c>
      <c r="G394" s="103"/>
      <c r="H394" s="240">
        <f ca="1">SUMIF(Tabella2[[#Headers],[#Data],[Age]],$H$76,Tabella2[[#Headers],[#Data],[Federal taxes]])</f>
        <v>6804.3246087429152</v>
      </c>
      <c r="I39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4" s="240">
        <f ca="1">Tabella8[[#This Row],[Colonna7]]*Tabella8[[#This Row],[Colonna4]]/100</f>
        <v>46764.126665556832</v>
      </c>
      <c r="Q394" s="2"/>
      <c r="R394" s="46"/>
      <c r="S394" s="46"/>
      <c r="T394" s="46"/>
    </row>
    <row r="395" spans="2:20">
      <c r="B395" s="92" t="s">
        <v>138</v>
      </c>
      <c r="C395" s="91" t="s">
        <v>2434</v>
      </c>
      <c r="D395" s="93">
        <v>302.5</v>
      </c>
      <c r="E395" s="93">
        <v>168</v>
      </c>
      <c r="F395" s="103">
        <f>IFERROR(INDEX(Tabella9[PLZ],MATCH(Tabella8[[#This Row],[Colonna2]],Tabella9[Ortschaftsname],0)), "Name not found")</f>
        <v>2514</v>
      </c>
      <c r="G395" s="103"/>
      <c r="H395" s="240">
        <f ca="1">SUMIF(Tabella2[[#Headers],[#Data],[Age]],$H$76,Tabella2[[#Headers],[#Data],[Federal taxes]])</f>
        <v>6804.3246087429152</v>
      </c>
      <c r="I39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5" s="240">
        <f ca="1">Tabella8[[#This Row],[Colonna7]]*Tabella8[[#This Row],[Colonna4]]/100</f>
        <v>43890.353518511438</v>
      </c>
      <c r="Q395" s="2"/>
      <c r="R395" s="46"/>
      <c r="S395" s="46"/>
      <c r="T395" s="46"/>
    </row>
    <row r="396" spans="2:20">
      <c r="B396" s="92" t="s">
        <v>138</v>
      </c>
      <c r="C396" s="91" t="s">
        <v>2347</v>
      </c>
      <c r="D396" s="93">
        <v>302.5</v>
      </c>
      <c r="E396" s="93">
        <v>190</v>
      </c>
      <c r="F396" s="103">
        <f>IFERROR(INDEX(Tabella9[PLZ],MATCH(Tabella8[[#This Row],[Colonna2]],Tabella9[Ortschaftsname],0)), "Name not found")</f>
        <v>3673</v>
      </c>
      <c r="G396" s="103"/>
      <c r="H396" s="240">
        <f ca="1">SUMIF(Tabella2[[#Headers],[#Data],[Age]],$H$76,Tabella2[[#Headers],[#Data],[Federal taxes]])</f>
        <v>6804.3246087429152</v>
      </c>
      <c r="I39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6" s="240">
        <f ca="1">Tabella8[[#This Row],[Colonna7]]*Tabella8[[#This Row],[Colonna4]]/100</f>
        <v>49637.899812602227</v>
      </c>
      <c r="Q396" s="2"/>
      <c r="R396" s="46"/>
      <c r="S396" s="46"/>
      <c r="T396" s="46"/>
    </row>
    <row r="397" spans="2:20">
      <c r="B397" s="92" t="s">
        <v>138</v>
      </c>
      <c r="C397" s="91" t="s">
        <v>2281</v>
      </c>
      <c r="D397" s="93">
        <v>302.5</v>
      </c>
      <c r="E397" s="93">
        <v>170</v>
      </c>
      <c r="F397" s="103">
        <f>IFERROR(INDEX(Tabella9[PLZ],MATCH(Tabella8[[#This Row],[Colonna2]],Tabella9[Ortschaftsname],0)), "Name not found")</f>
        <v>4932</v>
      </c>
      <c r="G397" s="103"/>
      <c r="H397" s="240">
        <f ca="1">SUMIF(Tabella2[[#Headers],[#Data],[Age]],$H$76,Tabella2[[#Headers],[#Data],[Federal taxes]])</f>
        <v>6804.3246087429152</v>
      </c>
      <c r="I39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7" s="240">
        <f ca="1">Tabella8[[#This Row],[Colonna7]]*Tabella8[[#This Row],[Colonna4]]/100</f>
        <v>44412.857727065144</v>
      </c>
      <c r="Q397" s="2"/>
      <c r="R397" s="46"/>
      <c r="S397" s="4"/>
      <c r="T397" s="4"/>
    </row>
    <row r="398" spans="2:20">
      <c r="B398" s="92" t="s">
        <v>138</v>
      </c>
      <c r="C398" s="91" t="s">
        <v>2577</v>
      </c>
      <c r="D398" s="93">
        <v>302.5</v>
      </c>
      <c r="E398" s="93">
        <v>194</v>
      </c>
      <c r="F398" s="103">
        <f>IFERROR(INDEX(Tabella9[PLZ],MATCH(Tabella8[[#This Row],[Colonna2]],Tabella9[Ortschaftsname],0)), "Name not found")</f>
        <v>2732</v>
      </c>
      <c r="G398" s="103"/>
      <c r="H398" s="240">
        <f ca="1">SUMIF(Tabella2[[#Headers],[#Data],[Age]],$H$76,Tabella2[[#Headers],[#Data],[Federal taxes]])</f>
        <v>6804.3246087429152</v>
      </c>
      <c r="I39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8" s="240">
        <f ca="1">Tabella8[[#This Row],[Colonna7]]*Tabella8[[#This Row],[Colonna4]]/100</f>
        <v>50682.908229709632</v>
      </c>
      <c r="Q398" s="2"/>
      <c r="R398" s="36">
        <f>IF(Q377&lt;$R$379,$S$378,IF(Q377&lt;$R$380,$S$379+((Q377-$R$379)/100)*$T$379,IF(Q377&lt;$R$381,$S$380+((Q377-$R$380)/100)*$T$380,IF(Q377&lt;$R$382,$S$381+((Q377-$R$381)/100)*$T$381,IF(Q377&lt;$R$383,$S$382+((Q377-$R$382)/100)*$T$382,IF(Q377&lt;$R$384,$S$383+((Q377-$R$383)/100)*$T$383,IF(Q377&lt;$R$385,$S$384+((Q377-$R$384)/100)*$T$384,IF(Q377&lt;$R$386,$S$385+((Q377-$R$385)/100)*$T$385,IF(Q377&lt;$R$387,$S$386+((Q377-$R$386)/100)*$T$386,IF(Q377&gt;=$R$387,$S$387+((Q377-$R$387)/100)*$T$387))))))))))</f>
        <v>11946</v>
      </c>
      <c r="S398" s="2"/>
      <c r="T398" s="2"/>
    </row>
    <row r="399" spans="2:20">
      <c r="B399" s="92" t="s">
        <v>138</v>
      </c>
      <c r="C399" s="91" t="s">
        <v>2192</v>
      </c>
      <c r="D399" s="93">
        <v>302.5</v>
      </c>
      <c r="E399" s="93">
        <v>160</v>
      </c>
      <c r="F399" s="103">
        <f>IFERROR(INDEX(Tabella9[PLZ],MATCH(Tabella8[[#This Row],[Colonna2]],Tabella9[Ortschaftsname],0)), "Name not found")</f>
        <v>3250</v>
      </c>
      <c r="G399" s="103"/>
      <c r="H399" s="240">
        <f ca="1">SUMIF(Tabella2[[#Headers],[#Data],[Age]],$H$76,Tabella2[[#Headers],[#Data],[Federal taxes]])</f>
        <v>6804.3246087429152</v>
      </c>
      <c r="I39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399" s="240">
        <f ca="1">Tabella8[[#This Row],[Colonna7]]*Tabella8[[#This Row],[Colonna4]]/100</f>
        <v>41800.336684296606</v>
      </c>
    </row>
    <row r="400" spans="2:20">
      <c r="B400" s="92" t="s">
        <v>138</v>
      </c>
      <c r="C400" s="91" t="s">
        <v>2336</v>
      </c>
      <c r="D400" s="93">
        <v>302.5</v>
      </c>
      <c r="E400" s="93">
        <v>139</v>
      </c>
      <c r="F400" s="103">
        <f>IFERROR(INDEX(Tabella9[PLZ],MATCH(Tabella8[[#This Row],[Colonna2]],Tabella9[Ortschaftsname],0)), "Name not found")</f>
        <v>3421</v>
      </c>
      <c r="G400" s="103"/>
      <c r="H400" s="240">
        <f ca="1">SUMIF(Tabella2[[#Headers],[#Data],[Age]],$H$76,Tabella2[[#Headers],[#Data],[Federal taxes]])</f>
        <v>6804.3246087429152</v>
      </c>
      <c r="I40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0" s="240">
        <f ca="1">Tabella8[[#This Row],[Colonna7]]*Tabella8[[#This Row],[Colonna4]]/100</f>
        <v>36314.042494482681</v>
      </c>
      <c r="Q400" s="68" t="s">
        <v>2578</v>
      </c>
      <c r="R400" s="21" t="s">
        <v>82</v>
      </c>
      <c r="S400" s="21" t="s">
        <v>2511</v>
      </c>
      <c r="T400" s="21" t="s">
        <v>90</v>
      </c>
    </row>
    <row r="401" spans="2:20">
      <c r="B401" s="92" t="s">
        <v>138</v>
      </c>
      <c r="C401" s="91" t="s">
        <v>2440</v>
      </c>
      <c r="D401" s="93">
        <v>302.5</v>
      </c>
      <c r="E401" s="93">
        <v>150</v>
      </c>
      <c r="F401" s="103">
        <f>IFERROR(INDEX(Tabella9[PLZ],MATCH(Tabella8[[#This Row],[Colonna2]],Tabella9[Ortschaftsname],0)), "Name not found")</f>
        <v>2576</v>
      </c>
      <c r="G401" s="103"/>
      <c r="H401" s="240">
        <f ca="1">SUMIF(Tabella2[[#Headers],[#Data],[Age]],$H$76,Tabella2[[#Headers],[#Data],[Federal taxes]])</f>
        <v>6804.3246087429152</v>
      </c>
      <c r="I40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1" s="240">
        <f ca="1">Tabella8[[#This Row],[Colonna7]]*Tabella8[[#This Row],[Colonna4]]/100</f>
        <v>39187.815641528068</v>
      </c>
      <c r="Q401" s="94">
        <v>100000</v>
      </c>
      <c r="R401" s="11" t="s">
        <v>2512</v>
      </c>
      <c r="S401" s="11" t="s">
        <v>2525</v>
      </c>
      <c r="T401" s="11"/>
    </row>
    <row r="402" spans="2:20">
      <c r="B402" s="92" t="s">
        <v>138</v>
      </c>
      <c r="C402" s="91" t="s">
        <v>2579</v>
      </c>
      <c r="D402" s="93">
        <v>302.5</v>
      </c>
      <c r="E402" s="93">
        <v>150</v>
      </c>
      <c r="F402" s="103">
        <f>IFERROR(INDEX(Tabella9[PLZ],MATCH(Tabella8[[#This Row],[Colonna2]],Tabella9[Ortschaftsname],0)), "Name not found")</f>
        <v>3816</v>
      </c>
      <c r="G402" s="103"/>
      <c r="H402" s="240">
        <f ca="1">SUMIF(Tabella2[[#Headers],[#Data],[Age]],$H$76,Tabella2[[#Headers],[#Data],[Federal taxes]])</f>
        <v>6804.3246087429152</v>
      </c>
      <c r="I40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2" s="240">
        <f ca="1">Tabella8[[#This Row],[Colonna7]]*Tabella8[[#This Row],[Colonna4]]/100</f>
        <v>39187.815641528068</v>
      </c>
      <c r="Q402" s="26"/>
      <c r="R402" s="4">
        <v>0</v>
      </c>
      <c r="S402" s="39">
        <v>0</v>
      </c>
      <c r="T402" s="4"/>
    </row>
    <row r="403" spans="2:20">
      <c r="B403" s="92" t="s">
        <v>138</v>
      </c>
      <c r="C403" s="91" t="s">
        <v>2238</v>
      </c>
      <c r="D403" s="93">
        <v>302.5</v>
      </c>
      <c r="E403" s="93">
        <v>174</v>
      </c>
      <c r="F403" s="103">
        <v>3432</v>
      </c>
      <c r="G403" s="103"/>
      <c r="H403" s="240">
        <f ca="1">SUMIF(Tabella2[[#Headers],[#Data],[Age]],$H$76,Tabella2[[#Headers],[#Data],[Federal taxes]])</f>
        <v>6804.3246087429152</v>
      </c>
      <c r="I40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3" s="240">
        <f ca="1">Tabella8[[#This Row],[Colonna7]]*Tabella8[[#This Row],[Colonna4]]/100</f>
        <v>45457.866144172556</v>
      </c>
      <c r="Q403" s="2"/>
      <c r="R403" s="4">
        <v>6800</v>
      </c>
      <c r="S403" s="39">
        <v>1.67E-2</v>
      </c>
      <c r="T403" s="4"/>
    </row>
    <row r="404" spans="2:20">
      <c r="B404" s="92" t="s">
        <v>138</v>
      </c>
      <c r="C404" s="91" t="s">
        <v>2257</v>
      </c>
      <c r="D404" s="93">
        <v>302.5</v>
      </c>
      <c r="E404" s="93">
        <v>165</v>
      </c>
      <c r="F404" s="103">
        <f>IFERROR(INDEX(Tabella9[PLZ],MATCH(Tabella8[[#This Row],[Colonna2]],Tabella9[Ortschaftsname],0)), "Name not found")</f>
        <v>4934</v>
      </c>
      <c r="G404" s="103"/>
      <c r="H404" s="240">
        <f ca="1">SUMIF(Tabella2[[#Headers],[#Data],[Age]],$H$76,Tabella2[[#Headers],[#Data],[Federal taxes]])</f>
        <v>6804.3246087429152</v>
      </c>
      <c r="I40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4" s="240">
        <f ca="1">Tabella8[[#This Row],[Colonna7]]*Tabella8[[#This Row],[Colonna4]]/100</f>
        <v>43106.597205680882</v>
      </c>
      <c r="Q404" s="2"/>
      <c r="R404" s="4">
        <f>R403+7700</f>
        <v>14500</v>
      </c>
      <c r="S404" s="39">
        <v>3.15E-2</v>
      </c>
      <c r="T404" s="4"/>
    </row>
    <row r="405" spans="2:20">
      <c r="B405" s="92" t="s">
        <v>138</v>
      </c>
      <c r="C405" s="91" t="s">
        <v>2241</v>
      </c>
      <c r="D405" s="93">
        <v>302.5</v>
      </c>
      <c r="E405" s="93">
        <v>188</v>
      </c>
      <c r="F405" s="103">
        <v>3800</v>
      </c>
      <c r="G405" s="103"/>
      <c r="H405" s="240">
        <f ca="1">SUMIF(Tabella2[[#Headers],[#Data],[Age]],$H$76,Tabella2[[#Headers],[#Data],[Federal taxes]])</f>
        <v>6804.3246087429152</v>
      </c>
      <c r="I40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5" s="240">
        <f ca="1">Tabella8[[#This Row],[Colonna7]]*Tabella8[[#This Row],[Colonna4]]/100</f>
        <v>49115.395604048514</v>
      </c>
      <c r="Q405" s="2"/>
      <c r="R405" s="4">
        <f>R404+13800</f>
        <v>28300</v>
      </c>
      <c r="S405" s="39">
        <v>4.0300000000000002E-2</v>
      </c>
      <c r="T405" s="4"/>
    </row>
    <row r="406" spans="2:20">
      <c r="B406" s="92" t="s">
        <v>138</v>
      </c>
      <c r="C406" s="91" t="s">
        <v>2432</v>
      </c>
      <c r="D406" s="93">
        <v>302.5</v>
      </c>
      <c r="E406" s="93">
        <v>148</v>
      </c>
      <c r="F406" s="103">
        <f>IFERROR(INDEX(Tabella9[PLZ],MATCH(Tabella8[[#This Row],[Colonna2]],Tabella9[Ortschaftsname],0)), "Name not found")</f>
        <v>3322</v>
      </c>
      <c r="G406" s="103"/>
      <c r="H406" s="240">
        <f ca="1">SUMIF(Tabella2[[#Headers],[#Data],[Age]],$H$76,Tabella2[[#Headers],[#Data],[Federal taxes]])</f>
        <v>6804.3246087429152</v>
      </c>
      <c r="I40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6" s="240">
        <f ca="1">Tabella8[[#This Row],[Colonna7]]*Tabella8[[#This Row],[Colonna4]]/100</f>
        <v>38665.311432974362</v>
      </c>
      <c r="Q406" s="2"/>
      <c r="R406" s="4">
        <f>R405+21500</f>
        <v>49800</v>
      </c>
      <c r="S406" s="39">
        <v>4.9099999999999998E-2</v>
      </c>
      <c r="T406" s="4"/>
    </row>
    <row r="407" spans="2:20">
      <c r="B407" s="92" t="s">
        <v>138</v>
      </c>
      <c r="C407" s="91" t="s">
        <v>2580</v>
      </c>
      <c r="D407" s="93">
        <v>302.5</v>
      </c>
      <c r="E407" s="93">
        <v>100</v>
      </c>
      <c r="F407" s="103">
        <f>IFERROR(INDEX(Tabella9[PLZ],MATCH(Tabella8[[#This Row],[Colonna2]],Tabella9[Ortschaftsname],0)), "Name not found")</f>
        <v>3294</v>
      </c>
      <c r="G407" s="103"/>
      <c r="H407" s="240">
        <f ca="1">SUMIF(Tabella2[[#Headers],[#Data],[Age]],$H$76,Tabella2[[#Headers],[#Data],[Federal taxes]])</f>
        <v>6804.3246087429152</v>
      </c>
      <c r="I40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7" s="240">
        <f ca="1">Tabella8[[#This Row],[Colonna7]]*Tabella8[[#This Row],[Colonna4]]/100</f>
        <v>26125.210427685379</v>
      </c>
      <c r="Q407" s="2"/>
      <c r="R407" s="4">
        <f>R406+41600</f>
        <v>91400</v>
      </c>
      <c r="S407" s="39">
        <v>5.5599999999999997E-2</v>
      </c>
      <c r="T407" s="4"/>
    </row>
    <row r="408" spans="2:20">
      <c r="B408" s="92" t="s">
        <v>138</v>
      </c>
      <c r="C408" s="91" t="s">
        <v>2283</v>
      </c>
      <c r="D408" s="93">
        <v>302.5</v>
      </c>
      <c r="E408" s="93">
        <v>154</v>
      </c>
      <c r="F408" s="103">
        <f>IFERROR(INDEX(Tabella9[PLZ],MATCH(Tabella8[[#This Row],[Colonna2]],Tabella9[Ortschaftsname],0)), "Name not found")</f>
        <v>3045</v>
      </c>
      <c r="G408" s="103"/>
      <c r="H408" s="240">
        <f ca="1">SUMIF(Tabella2[[#Headers],[#Data],[Age]],$H$76,Tabella2[[#Headers],[#Data],[Federal taxes]])</f>
        <v>6804.3246087429152</v>
      </c>
      <c r="I40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8" s="240">
        <f ca="1">Tabella8[[#This Row],[Colonna7]]*Tabella8[[#This Row],[Colonna4]]/100</f>
        <v>40232.82405863548</v>
      </c>
      <c r="Q408" s="2"/>
      <c r="R408" s="4">
        <f>R407+111000</f>
        <v>202400</v>
      </c>
      <c r="S408" s="39">
        <v>5.79E-2</v>
      </c>
      <c r="T408" s="4"/>
    </row>
    <row r="409" spans="2:20">
      <c r="B409" s="92" t="s">
        <v>138</v>
      </c>
      <c r="C409" s="91" t="s">
        <v>2345</v>
      </c>
      <c r="D409" s="93">
        <v>302.5</v>
      </c>
      <c r="E409" s="93">
        <v>195</v>
      </c>
      <c r="F409" s="103">
        <f>IFERROR(INDEX(Tabella9[PLZ],MATCH(Tabella8[[#This Row],[Colonna2]],Tabella9[Ortschaftsname],0)), "Name not found")</f>
        <v>2554</v>
      </c>
      <c r="G409" s="103"/>
      <c r="H409" s="240">
        <f ca="1">SUMIF(Tabella2[[#Headers],[#Data],[Age]],$H$76,Tabella2[[#Headers],[#Data],[Federal taxes]])</f>
        <v>6804.3246087429152</v>
      </c>
      <c r="I40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09" s="240">
        <f ca="1">Tabella8[[#This Row],[Colonna7]]*Tabella8[[#This Row],[Colonna4]]/100</f>
        <v>50944.160333986489</v>
      </c>
      <c r="Q409" s="2"/>
      <c r="R409" s="4"/>
      <c r="S409" s="39"/>
      <c r="T409" s="4"/>
    </row>
    <row r="410" spans="2:20">
      <c r="B410" s="92" t="s">
        <v>138</v>
      </c>
      <c r="C410" s="91" t="s">
        <v>2227</v>
      </c>
      <c r="D410" s="93">
        <v>302.5</v>
      </c>
      <c r="E410" s="93">
        <v>194</v>
      </c>
      <c r="F410" s="103">
        <f>IFERROR(INDEX(Tabella9[PLZ],MATCH(Tabella8[[#This Row],[Colonna2]],Tabella9[Ortschaftsname],0)), "Name not found")</f>
        <v>3860</v>
      </c>
      <c r="G410" s="103"/>
      <c r="H410" s="240">
        <f ca="1">SUMIF(Tabella2[[#Headers],[#Data],[Age]],$H$76,Tabella2[[#Headers],[#Data],[Federal taxes]])</f>
        <v>6804.3246087429152</v>
      </c>
      <c r="I41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0" s="240">
        <f ca="1">Tabella8[[#This Row],[Colonna7]]*Tabella8[[#This Row],[Colonna4]]/100</f>
        <v>50682.908229709632</v>
      </c>
      <c r="Q410" s="2"/>
      <c r="R410" s="4"/>
      <c r="S410" s="39"/>
      <c r="T410" s="4"/>
    </row>
    <row r="411" spans="2:20">
      <c r="B411" s="92" t="s">
        <v>138</v>
      </c>
      <c r="C411" s="91" t="s">
        <v>2329</v>
      </c>
      <c r="D411" s="93">
        <v>302.5</v>
      </c>
      <c r="E411" s="93">
        <v>174</v>
      </c>
      <c r="F411" s="103">
        <f>IFERROR(INDEX(Tabella9[PLZ],MATCH(Tabella8[[#This Row],[Colonna2]],Tabella9[Ortschaftsname],0)), "Name not found")</f>
        <v>4917</v>
      </c>
      <c r="G411" s="103"/>
      <c r="H411" s="240">
        <f ca="1">SUMIF(Tabella2[[#Headers],[#Data],[Age]],$H$76,Tabella2[[#Headers],[#Data],[Federal taxes]])</f>
        <v>6804.3246087429152</v>
      </c>
      <c r="I41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1" s="240">
        <f ca="1">Tabella8[[#This Row],[Colonna7]]*Tabella8[[#This Row],[Colonna4]]/100</f>
        <v>45457.866144172556</v>
      </c>
      <c r="Q411" s="2"/>
      <c r="R411" s="4"/>
      <c r="S411" s="39"/>
      <c r="T411" s="4"/>
    </row>
    <row r="412" spans="2:20">
      <c r="B412" s="92" t="s">
        <v>138</v>
      </c>
      <c r="C412" s="91" t="s">
        <v>2581</v>
      </c>
      <c r="D412" s="93">
        <v>302.5</v>
      </c>
      <c r="E412" s="93">
        <v>145</v>
      </c>
      <c r="F412" s="103">
        <f>IFERROR(INDEX(Tabella9[PLZ],MATCH(Tabella8[[#This Row],[Colonna2]],Tabella9[Ortschaftsname],0)), "Name not found")</f>
        <v>3274</v>
      </c>
      <c r="G412" s="103"/>
      <c r="H412" s="240">
        <f ca="1">SUMIF(Tabella2[[#Headers],[#Data],[Age]],$H$76,Tabella2[[#Headers],[#Data],[Federal taxes]])</f>
        <v>6804.3246087429152</v>
      </c>
      <c r="I41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2" s="240">
        <f ca="1">Tabella8[[#This Row],[Colonna7]]*Tabella8[[#This Row],[Colonna4]]/100</f>
        <v>37881.555120143799</v>
      </c>
      <c r="Q412" s="2"/>
      <c r="R412" s="4"/>
      <c r="S412" s="39"/>
      <c r="T412" s="4"/>
    </row>
    <row r="413" spans="2:20">
      <c r="B413" s="92" t="s">
        <v>138</v>
      </c>
      <c r="C413" s="91" t="s">
        <v>2419</v>
      </c>
      <c r="D413" s="93">
        <v>302.5</v>
      </c>
      <c r="E413" s="93">
        <v>179</v>
      </c>
      <c r="F413" s="103">
        <f>IFERROR(INDEX(Tabella9[PLZ],MATCH(Tabella8[[#This Row],[Colonna2]],Tabella9[Ortschaftsname],0)), "Name not found")</f>
        <v>3532</v>
      </c>
      <c r="G413" s="103"/>
      <c r="H413" s="240">
        <f ca="1">SUMIF(Tabella2[[#Headers],[#Data],[Age]],$H$76,Tabella2[[#Headers],[#Data],[Federal taxes]])</f>
        <v>6804.3246087429152</v>
      </c>
      <c r="I41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3" s="240">
        <f ca="1">Tabella8[[#This Row],[Colonna7]]*Tabella8[[#This Row],[Colonna4]]/100</f>
        <v>46764.126665556832</v>
      </c>
      <c r="Q413" s="2"/>
      <c r="R413" s="4"/>
      <c r="S413" s="39"/>
      <c r="T413" s="4"/>
    </row>
    <row r="414" spans="2:20">
      <c r="B414" s="92" t="s">
        <v>138</v>
      </c>
      <c r="C414" s="91" t="s">
        <v>2582</v>
      </c>
      <c r="D414" s="93">
        <v>302.5</v>
      </c>
      <c r="E414" s="93">
        <v>194</v>
      </c>
      <c r="F414" s="103">
        <f>IFERROR(INDEX(Tabella9[PLZ],MATCH(Tabella8[[#This Row],[Colonna2]],Tabella9[Ortschaftsname],0)), "Name not found")</f>
        <v>2723</v>
      </c>
      <c r="G414" s="103"/>
      <c r="H414" s="240">
        <f ca="1">SUMIF(Tabella2[[#Headers],[#Data],[Age]],$H$76,Tabella2[[#Headers],[#Data],[Federal taxes]])</f>
        <v>6804.3246087429152</v>
      </c>
      <c r="I41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4" s="240">
        <f ca="1">Tabella8[[#This Row],[Colonna7]]*Tabella8[[#This Row],[Colonna4]]/100</f>
        <v>50682.908229709632</v>
      </c>
      <c r="Q414" s="2"/>
      <c r="R414" s="4"/>
      <c r="S414" s="39"/>
      <c r="T414" s="46"/>
    </row>
    <row r="415" spans="2:20">
      <c r="B415" s="92" t="s">
        <v>138</v>
      </c>
      <c r="C415" s="91" t="s">
        <v>2239</v>
      </c>
      <c r="D415" s="93">
        <v>302.5</v>
      </c>
      <c r="E415" s="93">
        <v>138</v>
      </c>
      <c r="F415" s="103">
        <f>IFERROR(INDEX(Tabella9[PLZ],MATCH(Tabella8[[#This Row],[Colonna2]],Tabella9[Ortschaftsname],0)), "Name not found")</f>
        <v>3302</v>
      </c>
      <c r="G415" s="103"/>
      <c r="H415" s="240">
        <f ca="1">SUMIF(Tabella2[[#Headers],[#Data],[Age]],$H$76,Tabella2[[#Headers],[#Data],[Federal taxes]])</f>
        <v>6804.3246087429152</v>
      </c>
      <c r="I41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5" s="240">
        <f ca="1">Tabella8[[#This Row],[Colonna7]]*Tabella8[[#This Row],[Colonna4]]/100</f>
        <v>36052.790390205824</v>
      </c>
      <c r="Q415" s="2"/>
      <c r="R415" s="4"/>
      <c r="S415" s="39"/>
      <c r="T415" s="46"/>
    </row>
    <row r="416" spans="2:20">
      <c r="B416" s="92" t="s">
        <v>138</v>
      </c>
      <c r="C416" s="91" t="s">
        <v>2203</v>
      </c>
      <c r="D416" s="93">
        <v>302.5</v>
      </c>
      <c r="E416" s="93">
        <v>194</v>
      </c>
      <c r="F416" s="103">
        <f>IFERROR(INDEX(Tabella9[PLZ],MATCH(Tabella8[[#This Row],[Colonna2]],Tabella9[Ortschaftsname],0)), "Name not found")</f>
        <v>2740</v>
      </c>
      <c r="G416" s="103"/>
      <c r="H416" s="240">
        <f ca="1">SUMIF(Tabella2[[#Headers],[#Data],[Age]],$H$76,Tabella2[[#Headers],[#Data],[Federal taxes]])</f>
        <v>6804.3246087429152</v>
      </c>
      <c r="I41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6" s="240">
        <f ca="1">Tabella8[[#This Row],[Colonna7]]*Tabella8[[#This Row],[Colonna4]]/100</f>
        <v>50682.908229709632</v>
      </c>
      <c r="Q416" s="2"/>
      <c r="R416" s="4"/>
      <c r="S416" s="39"/>
      <c r="T416" s="46"/>
    </row>
    <row r="417" spans="2:20">
      <c r="B417" s="92" t="s">
        <v>138</v>
      </c>
      <c r="C417" s="91" t="s">
        <v>2193</v>
      </c>
      <c r="D417" s="93">
        <v>302.5</v>
      </c>
      <c r="E417" s="93">
        <v>113.99999999999999</v>
      </c>
      <c r="F417" s="103">
        <v>3074</v>
      </c>
      <c r="G417" s="103"/>
      <c r="H417" s="240">
        <f ca="1">SUMIF(Tabella2[[#Headers],[#Data],[Age]],$H$76,Tabella2[[#Headers],[#Data],[Federal taxes]])</f>
        <v>6804.3246087429152</v>
      </c>
      <c r="I41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7" s="240">
        <f ca="1">Tabella8[[#This Row],[Colonna7]]*Tabella8[[#This Row],[Colonna4]]/100</f>
        <v>29782.739887561329</v>
      </c>
      <c r="Q417" s="2"/>
      <c r="R417" s="4"/>
      <c r="S417" s="39"/>
      <c r="T417" s="2"/>
    </row>
    <row r="418" spans="2:20">
      <c r="B418" s="92" t="s">
        <v>138</v>
      </c>
      <c r="C418" s="91" t="s">
        <v>2390</v>
      </c>
      <c r="D418" s="93">
        <v>302.5</v>
      </c>
      <c r="E418" s="93">
        <v>125</v>
      </c>
      <c r="F418" s="103">
        <f>IFERROR(INDEX(Tabella9[PLZ],MATCH(Tabella8[[#This Row],[Colonna2]],Tabella9[Ortschaftsname],0)), "Name not found")</f>
        <v>2572</v>
      </c>
      <c r="G418" s="103"/>
      <c r="H418" s="240">
        <f ca="1">SUMIF(Tabella2[[#Headers],[#Data],[Age]],$H$76,Tabella2[[#Headers],[#Data],[Federal taxes]])</f>
        <v>6804.3246087429152</v>
      </c>
      <c r="I41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8" s="240">
        <f ca="1">Tabella8[[#This Row],[Colonna7]]*Tabella8[[#This Row],[Colonna4]]/100</f>
        <v>32656.513034606724</v>
      </c>
      <c r="Q418" s="2"/>
      <c r="R418" s="4"/>
      <c r="S418" s="39"/>
      <c r="T418" s="2"/>
    </row>
    <row r="419" spans="2:20">
      <c r="B419" s="92" t="s">
        <v>138</v>
      </c>
      <c r="C419" s="91" t="s">
        <v>2268</v>
      </c>
      <c r="D419" s="93">
        <v>302.5</v>
      </c>
      <c r="E419" s="93">
        <v>140</v>
      </c>
      <c r="F419" s="103">
        <f>IFERROR(INDEX(Tabella9[PLZ],MATCH(Tabella8[[#This Row],[Colonna2]],Tabella9[Ortschaftsname],0)), "Name not found")</f>
        <v>3203</v>
      </c>
      <c r="G419" s="103"/>
      <c r="H419" s="240">
        <f ca="1">SUMIF(Tabella2[[#Headers],[#Data],[Age]],$H$76,Tabella2[[#Headers],[#Data],[Federal taxes]])</f>
        <v>6804.3246087429152</v>
      </c>
      <c r="I41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19" s="240">
        <f ca="1">Tabella8[[#This Row],[Colonna7]]*Tabella8[[#This Row],[Colonna4]]/100</f>
        <v>36575.29459875953</v>
      </c>
      <c r="Q419" s="2"/>
      <c r="R419" s="4"/>
      <c r="S419" s="39"/>
      <c r="T419" s="2"/>
    </row>
    <row r="420" spans="2:20">
      <c r="B420" s="92" t="s">
        <v>138</v>
      </c>
      <c r="C420" s="91" t="s">
        <v>2200</v>
      </c>
      <c r="D420" s="93">
        <v>302.5</v>
      </c>
      <c r="E420" s="93">
        <v>164</v>
      </c>
      <c r="F420" s="103">
        <f>IFERROR(INDEX(Tabella9[PLZ],MATCH(Tabella8[[#This Row],[Colonna2]],Tabella9[Ortschaftsname],0)), "Name not found")</f>
        <v>3053</v>
      </c>
      <c r="G420" s="103"/>
      <c r="H420" s="240">
        <f ca="1">SUMIF(Tabella2[[#Headers],[#Data],[Age]],$H$76,Tabella2[[#Headers],[#Data],[Federal taxes]])</f>
        <v>6804.3246087429152</v>
      </c>
      <c r="I42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0" s="240">
        <f ca="1">Tabella8[[#This Row],[Colonna7]]*Tabella8[[#This Row],[Colonna4]]/100</f>
        <v>42845.345101404026</v>
      </c>
      <c r="Q420" s="2"/>
      <c r="R420" s="36">
        <f>IF(Q401&lt;$R$403,Q401*$S$402,IF(Q401&lt;$R$404,Q401*$S$403,IF(Q401&lt;$R$405,Q401*$S$404,IF(Q401&lt;$R$406,Q401*$S$405,IF(Q401&lt;$R$407,Q401*$S$406,IF(Q401&lt;$R$408,Q401*$S$407,IF(Q401&gt;$R$408,Q401*$S$408)))))))</f>
        <v>5560</v>
      </c>
      <c r="S420" s="2"/>
      <c r="T420" s="2"/>
    </row>
    <row r="421" spans="2:20">
      <c r="B421" s="92" t="s">
        <v>138</v>
      </c>
      <c r="C421" s="91" t="s">
        <v>2447</v>
      </c>
      <c r="D421" s="93">
        <v>302.5</v>
      </c>
      <c r="E421" s="93">
        <v>150</v>
      </c>
      <c r="F421" s="103">
        <f>IFERROR(INDEX(Tabella9[PLZ],MATCH(Tabella8[[#This Row],[Colonna2]],Tabella9[Ortschaftsname],0)), "Name not found")</f>
        <v>1797</v>
      </c>
      <c r="G421" s="103"/>
      <c r="H421" s="240">
        <f ca="1">SUMIF(Tabella2[[#Headers],[#Data],[Age]],$H$76,Tabella2[[#Headers],[#Data],[Federal taxes]])</f>
        <v>6804.3246087429152</v>
      </c>
      <c r="I42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1" s="240">
        <f ca="1">Tabella8[[#This Row],[Colonna7]]*Tabella8[[#This Row],[Colonna4]]/100</f>
        <v>39187.815641528068</v>
      </c>
    </row>
    <row r="422" spans="2:20">
      <c r="B422" s="92" t="s">
        <v>138</v>
      </c>
      <c r="C422" s="91" t="s">
        <v>2195</v>
      </c>
      <c r="D422" s="93">
        <v>302.5</v>
      </c>
      <c r="E422" s="93">
        <v>158</v>
      </c>
      <c r="F422" s="103">
        <f>IFERROR(INDEX(Tabella9[PLZ],MATCH(Tabella8[[#This Row],[Colonna2]],Tabella9[Ortschaftsname],0)), "Name not found")</f>
        <v>3110</v>
      </c>
      <c r="G422" s="103"/>
      <c r="H422" s="240">
        <f ca="1">SUMIF(Tabella2[[#Headers],[#Data],[Age]],$H$76,Tabella2[[#Headers],[#Data],[Federal taxes]])</f>
        <v>6804.3246087429152</v>
      </c>
      <c r="I42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2" s="240">
        <f ca="1">Tabella8[[#This Row],[Colonna7]]*Tabella8[[#This Row],[Colonna4]]/100</f>
        <v>41277.8324757429</v>
      </c>
      <c r="Q422" s="68" t="s">
        <v>2583</v>
      </c>
      <c r="R422" s="21" t="s">
        <v>82</v>
      </c>
      <c r="S422" s="21" t="s">
        <v>2511</v>
      </c>
      <c r="T422" s="21" t="s">
        <v>90</v>
      </c>
    </row>
    <row r="423" spans="2:20">
      <c r="B423" s="92" t="s">
        <v>138</v>
      </c>
      <c r="C423" s="91" t="s">
        <v>2338</v>
      </c>
      <c r="D423" s="93">
        <v>302.5</v>
      </c>
      <c r="E423" s="93">
        <v>179</v>
      </c>
      <c r="F423" s="103">
        <f>IFERROR(INDEX(Tabella9[PLZ],MATCH(Tabella8[[#This Row],[Colonna2]],Tabella9[Ortschaftsname],0)), "Name not found")</f>
        <v>3225</v>
      </c>
      <c r="G423" s="103"/>
      <c r="H423" s="240">
        <f ca="1">SUMIF(Tabella2[[#Headers],[#Data],[Age]],$H$76,Tabella2[[#Headers],[#Data],[Federal taxes]])</f>
        <v>6804.3246087429152</v>
      </c>
      <c r="I42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3" s="240">
        <f ca="1">Tabella8[[#This Row],[Colonna7]]*Tabella8[[#This Row],[Colonna4]]/100</f>
        <v>46764.126665556832</v>
      </c>
      <c r="Q423" s="94">
        <v>100000</v>
      </c>
      <c r="R423" s="11" t="s">
        <v>2512</v>
      </c>
      <c r="S423" s="11" t="s">
        <v>2513</v>
      </c>
      <c r="T423" s="11" t="s">
        <v>2514</v>
      </c>
    </row>
    <row r="424" spans="2:20">
      <c r="B424" s="92" t="s">
        <v>138</v>
      </c>
      <c r="C424" s="91" t="s">
        <v>2217</v>
      </c>
      <c r="D424" s="93">
        <v>302.5</v>
      </c>
      <c r="E424" s="93">
        <v>149</v>
      </c>
      <c r="F424" s="103">
        <f>IFERROR(INDEX(Tabella9[PLZ],MATCH(Tabella8[[#This Row],[Colonna2]],Tabella9[Ortschaftsname],0)), "Name not found")</f>
        <v>3176</v>
      </c>
      <c r="G424" s="103"/>
      <c r="H424" s="240">
        <f ca="1">SUMIF(Tabella2[[#Headers],[#Data],[Age]],$H$76,Tabella2[[#Headers],[#Data],[Federal taxes]])</f>
        <v>6804.3246087429152</v>
      </c>
      <c r="I42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4" s="240">
        <f ca="1">Tabella8[[#This Row],[Colonna7]]*Tabella8[[#This Row],[Colonna4]]/100</f>
        <v>38926.563537251212</v>
      </c>
      <c r="Q424" s="26"/>
      <c r="R424" s="4">
        <v>0</v>
      </c>
      <c r="S424" s="4">
        <v>0</v>
      </c>
      <c r="T424" s="4">
        <v>0</v>
      </c>
    </row>
    <row r="425" spans="2:20">
      <c r="B425" s="92" t="s">
        <v>138</v>
      </c>
      <c r="C425" s="91" t="s">
        <v>2207</v>
      </c>
      <c r="D425" s="93">
        <v>302.5</v>
      </c>
      <c r="E425" s="93">
        <v>170</v>
      </c>
      <c r="F425" s="103">
        <f>IFERROR(INDEX(Tabella9[PLZ],MATCH(Tabella8[[#This Row],[Colonna2]],Tabella9[Ortschaftsname],0)), "Name not found")</f>
        <v>2560</v>
      </c>
      <c r="G425" s="103"/>
      <c r="H425" s="240">
        <f ca="1">SUMIF(Tabella2[[#Headers],[#Data],[Age]],$H$76,Tabella2[[#Headers],[#Data],[Federal taxes]])</f>
        <v>6804.3246087429152</v>
      </c>
      <c r="I42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5" s="240">
        <f ca="1">Tabella8[[#This Row],[Colonna7]]*Tabella8[[#This Row],[Colonna4]]/100</f>
        <v>44412.857727065144</v>
      </c>
      <c r="Q425" s="2"/>
      <c r="R425" s="4">
        <v>9800</v>
      </c>
      <c r="S425" s="4">
        <v>0</v>
      </c>
      <c r="T425" s="4">
        <v>0.5</v>
      </c>
    </row>
    <row r="426" spans="2:20">
      <c r="B426" s="92" t="s">
        <v>138</v>
      </c>
      <c r="C426" s="91" t="s">
        <v>2226</v>
      </c>
      <c r="D426" s="93">
        <v>302.5</v>
      </c>
      <c r="E426" s="93">
        <v>165</v>
      </c>
      <c r="F426" s="103">
        <f>IFERROR(INDEX(Tabella9[PLZ],MATCH(Tabella8[[#This Row],[Colonna2]],Tabella9[Ortschaftsname],0)), "Name not found")</f>
        <v>4704</v>
      </c>
      <c r="G426" s="103"/>
      <c r="H426" s="240">
        <f ca="1">SUMIF(Tabella2[[#Headers],[#Data],[Age]],$H$76,Tabella2[[#Headers],[#Data],[Federal taxes]])</f>
        <v>6804.3246087429152</v>
      </c>
      <c r="I42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6" s="240">
        <f ca="1">Tabella8[[#This Row],[Colonna7]]*Tabella8[[#This Row],[Colonna4]]/100</f>
        <v>43106.597205680882</v>
      </c>
      <c r="Q426" s="2"/>
      <c r="R426" s="4">
        <v>12200</v>
      </c>
      <c r="S426" s="4">
        <v>12</v>
      </c>
      <c r="T426" s="4">
        <v>1</v>
      </c>
    </row>
    <row r="427" spans="2:20">
      <c r="B427" s="92" t="s">
        <v>138</v>
      </c>
      <c r="C427" s="91" t="s">
        <v>2423</v>
      </c>
      <c r="D427" s="93">
        <v>302.5</v>
      </c>
      <c r="E427" s="93">
        <v>170</v>
      </c>
      <c r="F427" s="103">
        <f>IFERROR(INDEX(Tabella9[PLZ],MATCH(Tabella8[[#This Row],[Colonna2]],Tabella9[Ortschaftsname],0)), "Name not found")</f>
        <v>3504</v>
      </c>
      <c r="G427" s="103"/>
      <c r="H427" s="240">
        <f ca="1">SUMIF(Tabella2[[#Headers],[#Data],[Age]],$H$76,Tabella2[[#Headers],[#Data],[Federal taxes]])</f>
        <v>6804.3246087429152</v>
      </c>
      <c r="I42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7" s="240">
        <f ca="1">Tabella8[[#This Row],[Colonna7]]*Tabella8[[#This Row],[Colonna4]]/100</f>
        <v>44412.857727065144</v>
      </c>
      <c r="Q427" s="2"/>
      <c r="R427" s="4">
        <v>15300</v>
      </c>
      <c r="S427" s="4">
        <v>43</v>
      </c>
      <c r="T427" s="4">
        <v>2</v>
      </c>
    </row>
    <row r="428" spans="2:20">
      <c r="B428" s="92" t="s">
        <v>138</v>
      </c>
      <c r="C428" s="91" t="s">
        <v>2448</v>
      </c>
      <c r="D428" s="93">
        <v>302.5</v>
      </c>
      <c r="E428" s="93">
        <v>179</v>
      </c>
      <c r="F428" s="103">
        <f>IFERROR(INDEX(Tabella9[PLZ],MATCH(Tabella8[[#This Row],[Colonna2]],Tabella9[Ortschaftsname],0)), "Name not found")</f>
        <v>3087</v>
      </c>
      <c r="G428" s="103"/>
      <c r="H428" s="240">
        <f ca="1">SUMIF(Tabella2[[#Headers],[#Data],[Age]],$H$76,Tabella2[[#Headers],[#Data],[Federal taxes]])</f>
        <v>6804.3246087429152</v>
      </c>
      <c r="I42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8" s="240">
        <f ca="1">Tabella8[[#This Row],[Colonna7]]*Tabella8[[#This Row],[Colonna4]]/100</f>
        <v>46764.126665556832</v>
      </c>
      <c r="Q428" s="2"/>
      <c r="R428" s="4">
        <v>16400</v>
      </c>
      <c r="S428" s="4">
        <v>65</v>
      </c>
      <c r="T428" s="4">
        <v>3</v>
      </c>
    </row>
    <row r="429" spans="2:20">
      <c r="B429" s="92" t="s">
        <v>138</v>
      </c>
      <c r="C429" s="91" t="s">
        <v>2584</v>
      </c>
      <c r="D429" s="93">
        <v>302.5</v>
      </c>
      <c r="E429" s="93">
        <v>194</v>
      </c>
      <c r="F429" s="103">
        <v>3853</v>
      </c>
      <c r="G429" s="103"/>
      <c r="H429" s="240">
        <f ca="1">SUMIF(Tabella2[[#Headers],[#Data],[Age]],$H$76,Tabella2[[#Headers],[#Data],[Federal taxes]])</f>
        <v>6804.3246087429152</v>
      </c>
      <c r="I42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29" s="240">
        <f ca="1">Tabella8[[#This Row],[Colonna7]]*Tabella8[[#This Row],[Colonna4]]/100</f>
        <v>50682.908229709632</v>
      </c>
      <c r="Q429" s="2"/>
      <c r="R429" s="4">
        <v>17600</v>
      </c>
      <c r="S429" s="4">
        <v>101</v>
      </c>
      <c r="T429" s="4">
        <v>4</v>
      </c>
    </row>
    <row r="430" spans="2:20">
      <c r="B430" s="92" t="s">
        <v>138</v>
      </c>
      <c r="C430" s="91" t="s">
        <v>2318</v>
      </c>
      <c r="D430" s="93">
        <v>302.5</v>
      </c>
      <c r="E430" s="93">
        <v>140</v>
      </c>
      <c r="F430" s="103">
        <f>IFERROR(INDEX(Tabella9[PLZ],MATCH(Tabella8[[#This Row],[Colonna2]],Tabella9[Ortschaftsname],0)), "Name not found")</f>
        <v>3362</v>
      </c>
      <c r="G430" s="103"/>
      <c r="H430" s="240">
        <f ca="1">SUMIF(Tabella2[[#Headers],[#Data],[Age]],$H$76,Tabella2[[#Headers],[#Data],[Federal taxes]])</f>
        <v>6804.3246087429152</v>
      </c>
      <c r="I43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0" s="240">
        <f ca="1">Tabella8[[#This Row],[Colonna7]]*Tabella8[[#This Row],[Colonna4]]/100</f>
        <v>36575.29459875953</v>
      </c>
      <c r="Q430" s="2"/>
      <c r="R430" s="4">
        <v>20500</v>
      </c>
      <c r="S430" s="4">
        <v>217</v>
      </c>
      <c r="T430" s="4">
        <v>4.5</v>
      </c>
    </row>
    <row r="431" spans="2:20">
      <c r="B431" s="92" t="s">
        <v>138</v>
      </c>
      <c r="C431" s="91" t="s">
        <v>2406</v>
      </c>
      <c r="D431" s="93">
        <v>302.5</v>
      </c>
      <c r="E431" s="93">
        <v>164</v>
      </c>
      <c r="F431" s="103">
        <f>IFERROR(INDEX(Tabella9[PLZ],MATCH(Tabella8[[#This Row],[Colonna2]],Tabella9[Ortschaftsname],0)), "Name not found")</f>
        <v>2518</v>
      </c>
      <c r="G431" s="103"/>
      <c r="H431" s="240">
        <f ca="1">SUMIF(Tabella2[[#Headers],[#Data],[Age]],$H$76,Tabella2[[#Headers],[#Data],[Federal taxes]])</f>
        <v>6804.3246087429152</v>
      </c>
      <c r="I43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1" s="240">
        <f ca="1">Tabella8[[#This Row],[Colonna7]]*Tabella8[[#This Row],[Colonna4]]/100</f>
        <v>42845.345101404026</v>
      </c>
      <c r="Q431" s="2"/>
      <c r="R431" s="4">
        <v>24800</v>
      </c>
      <c r="S431" s="4">
        <v>411</v>
      </c>
      <c r="T431" s="4">
        <v>5</v>
      </c>
    </row>
    <row r="432" spans="2:20">
      <c r="B432" s="92" t="s">
        <v>138</v>
      </c>
      <c r="C432" s="91" t="s">
        <v>2391</v>
      </c>
      <c r="D432" s="93">
        <v>302.5</v>
      </c>
      <c r="E432" s="93">
        <v>175</v>
      </c>
      <c r="F432" s="103">
        <f>IFERROR(INDEX(Tabella9[PLZ],MATCH(Tabella8[[#This Row],[Colonna2]],Tabella9[Ortschaftsname],0)), "Name not found")</f>
        <v>3096</v>
      </c>
      <c r="G432" s="103"/>
      <c r="H432" s="240">
        <f ca="1">SUMIF(Tabella2[[#Headers],[#Data],[Age]],$H$76,Tabella2[[#Headers],[#Data],[Federal taxes]])</f>
        <v>6804.3246087429152</v>
      </c>
      <c r="I43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2" s="240">
        <f ca="1">Tabella8[[#This Row],[Colonna7]]*Tabella8[[#This Row],[Colonna4]]/100</f>
        <v>45719.118248449413</v>
      </c>
      <c r="Q432" s="2"/>
      <c r="R432" s="4">
        <v>108500</v>
      </c>
      <c r="S432" s="4">
        <v>4596</v>
      </c>
      <c r="T432" s="4">
        <v>5.25</v>
      </c>
    </row>
    <row r="433" spans="2:20">
      <c r="B433" s="92" t="s">
        <v>138</v>
      </c>
      <c r="C433" s="91" t="s">
        <v>2317</v>
      </c>
      <c r="D433" s="93">
        <v>302.5</v>
      </c>
      <c r="E433" s="93">
        <v>159</v>
      </c>
      <c r="F433" s="103">
        <f>IFERROR(INDEX(Tabella9[PLZ],MATCH(Tabella8[[#This Row],[Colonna2]],Tabella9[Ortschaftsname],0)), "Name not found")</f>
        <v>4538</v>
      </c>
      <c r="G433" s="103"/>
      <c r="H433" s="240">
        <f ca="1">SUMIF(Tabella2[[#Headers],[#Data],[Age]],$H$76,Tabella2[[#Headers],[#Data],[Federal taxes]])</f>
        <v>6804.3246087429152</v>
      </c>
      <c r="I43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3" s="240">
        <f ca="1">Tabella8[[#This Row],[Colonna7]]*Tabella8[[#This Row],[Colonna4]]/100</f>
        <v>41539.084580019757</v>
      </c>
      <c r="Q433" s="2"/>
      <c r="R433" s="4">
        <v>161600</v>
      </c>
      <c r="S433" s="4">
        <v>7383</v>
      </c>
      <c r="T433" s="4">
        <v>5.5</v>
      </c>
    </row>
    <row r="434" spans="2:20">
      <c r="B434" s="92" t="s">
        <v>138</v>
      </c>
      <c r="C434" s="91" t="s">
        <v>2270</v>
      </c>
      <c r="D434" s="93">
        <v>302.5</v>
      </c>
      <c r="E434" s="93">
        <v>188</v>
      </c>
      <c r="F434" s="103">
        <f>IFERROR(INDEX(Tabella9[PLZ],MATCH(Tabella8[[#This Row],[Colonna2]],Tabella9[Ortschaftsname],0)), "Name not found")</f>
        <v>3414</v>
      </c>
      <c r="G434" s="103"/>
      <c r="H434" s="240">
        <f ca="1">SUMIF(Tabella2[[#Headers],[#Data],[Age]],$H$76,Tabella2[[#Headers],[#Data],[Federal taxes]])</f>
        <v>6804.3246087429152</v>
      </c>
      <c r="I43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4" s="240">
        <f ca="1">Tabella8[[#This Row],[Colonna7]]*Tabella8[[#This Row],[Colonna4]]/100</f>
        <v>49115.395604048514</v>
      </c>
      <c r="Q434" s="2"/>
      <c r="R434" s="4">
        <v>187700</v>
      </c>
      <c r="S434" s="4">
        <v>8819</v>
      </c>
      <c r="T434" s="4">
        <v>5.8</v>
      </c>
    </row>
    <row r="435" spans="2:20">
      <c r="B435" s="92" t="s">
        <v>138</v>
      </c>
      <c r="C435" s="91" t="s">
        <v>2253</v>
      </c>
      <c r="D435" s="93">
        <v>302.5</v>
      </c>
      <c r="E435" s="93">
        <v>164</v>
      </c>
      <c r="F435" s="103">
        <f>IFERROR(INDEX(Tabella9[PLZ],MATCH(Tabella8[[#This Row],[Colonna2]],Tabella9[Ortschaftsname],0)), "Name not found")</f>
        <v>3672</v>
      </c>
      <c r="G435" s="103"/>
      <c r="H435" s="240">
        <f ca="1">SUMIF(Tabella2[[#Headers],[#Data],[Age]],$H$76,Tabella2[[#Headers],[#Data],[Federal taxes]])</f>
        <v>6804.3246087429152</v>
      </c>
      <c r="I43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5" s="240">
        <f ca="1">Tabella8[[#This Row],[Colonna7]]*Tabella8[[#This Row],[Colonna4]]/100</f>
        <v>42845.345101404026</v>
      </c>
      <c r="Q435" s="2"/>
      <c r="R435" s="4">
        <v>2067800</v>
      </c>
      <c r="S435" s="4">
        <v>117865</v>
      </c>
      <c r="T435" s="4">
        <v>5.7</v>
      </c>
    </row>
    <row r="436" spans="2:20">
      <c r="B436" s="92" t="s">
        <v>138</v>
      </c>
      <c r="C436" s="91" t="s">
        <v>2288</v>
      </c>
      <c r="D436" s="93">
        <v>302.5</v>
      </c>
      <c r="E436" s="93">
        <v>159</v>
      </c>
      <c r="F436" s="103">
        <f>IFERROR(INDEX(Tabella9[PLZ],MATCH(Tabella8[[#This Row],[Colonna2]],Tabella9[Ortschaftsname],0)), "Name not found")</f>
        <v>3653</v>
      </c>
      <c r="G436" s="103"/>
      <c r="H436" s="240">
        <f ca="1">SUMIF(Tabella2[[#Headers],[#Data],[Age]],$H$76,Tabella2[[#Headers],[#Data],[Federal taxes]])</f>
        <v>6804.3246087429152</v>
      </c>
      <c r="I43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6" s="240">
        <f ca="1">Tabella8[[#This Row],[Colonna7]]*Tabella8[[#This Row],[Colonna4]]/100</f>
        <v>41539.084580019757</v>
      </c>
      <c r="Q436" s="2"/>
      <c r="R436" s="46"/>
      <c r="S436" s="46"/>
      <c r="T436" s="46"/>
    </row>
    <row r="437" spans="2:20">
      <c r="B437" s="92" t="s">
        <v>138</v>
      </c>
      <c r="C437" s="91" t="s">
        <v>2585</v>
      </c>
      <c r="D437" s="93">
        <v>302.5</v>
      </c>
      <c r="E437" s="93">
        <v>188</v>
      </c>
      <c r="F437" s="103">
        <f>IFERROR(INDEX(Tabella9[PLZ],MATCH(Tabella8[[#This Row],[Colonna2]],Tabella9[Ortschaftsname],0)), "Name not found")</f>
        <v>3504</v>
      </c>
      <c r="G437" s="103"/>
      <c r="H437" s="240">
        <f ca="1">SUMIF(Tabella2[[#Headers],[#Data],[Age]],$H$76,Tabella2[[#Headers],[#Data],[Federal taxes]])</f>
        <v>6804.3246087429152</v>
      </c>
      <c r="I43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7" s="240">
        <f ca="1">Tabella8[[#This Row],[Colonna7]]*Tabella8[[#This Row],[Colonna4]]/100</f>
        <v>49115.395604048514</v>
      </c>
      <c r="Q437" s="2"/>
      <c r="R437" s="46"/>
      <c r="S437" s="46"/>
      <c r="T437" s="46"/>
    </row>
    <row r="438" spans="2:20">
      <c r="B438" s="92" t="s">
        <v>138</v>
      </c>
      <c r="C438" s="91" t="s">
        <v>2455</v>
      </c>
      <c r="D438" s="93">
        <v>302.5</v>
      </c>
      <c r="E438" s="93">
        <v>195</v>
      </c>
      <c r="F438" s="103">
        <v>3618</v>
      </c>
      <c r="G438" s="103"/>
      <c r="H438" s="240">
        <f ca="1">SUMIF(Tabella2[[#Headers],[#Data],[Age]],$H$76,Tabella2[[#Headers],[#Data],[Federal taxes]])</f>
        <v>6804.3246087429152</v>
      </c>
      <c r="I43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8" s="240">
        <f ca="1">Tabella8[[#This Row],[Colonna7]]*Tabella8[[#This Row],[Colonna4]]/100</f>
        <v>50944.160333986489</v>
      </c>
      <c r="Q438" s="2"/>
      <c r="R438" s="46"/>
      <c r="S438" s="46"/>
      <c r="T438" s="46"/>
    </row>
    <row r="439" spans="2:20">
      <c r="B439" s="92" t="s">
        <v>138</v>
      </c>
      <c r="C439" s="91" t="s">
        <v>2454</v>
      </c>
      <c r="D439" s="93">
        <v>302.5</v>
      </c>
      <c r="E439" s="93">
        <v>194</v>
      </c>
      <c r="F439" s="103">
        <f>IFERROR(INDEX(Tabella9[PLZ],MATCH(Tabella8[[#This Row],[Colonna2]],Tabella9[Ortschaftsname],0)), "Name not found")</f>
        <v>3854</v>
      </c>
      <c r="G439" s="103"/>
      <c r="H439" s="240">
        <f ca="1">SUMIF(Tabella2[[#Headers],[#Data],[Age]],$H$76,Tabella2[[#Headers],[#Data],[Federal taxes]])</f>
        <v>6804.3246087429152</v>
      </c>
      <c r="I43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39" s="240">
        <f ca="1">Tabella8[[#This Row],[Colonna7]]*Tabella8[[#This Row],[Colonna4]]/100</f>
        <v>50682.908229709632</v>
      </c>
      <c r="Q439" s="2"/>
      <c r="R439" s="46"/>
      <c r="S439" s="4"/>
      <c r="T439" s="4"/>
    </row>
    <row r="440" spans="2:20">
      <c r="B440" s="92" t="s">
        <v>138</v>
      </c>
      <c r="C440" s="91" t="s">
        <v>2407</v>
      </c>
      <c r="D440" s="93">
        <v>302.5</v>
      </c>
      <c r="E440" s="93">
        <v>187</v>
      </c>
      <c r="F440" s="103">
        <f>IFERROR(INDEX(Tabella9[PLZ],MATCH(Tabella8[[#This Row],[Colonna2]],Tabella9[Ortschaftsname],0)), "Name not found")</f>
        <v>3531</v>
      </c>
      <c r="G440" s="103"/>
      <c r="H440" s="240">
        <f ca="1">SUMIF(Tabella2[[#Headers],[#Data],[Age]],$H$76,Tabella2[[#Headers],[#Data],[Federal taxes]])</f>
        <v>6804.3246087429152</v>
      </c>
      <c r="I44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0" s="240">
        <f ca="1">Tabella8[[#This Row],[Colonna7]]*Tabella8[[#This Row],[Colonna4]]/100</f>
        <v>48854.143499771657</v>
      </c>
      <c r="Q440" s="2"/>
      <c r="R440" s="46"/>
      <c r="S440" s="46"/>
      <c r="T440" s="46"/>
    </row>
    <row r="441" spans="2:20">
      <c r="B441" s="92" t="s">
        <v>138</v>
      </c>
      <c r="C441" s="91" t="s">
        <v>2395</v>
      </c>
      <c r="D441" s="93">
        <v>302.5</v>
      </c>
      <c r="E441" s="93">
        <v>197</v>
      </c>
      <c r="F441" s="103">
        <v>3298</v>
      </c>
      <c r="G441" s="103"/>
      <c r="H441" s="240">
        <f ca="1">SUMIF(Tabella2[[#Headers],[#Data],[Age]],$H$76,Tabella2[[#Headers],[#Data],[Federal taxes]])</f>
        <v>6804.3246087429152</v>
      </c>
      <c r="I44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1" s="240">
        <f ca="1">Tabella8[[#This Row],[Colonna7]]*Tabella8[[#This Row],[Colonna4]]/100</f>
        <v>51466.664542540202</v>
      </c>
      <c r="Q441" s="2"/>
      <c r="R441" s="46"/>
      <c r="S441" s="46"/>
      <c r="T441" s="46"/>
    </row>
    <row r="442" spans="2:20">
      <c r="B442" s="92" t="s">
        <v>138</v>
      </c>
      <c r="C442" s="91" t="s">
        <v>2402</v>
      </c>
      <c r="D442" s="93">
        <v>302.5</v>
      </c>
      <c r="E442" s="93">
        <v>164</v>
      </c>
      <c r="F442" s="103">
        <f>IFERROR(INDEX(Tabella9[PLZ],MATCH(Tabella8[[#This Row],[Colonna2]],Tabella9[Ortschaftsname],0)), "Name not found")</f>
        <v>3765</v>
      </c>
      <c r="G442" s="103"/>
      <c r="H442" s="240">
        <f ca="1">SUMIF(Tabella2[[#Headers],[#Data],[Age]],$H$76,Tabella2[[#Headers],[#Data],[Federal taxes]])</f>
        <v>6804.3246087429152</v>
      </c>
      <c r="I44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2" s="240">
        <f ca="1">Tabella8[[#This Row],[Colonna7]]*Tabella8[[#This Row],[Colonna4]]/100</f>
        <v>42845.345101404026</v>
      </c>
      <c r="Q442" s="2"/>
      <c r="R442" s="46"/>
      <c r="S442" s="46"/>
      <c r="T442" s="46"/>
    </row>
    <row r="443" spans="2:20">
      <c r="B443" s="92" t="s">
        <v>138</v>
      </c>
      <c r="C443" s="91" t="s">
        <v>2436</v>
      </c>
      <c r="D443" s="93">
        <v>302.5</v>
      </c>
      <c r="E443" s="93">
        <v>160</v>
      </c>
      <c r="F443" s="103">
        <f>IFERROR(INDEX(Tabella9[PLZ],MATCH(Tabella8[[#This Row],[Colonna2]],Tabella9[Ortschaftsname],0)), "Name not found")</f>
        <v>3367</v>
      </c>
      <c r="G443" s="103"/>
      <c r="H443" s="240">
        <f ca="1">SUMIF(Tabella2[[#Headers],[#Data],[Age]],$H$76,Tabella2[[#Headers],[#Data],[Federal taxes]])</f>
        <v>6804.3246087429152</v>
      </c>
      <c r="I44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3" s="240">
        <f ca="1">Tabella8[[#This Row],[Colonna7]]*Tabella8[[#This Row],[Colonna4]]/100</f>
        <v>41800.336684296606</v>
      </c>
      <c r="Q443" s="2"/>
      <c r="R443" s="46"/>
      <c r="S443" s="4"/>
      <c r="T443" s="4"/>
    </row>
    <row r="444" spans="2:20">
      <c r="B444" s="92" t="s">
        <v>138</v>
      </c>
      <c r="C444" s="91" t="s">
        <v>2586</v>
      </c>
      <c r="D444" s="93">
        <v>302.5</v>
      </c>
      <c r="E444" s="93">
        <v>200</v>
      </c>
      <c r="F444" s="103">
        <f>IFERROR(INDEX(Tabella9[PLZ],MATCH(Tabella8[[#This Row],[Colonna2]],Tabella9[Ortschaftsname],0)), "Name not found")</f>
        <v>4943</v>
      </c>
      <c r="G444" s="103"/>
      <c r="H444" s="240">
        <f ca="1">SUMIF(Tabella2[[#Headers],[#Data],[Age]],$H$76,Tabella2[[#Headers],[#Data],[Federal taxes]])</f>
        <v>6804.3246087429152</v>
      </c>
      <c r="I44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4" s="240">
        <f ca="1">Tabella8[[#This Row],[Colonna7]]*Tabella8[[#This Row],[Colonna4]]/100</f>
        <v>52250.420855370758</v>
      </c>
      <c r="Q444" s="2"/>
      <c r="R444" s="36">
        <f>IF(Q423&lt;$R$425,$S$424,IF(Q423&lt;$R$426,$S$425+((Q423-$R$425)/100)*$T$425,IF(Q423&lt;$R$427,$S$426+((Q423-$R$426)/100)*$T$426,IF(Q423&lt;$R$428,$S$427+((Q423-$R$427)/100)*$T$427,IF(Q423&lt;$R$429,$S$428+((Q423-$R$428)/100)*$T$428,IF(Q423&lt;$R$430,$S$429+((Q423-$R$429)/100)*$T$429,IF(Q423&lt;$R$431,$S$430+((Q423-$R$430)/100)*$T$430,IF(Q423&lt;$R$432,$S$431+((Q423-$R$431)/100)*$T$431,IF(Q423&lt;$R$433,$S$432+((Q423-$R$432)/100)*$T$432,IF(Q423&lt;$R$434,$S$433+((Q423-$R$433)/100)*$T$433,IF(Q423&lt;$R$435,$S$434+((Q423-$R$434)/100)*$T$434,IF(Q423&gt;=$R$435,$S$435+((Q423-$R$435)/100)*$T$435))))))))))))</f>
        <v>4171</v>
      </c>
      <c r="S444" s="2"/>
      <c r="T444" s="2"/>
    </row>
    <row r="445" spans="2:20">
      <c r="B445" s="92" t="s">
        <v>138</v>
      </c>
      <c r="C445" s="91" t="s">
        <v>2416</v>
      </c>
      <c r="D445" s="93">
        <v>302.5</v>
      </c>
      <c r="E445" s="93">
        <v>150</v>
      </c>
      <c r="F445" s="103">
        <f>IFERROR(INDEX(Tabella9[PLZ],MATCH(Tabella8[[#This Row],[Colonna2]],Tabella9[Ortschaftsname],0)), "Name not found")</f>
        <v>3629</v>
      </c>
      <c r="G445" s="103"/>
      <c r="H445" s="240">
        <f ca="1">SUMIF(Tabella2[[#Headers],[#Data],[Age]],$H$76,Tabella2[[#Headers],[#Data],[Federal taxes]])</f>
        <v>6804.3246087429152</v>
      </c>
      <c r="I44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5" s="240">
        <f ca="1">Tabella8[[#This Row],[Colonna7]]*Tabella8[[#This Row],[Colonna4]]/100</f>
        <v>39187.815641528068</v>
      </c>
    </row>
    <row r="446" spans="2:20">
      <c r="B446" s="92" t="s">
        <v>138</v>
      </c>
      <c r="C446" s="91" t="s">
        <v>2273</v>
      </c>
      <c r="D446" s="93">
        <v>302.5</v>
      </c>
      <c r="E446" s="93">
        <v>185</v>
      </c>
      <c r="F446" s="103">
        <f>IFERROR(INDEX(Tabella9[PLZ],MATCH(Tabella8[[#This Row],[Colonna2]],Tabella9[Ortschaftsname],0)), "Name not found")</f>
        <v>2552</v>
      </c>
      <c r="G446" s="103"/>
      <c r="H446" s="240">
        <f ca="1">SUMIF(Tabella2[[#Headers],[#Data],[Age]],$H$76,Tabella2[[#Headers],[#Data],[Federal taxes]])</f>
        <v>6804.3246087429152</v>
      </c>
      <c r="I44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6" s="240">
        <f ca="1">Tabella8[[#This Row],[Colonna7]]*Tabella8[[#This Row],[Colonna4]]/100</f>
        <v>48331.639291217951</v>
      </c>
      <c r="Q446" s="68" t="s">
        <v>2587</v>
      </c>
      <c r="R446" s="21" t="s">
        <v>82</v>
      </c>
      <c r="S446" s="21" t="s">
        <v>2511</v>
      </c>
      <c r="T446" s="21" t="s">
        <v>90</v>
      </c>
    </row>
    <row r="447" spans="2:20">
      <c r="B447" s="92" t="s">
        <v>138</v>
      </c>
      <c r="C447" s="91" t="s">
        <v>2356</v>
      </c>
      <c r="D447" s="93">
        <v>302.5</v>
      </c>
      <c r="E447" s="93">
        <v>188</v>
      </c>
      <c r="F447" s="103">
        <f>IFERROR(INDEX(Tabella9[PLZ],MATCH(Tabella8[[#This Row],[Colonna2]],Tabella9[Ortschaftsname],0)), "Name not found")</f>
        <v>2534</v>
      </c>
      <c r="G447" s="103"/>
      <c r="H447" s="240">
        <f ca="1">SUMIF(Tabella2[[#Headers],[#Data],[Age]],$H$76,Tabella2[[#Headers],[#Data],[Federal taxes]])</f>
        <v>6804.3246087429152</v>
      </c>
      <c r="I44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7" s="240">
        <f ca="1">Tabella8[[#This Row],[Colonna7]]*Tabella8[[#This Row],[Colonna4]]/100</f>
        <v>49115.395604048514</v>
      </c>
      <c r="Q447" s="94">
        <v>100000</v>
      </c>
      <c r="R447" s="11" t="s">
        <v>2512</v>
      </c>
      <c r="S447" s="11" t="s">
        <v>2513</v>
      </c>
      <c r="T447" s="11" t="s">
        <v>2514</v>
      </c>
    </row>
    <row r="448" spans="2:20">
      <c r="B448" s="92" t="s">
        <v>138</v>
      </c>
      <c r="C448" s="91" t="s">
        <v>2189</v>
      </c>
      <c r="D448" s="93">
        <v>302.5</v>
      </c>
      <c r="E448" s="93">
        <v>169</v>
      </c>
      <c r="F448" s="103">
        <f>IFERROR(INDEX(Tabella9[PLZ],MATCH(Tabella8[[#This Row],[Colonna2]],Tabella9[Ortschaftsname],0)), "Name not found")</f>
        <v>3072</v>
      </c>
      <c r="G448" s="103"/>
      <c r="H448" s="240">
        <f ca="1">SUMIF(Tabella2[[#Headers],[#Data],[Age]],$H$76,Tabella2[[#Headers],[#Data],[Federal taxes]])</f>
        <v>6804.3246087429152</v>
      </c>
      <c r="I44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8" s="240">
        <f ca="1">Tabella8[[#This Row],[Colonna7]]*Tabella8[[#This Row],[Colonna4]]/100</f>
        <v>44151.605622788287</v>
      </c>
      <c r="Q448" s="26"/>
      <c r="R448" s="4">
        <v>0</v>
      </c>
      <c r="S448" s="4">
        <v>0</v>
      </c>
      <c r="T448" s="4">
        <v>0</v>
      </c>
    </row>
    <row r="449" spans="2:20">
      <c r="B449" s="92" t="s">
        <v>138</v>
      </c>
      <c r="C449" s="91" t="s">
        <v>2457</v>
      </c>
      <c r="D449" s="93">
        <v>302.5</v>
      </c>
      <c r="E449" s="93">
        <v>200</v>
      </c>
      <c r="F449" s="103">
        <f>IFERROR(INDEX(Tabella9[PLZ],MATCH(Tabella8[[#This Row],[Colonna2]],Tabella9[Ortschaftsname],0)), "Name not found")</f>
        <v>2742</v>
      </c>
      <c r="G449" s="103"/>
      <c r="H449" s="240">
        <f ca="1">SUMIF(Tabella2[[#Headers],[#Data],[Age]],$H$76,Tabella2[[#Headers],[#Data],[Federal taxes]])</f>
        <v>6804.3246087429152</v>
      </c>
      <c r="I44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49" s="240">
        <f ca="1">Tabella8[[#This Row],[Colonna7]]*Tabella8[[#This Row],[Colonna4]]/100</f>
        <v>52250.420855370758</v>
      </c>
      <c r="Q449" s="2"/>
      <c r="R449" s="4">
        <v>7700</v>
      </c>
      <c r="S449" s="4">
        <v>0</v>
      </c>
      <c r="T449" s="4">
        <v>1.98</v>
      </c>
    </row>
    <row r="450" spans="2:20">
      <c r="B450" s="92" t="s">
        <v>138</v>
      </c>
      <c r="C450" s="91" t="s">
        <v>2588</v>
      </c>
      <c r="D450" s="93">
        <v>302.5</v>
      </c>
      <c r="E450" s="93">
        <v>179</v>
      </c>
      <c r="F450" s="103">
        <v>2715</v>
      </c>
      <c r="G450" s="103"/>
      <c r="H450" s="240">
        <f ca="1">SUMIF(Tabella2[[#Headers],[#Data],[Age]],$H$76,Tabella2[[#Headers],[#Data],[Federal taxes]])</f>
        <v>6804.3246087429152</v>
      </c>
      <c r="I45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0" s="240">
        <f ca="1">Tabella8[[#This Row],[Colonna7]]*Tabella8[[#This Row],[Colonna4]]/100</f>
        <v>46764.126665556832</v>
      </c>
      <c r="Q450" s="2"/>
      <c r="R450" s="4">
        <v>10300</v>
      </c>
      <c r="S450" s="4">
        <v>51</v>
      </c>
      <c r="T450" s="4">
        <v>3.96</v>
      </c>
    </row>
    <row r="451" spans="2:20">
      <c r="B451" s="92" t="s">
        <v>138</v>
      </c>
      <c r="C451" s="91" t="s">
        <v>2236</v>
      </c>
      <c r="D451" s="93">
        <v>302.5</v>
      </c>
      <c r="E451" s="93">
        <v>175</v>
      </c>
      <c r="F451" s="103">
        <f>IFERROR(INDEX(Tabella9[PLZ],MATCH(Tabella8[[#This Row],[Colonna2]],Tabella9[Ortschaftsname],0)), "Name not found")</f>
        <v>2542</v>
      </c>
      <c r="G451" s="103"/>
      <c r="H451" s="240">
        <f ca="1">SUMIF(Tabella2[[#Headers],[#Data],[Age]],$H$76,Tabella2[[#Headers],[#Data],[Federal taxes]])</f>
        <v>6804.3246087429152</v>
      </c>
      <c r="I45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1" s="240">
        <f ca="1">Tabella8[[#This Row],[Colonna7]]*Tabella8[[#This Row],[Colonna4]]/100</f>
        <v>45719.118248449413</v>
      </c>
      <c r="Q451" s="2"/>
      <c r="R451" s="4">
        <v>15500</v>
      </c>
      <c r="S451" s="4">
        <v>257</v>
      </c>
      <c r="T451" s="4">
        <v>7.92</v>
      </c>
    </row>
    <row r="452" spans="2:20">
      <c r="B452" s="92" t="s">
        <v>138</v>
      </c>
      <c r="C452" s="91" t="s">
        <v>2306</v>
      </c>
      <c r="D452" s="93">
        <v>302.5</v>
      </c>
      <c r="E452" s="93">
        <v>185</v>
      </c>
      <c r="F452" s="103">
        <v>2615</v>
      </c>
      <c r="G452" s="103"/>
      <c r="H452" s="240">
        <f ca="1">SUMIF(Tabella2[[#Headers],[#Data],[Age]],$H$76,Tabella2[[#Headers],[#Data],[Federal taxes]])</f>
        <v>6804.3246087429152</v>
      </c>
      <c r="I45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2" s="240">
        <f ca="1">Tabella8[[#This Row],[Colonna7]]*Tabella8[[#This Row],[Colonna4]]/100</f>
        <v>48331.639291217951</v>
      </c>
      <c r="Q452" s="2"/>
      <c r="R452" s="4">
        <v>20600</v>
      </c>
      <c r="S452" s="4">
        <v>661</v>
      </c>
      <c r="T452" s="4">
        <v>11.48</v>
      </c>
    </row>
    <row r="453" spans="2:20">
      <c r="B453" s="92" t="s">
        <v>138</v>
      </c>
      <c r="C453" s="91" t="s">
        <v>2589</v>
      </c>
      <c r="D453" s="93">
        <v>302.5</v>
      </c>
      <c r="E453" s="93">
        <v>172</v>
      </c>
      <c r="F453" s="103">
        <f>IFERROR(INDEX(Tabella9[PLZ],MATCH(Tabella8[[#This Row],[Colonna2]],Tabella9[Ortschaftsname],0)), "Name not found")</f>
        <v>3638</v>
      </c>
      <c r="G453" s="103"/>
      <c r="H453" s="240">
        <f ca="1">SUMIF(Tabella2[[#Headers],[#Data],[Age]],$H$76,Tabella2[[#Headers],[#Data],[Federal taxes]])</f>
        <v>6804.3246087429152</v>
      </c>
      <c r="I45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3" s="240">
        <f ca="1">Tabella8[[#This Row],[Colonna7]]*Tabella8[[#This Row],[Colonna4]]/100</f>
        <v>44935.361935618857</v>
      </c>
      <c r="Q453" s="2"/>
      <c r="R453" s="4">
        <v>30900</v>
      </c>
      <c r="S453" s="4">
        <v>1844</v>
      </c>
      <c r="T453" s="4">
        <v>11.78</v>
      </c>
    </row>
    <row r="454" spans="2:20">
      <c r="B454" s="92" t="s">
        <v>138</v>
      </c>
      <c r="C454" s="91" t="s">
        <v>2249</v>
      </c>
      <c r="D454" s="93">
        <v>302.5</v>
      </c>
      <c r="E454" s="93">
        <v>169</v>
      </c>
      <c r="F454" s="103">
        <f>IFERROR(INDEX(Tabella9[PLZ],MATCH(Tabella8[[#This Row],[Colonna2]],Tabella9[Ortschaftsname],0)), "Name not found")</f>
        <v>2562</v>
      </c>
      <c r="G454" s="103"/>
      <c r="H454" s="240">
        <f ca="1">SUMIF(Tabella2[[#Headers],[#Data],[Age]],$H$76,Tabella2[[#Headers],[#Data],[Federal taxes]])</f>
        <v>6804.3246087429152</v>
      </c>
      <c r="I45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4" s="240">
        <f ca="1">Tabella8[[#This Row],[Colonna7]]*Tabella8[[#This Row],[Colonna4]]/100</f>
        <v>44151.605622788287</v>
      </c>
      <c r="Q454" s="2"/>
      <c r="R454" s="4">
        <v>41200</v>
      </c>
      <c r="S454" s="4">
        <v>3058</v>
      </c>
      <c r="T454" s="4">
        <v>12.18</v>
      </c>
    </row>
    <row r="455" spans="2:20">
      <c r="B455" s="92" t="s">
        <v>138</v>
      </c>
      <c r="C455" s="91" t="s">
        <v>2310</v>
      </c>
      <c r="D455" s="93">
        <v>302.5</v>
      </c>
      <c r="E455" s="93">
        <v>155</v>
      </c>
      <c r="F455" s="103">
        <v>2603</v>
      </c>
      <c r="G455" s="103"/>
      <c r="H455" s="240">
        <f ca="1">SUMIF(Tabella2[[#Headers],[#Data],[Age]],$H$76,Tabella2[[#Headers],[#Data],[Federal taxes]])</f>
        <v>6804.3246087429152</v>
      </c>
      <c r="I45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5" s="240">
        <f ca="1">Tabella8[[#This Row],[Colonna7]]*Tabella8[[#This Row],[Colonna4]]/100</f>
        <v>40494.076162912337</v>
      </c>
      <c r="Q455" s="2"/>
      <c r="R455" s="4">
        <v>51500</v>
      </c>
      <c r="S455" s="4">
        <v>4312</v>
      </c>
      <c r="T455" s="4">
        <v>12.67</v>
      </c>
    </row>
    <row r="456" spans="2:20">
      <c r="B456" s="92" t="s">
        <v>138</v>
      </c>
      <c r="C456" s="91" t="s">
        <v>2349</v>
      </c>
      <c r="D456" s="93">
        <v>302.5</v>
      </c>
      <c r="E456" s="93">
        <v>169</v>
      </c>
      <c r="F456" s="103">
        <v>3271</v>
      </c>
      <c r="G456" s="103"/>
      <c r="H456" s="240">
        <f ca="1">SUMIF(Tabella2[[#Headers],[#Data],[Age]],$H$76,Tabella2[[#Headers],[#Data],[Federal taxes]])</f>
        <v>6804.3246087429152</v>
      </c>
      <c r="I45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6" s="240">
        <f ca="1">Tabella8[[#This Row],[Colonna7]]*Tabella8[[#This Row],[Colonna4]]/100</f>
        <v>44151.605622788287</v>
      </c>
      <c r="Q456" s="2"/>
      <c r="R456" s="4">
        <v>61800</v>
      </c>
      <c r="S456" s="4">
        <v>5617</v>
      </c>
      <c r="T456" s="4">
        <v>13.17</v>
      </c>
    </row>
    <row r="457" spans="2:20">
      <c r="B457" s="92" t="s">
        <v>138</v>
      </c>
      <c r="C457" s="91" t="s">
        <v>2277</v>
      </c>
      <c r="D457" s="93">
        <v>302.5</v>
      </c>
      <c r="E457" s="93">
        <v>168</v>
      </c>
      <c r="F457" s="103">
        <v>3255</v>
      </c>
      <c r="G457" s="103"/>
      <c r="H457" s="240">
        <f ca="1">SUMIF(Tabella2[[#Headers],[#Data],[Age]],$H$76,Tabella2[[#Headers],[#Data],[Federal taxes]])</f>
        <v>6804.3246087429152</v>
      </c>
      <c r="I45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7" s="240">
        <f ca="1">Tabella8[[#This Row],[Colonna7]]*Tabella8[[#This Row],[Colonna4]]/100</f>
        <v>43890.353518511438</v>
      </c>
      <c r="Q457" s="2"/>
      <c r="R457" s="4">
        <v>72100</v>
      </c>
      <c r="S457" s="4">
        <v>6973</v>
      </c>
      <c r="T457" s="4">
        <v>13.66</v>
      </c>
    </row>
    <row r="458" spans="2:20">
      <c r="B458" s="92" t="s">
        <v>138</v>
      </c>
      <c r="C458" s="91" t="s">
        <v>2590</v>
      </c>
      <c r="D458" s="93">
        <v>302.5</v>
      </c>
      <c r="E458" s="93">
        <v>200</v>
      </c>
      <c r="F458" s="103">
        <f>IFERROR(INDEX(Tabella9[PLZ],MATCH(Tabella8[[#This Row],[Colonna2]],Tabella9[Ortschaftsname],0)), "Name not found")</f>
        <v>2717</v>
      </c>
      <c r="G458" s="103"/>
      <c r="H458" s="240">
        <f ca="1">SUMIF(Tabella2[[#Headers],[#Data],[Age]],$H$76,Tabella2[[#Headers],[#Data],[Federal taxes]])</f>
        <v>6804.3246087429152</v>
      </c>
      <c r="I45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8" s="240">
        <f ca="1">Tabella8[[#This Row],[Colonna7]]*Tabella8[[#This Row],[Colonna4]]/100</f>
        <v>52250.420855370758</v>
      </c>
      <c r="Q458" s="2"/>
      <c r="R458" s="4">
        <v>82400</v>
      </c>
      <c r="S458" s="4">
        <v>8380</v>
      </c>
      <c r="T458" s="4">
        <v>14.06</v>
      </c>
    </row>
    <row r="459" spans="2:20">
      <c r="B459" s="92" t="s">
        <v>138</v>
      </c>
      <c r="C459" s="91" t="s">
        <v>2296</v>
      </c>
      <c r="D459" s="93">
        <v>302.5</v>
      </c>
      <c r="E459" s="93">
        <v>197</v>
      </c>
      <c r="F459" s="103">
        <f>IFERROR(INDEX(Tabella9[PLZ],MATCH(Tabella8[[#This Row],[Colonna2]],Tabella9[Ortschaftsname],0)), "Name not found")</f>
        <v>2732</v>
      </c>
      <c r="G459" s="103"/>
      <c r="H459" s="240">
        <f ca="1">SUMIF(Tabella2[[#Headers],[#Data],[Age]],$H$76,Tabella2[[#Headers],[#Data],[Federal taxes]])</f>
        <v>6804.3246087429152</v>
      </c>
      <c r="I45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59" s="240">
        <f ca="1">Tabella8[[#This Row],[Colonna7]]*Tabella8[[#This Row],[Colonna4]]/100</f>
        <v>51466.664542540202</v>
      </c>
      <c r="Q459" s="2"/>
      <c r="R459" s="4">
        <v>92700</v>
      </c>
      <c r="S459" s="4">
        <v>9828</v>
      </c>
      <c r="T459" s="4">
        <v>14.36</v>
      </c>
    </row>
    <row r="460" spans="2:20">
      <c r="B460" s="92" t="s">
        <v>138</v>
      </c>
      <c r="C460" s="91" t="s">
        <v>2250</v>
      </c>
      <c r="D460" s="93">
        <v>302.5</v>
      </c>
      <c r="E460" s="93">
        <v>177</v>
      </c>
      <c r="F460" s="103">
        <f>IFERROR(INDEX(Tabella9[PLZ],MATCH(Tabella8[[#This Row],[Colonna2]],Tabella9[Ortschaftsname],0)), "Name not found")</f>
        <v>3713</v>
      </c>
      <c r="G460" s="103"/>
      <c r="H460" s="240">
        <f ca="1">SUMIF(Tabella2[[#Headers],[#Data],[Age]],$H$76,Tabella2[[#Headers],[#Data],[Federal taxes]])</f>
        <v>6804.3246087429152</v>
      </c>
      <c r="I46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0" s="240">
        <f ca="1">Tabella8[[#This Row],[Colonna7]]*Tabella8[[#This Row],[Colonna4]]/100</f>
        <v>46241.622457003119</v>
      </c>
      <c r="Q460" s="2"/>
      <c r="R460" s="46">
        <v>103000</v>
      </c>
      <c r="S460" s="46">
        <v>11307</v>
      </c>
      <c r="T460" s="46">
        <v>14.65</v>
      </c>
    </row>
    <row r="461" spans="2:20">
      <c r="B461" s="92" t="s">
        <v>138</v>
      </c>
      <c r="C461" s="91" t="s">
        <v>2591</v>
      </c>
      <c r="D461" s="93">
        <v>302.5</v>
      </c>
      <c r="E461" s="93">
        <v>179</v>
      </c>
      <c r="F461" s="103">
        <f>IFERROR(INDEX(Tabella9[PLZ],MATCH(Tabella8[[#This Row],[Colonna2]],Tabella9[Ortschaftsname],0)), "Name not found")</f>
        <v>4919</v>
      </c>
      <c r="G461" s="103"/>
      <c r="H461" s="240">
        <f ca="1">SUMIF(Tabella2[[#Headers],[#Data],[Age]],$H$76,Tabella2[[#Headers],[#Data],[Federal taxes]])</f>
        <v>6804.3246087429152</v>
      </c>
      <c r="I46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1" s="240">
        <f ca="1">Tabella8[[#This Row],[Colonna7]]*Tabella8[[#This Row],[Colonna4]]/100</f>
        <v>46764.126665556832</v>
      </c>
      <c r="Q461" s="2"/>
      <c r="R461" s="46">
        <v>113300</v>
      </c>
      <c r="S461" s="46">
        <v>12816</v>
      </c>
      <c r="T461" s="46">
        <v>14.96</v>
      </c>
    </row>
    <row r="462" spans="2:20">
      <c r="B462" s="92" t="s">
        <v>138</v>
      </c>
      <c r="C462" s="91" t="s">
        <v>2386</v>
      </c>
      <c r="D462" s="93">
        <v>302.5</v>
      </c>
      <c r="E462" s="93">
        <v>204</v>
      </c>
      <c r="F462" s="103">
        <v>2616</v>
      </c>
      <c r="G462" s="103"/>
      <c r="H462" s="240">
        <f ca="1">SUMIF(Tabella2[[#Headers],[#Data],[Age]],$H$76,Tabella2[[#Headers],[#Data],[Federal taxes]])</f>
        <v>6804.3246087429152</v>
      </c>
      <c r="I46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2" s="240">
        <f ca="1">Tabella8[[#This Row],[Colonna7]]*Tabella8[[#This Row],[Colonna4]]/100</f>
        <v>53295.429272478177</v>
      </c>
      <c r="Q462" s="2"/>
      <c r="R462" s="46">
        <v>123600</v>
      </c>
      <c r="S462" s="46">
        <v>14356</v>
      </c>
      <c r="T462" s="46">
        <v>15.25</v>
      </c>
    </row>
    <row r="463" spans="2:20">
      <c r="B463" s="92" t="s">
        <v>138</v>
      </c>
      <c r="C463" s="91" t="s">
        <v>2380</v>
      </c>
      <c r="D463" s="93">
        <v>302.5</v>
      </c>
      <c r="E463" s="93">
        <v>175</v>
      </c>
      <c r="F463" s="103">
        <f>IFERROR(INDEX(Tabella9[PLZ],MATCH(Tabella8[[#This Row],[Colonna2]],Tabella9[Ortschaftsname],0)), "Name not found")</f>
        <v>3647</v>
      </c>
      <c r="G463" s="103"/>
      <c r="H463" s="240">
        <f ca="1">SUMIF(Tabella2[[#Headers],[#Data],[Age]],$H$76,Tabella2[[#Headers],[#Data],[Federal taxes]])</f>
        <v>6804.3246087429152</v>
      </c>
      <c r="I46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3" s="240">
        <f ca="1">Tabella8[[#This Row],[Colonna7]]*Tabella8[[#This Row],[Colonna4]]/100</f>
        <v>45719.118248449413</v>
      </c>
      <c r="Q463" s="2"/>
      <c r="R463" s="46">
        <v>133900</v>
      </c>
      <c r="S463" s="4">
        <v>15926</v>
      </c>
      <c r="T463" s="4">
        <v>15.35</v>
      </c>
    </row>
    <row r="464" spans="2:20">
      <c r="B464" s="92" t="s">
        <v>138</v>
      </c>
      <c r="C464" s="91" t="s">
        <v>2285</v>
      </c>
      <c r="D464" s="93">
        <v>302.5</v>
      </c>
      <c r="E464" s="93">
        <v>180</v>
      </c>
      <c r="F464" s="103">
        <f>IFERROR(INDEX(Tabella9[PLZ],MATCH(Tabella8[[#This Row],[Colonna2]],Tabella9[Ortschaftsname],0)), "Name not found")</f>
        <v>3132</v>
      </c>
      <c r="G464" s="103"/>
      <c r="H464" s="240">
        <f ca="1">SUMIF(Tabella2[[#Headers],[#Data],[Age]],$H$76,Tabella2[[#Headers],[#Data],[Federal taxes]])</f>
        <v>6804.3246087429152</v>
      </c>
      <c r="I46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4" s="240">
        <f ca="1">Tabella8[[#This Row],[Colonna7]]*Tabella8[[#This Row],[Colonna4]]/100</f>
        <v>47025.378769833682</v>
      </c>
      <c r="Q464" s="2"/>
      <c r="R464" s="46">
        <v>144200</v>
      </c>
      <c r="S464" s="46">
        <v>17507</v>
      </c>
      <c r="T464" s="46">
        <v>15.44</v>
      </c>
    </row>
    <row r="465" spans="2:20">
      <c r="B465" s="92" t="s">
        <v>138</v>
      </c>
      <c r="C465" s="91" t="s">
        <v>2276</v>
      </c>
      <c r="D465" s="93">
        <v>302.5</v>
      </c>
      <c r="E465" s="93">
        <v>180</v>
      </c>
      <c r="F465" s="103">
        <v>3852</v>
      </c>
      <c r="G465" s="103"/>
      <c r="H465" s="240">
        <f ca="1">SUMIF(Tabella2[[#Headers],[#Data],[Age]],$H$76,Tabella2[[#Headers],[#Data],[Federal taxes]])</f>
        <v>6804.3246087429152</v>
      </c>
      <c r="I46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5" s="240">
        <f ca="1">Tabella8[[#This Row],[Colonna7]]*Tabella8[[#This Row],[Colonna4]]/100</f>
        <v>47025.378769833682</v>
      </c>
      <c r="Q465" s="2"/>
      <c r="R465" s="46">
        <v>152500</v>
      </c>
      <c r="S465" s="46">
        <v>19097</v>
      </c>
      <c r="T465" s="46">
        <v>15.54</v>
      </c>
    </row>
    <row r="466" spans="2:20">
      <c r="B466" s="92" t="s">
        <v>138</v>
      </c>
      <c r="C466" s="91" t="s">
        <v>2592</v>
      </c>
      <c r="D466" s="93">
        <v>302.5</v>
      </c>
      <c r="E466" s="93">
        <v>194</v>
      </c>
      <c r="F466" s="103">
        <v>2762</v>
      </c>
      <c r="G466" s="103"/>
      <c r="H466" s="240">
        <f ca="1">SUMIF(Tabella2[[#Headers],[#Data],[Age]],$H$76,Tabella2[[#Headers],[#Data],[Federal taxes]])</f>
        <v>6804.3246087429152</v>
      </c>
      <c r="I46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6" s="240">
        <f ca="1">Tabella8[[#This Row],[Colonna7]]*Tabella8[[#This Row],[Colonna4]]/100</f>
        <v>50682.908229709632</v>
      </c>
      <c r="Q466" s="2"/>
      <c r="R466" s="46">
        <v>164800</v>
      </c>
      <c r="S466" s="46">
        <v>20698</v>
      </c>
      <c r="T466" s="46">
        <v>15.74</v>
      </c>
    </row>
    <row r="467" spans="2:20">
      <c r="B467" s="92" t="s">
        <v>138</v>
      </c>
      <c r="C467" s="91" t="s">
        <v>2242</v>
      </c>
      <c r="D467" s="93">
        <v>302.5</v>
      </c>
      <c r="E467" s="93">
        <v>161</v>
      </c>
      <c r="F467" s="103">
        <v>4914</v>
      </c>
      <c r="G467" s="103"/>
      <c r="H467" s="240">
        <f ca="1">SUMIF(Tabella2[[#Headers],[#Data],[Age]],$H$76,Tabella2[[#Headers],[#Data],[Federal taxes]])</f>
        <v>6804.3246087429152</v>
      </c>
      <c r="I46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7" s="240">
        <f ca="1">Tabella8[[#This Row],[Colonna7]]*Tabella8[[#This Row],[Colonna4]]/100</f>
        <v>42061.588788573463</v>
      </c>
      <c r="Q467" s="2"/>
      <c r="R467" s="46">
        <v>175100</v>
      </c>
      <c r="S467" s="46">
        <v>22320</v>
      </c>
      <c r="T467" s="46">
        <v>5.94</v>
      </c>
    </row>
    <row r="468" spans="2:20">
      <c r="B468" s="92" t="s">
        <v>138</v>
      </c>
      <c r="C468" s="91" t="s">
        <v>2331</v>
      </c>
      <c r="D468" s="93">
        <v>302.5</v>
      </c>
      <c r="E468" s="93">
        <v>135</v>
      </c>
      <c r="F468" s="103">
        <f>IFERROR(INDEX(Tabella9[PLZ],MATCH(Tabella8[[#This Row],[Colonna2]],Tabella9[Ortschaftsname],0)), "Name not found")</f>
        <v>4938</v>
      </c>
      <c r="G468" s="103"/>
      <c r="H468" s="240">
        <f ca="1">SUMIF(Tabella2[[#Headers],[#Data],[Age]],$H$76,Tabella2[[#Headers],[#Data],[Federal taxes]])</f>
        <v>6804.3246087429152</v>
      </c>
      <c r="I46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8" s="240">
        <f ca="1">Tabella8[[#This Row],[Colonna7]]*Tabella8[[#This Row],[Colonna4]]/100</f>
        <v>35269.034077375261</v>
      </c>
      <c r="Q468" s="2"/>
      <c r="R468" s="46">
        <v>185400</v>
      </c>
      <c r="S468" s="46">
        <v>23961</v>
      </c>
      <c r="T468" s="46">
        <v>16.04</v>
      </c>
    </row>
    <row r="469" spans="2:20">
      <c r="B469" s="92" t="s">
        <v>138</v>
      </c>
      <c r="C469" s="91" t="s">
        <v>2593</v>
      </c>
      <c r="D469" s="93">
        <v>302.5</v>
      </c>
      <c r="E469" s="93">
        <v>194</v>
      </c>
      <c r="F469" s="103">
        <f>IFERROR(INDEX(Tabella9[PLZ],MATCH(Tabella8[[#This Row],[Colonna2]],Tabella9[Ortschaftsname],0)), "Name not found")</f>
        <v>4938</v>
      </c>
      <c r="G469" s="103"/>
      <c r="H469" s="240">
        <f ca="1">SUMIF(Tabella2[[#Headers],[#Data],[Age]],$H$76,Tabella2[[#Headers],[#Data],[Federal taxes]])</f>
        <v>6804.3246087429152</v>
      </c>
      <c r="I46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69" s="240">
        <f ca="1">Tabella8[[#This Row],[Colonna7]]*Tabella8[[#This Row],[Colonna4]]/100</f>
        <v>50682.908229709632</v>
      </c>
      <c r="Q469" s="2"/>
      <c r="R469" s="46">
        <v>195700</v>
      </c>
      <c r="S469" s="46">
        <v>25613</v>
      </c>
      <c r="T469" s="46">
        <v>16.04</v>
      </c>
    </row>
    <row r="470" spans="2:20">
      <c r="B470" s="92" t="s">
        <v>138</v>
      </c>
      <c r="C470" s="91" t="s">
        <v>2594</v>
      </c>
      <c r="D470" s="93">
        <v>302.5</v>
      </c>
      <c r="E470" s="93">
        <v>160</v>
      </c>
      <c r="F470" s="103">
        <v>2538</v>
      </c>
      <c r="G470" s="103"/>
      <c r="H470" s="240">
        <f ca="1">SUMIF(Tabella2[[#Headers],[#Data],[Age]],$H$76,Tabella2[[#Headers],[#Data],[Federal taxes]])</f>
        <v>6804.3246087429152</v>
      </c>
      <c r="I47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0" s="240">
        <f ca="1">Tabella8[[#This Row],[Colonna7]]*Tabella8[[#This Row],[Colonna4]]/100</f>
        <v>41800.336684296606</v>
      </c>
      <c r="Q470" s="2"/>
      <c r="R470" s="46">
        <v>206000</v>
      </c>
      <c r="S470" s="46">
        <v>27265</v>
      </c>
      <c r="T470" s="46">
        <v>13.37</v>
      </c>
    </row>
    <row r="471" spans="2:20">
      <c r="B471" s="92" t="s">
        <v>138</v>
      </c>
      <c r="C471" s="91" t="s">
        <v>2269</v>
      </c>
      <c r="D471" s="93">
        <v>302.5</v>
      </c>
      <c r="E471" s="93">
        <v>144</v>
      </c>
      <c r="F471" s="103">
        <f>IFERROR(INDEX(Tabella9[PLZ],MATCH(Tabella8[[#This Row],[Colonna2]],Tabella9[Ortschaftsname],0)), "Name not found")</f>
        <v>3113</v>
      </c>
      <c r="G471" s="103"/>
      <c r="H471" s="240">
        <f ca="1">SUMIF(Tabella2[[#Headers],[#Data],[Age]],$H$76,Tabella2[[#Headers],[#Data],[Federal taxes]])</f>
        <v>6804.3246087429152</v>
      </c>
      <c r="I47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1" s="240">
        <f ca="1">Tabella8[[#This Row],[Colonna7]]*Tabella8[[#This Row],[Colonna4]]/100</f>
        <v>37620.303015866943</v>
      </c>
      <c r="Q471" s="2"/>
      <c r="R471" s="46">
        <v>309000</v>
      </c>
      <c r="S471" s="46">
        <v>41031</v>
      </c>
      <c r="T471" s="46">
        <v>13.61</v>
      </c>
    </row>
    <row r="472" spans="2:20">
      <c r="B472" s="92" t="s">
        <v>138</v>
      </c>
      <c r="C472" s="91" t="s">
        <v>2595</v>
      </c>
      <c r="D472" s="93">
        <v>302.5</v>
      </c>
      <c r="E472" s="93">
        <v>100</v>
      </c>
      <c r="F472" s="103">
        <f>IFERROR(INDEX(Tabella9[PLZ],MATCH(Tabella8[[#This Row],[Colonna2]],Tabella9[Ortschaftsname],0)), "Name not found")</f>
        <v>3472</v>
      </c>
      <c r="G472" s="103"/>
      <c r="H472" s="240">
        <f ca="1">SUMIF(Tabella2[[#Headers],[#Data],[Age]],$H$76,Tabella2[[#Headers],[#Data],[Federal taxes]])</f>
        <v>6804.3246087429152</v>
      </c>
      <c r="I47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2" s="240">
        <f ca="1">Tabella8[[#This Row],[Colonna7]]*Tabella8[[#This Row],[Colonna4]]/100</f>
        <v>26125.210427685379</v>
      </c>
      <c r="Q472" s="2"/>
      <c r="R472" s="46">
        <v>412000</v>
      </c>
      <c r="S472" s="46">
        <v>55052</v>
      </c>
      <c r="T472" s="46">
        <v>13.86</v>
      </c>
    </row>
    <row r="473" spans="2:20">
      <c r="B473" s="92" t="s">
        <v>138</v>
      </c>
      <c r="C473" s="91" t="s">
        <v>2452</v>
      </c>
      <c r="D473" s="93">
        <v>302.5</v>
      </c>
      <c r="E473" s="93">
        <v>189</v>
      </c>
      <c r="F473" s="103">
        <f>IFERROR(INDEX(Tabella9[PLZ],MATCH(Tabella8[[#This Row],[Colonna2]],Tabella9[Ortschaftsname],0)), "Name not found")</f>
        <v>4539</v>
      </c>
      <c r="G473" s="103"/>
      <c r="H473" s="240">
        <f ca="1">SUMIF(Tabella2[[#Headers],[#Data],[Age]],$H$76,Tabella2[[#Headers],[#Data],[Federal taxes]])</f>
        <v>6804.3246087429152</v>
      </c>
      <c r="I47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3" s="240">
        <f ca="1">Tabella8[[#This Row],[Colonna7]]*Tabella8[[#This Row],[Colonna4]]/100</f>
        <v>49376.64770832537</v>
      </c>
      <c r="Q473" s="2"/>
      <c r="R473" s="46"/>
      <c r="S473" s="4"/>
      <c r="T473" s="4"/>
    </row>
    <row r="474" spans="2:20">
      <c r="B474" s="92" t="s">
        <v>138</v>
      </c>
      <c r="C474" s="91" t="s">
        <v>2358</v>
      </c>
      <c r="D474" s="93">
        <v>302.5</v>
      </c>
      <c r="E474" s="93">
        <v>200</v>
      </c>
      <c r="F474" s="103">
        <f>IFERROR(INDEX(Tabella9[PLZ],MATCH(Tabella8[[#This Row],[Colonna2]],Tabella9[Ortschaftsname],0)), "Name not found")</f>
        <v>3538</v>
      </c>
      <c r="G474" s="103"/>
      <c r="H474" s="240">
        <f ca="1">SUMIF(Tabella2[[#Headers],[#Data],[Age]],$H$76,Tabella2[[#Headers],[#Data],[Federal taxes]])</f>
        <v>6804.3246087429152</v>
      </c>
      <c r="I47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4" s="240">
        <f ca="1">Tabella8[[#This Row],[Colonna7]]*Tabella8[[#This Row],[Colonna4]]/100</f>
        <v>52250.420855370758</v>
      </c>
      <c r="Q474" s="2"/>
      <c r="R474" s="36">
        <f>IF(Q447&lt;$R$449,$S$448,IF(Q447&lt;$R$450,$S$449+((Q447-$R$449)/100)*$T$449,IF(Q447&lt;$R$451,$S$450+((Q447-$R$450)/100)*$T$450,IF(Q447&lt;$R$452,$S$451+((Q447-$R$451)/100)*$T$451,IF(Q447&lt;$R$453,$S$452+((Q447-$R$452)/100)*$T$452,IF(Q447&lt;$R$454,$S$453+((Q447-$R$453)/100)*$T$453,IF(Q447&lt;$R$455,$S$454+((Q447-$R$454)/100)*$T$454,IF(Q447&lt;$R$456,$S$455+((Q447-$R$455)/100)*$T$455,IF(Q447&lt;$R$457,$S$456+((Q447-$R$456)/100)*$T$456,IF(Q447&lt;$R$458,$S$457+((Q447-$R$457)/100)*$T$457,IF(Q447&lt;$R$459,$S$458+((Q447-$R$458)/100)*$T$458,IF(Q447&lt;$R$460,$S$459+((Q447-$R$459)/100)*$T$459,IF(Q447&lt;$R$461,$S$460+((Q447-$R$460)/100)*$T$460,IF(Q447&lt;$R$462,$S$461+((Q447-$R$461)/100)*$T$461,IF(Q447&lt;$R$463,$S$462+((Q447-$R$462)/100)*$T$462,IF(Q447&lt;$R$464,$S$463+((Q447-$R$463)/100)*$T$463,IF(Q447&lt;$R$465,$S$464+((Q447-$R$464)/100)*$T$464,IF(Q447&lt;$R$466,$S$465+((Q447-$R$465)/100)*$T$465,IF(Q447&lt;$R$467,$S$466+((Q447-$R$466)/100)*$T$466,IF(Q447&lt;$R$468,$S$467+((Q447-$R$467)/100)*$T$467,IF(Q447&lt;$R$469,$S$468+((Q447-$R$468)/100)*$T$468,IF(Q447&lt;$R$470,$S$469+((Q447-$R$469)/100)*$T$469,IF(Q447&lt;$R$471,$S$470+((Q447-$R$470)/100)*$T$470,IF(Q447&lt;$R$472,$S$471+((Q447-$R$471)/100)*$T$471,IF(Q447&gt;=$R$472,$S$472+((Q447-$R$472)/100)*$T$472)))))))))))))))))))))))))</f>
        <v>10876.28</v>
      </c>
      <c r="S474" s="2"/>
      <c r="T474" s="2"/>
    </row>
    <row r="475" spans="2:20">
      <c r="B475" s="92" t="s">
        <v>138</v>
      </c>
      <c r="C475" s="91" t="s">
        <v>2291</v>
      </c>
      <c r="D475" s="93">
        <v>302.5</v>
      </c>
      <c r="E475" s="93">
        <v>174</v>
      </c>
      <c r="F475" s="103">
        <f>IFERROR(INDEX(Tabella9[PLZ],MATCH(Tabella8[[#This Row],[Colonna2]],Tabella9[Ortschaftsname],0)), "Name not found")</f>
        <v>3437</v>
      </c>
      <c r="G475" s="103"/>
      <c r="H475" s="240">
        <f ca="1">SUMIF(Tabella2[[#Headers],[#Data],[Age]],$H$76,Tabella2[[#Headers],[#Data],[Federal taxes]])</f>
        <v>6804.3246087429152</v>
      </c>
      <c r="I47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5" s="240">
        <f ca="1">Tabella8[[#This Row],[Colonna7]]*Tabella8[[#This Row],[Colonna4]]/100</f>
        <v>45457.866144172556</v>
      </c>
    </row>
    <row r="476" spans="2:20">
      <c r="B476" s="92" t="s">
        <v>138</v>
      </c>
      <c r="C476" s="91" t="s">
        <v>2290</v>
      </c>
      <c r="D476" s="93">
        <v>302.5</v>
      </c>
      <c r="E476" s="93">
        <v>145</v>
      </c>
      <c r="F476" s="103">
        <v>3422</v>
      </c>
      <c r="G476" s="103"/>
      <c r="H476" s="240">
        <f ca="1">SUMIF(Tabella2[[#Headers],[#Data],[Age]],$H$76,Tabella2[[#Headers],[#Data],[Federal taxes]])</f>
        <v>6804.3246087429152</v>
      </c>
      <c r="I47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6" s="240">
        <f ca="1">Tabella8[[#This Row],[Colonna7]]*Tabella8[[#This Row],[Colonna4]]/100</f>
        <v>37881.555120143799</v>
      </c>
      <c r="Q476" s="68" t="s">
        <v>2596</v>
      </c>
      <c r="R476" s="21" t="s">
        <v>82</v>
      </c>
      <c r="S476" s="21" t="s">
        <v>2511</v>
      </c>
      <c r="T476" s="21" t="s">
        <v>90</v>
      </c>
    </row>
    <row r="477" spans="2:20">
      <c r="B477" s="92" t="s">
        <v>138</v>
      </c>
      <c r="C477" s="91" t="s">
        <v>2314</v>
      </c>
      <c r="D477" s="93">
        <v>302.5</v>
      </c>
      <c r="E477" s="93">
        <v>185</v>
      </c>
      <c r="F477" s="103">
        <f>IFERROR(INDEX(Tabella9[PLZ],MATCH(Tabella8[[#This Row],[Colonna2]],Tabella9[Ortschaftsname],0)), "Name not found")</f>
        <v>3088</v>
      </c>
      <c r="G477" s="103"/>
      <c r="H477" s="240">
        <f ca="1">SUMIF(Tabella2[[#Headers],[#Data],[Age]],$H$76,Tabella2[[#Headers],[#Data],[Federal taxes]])</f>
        <v>6804.3246087429152</v>
      </c>
      <c r="I47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7" s="240">
        <f ca="1">Tabella8[[#This Row],[Colonna7]]*Tabella8[[#This Row],[Colonna4]]/100</f>
        <v>48331.639291217951</v>
      </c>
      <c r="Q477" s="94">
        <v>100000</v>
      </c>
      <c r="R477" s="11" t="s">
        <v>2512</v>
      </c>
      <c r="S477" s="11" t="s">
        <v>2525</v>
      </c>
      <c r="T477" s="11"/>
    </row>
    <row r="478" spans="2:20">
      <c r="B478" s="92" t="s">
        <v>138</v>
      </c>
      <c r="C478" s="91" t="s">
        <v>2259</v>
      </c>
      <c r="D478" s="93">
        <v>302.5</v>
      </c>
      <c r="E478" s="93">
        <v>179</v>
      </c>
      <c r="F478" s="103">
        <f>IFERROR(INDEX(Tabella9[PLZ],MATCH(Tabella8[[#This Row],[Colonna2]],Tabella9[Ortschaftsname],0)), "Name not found")</f>
        <v>3417</v>
      </c>
      <c r="G478" s="103"/>
      <c r="H478" s="240">
        <f ca="1">SUMIF(Tabella2[[#Headers],[#Data],[Age]],$H$76,Tabella2[[#Headers],[#Data],[Federal taxes]])</f>
        <v>6804.3246087429152</v>
      </c>
      <c r="I47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8" s="240">
        <f ca="1">Tabella8[[#This Row],[Colonna7]]*Tabella8[[#This Row],[Colonna4]]/100</f>
        <v>46764.126665556832</v>
      </c>
      <c r="Q478" s="26"/>
      <c r="R478" s="4">
        <v>0</v>
      </c>
      <c r="S478" s="39">
        <v>0</v>
      </c>
      <c r="T478" s="4"/>
    </row>
    <row r="479" spans="2:20">
      <c r="B479" s="92" t="s">
        <v>138</v>
      </c>
      <c r="C479" s="91" t="s">
        <v>2322</v>
      </c>
      <c r="D479" s="93">
        <v>302.5</v>
      </c>
      <c r="E479" s="93">
        <v>174</v>
      </c>
      <c r="F479" s="103">
        <v>3153</v>
      </c>
      <c r="G479" s="103"/>
      <c r="H479" s="240">
        <f ca="1">SUMIF(Tabella2[[#Headers],[#Data],[Age]],$H$76,Tabella2[[#Headers],[#Data],[Federal taxes]])</f>
        <v>6804.3246087429152</v>
      </c>
      <c r="I47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79" s="240">
        <f ca="1">Tabella8[[#This Row],[Colonna7]]*Tabella8[[#This Row],[Colonna4]]/100</f>
        <v>45457.866144172556</v>
      </c>
      <c r="Q479" s="2"/>
      <c r="R479" s="4">
        <v>11200</v>
      </c>
      <c r="S479" s="39">
        <v>5.0000000000000001E-3</v>
      </c>
      <c r="T479" s="4"/>
    </row>
    <row r="480" spans="2:20">
      <c r="B480" s="92" t="s">
        <v>138</v>
      </c>
      <c r="C480" s="91" t="s">
        <v>2396</v>
      </c>
      <c r="D480" s="93">
        <v>302.5</v>
      </c>
      <c r="E480" s="93">
        <v>185</v>
      </c>
      <c r="F480" s="103">
        <v>3295</v>
      </c>
      <c r="G480" s="103"/>
      <c r="H480" s="240">
        <f ca="1">SUMIF(Tabella2[[#Headers],[#Data],[Age]],$H$76,Tabella2[[#Headers],[#Data],[Federal taxes]])</f>
        <v>6804.3246087429152</v>
      </c>
      <c r="I48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0" s="240">
        <f ca="1">Tabella8[[#This Row],[Colonna7]]*Tabella8[[#This Row],[Colonna4]]/100</f>
        <v>48331.639291217951</v>
      </c>
      <c r="Q480" s="2"/>
      <c r="R480" s="4">
        <f>R479+2300</f>
        <v>13500</v>
      </c>
      <c r="S480" s="39">
        <v>0.01</v>
      </c>
      <c r="T480" s="4"/>
    </row>
    <row r="481" spans="2:20">
      <c r="B481" s="92" t="s">
        <v>138</v>
      </c>
      <c r="C481" s="91" t="s">
        <v>2597</v>
      </c>
      <c r="D481" s="93">
        <v>302.5</v>
      </c>
      <c r="E481" s="93">
        <v>179</v>
      </c>
      <c r="F481" s="103">
        <v>3421</v>
      </c>
      <c r="G481" s="103"/>
      <c r="H481" s="240">
        <f ca="1">SUMIF(Tabella2[[#Headers],[#Data],[Age]],$H$76,Tabella2[[#Headers],[#Data],[Federal taxes]])</f>
        <v>6804.3246087429152</v>
      </c>
      <c r="I48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1" s="240">
        <f ca="1">Tabella8[[#This Row],[Colonna7]]*Tabella8[[#This Row],[Colonna4]]/100</f>
        <v>46764.126665556832</v>
      </c>
      <c r="Q481" s="2"/>
      <c r="R481" s="4">
        <f t="shared" ref="R481:R489" si="1">R480+1100</f>
        <v>14600</v>
      </c>
      <c r="S481" s="39">
        <v>1.2E-2</v>
      </c>
      <c r="T481" s="4"/>
    </row>
    <row r="482" spans="2:20">
      <c r="B482" s="92" t="s">
        <v>138</v>
      </c>
      <c r="C482" s="91" t="s">
        <v>2435</v>
      </c>
      <c r="D482" s="93">
        <v>302.5</v>
      </c>
      <c r="E482" s="93">
        <v>160</v>
      </c>
      <c r="F482" s="103">
        <f>IFERROR(INDEX(Tabella9[PLZ],MATCH(Tabella8[[#This Row],[Colonna2]],Tabella9[Ortschaftsname],0)), "Name not found")</f>
        <v>4933</v>
      </c>
      <c r="G482" s="103"/>
      <c r="H482" s="240">
        <f ca="1">SUMIF(Tabella2[[#Headers],[#Data],[Age]],$H$76,Tabella2[[#Headers],[#Data],[Federal taxes]])</f>
        <v>6804.3246087429152</v>
      </c>
      <c r="I48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2" s="240">
        <f ca="1">Tabella8[[#This Row],[Colonna7]]*Tabella8[[#This Row],[Colonna4]]/100</f>
        <v>41800.336684296606</v>
      </c>
      <c r="Q482" s="2"/>
      <c r="R482" s="4">
        <f t="shared" si="1"/>
        <v>15700</v>
      </c>
      <c r="S482" s="39">
        <v>1.4E-2</v>
      </c>
      <c r="T482" s="4"/>
    </row>
    <row r="483" spans="2:20">
      <c r="B483" s="92" t="s">
        <v>138</v>
      </c>
      <c r="C483" s="91" t="s">
        <v>2206</v>
      </c>
      <c r="D483" s="93">
        <v>302.5</v>
      </c>
      <c r="E483" s="93">
        <v>110.00000000000001</v>
      </c>
      <c r="F483" s="103">
        <f>IFERROR(INDEX(Tabella9[PLZ],MATCH(Tabella8[[#This Row],[Colonna2]],Tabella9[Ortschaftsname],0)), "Name not found")</f>
        <v>3792</v>
      </c>
      <c r="G483" s="103"/>
      <c r="H483" s="240">
        <f ca="1">SUMIF(Tabella2[[#Headers],[#Data],[Age]],$H$76,Tabella2[[#Headers],[#Data],[Federal taxes]])</f>
        <v>6804.3246087429152</v>
      </c>
      <c r="I48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3" s="240">
        <f ca="1">Tabella8[[#This Row],[Colonna7]]*Tabella8[[#This Row],[Colonna4]]/100</f>
        <v>28737.73147045392</v>
      </c>
      <c r="Q483" s="2"/>
      <c r="R483" s="4">
        <f t="shared" si="1"/>
        <v>16800</v>
      </c>
      <c r="S483" s="39">
        <v>1.6E-2</v>
      </c>
      <c r="T483" s="4"/>
    </row>
    <row r="484" spans="2:20">
      <c r="B484" s="92" t="s">
        <v>138</v>
      </c>
      <c r="C484" s="91" t="s">
        <v>2311</v>
      </c>
      <c r="D484" s="93">
        <v>302.5</v>
      </c>
      <c r="E484" s="93">
        <v>140</v>
      </c>
      <c r="F484" s="103">
        <f>IFERROR(INDEX(Tabella9[PLZ],MATCH(Tabella8[[#This Row],[Colonna2]],Tabella9[Ortschaftsname],0)), "Name not found")</f>
        <v>2553</v>
      </c>
      <c r="G484" s="103"/>
      <c r="H484" s="240">
        <f ca="1">SUMIF(Tabella2[[#Headers],[#Data],[Age]],$H$76,Tabella2[[#Headers],[#Data],[Federal taxes]])</f>
        <v>6804.3246087429152</v>
      </c>
      <c r="I48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4" s="240">
        <f ca="1">Tabella8[[#This Row],[Colonna7]]*Tabella8[[#This Row],[Colonna4]]/100</f>
        <v>36575.29459875953</v>
      </c>
      <c r="Q484" s="2"/>
      <c r="R484" s="4">
        <f t="shared" si="1"/>
        <v>17900</v>
      </c>
      <c r="S484" s="39">
        <v>1.7999999999999999E-2</v>
      </c>
      <c r="T484" s="4"/>
    </row>
    <row r="485" spans="2:20">
      <c r="B485" s="92" t="s">
        <v>138</v>
      </c>
      <c r="C485" s="91" t="s">
        <v>2421</v>
      </c>
      <c r="D485" s="93">
        <v>302.5</v>
      </c>
      <c r="E485" s="93">
        <v>195</v>
      </c>
      <c r="F485" s="103">
        <f>IFERROR(INDEX(Tabella9[PLZ],MATCH(Tabella8[[#This Row],[Colonna2]],Tabella9[Ortschaftsname],0)), "Name not found")</f>
        <v>2732</v>
      </c>
      <c r="G485" s="103"/>
      <c r="H485" s="240">
        <f ca="1">SUMIF(Tabella2[[#Headers],[#Data],[Age]],$H$76,Tabella2[[#Headers],[#Data],[Federal taxes]])</f>
        <v>6804.3246087429152</v>
      </c>
      <c r="I48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5" s="240">
        <f ca="1">Tabella8[[#This Row],[Colonna7]]*Tabella8[[#This Row],[Colonna4]]/100</f>
        <v>50944.160333986489</v>
      </c>
      <c r="Q485" s="2"/>
      <c r="R485" s="4">
        <f t="shared" si="1"/>
        <v>19000</v>
      </c>
      <c r="S485" s="39">
        <v>0.02</v>
      </c>
      <c r="T485" s="4"/>
    </row>
    <row r="486" spans="2:20">
      <c r="B486" s="92" t="s">
        <v>138</v>
      </c>
      <c r="C486" s="91" t="s">
        <v>2221</v>
      </c>
      <c r="D486" s="93">
        <v>302.5</v>
      </c>
      <c r="E486" s="93">
        <v>175</v>
      </c>
      <c r="F486" s="103">
        <v>2610</v>
      </c>
      <c r="G486" s="103"/>
      <c r="H486" s="240">
        <f ca="1">SUMIF(Tabella2[[#Headers],[#Data],[Age]],$H$76,Tabella2[[#Headers],[#Data],[Federal taxes]])</f>
        <v>6804.3246087429152</v>
      </c>
      <c r="I48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6" s="240">
        <f ca="1">Tabella8[[#This Row],[Colonna7]]*Tabella8[[#This Row],[Colonna4]]/100</f>
        <v>45719.118248449413</v>
      </c>
      <c r="Q486" s="2"/>
      <c r="R486" s="4">
        <f t="shared" si="1"/>
        <v>20100</v>
      </c>
      <c r="S486" s="39">
        <v>2.1999999999999999E-2</v>
      </c>
      <c r="T486" s="4"/>
    </row>
    <row r="487" spans="2:20">
      <c r="B487" s="92" t="s">
        <v>138</v>
      </c>
      <c r="C487" s="91" t="s">
        <v>2400</v>
      </c>
      <c r="D487" s="93">
        <v>302.5</v>
      </c>
      <c r="E487" s="93">
        <v>190</v>
      </c>
      <c r="F487" s="103">
        <v>2606</v>
      </c>
      <c r="G487" s="103"/>
      <c r="H487" s="240">
        <f ca="1">SUMIF(Tabella2[[#Headers],[#Data],[Age]],$H$76,Tabella2[[#Headers],[#Data],[Federal taxes]])</f>
        <v>6804.3246087429152</v>
      </c>
      <c r="I48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7" s="240">
        <f ca="1">Tabella8[[#This Row],[Colonna7]]*Tabella8[[#This Row],[Colonna4]]/100</f>
        <v>49637.899812602227</v>
      </c>
      <c r="Q487" s="2"/>
      <c r="R487" s="4">
        <f t="shared" si="1"/>
        <v>21200</v>
      </c>
      <c r="S487" s="39">
        <v>2.4E-2</v>
      </c>
      <c r="T487" s="4"/>
    </row>
    <row r="488" spans="2:20">
      <c r="B488" s="92" t="s">
        <v>138</v>
      </c>
      <c r="C488" s="91" t="s">
        <v>2598</v>
      </c>
      <c r="D488" s="93">
        <v>302.5</v>
      </c>
      <c r="E488" s="93">
        <v>194</v>
      </c>
      <c r="F488" s="103">
        <v>2732</v>
      </c>
      <c r="G488" s="103"/>
      <c r="H488" s="240">
        <f ca="1">SUMIF(Tabella2[[#Headers],[#Data],[Age]],$H$76,Tabella2[[#Headers],[#Data],[Federal taxes]])</f>
        <v>6804.3246087429152</v>
      </c>
      <c r="I48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8" s="240">
        <f ca="1">Tabella8[[#This Row],[Colonna7]]*Tabella8[[#This Row],[Colonna4]]/100</f>
        <v>50682.908229709632</v>
      </c>
      <c r="Q488" s="2"/>
      <c r="R488" s="4">
        <f t="shared" si="1"/>
        <v>22300</v>
      </c>
      <c r="S488" s="39">
        <v>2.5999999999999999E-2</v>
      </c>
      <c r="T488" s="4"/>
    </row>
    <row r="489" spans="2:20">
      <c r="B489" s="92" t="s">
        <v>138</v>
      </c>
      <c r="C489" s="91" t="s">
        <v>2599</v>
      </c>
      <c r="D489" s="93">
        <v>302.5</v>
      </c>
      <c r="E489" s="93">
        <v>169</v>
      </c>
      <c r="F489" s="103">
        <f>IFERROR(INDEX(Tabella9[PLZ],MATCH(Tabella8[[#This Row],[Colonna2]],Tabella9[Ortschaftsname],0)), "Name not found")</f>
        <v>3813</v>
      </c>
      <c r="G489" s="103"/>
      <c r="H489" s="240">
        <f ca="1">SUMIF(Tabella2[[#Headers],[#Data],[Age]],$H$76,Tabella2[[#Headers],[#Data],[Federal taxes]])</f>
        <v>6804.3246087429152</v>
      </c>
      <c r="I48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89" s="240">
        <f ca="1">Tabella8[[#This Row],[Colonna7]]*Tabella8[[#This Row],[Colonna4]]/100</f>
        <v>44151.605622788287</v>
      </c>
      <c r="Q489" s="2"/>
      <c r="R489" s="4">
        <f t="shared" si="1"/>
        <v>23400</v>
      </c>
      <c r="S489" s="39">
        <v>2.8000000000000001E-2</v>
      </c>
      <c r="T489" s="4"/>
    </row>
    <row r="490" spans="2:20">
      <c r="B490" s="92" t="s">
        <v>138</v>
      </c>
      <c r="C490" s="91" t="s">
        <v>2389</v>
      </c>
      <c r="D490" s="93">
        <v>302.5</v>
      </c>
      <c r="E490" s="93">
        <v>210</v>
      </c>
      <c r="F490" s="103">
        <f>IFERROR(INDEX(Tabella9[PLZ],MATCH(Tabella8[[#This Row],[Colonna2]],Tabella9[Ortschaftsname],0)), "Name not found")</f>
        <v>6197</v>
      </c>
      <c r="G490" s="103"/>
      <c r="H490" s="240">
        <f ca="1">SUMIF(Tabella2[[#Headers],[#Data],[Age]],$H$76,Tabella2[[#Headers],[#Data],[Federal taxes]])</f>
        <v>6804.3246087429152</v>
      </c>
      <c r="I49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0" s="240">
        <f ca="1">Tabella8[[#This Row],[Colonna7]]*Tabella8[[#This Row],[Colonna4]]/100</f>
        <v>54862.941898139296</v>
      </c>
      <c r="Q490" s="2"/>
      <c r="R490" s="4">
        <f>R489+7800</f>
        <v>31200</v>
      </c>
      <c r="S490" s="39">
        <v>2.9000000000000001E-2</v>
      </c>
      <c r="T490" s="46"/>
    </row>
    <row r="491" spans="2:20">
      <c r="B491" s="92" t="s">
        <v>138</v>
      </c>
      <c r="C491" s="91" t="s">
        <v>2437</v>
      </c>
      <c r="D491" s="93">
        <v>302.5</v>
      </c>
      <c r="E491" s="93">
        <v>194</v>
      </c>
      <c r="F491" s="103">
        <f>IFERROR(INDEX(Tabella9[PLZ],MATCH(Tabella8[[#This Row],[Colonna2]],Tabella9[Ortschaftsname],0)), "Name not found")</f>
        <v>3860</v>
      </c>
      <c r="G491" s="103"/>
      <c r="H491" s="240">
        <f ca="1">SUMIF(Tabella2[[#Headers],[#Data],[Age]],$H$76,Tabella2[[#Headers],[#Data],[Federal taxes]])</f>
        <v>6804.3246087429152</v>
      </c>
      <c r="I49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1" s="240">
        <f ca="1">Tabella8[[#This Row],[Colonna7]]*Tabella8[[#This Row],[Colonna4]]/100</f>
        <v>50682.908229709632</v>
      </c>
      <c r="Q491" s="2"/>
      <c r="R491" s="4">
        <f>R490+16800</f>
        <v>48000</v>
      </c>
      <c r="S491" s="39">
        <v>0.03</v>
      </c>
      <c r="T491" s="46"/>
    </row>
    <row r="492" spans="2:20">
      <c r="B492" s="92" t="s">
        <v>138</v>
      </c>
      <c r="C492" s="91" t="s">
        <v>2600</v>
      </c>
      <c r="D492" s="93">
        <v>302.5</v>
      </c>
      <c r="E492" s="93">
        <v>220.00000000000003</v>
      </c>
      <c r="F492" s="103">
        <f>IFERROR(INDEX(Tabella9[PLZ],MATCH(Tabella8[[#This Row],[Colonna2]],Tabella9[Ortschaftsname],0)), "Name not found")</f>
        <v>2827</v>
      </c>
      <c r="G492" s="103"/>
      <c r="H492" s="240">
        <f ca="1">SUMIF(Tabella2[[#Headers],[#Data],[Age]],$H$76,Tabella2[[#Headers],[#Data],[Federal taxes]])</f>
        <v>6804.3246087429152</v>
      </c>
      <c r="I49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2" s="240">
        <f ca="1">Tabella8[[#This Row],[Colonna7]]*Tabella8[[#This Row],[Colonna4]]/100</f>
        <v>57475.462940907841</v>
      </c>
      <c r="Q492" s="2"/>
      <c r="R492" s="4">
        <f>R491+30200</f>
        <v>78200</v>
      </c>
      <c r="S492" s="39">
        <v>3.1E-2</v>
      </c>
      <c r="T492" s="46"/>
    </row>
    <row r="493" spans="2:20">
      <c r="B493" s="92" t="s">
        <v>138</v>
      </c>
      <c r="C493" s="91" t="s">
        <v>2459</v>
      </c>
      <c r="D493" s="93">
        <v>302.5</v>
      </c>
      <c r="E493" s="93">
        <v>178</v>
      </c>
      <c r="F493" s="103">
        <f>IFERROR(INDEX(Tabella9[PLZ],MATCH(Tabella8[[#This Row],[Colonna2]],Tabella9[Ortschaftsname],0)), "Name not found")</f>
        <v>2556</v>
      </c>
      <c r="G493" s="103"/>
      <c r="H493" s="240">
        <f ca="1">SUMIF(Tabella2[[#Headers],[#Data],[Age]],$H$76,Tabella2[[#Headers],[#Data],[Federal taxes]])</f>
        <v>6804.3246087429152</v>
      </c>
      <c r="I49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3" s="240">
        <f ca="1">Tabella8[[#This Row],[Colonna7]]*Tabella8[[#This Row],[Colonna4]]/100</f>
        <v>46502.874561279976</v>
      </c>
      <c r="Q493" s="2"/>
      <c r="R493" s="4">
        <f>R492+33600</f>
        <v>111800</v>
      </c>
      <c r="S493" s="39">
        <v>3.2000000000000001E-2</v>
      </c>
      <c r="T493" s="2"/>
    </row>
    <row r="494" spans="2:20">
      <c r="B494" s="92" t="s">
        <v>138</v>
      </c>
      <c r="C494" s="91" t="s">
        <v>2414</v>
      </c>
      <c r="D494" s="93">
        <v>302.5</v>
      </c>
      <c r="E494" s="93">
        <v>185</v>
      </c>
      <c r="F494" s="103">
        <f>IFERROR(INDEX(Tabella9[PLZ],MATCH(Tabella8[[#This Row],[Colonna2]],Tabella9[Ortschaftsname],0)), "Name not found")</f>
        <v>2556</v>
      </c>
      <c r="G494" s="103"/>
      <c r="H494" s="240">
        <f ca="1">SUMIF(Tabella2[[#Headers],[#Data],[Age]],$H$76,Tabella2[[#Headers],[#Data],[Federal taxes]])</f>
        <v>6804.3246087429152</v>
      </c>
      <c r="I49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4" s="240">
        <f ca="1">Tabella8[[#This Row],[Colonna7]]*Tabella8[[#This Row],[Colonna4]]/100</f>
        <v>48331.639291217951</v>
      </c>
      <c r="Q494" s="2"/>
      <c r="R494" s="4">
        <f>R493+31800</f>
        <v>143600</v>
      </c>
      <c r="S494" s="39">
        <v>3.3000000000000002E-2</v>
      </c>
      <c r="T494" s="2"/>
    </row>
    <row r="495" spans="2:20">
      <c r="B495" s="92" t="s">
        <v>138</v>
      </c>
      <c r="C495" s="91" t="s">
        <v>2425</v>
      </c>
      <c r="D495" s="93">
        <v>302.5</v>
      </c>
      <c r="E495" s="93">
        <v>175</v>
      </c>
      <c r="F495" s="103">
        <v>3855</v>
      </c>
      <c r="G495" s="103"/>
      <c r="H495" s="240">
        <f ca="1">SUMIF(Tabella2[[#Headers],[#Data],[Age]],$H$76,Tabella2[[#Headers],[#Data],[Federal taxes]])</f>
        <v>6804.3246087429152</v>
      </c>
      <c r="I49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5" s="240">
        <f ca="1">Tabella8[[#This Row],[Colonna7]]*Tabella8[[#This Row],[Colonna4]]/100</f>
        <v>45719.118248449413</v>
      </c>
      <c r="Q495" s="2"/>
      <c r="R495" s="4">
        <f>R494+16700</f>
        <v>160300</v>
      </c>
      <c r="S495" s="39">
        <v>2.75E-2</v>
      </c>
      <c r="T495" s="2"/>
    </row>
    <row r="496" spans="2:20">
      <c r="B496" s="92" t="s">
        <v>138</v>
      </c>
      <c r="C496" s="91" t="s">
        <v>2208</v>
      </c>
      <c r="D496" s="93">
        <v>302.5</v>
      </c>
      <c r="E496" s="93">
        <v>186</v>
      </c>
      <c r="F496" s="103">
        <f>IFERROR(INDEX(Tabella9[PLZ],MATCH(Tabella8[[#This Row],[Colonna2]],Tabella9[Ortschaftsname],0)), "Name not found")</f>
        <v>3150</v>
      </c>
      <c r="G496" s="103"/>
      <c r="H496" s="240">
        <f ca="1">SUMIF(Tabella2[[#Headers],[#Data],[Age]],$H$76,Tabella2[[#Headers],[#Data],[Federal taxes]])</f>
        <v>6804.3246087429152</v>
      </c>
      <c r="I49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6" s="240">
        <f ca="1">Tabella8[[#This Row],[Colonna7]]*Tabella8[[#This Row],[Colonna4]]/100</f>
        <v>48592.891395494808</v>
      </c>
      <c r="Q496" s="2"/>
      <c r="R496" s="4"/>
      <c r="S496" s="39"/>
      <c r="T496" s="2"/>
    </row>
    <row r="497" spans="2:20">
      <c r="B497" s="92" t="s">
        <v>138</v>
      </c>
      <c r="C497" s="91" t="s">
        <v>2446</v>
      </c>
      <c r="D497" s="93">
        <v>302.5</v>
      </c>
      <c r="E497" s="93">
        <v>160</v>
      </c>
      <c r="F497" s="103">
        <f>IFERROR(INDEX(Tabella9[PLZ],MATCH(Tabella8[[#This Row],[Colonna2]],Tabella9[Ortschaftsname],0)), "Name not found")</f>
        <v>4911</v>
      </c>
      <c r="G497" s="103"/>
      <c r="H497" s="240">
        <f ca="1">SUMIF(Tabella2[[#Headers],[#Data],[Age]],$H$76,Tabella2[[#Headers],[#Data],[Federal taxes]])</f>
        <v>6804.3246087429152</v>
      </c>
      <c r="I49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7" s="240">
        <f ca="1">Tabella8[[#This Row],[Colonna7]]*Tabella8[[#This Row],[Colonna4]]/100</f>
        <v>41800.336684296606</v>
      </c>
      <c r="Q497" s="2"/>
      <c r="R497" s="4"/>
      <c r="S497" s="39"/>
      <c r="T497" s="2"/>
    </row>
    <row r="498" spans="2:20">
      <c r="B498" s="92" t="s">
        <v>138</v>
      </c>
      <c r="C498" s="91" t="s">
        <v>2246</v>
      </c>
      <c r="D498" s="93">
        <v>302.5</v>
      </c>
      <c r="E498" s="93">
        <v>174</v>
      </c>
      <c r="F498" s="103">
        <f>IFERROR(INDEX(Tabella9[PLZ],MATCH(Tabella8[[#This Row],[Colonna2]],Tabella9[Ortschaftsname],0)), "Name not found")</f>
        <v>3054</v>
      </c>
      <c r="G498" s="103"/>
      <c r="H498" s="240">
        <f ca="1">SUMIF(Tabella2[[#Headers],[#Data],[Age]],$H$76,Tabella2[[#Headers],[#Data],[Federal taxes]])</f>
        <v>6804.3246087429152</v>
      </c>
      <c r="I49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8" s="240">
        <f ca="1">Tabella8[[#This Row],[Colonna7]]*Tabella8[[#This Row],[Colonna4]]/100</f>
        <v>45457.866144172556</v>
      </c>
      <c r="Q498" s="2"/>
      <c r="R498" s="4"/>
      <c r="S498" s="39"/>
      <c r="T498" s="2"/>
    </row>
    <row r="499" spans="2:20">
      <c r="B499" s="92" t="s">
        <v>138</v>
      </c>
      <c r="C499" s="91" t="s">
        <v>2327</v>
      </c>
      <c r="D499" s="93">
        <v>302.5</v>
      </c>
      <c r="E499" s="93">
        <v>175</v>
      </c>
      <c r="F499" s="103">
        <f>IFERROR(INDEX(Tabella9[PLZ],MATCH(Tabella8[[#This Row],[Colonna2]],Tabella9[Ortschaftsname],0)), "Name not found")</f>
        <v>3365</v>
      </c>
      <c r="G499" s="103"/>
      <c r="H499" s="240">
        <f ca="1">SUMIF(Tabella2[[#Headers],[#Data],[Age]],$H$76,Tabella2[[#Headers],[#Data],[Federal taxes]])</f>
        <v>6804.3246087429152</v>
      </c>
      <c r="I49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499" s="240">
        <f ca="1">Tabella8[[#This Row],[Colonna7]]*Tabella8[[#This Row],[Colonna4]]/100</f>
        <v>45719.118248449413</v>
      </c>
      <c r="Q499" s="2"/>
      <c r="R499" s="36">
        <f>IF(Q477&lt;$R$479,Q477*$S$478,IF(Q477&lt;$R$480,Q477*$S$479,IF(Q477&lt;$R$481,Q477*$S$480,IF(Q477&lt;$R$482,Q477*$S$481,IF(Q477&lt;$R$483,Q477*$S$482,IF(Q477&lt;$R$484,Q477*$S$483,IF(Q477&lt;$R$485,Q477*$S$484,IF(Q477&lt;$R$486,Q477*$S$485,IF(Q477&lt;$R$487,Q477*$S$486,IF(Q477&lt;$R$488,Q477*$S$487,IF(Q477&lt;$R$489,Q477*$S$488,IF(Q477&lt;$R$490,Q477*$S$489,IF(Q477&lt;$R$491,Q477*$S$490,IF(Q477&lt;$R$492,Q477*$S$491,IF(Q477&lt;$R$493,Q477*$S$492,IF(Q477&lt;$R$494,Q477*$S$493,IF(Q477&lt;$R$495,Q477*$S$494,IF(Q477&gt;$R$495,Q477*$S$495))))))))))))))))))</f>
        <v>3100</v>
      </c>
      <c r="S499" s="2"/>
      <c r="T499" s="2"/>
    </row>
    <row r="500" spans="2:20">
      <c r="B500" s="92" t="s">
        <v>138</v>
      </c>
      <c r="C500" s="91" t="s">
        <v>2262</v>
      </c>
      <c r="D500" s="93">
        <v>302.5</v>
      </c>
      <c r="E500" s="93">
        <v>174</v>
      </c>
      <c r="F500" s="103">
        <v>3267</v>
      </c>
      <c r="G500" s="103"/>
      <c r="H500" s="240">
        <f ca="1">SUMIF(Tabella2[[#Headers],[#Data],[Age]],$H$76,Tabella2[[#Headers],[#Data],[Federal taxes]])</f>
        <v>6804.3246087429152</v>
      </c>
      <c r="I50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0" s="240">
        <f ca="1">Tabella8[[#This Row],[Colonna7]]*Tabella8[[#This Row],[Colonna4]]/100</f>
        <v>45457.866144172556</v>
      </c>
    </row>
    <row r="501" spans="2:20">
      <c r="B501" s="92" t="s">
        <v>138</v>
      </c>
      <c r="C501" s="91" t="s">
        <v>2601</v>
      </c>
      <c r="D501" s="93">
        <v>302.5</v>
      </c>
      <c r="E501" s="93">
        <v>174</v>
      </c>
      <c r="F501" s="103">
        <f>IFERROR(INDEX(Tabella9[PLZ],MATCH(Tabella8[[#This Row],[Colonna2]],Tabella9[Ortschaftsname],0)), "Name not found")</f>
        <v>2747</v>
      </c>
      <c r="G501" s="103"/>
      <c r="H501" s="240">
        <f ca="1">SUMIF(Tabella2[[#Headers],[#Data],[Age]],$H$76,Tabella2[[#Headers],[#Data],[Federal taxes]])</f>
        <v>6804.3246087429152</v>
      </c>
      <c r="I50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1" s="240">
        <f ca="1">Tabella8[[#This Row],[Colonna7]]*Tabella8[[#This Row],[Colonna4]]/100</f>
        <v>45457.866144172556</v>
      </c>
      <c r="Q501" s="68" t="s">
        <v>2602</v>
      </c>
      <c r="R501" s="21" t="s">
        <v>82</v>
      </c>
      <c r="S501" s="21" t="s">
        <v>2511</v>
      </c>
      <c r="T501" s="21" t="s">
        <v>90</v>
      </c>
    </row>
    <row r="502" spans="2:20">
      <c r="B502" s="92" t="s">
        <v>138</v>
      </c>
      <c r="C502" s="91" t="s">
        <v>2302</v>
      </c>
      <c r="D502" s="93">
        <v>302.5</v>
      </c>
      <c r="E502" s="93">
        <v>174</v>
      </c>
      <c r="F502" s="103">
        <f>IFERROR(INDEX(Tabella9[PLZ],MATCH(Tabella8[[#This Row],[Colonna2]],Tabella9[Ortschaftsname],0)), "Name not found")</f>
        <v>3662</v>
      </c>
      <c r="G502" s="103"/>
      <c r="H502" s="240">
        <f ca="1">SUMIF(Tabella2[[#Headers],[#Data],[Age]],$H$76,Tabella2[[#Headers],[#Data],[Federal taxes]])</f>
        <v>6804.3246087429152</v>
      </c>
      <c r="I50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2" s="240">
        <f ca="1">Tabella8[[#This Row],[Colonna7]]*Tabella8[[#This Row],[Colonna4]]/100</f>
        <v>45457.866144172556</v>
      </c>
      <c r="Q502" s="94">
        <v>100000</v>
      </c>
      <c r="R502" s="11" t="s">
        <v>2512</v>
      </c>
      <c r="S502" s="11" t="s">
        <v>2525</v>
      </c>
      <c r="T502" s="11"/>
    </row>
    <row r="503" spans="2:20">
      <c r="B503" s="92" t="s">
        <v>138</v>
      </c>
      <c r="C503" s="91" t="s">
        <v>2274</v>
      </c>
      <c r="D503" s="93">
        <v>302.5</v>
      </c>
      <c r="E503" s="93">
        <v>194</v>
      </c>
      <c r="F503" s="103">
        <f>IFERROR(INDEX(Tabella9[PLZ],MATCH(Tabella8[[#This Row],[Colonna2]],Tabella9[Ortschaftsname],0)), "Name not found")</f>
        <v>3534</v>
      </c>
      <c r="G503" s="103"/>
      <c r="H503" s="240">
        <f ca="1">SUMIF(Tabella2[[#Headers],[#Data],[Age]],$H$76,Tabella2[[#Headers],[#Data],[Federal taxes]])</f>
        <v>6804.3246087429152</v>
      </c>
      <c r="I50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3" s="240">
        <f ca="1">Tabella8[[#This Row],[Colonna7]]*Tabella8[[#This Row],[Colonna4]]/100</f>
        <v>50682.908229709632</v>
      </c>
      <c r="Q503" s="26"/>
      <c r="R503" s="4">
        <v>0</v>
      </c>
      <c r="S503" s="39">
        <v>1.7999999999999999E-2</v>
      </c>
      <c r="T503" s="4"/>
    </row>
    <row r="504" spans="2:20">
      <c r="B504" s="92" t="s">
        <v>138</v>
      </c>
      <c r="C504" s="91" t="s">
        <v>2225</v>
      </c>
      <c r="D504" s="93">
        <v>302.5</v>
      </c>
      <c r="E504" s="93">
        <v>166</v>
      </c>
      <c r="F504" s="103">
        <f>IFERROR(INDEX(Tabella9[PLZ],MATCH(Tabella8[[#This Row],[Colonna2]],Tabella9[Ortschaftsname],0)), "Name not found")</f>
        <v>3655</v>
      </c>
      <c r="G504" s="103"/>
      <c r="H504" s="240">
        <f ca="1">SUMIF(Tabella2[[#Headers],[#Data],[Age]],$H$76,Tabella2[[#Headers],[#Data],[Federal taxes]])</f>
        <v>6804.3246087429152</v>
      </c>
      <c r="I50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4" s="240">
        <f ca="1">Tabella8[[#This Row],[Colonna7]]*Tabella8[[#This Row],[Colonna4]]/100</f>
        <v>43367.849309957724</v>
      </c>
      <c r="Q504" s="2"/>
      <c r="R504" s="4"/>
      <c r="S504" s="39"/>
      <c r="T504" s="4"/>
    </row>
    <row r="505" spans="2:20">
      <c r="B505" s="92" t="s">
        <v>138</v>
      </c>
      <c r="C505" s="91" t="s">
        <v>2431</v>
      </c>
      <c r="D505" s="93">
        <v>302.5</v>
      </c>
      <c r="E505" s="93">
        <v>180</v>
      </c>
      <c r="F505" s="103">
        <v>2577</v>
      </c>
      <c r="G505" s="103"/>
      <c r="H505" s="240">
        <f ca="1">SUMIF(Tabella2[[#Headers],[#Data],[Age]],$H$76,Tabella2[[#Headers],[#Data],[Federal taxes]])</f>
        <v>6804.3246087429152</v>
      </c>
      <c r="I50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5" s="240">
        <f ca="1">Tabella8[[#This Row],[Colonna7]]*Tabella8[[#This Row],[Colonna4]]/100</f>
        <v>47025.378769833682</v>
      </c>
      <c r="Q505" s="2"/>
      <c r="R505" s="4"/>
      <c r="S505" s="39"/>
      <c r="T505" s="4"/>
    </row>
    <row r="506" spans="2:20">
      <c r="B506" s="92" t="s">
        <v>138</v>
      </c>
      <c r="C506" s="91" t="s">
        <v>2309</v>
      </c>
      <c r="D506" s="93">
        <v>302.5</v>
      </c>
      <c r="E506" s="93">
        <v>172</v>
      </c>
      <c r="F506" s="103">
        <f>IFERROR(INDEX(Tabella9[PLZ],MATCH(Tabella8[[#This Row],[Colonna2]],Tabella9[Ortschaftsname],0)), "Name not found")</f>
        <v>2605</v>
      </c>
      <c r="G506" s="103"/>
      <c r="H506" s="240">
        <f ca="1">SUMIF(Tabella2[[#Headers],[#Data],[Age]],$H$76,Tabella2[[#Headers],[#Data],[Federal taxes]])</f>
        <v>6804.3246087429152</v>
      </c>
      <c r="I50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6" s="240">
        <f ca="1">Tabella8[[#This Row],[Colonna7]]*Tabella8[[#This Row],[Colonna4]]/100</f>
        <v>44935.361935618857</v>
      </c>
      <c r="Q506" s="2"/>
      <c r="R506" s="4"/>
      <c r="S506" s="39"/>
      <c r="T506" s="4"/>
    </row>
    <row r="507" spans="2:20">
      <c r="B507" s="92" t="s">
        <v>138</v>
      </c>
      <c r="C507" s="91" t="s">
        <v>2352</v>
      </c>
      <c r="D507" s="93">
        <v>302.5</v>
      </c>
      <c r="E507" s="93">
        <v>206.99999999999997</v>
      </c>
      <c r="F507" s="103">
        <f>IFERROR(INDEX(Tabella9[PLZ],MATCH(Tabella8[[#This Row],[Colonna2]],Tabella9[Ortschaftsname],0)), "Name not found")</f>
        <v>2615</v>
      </c>
      <c r="G507" s="103"/>
      <c r="H507" s="240">
        <f ca="1">SUMIF(Tabella2[[#Headers],[#Data],[Age]],$H$76,Tabella2[[#Headers],[#Data],[Federal taxes]])</f>
        <v>6804.3246087429152</v>
      </c>
      <c r="I50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7" s="240">
        <f ca="1">Tabella8[[#This Row],[Colonna7]]*Tabella8[[#This Row],[Colonna4]]/100</f>
        <v>54079.185585308725</v>
      </c>
      <c r="Q507" s="2"/>
      <c r="R507" s="4"/>
      <c r="S507" s="39"/>
      <c r="T507" s="4"/>
    </row>
    <row r="508" spans="2:20">
      <c r="B508" s="92" t="s">
        <v>138</v>
      </c>
      <c r="C508" s="91" t="s">
        <v>2603</v>
      </c>
      <c r="D508" s="93">
        <v>302.5</v>
      </c>
      <c r="E508" s="93">
        <v>180</v>
      </c>
      <c r="F508" s="103">
        <f>IFERROR(INDEX(Tabella9[PLZ],MATCH(Tabella8[[#This Row],[Colonna2]],Tabella9[Ortschaftsname],0)), "Name not found")</f>
        <v>2736</v>
      </c>
      <c r="G508" s="103"/>
      <c r="H508" s="240">
        <f ca="1">SUMIF(Tabella2[[#Headers],[#Data],[Age]],$H$76,Tabella2[[#Headers],[#Data],[Federal taxes]])</f>
        <v>6804.3246087429152</v>
      </c>
      <c r="I50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8" s="240">
        <f ca="1">Tabella8[[#This Row],[Colonna7]]*Tabella8[[#This Row],[Colonna4]]/100</f>
        <v>47025.378769833682</v>
      </c>
      <c r="Q508" s="2"/>
      <c r="R508" s="4"/>
      <c r="S508" s="39"/>
      <c r="T508" s="4"/>
    </row>
    <row r="509" spans="2:20">
      <c r="B509" s="92" t="s">
        <v>138</v>
      </c>
      <c r="C509" s="91" t="s">
        <v>2194</v>
      </c>
      <c r="D509" s="93">
        <v>302.5</v>
      </c>
      <c r="E509" s="93">
        <v>165</v>
      </c>
      <c r="F509" s="103">
        <f>IFERROR(INDEX(Tabella9[PLZ],MATCH(Tabella8[[#This Row],[Colonna2]],Tabella9[Ortschaftsname],0)), "Name not found")</f>
        <v>3700</v>
      </c>
      <c r="G509" s="103"/>
      <c r="H509" s="240">
        <f ca="1">SUMIF(Tabella2[[#Headers],[#Data],[Age]],$H$76,Tabella2[[#Headers],[#Data],[Federal taxes]])</f>
        <v>6804.3246087429152</v>
      </c>
      <c r="I50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09" s="240">
        <f ca="1">Tabella8[[#This Row],[Colonna7]]*Tabella8[[#This Row],[Colonna4]]/100</f>
        <v>43106.597205680882</v>
      </c>
      <c r="Q509" s="2"/>
      <c r="R509" s="4"/>
      <c r="S509" s="39"/>
      <c r="T509" s="4"/>
    </row>
    <row r="510" spans="2:20">
      <c r="B510" s="92" t="s">
        <v>138</v>
      </c>
      <c r="C510" s="91" t="s">
        <v>2344</v>
      </c>
      <c r="D510" s="93">
        <v>302.5</v>
      </c>
      <c r="E510" s="93">
        <v>184</v>
      </c>
      <c r="F510" s="103">
        <f>IFERROR(INDEX(Tabella9[PLZ],MATCH(Tabella8[[#This Row],[Colonna2]],Tabella9[Ortschaftsname],0)), "Name not found")</f>
        <v>3772</v>
      </c>
      <c r="G510" s="103"/>
      <c r="H510" s="240">
        <f ca="1">SUMIF(Tabella2[[#Headers],[#Data],[Age]],$H$76,Tabella2[[#Headers],[#Data],[Federal taxes]])</f>
        <v>6804.3246087429152</v>
      </c>
      <c r="I51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0" s="240">
        <f ca="1">Tabella8[[#This Row],[Colonna7]]*Tabella8[[#This Row],[Colonna4]]/100</f>
        <v>48070.387186941094</v>
      </c>
      <c r="Q510" s="2"/>
      <c r="R510" s="4"/>
      <c r="S510" s="39"/>
      <c r="T510" s="4"/>
    </row>
    <row r="511" spans="2:20">
      <c r="B511" s="92" t="s">
        <v>138</v>
      </c>
      <c r="C511" s="91" t="s">
        <v>2191</v>
      </c>
      <c r="D511" s="93">
        <v>302.5</v>
      </c>
      <c r="E511" s="93">
        <v>162</v>
      </c>
      <c r="F511" s="103">
        <f>IFERROR(INDEX(Tabella9[PLZ],MATCH(Tabella8[[#This Row],[Colonna2]],Tabella9[Ortschaftsname],0)), "Name not found")</f>
        <v>3612</v>
      </c>
      <c r="G511" s="103"/>
      <c r="H511" s="240">
        <f ca="1">SUMIF(Tabella2[[#Headers],[#Data],[Age]],$H$76,Tabella2[[#Headers],[#Data],[Federal taxes]])</f>
        <v>6804.3246087429152</v>
      </c>
      <c r="I51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1" s="240">
        <f ca="1">Tabella8[[#This Row],[Colonna7]]*Tabella8[[#This Row],[Colonna4]]/100</f>
        <v>42322.840892850312</v>
      </c>
      <c r="Q511" s="2"/>
      <c r="R511" s="4"/>
      <c r="S511" s="39"/>
      <c r="T511" s="4"/>
    </row>
    <row r="512" spans="2:20">
      <c r="B512" s="92" t="s">
        <v>138</v>
      </c>
      <c r="C512" s="91" t="s">
        <v>2263</v>
      </c>
      <c r="D512" s="93">
        <v>302.5</v>
      </c>
      <c r="E512" s="93">
        <v>157</v>
      </c>
      <c r="F512" s="103">
        <f>IFERROR(INDEX(Tabella9[PLZ],MATCH(Tabella8[[#This Row],[Colonna2]],Tabella9[Ortschaftsname],0)), "Name not found")</f>
        <v>3066</v>
      </c>
      <c r="G512" s="103"/>
      <c r="H512" s="240">
        <f ca="1">SUMIF(Tabella2[[#Headers],[#Data],[Age]],$H$76,Tabella2[[#Headers],[#Data],[Federal taxes]])</f>
        <v>6804.3246087429152</v>
      </c>
      <c r="I51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2" s="240">
        <f ca="1">Tabella8[[#This Row],[Colonna7]]*Tabella8[[#This Row],[Colonna4]]/100</f>
        <v>41016.580371466043</v>
      </c>
      <c r="Q512" s="2"/>
      <c r="R512" s="4"/>
      <c r="S512" s="39"/>
      <c r="T512" s="4"/>
    </row>
    <row r="513" spans="2:20">
      <c r="B513" s="92" t="s">
        <v>138</v>
      </c>
      <c r="C513" s="91" t="s">
        <v>2376</v>
      </c>
      <c r="D513" s="93">
        <v>302.5</v>
      </c>
      <c r="E513" s="93">
        <v>179</v>
      </c>
      <c r="F513" s="103">
        <v>3624</v>
      </c>
      <c r="G513" s="103"/>
      <c r="H513" s="240">
        <f ca="1">SUMIF(Tabella2[[#Headers],[#Data],[Age]],$H$76,Tabella2[[#Headers],[#Data],[Federal taxes]])</f>
        <v>6804.3246087429152</v>
      </c>
      <c r="I51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3" s="240">
        <f ca="1">Tabella8[[#This Row],[Colonna7]]*Tabella8[[#This Row],[Colonna4]]/100</f>
        <v>46764.126665556832</v>
      </c>
      <c r="Q513" s="2"/>
      <c r="R513" s="4"/>
      <c r="S513" s="39"/>
      <c r="T513" s="4"/>
    </row>
    <row r="514" spans="2:20">
      <c r="B514" s="92" t="s">
        <v>138</v>
      </c>
      <c r="C514" s="91" t="s">
        <v>2258</v>
      </c>
      <c r="D514" s="93">
        <v>302.5</v>
      </c>
      <c r="E514" s="93">
        <v>172</v>
      </c>
      <c r="F514" s="103">
        <v>2557</v>
      </c>
      <c r="G514" s="103"/>
      <c r="H514" s="240">
        <f ca="1">SUMIF(Tabella2[[#Headers],[#Data],[Age]],$H$76,Tabella2[[#Headers],[#Data],[Federal taxes]])</f>
        <v>6804.3246087429152</v>
      </c>
      <c r="I51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4" s="240">
        <f ca="1">Tabella8[[#This Row],[Colonna7]]*Tabella8[[#This Row],[Colonna4]]/100</f>
        <v>44935.361935618857</v>
      </c>
      <c r="Q514" s="2"/>
      <c r="R514" s="4"/>
      <c r="S514" s="39"/>
      <c r="T514" s="4"/>
    </row>
    <row r="515" spans="2:20">
      <c r="B515" s="92" t="s">
        <v>138</v>
      </c>
      <c r="C515" s="91" t="s">
        <v>2222</v>
      </c>
      <c r="D515" s="93">
        <v>302.5</v>
      </c>
      <c r="E515" s="93">
        <v>179</v>
      </c>
      <c r="F515" s="103">
        <f>IFERROR(INDEX(Tabella9[PLZ],MATCH(Tabella8[[#This Row],[Colonna2]],Tabella9[Ortschaftsname],0)), "Name not found")</f>
        <v>3454</v>
      </c>
      <c r="G515" s="103"/>
      <c r="H515" s="240">
        <f ca="1">SUMIF(Tabella2[[#Headers],[#Data],[Age]],$H$76,Tabella2[[#Headers],[#Data],[Federal taxes]])</f>
        <v>6804.3246087429152</v>
      </c>
      <c r="I51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5" s="240">
        <f ca="1">Tabella8[[#This Row],[Colonna7]]*Tabella8[[#This Row],[Colonna4]]/100</f>
        <v>46764.126665556832</v>
      </c>
      <c r="Q515" s="2"/>
      <c r="R515" s="4"/>
      <c r="S515" s="39"/>
      <c r="T515" s="46"/>
    </row>
    <row r="516" spans="2:20">
      <c r="B516" s="92" t="s">
        <v>138</v>
      </c>
      <c r="C516" s="91" t="s">
        <v>2340</v>
      </c>
      <c r="D516" s="93">
        <v>302.5</v>
      </c>
      <c r="E516" s="93">
        <v>175</v>
      </c>
      <c r="F516" s="103">
        <v>2572</v>
      </c>
      <c r="G516" s="103"/>
      <c r="H516" s="240">
        <f ca="1">SUMIF(Tabella2[[#Headers],[#Data],[Age]],$H$76,Tabella2[[#Headers],[#Data],[Federal taxes]])</f>
        <v>6804.3246087429152</v>
      </c>
      <c r="I51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6" s="240">
        <f ca="1">Tabella8[[#This Row],[Colonna7]]*Tabella8[[#This Row],[Colonna4]]/100</f>
        <v>45719.118248449413</v>
      </c>
      <c r="Q516" s="2"/>
      <c r="R516" s="4"/>
      <c r="S516" s="39"/>
      <c r="T516" s="46"/>
    </row>
    <row r="517" spans="2:20">
      <c r="B517" s="92" t="s">
        <v>138</v>
      </c>
      <c r="C517" s="91" t="s">
        <v>2248</v>
      </c>
      <c r="D517" s="93">
        <v>302.5</v>
      </c>
      <c r="E517" s="93">
        <v>192</v>
      </c>
      <c r="F517" s="103">
        <f>IFERROR(INDEX(Tabella9[PLZ],MATCH(Tabella8[[#This Row],[Colonna2]],Tabella9[Ortschaftsname],0)), "Name not found")</f>
        <v>2710</v>
      </c>
      <c r="G517" s="103"/>
      <c r="H517" s="240">
        <f ca="1">SUMIF(Tabella2[[#Headers],[#Data],[Age]],$H$76,Tabella2[[#Headers],[#Data],[Federal taxes]])</f>
        <v>6804.3246087429152</v>
      </c>
      <c r="I51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7" s="240">
        <f ca="1">Tabella8[[#This Row],[Colonna7]]*Tabella8[[#This Row],[Colonna4]]/100</f>
        <v>50160.404021155926</v>
      </c>
      <c r="Q517" s="2"/>
      <c r="R517" s="4"/>
      <c r="S517" s="39"/>
      <c r="T517" s="46"/>
    </row>
    <row r="518" spans="2:20">
      <c r="B518" s="92" t="s">
        <v>138</v>
      </c>
      <c r="C518" s="91" t="s">
        <v>2604</v>
      </c>
      <c r="D518" s="93">
        <v>302.5</v>
      </c>
      <c r="E518" s="93">
        <v>180</v>
      </c>
      <c r="F518" s="103">
        <v>3623</v>
      </c>
      <c r="G518" s="103"/>
      <c r="H518" s="240">
        <f ca="1">SUMIF(Tabella2[[#Headers],[#Data],[Age]],$H$76,Tabella2[[#Headers],[#Data],[Federal taxes]])</f>
        <v>6804.3246087429152</v>
      </c>
      <c r="I51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8" s="240">
        <f ca="1">Tabella8[[#This Row],[Colonna7]]*Tabella8[[#This Row],[Colonna4]]/100</f>
        <v>47025.378769833682</v>
      </c>
      <c r="Q518" s="2"/>
      <c r="R518" s="4"/>
      <c r="S518" s="39"/>
      <c r="T518" s="2"/>
    </row>
    <row r="519" spans="2:20">
      <c r="B519" s="92" t="s">
        <v>138</v>
      </c>
      <c r="C519" s="91" t="s">
        <v>2289</v>
      </c>
      <c r="D519" s="93">
        <v>302.5</v>
      </c>
      <c r="E519" s="93">
        <v>181</v>
      </c>
      <c r="F519" s="103">
        <f>IFERROR(INDEX(Tabella9[PLZ],MATCH(Tabella8[[#This Row],[Colonna2]],Tabella9[Ortschaftsname],0)), "Name not found")</f>
        <v>3634</v>
      </c>
      <c r="G519" s="103"/>
      <c r="H519" s="240">
        <f ca="1">SUMIF(Tabella2[[#Headers],[#Data],[Age]],$H$76,Tabella2[[#Headers],[#Data],[Federal taxes]])</f>
        <v>6804.3246087429152</v>
      </c>
      <c r="I51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19" s="240">
        <f ca="1">Tabella8[[#This Row],[Colonna7]]*Tabella8[[#This Row],[Colonna4]]/100</f>
        <v>47286.630874110531</v>
      </c>
      <c r="Q519" s="2"/>
      <c r="R519" s="4"/>
      <c r="S519" s="39"/>
      <c r="T519" s="2"/>
    </row>
    <row r="520" spans="2:20">
      <c r="B520" s="92" t="s">
        <v>138</v>
      </c>
      <c r="C520" s="91" t="s">
        <v>2187</v>
      </c>
      <c r="D520" s="93">
        <v>302.5</v>
      </c>
      <c r="E520" s="93">
        <v>172</v>
      </c>
      <c r="F520" s="103">
        <f>IFERROR(INDEX(Tabella9[PLZ],MATCH(Tabella8[[#This Row],[Colonna2]],Tabella9[Ortschaftsname],0)), "Name not found")</f>
        <v>3600</v>
      </c>
      <c r="G520" s="103"/>
      <c r="H520" s="240">
        <f ca="1">SUMIF(Tabella2[[#Headers],[#Data],[Age]],$H$76,Tabella2[[#Headers],[#Data],[Federal taxes]])</f>
        <v>6804.3246087429152</v>
      </c>
      <c r="I52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0" s="240">
        <f ca="1">Tabella8[[#This Row],[Colonna7]]*Tabella8[[#This Row],[Colonna4]]/100</f>
        <v>44935.361935618857</v>
      </c>
      <c r="Q520" s="2"/>
      <c r="R520" s="4"/>
      <c r="S520" s="39"/>
      <c r="T520" s="2"/>
    </row>
    <row r="521" spans="2:20">
      <c r="B521" s="92" t="s">
        <v>138</v>
      </c>
      <c r="C521" s="91" t="s">
        <v>2256</v>
      </c>
      <c r="D521" s="93">
        <v>302.5</v>
      </c>
      <c r="E521" s="93">
        <v>170</v>
      </c>
      <c r="F521" s="103">
        <f>IFERROR(INDEX(Tabella9[PLZ],MATCH(Tabella8[[#This Row],[Colonna2]],Tabella9[Ortschaftsname],0)), "Name not found")</f>
        <v>4922</v>
      </c>
      <c r="G521" s="103"/>
      <c r="H521" s="240">
        <f ca="1">SUMIF(Tabella2[[#Headers],[#Data],[Age]],$H$76,Tabella2[[#Headers],[#Data],[Federal taxes]])</f>
        <v>6804.3246087429152</v>
      </c>
      <c r="I52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1" s="240">
        <f ca="1">Tabella8[[#This Row],[Colonna7]]*Tabella8[[#This Row],[Colonna4]]/100</f>
        <v>44412.857727065144</v>
      </c>
      <c r="Q521" s="2"/>
      <c r="R521" s="4"/>
      <c r="S521" s="39"/>
      <c r="T521" s="2"/>
    </row>
    <row r="522" spans="2:20">
      <c r="B522" s="92" t="s">
        <v>138</v>
      </c>
      <c r="C522" s="91" t="s">
        <v>2605</v>
      </c>
      <c r="D522" s="93">
        <v>302.5</v>
      </c>
      <c r="E522" s="93">
        <v>185</v>
      </c>
      <c r="F522" s="103">
        <v>3127</v>
      </c>
      <c r="G522" s="103"/>
      <c r="H522" s="240">
        <f ca="1">SUMIF(Tabella2[[#Headers],[#Data],[Age]],$H$76,Tabella2[[#Headers],[#Data],[Federal taxes]])</f>
        <v>6804.3246087429152</v>
      </c>
      <c r="I52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2" s="240">
        <f ca="1">Tabella8[[#This Row],[Colonna7]]*Tabella8[[#This Row],[Colonna4]]/100</f>
        <v>48331.639291217951</v>
      </c>
      <c r="Q522" s="2"/>
      <c r="R522" s="4"/>
      <c r="S522" s="39"/>
      <c r="T522" s="2"/>
    </row>
    <row r="523" spans="2:20">
      <c r="B523" s="92" t="s">
        <v>138</v>
      </c>
      <c r="C523" s="91" t="s">
        <v>2365</v>
      </c>
      <c r="D523" s="93">
        <v>302.5</v>
      </c>
      <c r="E523" s="93">
        <v>175</v>
      </c>
      <c r="F523" s="103">
        <f>IFERROR(INDEX(Tabella9[PLZ],MATCH(Tabella8[[#This Row],[Colonna2]],Tabella9[Ortschaftsname],0)), "Name not found")</f>
        <v>3367</v>
      </c>
      <c r="G523" s="103"/>
      <c r="H523" s="240">
        <f ca="1">SUMIF(Tabella2[[#Headers],[#Data],[Age]],$H$76,Tabella2[[#Headers],[#Data],[Federal taxes]])</f>
        <v>6804.3246087429152</v>
      </c>
      <c r="I52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3" s="240">
        <f ca="1">Tabella8[[#This Row],[Colonna7]]*Tabella8[[#This Row],[Colonna4]]/100</f>
        <v>45719.118248449413</v>
      </c>
      <c r="Q523" s="2"/>
      <c r="R523" s="4"/>
      <c r="S523" s="39"/>
      <c r="T523" s="2"/>
    </row>
    <row r="524" spans="2:20">
      <c r="B524" s="92" t="s">
        <v>138</v>
      </c>
      <c r="C524" s="91" t="s">
        <v>2280</v>
      </c>
      <c r="D524" s="93">
        <v>302.5</v>
      </c>
      <c r="E524" s="93">
        <v>160</v>
      </c>
      <c r="F524" s="103">
        <f>IFERROR(INDEX(Tabella9[PLZ],MATCH(Tabella8[[#This Row],[Colonna2]],Tabella9[Ortschaftsname],0)), "Name not found")</f>
        <v>3125</v>
      </c>
      <c r="G524" s="103"/>
      <c r="H524" s="240">
        <f ca="1">SUMIF(Tabella2[[#Headers],[#Data],[Age]],$H$76,Tabella2[[#Headers],[#Data],[Federal taxes]])</f>
        <v>6804.3246087429152</v>
      </c>
      <c r="I52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4" s="240">
        <f ca="1">Tabella8[[#This Row],[Colonna7]]*Tabella8[[#This Row],[Colonna4]]/100</f>
        <v>41800.336684296606</v>
      </c>
      <c r="Q524" s="2"/>
      <c r="R524" s="36">
        <f>Q502*$S$503</f>
        <v>1799.9999999999998</v>
      </c>
      <c r="S524" s="2"/>
      <c r="T524" s="2"/>
    </row>
    <row r="525" spans="2:20">
      <c r="B525" s="92" t="s">
        <v>138</v>
      </c>
      <c r="C525" s="91" t="s">
        <v>2383</v>
      </c>
      <c r="D525" s="93">
        <v>302.5</v>
      </c>
      <c r="E525" s="93">
        <v>188</v>
      </c>
      <c r="F525" s="103">
        <f>IFERROR(INDEX(Tabella9[PLZ],MATCH(Tabella8[[#This Row],[Colonna2]],Tabella9[Ortschaftsname],0)), "Name not found")</f>
        <v>3456</v>
      </c>
      <c r="G525" s="103"/>
      <c r="H525" s="240">
        <f ca="1">SUMIF(Tabella2[[#Headers],[#Data],[Age]],$H$76,Tabella2[[#Headers],[#Data],[Federal taxes]])</f>
        <v>6804.3246087429152</v>
      </c>
      <c r="I52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5" s="240">
        <f ca="1">Tabella8[[#This Row],[Colonna7]]*Tabella8[[#This Row],[Colonna4]]/100</f>
        <v>49115.395604048514</v>
      </c>
    </row>
    <row r="526" spans="2:20">
      <c r="B526" s="92" t="s">
        <v>138</v>
      </c>
      <c r="C526" s="91" t="s">
        <v>2228</v>
      </c>
      <c r="D526" s="93">
        <v>302.5</v>
      </c>
      <c r="E526" s="93">
        <v>194</v>
      </c>
      <c r="F526" s="103">
        <f>IFERROR(INDEX(Tabella9[PLZ],MATCH(Tabella8[[#This Row],[Colonna2]],Tabella9[Ortschaftsname],0)), "Name not found")</f>
        <v>2720</v>
      </c>
      <c r="G526" s="103"/>
      <c r="H526" s="240">
        <f ca="1">SUMIF(Tabella2[[#Headers],[#Data],[Age]],$H$76,Tabella2[[#Headers],[#Data],[Federal taxes]])</f>
        <v>6804.3246087429152</v>
      </c>
      <c r="I52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6" s="240">
        <f ca="1">Tabella8[[#This Row],[Colonna7]]*Tabella8[[#This Row],[Colonna4]]/100</f>
        <v>50682.908229709632</v>
      </c>
      <c r="Q526" s="68" t="s">
        <v>2606</v>
      </c>
      <c r="R526" s="21" t="s">
        <v>82</v>
      </c>
      <c r="S526" s="21" t="s">
        <v>2511</v>
      </c>
      <c r="T526" s="21" t="s">
        <v>90</v>
      </c>
    </row>
    <row r="527" spans="2:20">
      <c r="B527" s="92" t="s">
        <v>138</v>
      </c>
      <c r="C527" s="91" t="s">
        <v>2468</v>
      </c>
      <c r="D527" s="93">
        <v>302.5</v>
      </c>
      <c r="E527" s="93">
        <v>140</v>
      </c>
      <c r="F527" s="103">
        <f>IFERROR(INDEX(Tabella9[PLZ],MATCH(Tabella8[[#This Row],[Colonna2]],Tabella9[Ortschaftsname],0)), "Name not found")</f>
        <v>3226</v>
      </c>
      <c r="G527" s="103"/>
      <c r="H527" s="240">
        <f ca="1">SUMIF(Tabella2[[#Headers],[#Data],[Age]],$H$76,Tabella2[[#Headers],[#Data],[Federal taxes]])</f>
        <v>6804.3246087429152</v>
      </c>
      <c r="I52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7" s="240">
        <f ca="1">Tabella8[[#This Row],[Colonna7]]*Tabella8[[#This Row],[Colonna4]]/100</f>
        <v>36575.29459875953</v>
      </c>
      <c r="Q527" s="94">
        <v>100000</v>
      </c>
      <c r="R527" s="11" t="s">
        <v>2512</v>
      </c>
      <c r="S527" s="11" t="s">
        <v>2513</v>
      </c>
      <c r="T527" s="11" t="s">
        <v>2514</v>
      </c>
    </row>
    <row r="528" spans="2:20">
      <c r="B528" s="92" t="s">
        <v>138</v>
      </c>
      <c r="C528" s="91" t="s">
        <v>2343</v>
      </c>
      <c r="D528" s="93">
        <v>302.5</v>
      </c>
      <c r="E528" s="93">
        <v>184</v>
      </c>
      <c r="F528" s="103">
        <f>IFERROR(INDEX(Tabella9[PLZ],MATCH(Tabella8[[#This Row],[Colonna2]],Tabella9[Ortschaftsname],0)), "Name not found")</f>
        <v>3556</v>
      </c>
      <c r="G528" s="103"/>
      <c r="H528" s="240">
        <f ca="1">SUMIF(Tabella2[[#Headers],[#Data],[Age]],$H$76,Tabella2[[#Headers],[#Data],[Federal taxes]])</f>
        <v>6804.3246087429152</v>
      </c>
      <c r="I52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8" s="240">
        <f ca="1">Tabella8[[#This Row],[Colonna7]]*Tabella8[[#This Row],[Colonna4]]/100</f>
        <v>48070.387186941094</v>
      </c>
      <c r="Q528" s="26"/>
      <c r="R528" s="4">
        <v>0</v>
      </c>
      <c r="S528" s="4">
        <v>0</v>
      </c>
      <c r="T528" s="4">
        <v>0</v>
      </c>
    </row>
    <row r="529" spans="2:20">
      <c r="B529" s="92" t="s">
        <v>138</v>
      </c>
      <c r="C529" s="91" t="s">
        <v>2333</v>
      </c>
      <c r="D529" s="93">
        <v>302.5</v>
      </c>
      <c r="E529" s="93">
        <v>199</v>
      </c>
      <c r="F529" s="103">
        <f>IFERROR(INDEX(Tabella9[PLZ],MATCH(Tabella8[[#This Row],[Colonna2]],Tabella9[Ortschaftsname],0)), "Name not found")</f>
        <v>3555</v>
      </c>
      <c r="G529" s="103"/>
      <c r="H529" s="240">
        <f ca="1">SUMIF(Tabella2[[#Headers],[#Data],[Age]],$H$76,Tabella2[[#Headers],[#Data],[Federal taxes]])</f>
        <v>6804.3246087429152</v>
      </c>
      <c r="I52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29" s="240">
        <f ca="1">Tabella8[[#This Row],[Colonna7]]*Tabella8[[#This Row],[Colonna4]]/100</f>
        <v>51989.168751093901</v>
      </c>
      <c r="Q529" s="2"/>
      <c r="R529" s="4">
        <v>6300</v>
      </c>
      <c r="S529" s="4">
        <v>0</v>
      </c>
      <c r="T529" s="4">
        <v>1</v>
      </c>
    </row>
    <row r="530" spans="2:20">
      <c r="B530" s="92" t="s">
        <v>138</v>
      </c>
      <c r="C530" s="91" t="s">
        <v>2461</v>
      </c>
      <c r="D530" s="93">
        <v>302.5</v>
      </c>
      <c r="E530" s="93">
        <v>159</v>
      </c>
      <c r="F530" s="103">
        <f>IFERROR(INDEX(Tabella9[PLZ],MATCH(Tabella8[[#This Row],[Colonna2]],Tabella9[Ortschaftsname],0)), "Name not found")</f>
        <v>3233</v>
      </c>
      <c r="G530" s="103"/>
      <c r="H530" s="240">
        <f ca="1">SUMIF(Tabella2[[#Headers],[#Data],[Age]],$H$76,Tabella2[[#Headers],[#Data],[Federal taxes]])</f>
        <v>6804.3246087429152</v>
      </c>
      <c r="I53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0" s="240">
        <f ca="1">Tabella8[[#This Row],[Colonna7]]*Tabella8[[#This Row],[Colonna4]]/100</f>
        <v>41539.084580019757</v>
      </c>
      <c r="Q530" s="2"/>
      <c r="R530" s="4">
        <v>6600</v>
      </c>
      <c r="S530" s="4">
        <v>3</v>
      </c>
      <c r="T530" s="4">
        <v>2</v>
      </c>
    </row>
    <row r="531" spans="2:20">
      <c r="B531" s="92" t="s">
        <v>138</v>
      </c>
      <c r="C531" s="91" t="s">
        <v>2362</v>
      </c>
      <c r="D531" s="93">
        <v>302.5</v>
      </c>
      <c r="E531" s="93">
        <v>165</v>
      </c>
      <c r="F531" s="103">
        <v>2513</v>
      </c>
      <c r="G531" s="103"/>
      <c r="H531" s="240">
        <f ca="1">SUMIF(Tabella2[[#Headers],[#Data],[Age]],$H$76,Tabella2[[#Headers],[#Data],[Federal taxes]])</f>
        <v>6804.3246087429152</v>
      </c>
      <c r="I53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1" s="240">
        <f ca="1">Tabella8[[#This Row],[Colonna7]]*Tabella8[[#This Row],[Colonna4]]/100</f>
        <v>43106.597205680882</v>
      </c>
      <c r="Q531" s="2"/>
      <c r="R531" s="4">
        <v>8300</v>
      </c>
      <c r="S531" s="4">
        <v>37</v>
      </c>
      <c r="T531" s="4">
        <v>3</v>
      </c>
    </row>
    <row r="532" spans="2:20">
      <c r="B532" s="92" t="s">
        <v>138</v>
      </c>
      <c r="C532" s="91" t="s">
        <v>2272</v>
      </c>
      <c r="D532" s="93">
        <v>302.5</v>
      </c>
      <c r="E532" s="93">
        <v>159</v>
      </c>
      <c r="F532" s="103">
        <f>IFERROR(INDEX(Tabella9[PLZ],MATCH(Tabella8[[#This Row],[Colonna2]],Tabella9[Ortschaftsname],0)), "Name not found")</f>
        <v>2575</v>
      </c>
      <c r="G532" s="103"/>
      <c r="H532" s="240">
        <f ca="1">SUMIF(Tabella2[[#Headers],[#Data],[Age]],$H$76,Tabella2[[#Headers],[#Data],[Federal taxes]])</f>
        <v>6804.3246087429152</v>
      </c>
      <c r="I53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2" s="240">
        <f ca="1">Tabella8[[#This Row],[Colonna7]]*Tabella8[[#This Row],[Colonna4]]/100</f>
        <v>41539.084580019757</v>
      </c>
      <c r="Q532" s="2"/>
      <c r="R532" s="4">
        <v>10400</v>
      </c>
      <c r="S532" s="4">
        <v>100</v>
      </c>
      <c r="T532" s="4">
        <v>4</v>
      </c>
    </row>
    <row r="533" spans="2:20">
      <c r="B533" s="92" t="s">
        <v>138</v>
      </c>
      <c r="C533" s="91" t="s">
        <v>2411</v>
      </c>
      <c r="D533" s="93">
        <v>302.5</v>
      </c>
      <c r="E533" s="93">
        <v>200</v>
      </c>
      <c r="F533" s="103">
        <f>IFERROR(INDEX(Tabella9[PLZ],MATCH(Tabella8[[#This Row],[Colonna2]],Tabella9[Ortschaftsname],0)), "Name not found")</f>
        <v>3635</v>
      </c>
      <c r="G533" s="103"/>
      <c r="H533" s="240">
        <f ca="1">SUMIF(Tabella2[[#Headers],[#Data],[Age]],$H$76,Tabella2[[#Headers],[#Data],[Federal taxes]])</f>
        <v>6804.3246087429152</v>
      </c>
      <c r="I53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3" s="240">
        <f ca="1">Tabella8[[#This Row],[Colonna7]]*Tabella8[[#This Row],[Colonna4]]/100</f>
        <v>52250.420855370758</v>
      </c>
      <c r="Q533" s="2"/>
      <c r="R533" s="4">
        <v>12700</v>
      </c>
      <c r="S533" s="4">
        <v>192</v>
      </c>
      <c r="T533" s="4">
        <v>5</v>
      </c>
    </row>
    <row r="534" spans="2:20">
      <c r="B534" s="92" t="s">
        <v>138</v>
      </c>
      <c r="C534" s="91" t="s">
        <v>2212</v>
      </c>
      <c r="D534" s="93">
        <v>302.5</v>
      </c>
      <c r="E534" s="93">
        <v>148</v>
      </c>
      <c r="F534" s="103">
        <f>IFERROR(INDEX(Tabella9[PLZ],MATCH(Tabella8[[#This Row],[Colonna2]],Tabella9[Ortschaftsname],0)), "Name not found")</f>
        <v>3661</v>
      </c>
      <c r="G534" s="103"/>
      <c r="H534" s="240">
        <f ca="1">SUMIF(Tabella2[[#Headers],[#Data],[Age]],$H$76,Tabella2[[#Headers],[#Data],[Federal taxes]])</f>
        <v>6804.3246087429152</v>
      </c>
      <c r="I53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4" s="240">
        <f ca="1">Tabella8[[#This Row],[Colonna7]]*Tabella8[[#This Row],[Colonna4]]/100</f>
        <v>38665.311432974362</v>
      </c>
      <c r="Q534" s="2"/>
      <c r="R534" s="4">
        <v>20600</v>
      </c>
      <c r="S534" s="4">
        <v>587</v>
      </c>
      <c r="T534" s="4">
        <v>6</v>
      </c>
    </row>
    <row r="535" spans="2:20">
      <c r="B535" s="92" t="s">
        <v>138</v>
      </c>
      <c r="C535" s="91" t="s">
        <v>2379</v>
      </c>
      <c r="D535" s="93">
        <v>302.5</v>
      </c>
      <c r="E535" s="93">
        <v>175</v>
      </c>
      <c r="F535" s="103">
        <f>IFERROR(INDEX(Tabella9[PLZ],MATCH(Tabella8[[#This Row],[Colonna2]],Tabella9[Ortschaftsname],0)), "Name not found")</f>
        <v>3614</v>
      </c>
      <c r="G535" s="103"/>
      <c r="H535" s="240">
        <f ca="1">SUMIF(Tabella2[[#Headers],[#Data],[Age]],$H$76,Tabella2[[#Headers],[#Data],[Federal taxes]])</f>
        <v>6804.3246087429152</v>
      </c>
      <c r="I53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5" s="240">
        <f ca="1">Tabella8[[#This Row],[Colonna7]]*Tabella8[[#This Row],[Colonna4]]/100</f>
        <v>45719.118248449413</v>
      </c>
      <c r="Q535" s="2"/>
      <c r="R535" s="4">
        <v>28500</v>
      </c>
      <c r="S535" s="4">
        <v>1061</v>
      </c>
      <c r="T535" s="4">
        <v>7</v>
      </c>
    </row>
    <row r="536" spans="2:20">
      <c r="B536" s="92" t="s">
        <v>138</v>
      </c>
      <c r="C536" s="91" t="s">
        <v>2214</v>
      </c>
      <c r="D536" s="93">
        <v>302.5</v>
      </c>
      <c r="E536" s="93">
        <v>170</v>
      </c>
      <c r="F536" s="103">
        <f>IFERROR(INDEX(Tabella9[PLZ],MATCH(Tabella8[[#This Row],[Colonna2]],Tabella9[Ortschaftsname],0)), "Name not found")</f>
        <v>3800</v>
      </c>
      <c r="G536" s="103"/>
      <c r="H536" s="240">
        <f ca="1">SUMIF(Tabella2[[#Headers],[#Data],[Age]],$H$76,Tabella2[[#Headers],[#Data],[Federal taxes]])</f>
        <v>6804.3246087429152</v>
      </c>
      <c r="I53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6" s="240">
        <f ca="1">Tabella8[[#This Row],[Colonna7]]*Tabella8[[#This Row],[Colonna4]]/100</f>
        <v>44412.857727065144</v>
      </c>
      <c r="Q536" s="2"/>
      <c r="R536" s="4">
        <v>36400</v>
      </c>
      <c r="S536" s="4">
        <v>1614</v>
      </c>
      <c r="T536" s="4">
        <v>8</v>
      </c>
    </row>
    <row r="537" spans="2:20">
      <c r="B537" s="92" t="s">
        <v>138</v>
      </c>
      <c r="C537" s="91" t="s">
        <v>2388</v>
      </c>
      <c r="D537" s="93">
        <v>302.5</v>
      </c>
      <c r="E537" s="93">
        <v>175</v>
      </c>
      <c r="F537" s="103">
        <f>IFERROR(INDEX(Tabella9[PLZ],MATCH(Tabella8[[#This Row],[Colonna2]],Tabella9[Ortschaftsname],0)), "Name not found")</f>
        <v>4937</v>
      </c>
      <c r="G537" s="103"/>
      <c r="H537" s="240">
        <f ca="1">SUMIF(Tabella2[[#Headers],[#Data],[Age]],$H$76,Tabella2[[#Headers],[#Data],[Federal taxes]])</f>
        <v>6804.3246087429152</v>
      </c>
      <c r="I53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7" s="240">
        <f ca="1">Tabella8[[#This Row],[Colonna7]]*Tabella8[[#This Row],[Colonna4]]/100</f>
        <v>45719.118248449413</v>
      </c>
      <c r="Q537" s="2"/>
      <c r="R537" s="4">
        <v>44300</v>
      </c>
      <c r="S537" s="4">
        <v>2246</v>
      </c>
      <c r="T537" s="4">
        <v>9</v>
      </c>
    </row>
    <row r="538" spans="2:20">
      <c r="B538" s="92" t="s">
        <v>138</v>
      </c>
      <c r="C538" s="91" t="s">
        <v>2211</v>
      </c>
      <c r="D538" s="93">
        <v>302.5</v>
      </c>
      <c r="E538" s="93">
        <v>150</v>
      </c>
      <c r="F538" s="103">
        <f>IFERROR(INDEX(Tabella9[PLZ],MATCH(Tabella8[[#This Row],[Colonna2]],Tabella9[Ortschaftsname],0)), "Name not found")</f>
        <v>3322</v>
      </c>
      <c r="G538" s="103"/>
      <c r="H538" s="240">
        <f ca="1">SUMIF(Tabella2[[#Headers],[#Data],[Age]],$H$76,Tabella2[[#Headers],[#Data],[Federal taxes]])</f>
        <v>6804.3246087429152</v>
      </c>
      <c r="I53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8" s="240">
        <f ca="1">Tabella8[[#This Row],[Colonna7]]*Tabella8[[#This Row],[Colonna4]]/100</f>
        <v>39187.815641528068</v>
      </c>
      <c r="Q538" s="2"/>
      <c r="R538" s="4">
        <v>56900</v>
      </c>
      <c r="S538" s="4">
        <v>3380</v>
      </c>
      <c r="T538" s="4">
        <v>10</v>
      </c>
    </row>
    <row r="539" spans="2:20">
      <c r="B539" s="92" t="s">
        <v>138</v>
      </c>
      <c r="C539" s="91" t="s">
        <v>2607</v>
      </c>
      <c r="D539" s="93">
        <v>302.5</v>
      </c>
      <c r="E539" s="93">
        <v>163</v>
      </c>
      <c r="F539" s="103">
        <f>IFERROR(INDEX(Tabella9[PLZ],MATCH(Tabella8[[#This Row],[Colonna2]],Tabella9[Ortschaftsname],0)), "Name not found")</f>
        <v>3628</v>
      </c>
      <c r="G539" s="103"/>
      <c r="H539" s="240">
        <f ca="1">SUMIF(Tabella2[[#Headers],[#Data],[Age]],$H$76,Tabella2[[#Headers],[#Data],[Federal taxes]])</f>
        <v>6804.3246087429152</v>
      </c>
      <c r="I53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39" s="240">
        <f ca="1">Tabella8[[#This Row],[Colonna7]]*Tabella8[[#This Row],[Colonna4]]/100</f>
        <v>42584.092997127169</v>
      </c>
      <c r="Q539" s="2"/>
      <c r="R539" s="4">
        <v>69500</v>
      </c>
      <c r="S539" s="4">
        <v>4640</v>
      </c>
      <c r="T539" s="4">
        <v>11</v>
      </c>
    </row>
    <row r="540" spans="2:20">
      <c r="B540" s="92" t="s">
        <v>138</v>
      </c>
      <c r="C540" s="91" t="s">
        <v>2233</v>
      </c>
      <c r="D540" s="93">
        <v>302.5</v>
      </c>
      <c r="E540" s="93">
        <v>172</v>
      </c>
      <c r="F540" s="103">
        <f>IFERROR(INDEX(Tabella9[PLZ],MATCH(Tabella8[[#This Row],[Colonna2]],Tabella9[Ortschaftsname],0)), "Name not found")</f>
        <v>3427</v>
      </c>
      <c r="G540" s="103"/>
      <c r="H540" s="240">
        <f ca="1">SUMIF(Tabella2[[#Headers],[#Data],[Age]],$H$76,Tabella2[[#Headers],[#Data],[Federal taxes]])</f>
        <v>6804.3246087429152</v>
      </c>
      <c r="I54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0" s="240">
        <f ca="1">Tabella8[[#This Row],[Colonna7]]*Tabella8[[#This Row],[Colonna4]]/100</f>
        <v>44935.361935618857</v>
      </c>
      <c r="Q540" s="2"/>
      <c r="R540" s="46">
        <v>141000</v>
      </c>
      <c r="S540" s="46">
        <v>12505</v>
      </c>
      <c r="T540" s="46">
        <v>12</v>
      </c>
    </row>
    <row r="541" spans="2:20">
      <c r="B541" s="92" t="s">
        <v>138</v>
      </c>
      <c r="C541" s="91" t="s">
        <v>2243</v>
      </c>
      <c r="D541" s="93">
        <v>302.5</v>
      </c>
      <c r="E541" s="93">
        <v>200</v>
      </c>
      <c r="F541" s="103">
        <v>2732</v>
      </c>
      <c r="G541" s="103"/>
      <c r="H541" s="240">
        <f ca="1">SUMIF(Tabella2[[#Headers],[#Data],[Age]],$H$76,Tabella2[[#Headers],[#Data],[Federal taxes]])</f>
        <v>6804.3246087429152</v>
      </c>
      <c r="I54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1" s="240">
        <f ca="1">Tabella8[[#This Row],[Colonna7]]*Tabella8[[#This Row],[Colonna4]]/100</f>
        <v>52250.420855370758</v>
      </c>
      <c r="Q541" s="2"/>
      <c r="R541" s="46">
        <v>210100</v>
      </c>
      <c r="S541" s="46">
        <v>20797</v>
      </c>
      <c r="T541" s="46">
        <v>9.9</v>
      </c>
    </row>
    <row r="542" spans="2:20">
      <c r="B542" s="92" t="s">
        <v>138</v>
      </c>
      <c r="C542" s="91" t="s">
        <v>2219</v>
      </c>
      <c r="D542" s="93">
        <v>302.5</v>
      </c>
      <c r="E542" s="93">
        <v>154</v>
      </c>
      <c r="F542" s="103">
        <v>3067</v>
      </c>
      <c r="G542" s="103"/>
      <c r="H542" s="240">
        <f ca="1">SUMIF(Tabella2[[#Headers],[#Data],[Age]],$H$76,Tabella2[[#Headers],[#Data],[Federal taxes]])</f>
        <v>6804.3246087429152</v>
      </c>
      <c r="I54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2" s="240">
        <f ca="1">Tabella8[[#This Row],[Colonna7]]*Tabella8[[#This Row],[Colonna4]]/100</f>
        <v>40232.82405863548</v>
      </c>
      <c r="Q542" s="2"/>
      <c r="R542" s="46">
        <v>210200</v>
      </c>
      <c r="S542" s="46">
        <v>20807</v>
      </c>
      <c r="T542" s="46">
        <v>9.9</v>
      </c>
    </row>
    <row r="543" spans="2:20">
      <c r="B543" s="92" t="s">
        <v>138</v>
      </c>
      <c r="C543" s="91" t="s">
        <v>2385</v>
      </c>
      <c r="D543" s="93">
        <v>302.5</v>
      </c>
      <c r="E543" s="93">
        <v>179</v>
      </c>
      <c r="F543" s="103">
        <f>IFERROR(INDEX(Tabella9[PLZ],MATCH(Tabella8[[#This Row],[Colonna2]],Tabella9[Ortschaftsname],0)), "Name not found")</f>
        <v>2613</v>
      </c>
      <c r="G543" s="103"/>
      <c r="H543" s="240">
        <f ca="1">SUMIF(Tabella2[[#Headers],[#Data],[Age]],$H$76,Tabella2[[#Headers],[#Data],[Federal taxes]])</f>
        <v>6804.3246087429152</v>
      </c>
      <c r="I54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3" s="240">
        <f ca="1">Tabella8[[#This Row],[Colonna7]]*Tabella8[[#This Row],[Colonna4]]/100</f>
        <v>46764.126665556832</v>
      </c>
      <c r="Q543" s="2"/>
      <c r="R543" s="46"/>
      <c r="S543" s="4"/>
      <c r="T543" s="4"/>
    </row>
    <row r="544" spans="2:20">
      <c r="B544" s="92" t="s">
        <v>138</v>
      </c>
      <c r="C544" s="91" t="s">
        <v>2394</v>
      </c>
      <c r="D544" s="93">
        <v>302.5</v>
      </c>
      <c r="E544" s="93">
        <v>169</v>
      </c>
      <c r="F544" s="103">
        <f>IFERROR(INDEX(Tabella9[PLZ],MATCH(Tabella8[[#This Row],[Colonna2]],Tabella9[Ortschaftsname],0)), "Name not found")</f>
        <v>3234</v>
      </c>
      <c r="G544" s="103"/>
      <c r="H544" s="240">
        <f ca="1">SUMIF(Tabella2[[#Headers],[#Data],[Age]],$H$76,Tabella2[[#Headers],[#Data],[Federal taxes]])</f>
        <v>6804.3246087429152</v>
      </c>
      <c r="I54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4" s="240">
        <f ca="1">Tabella8[[#This Row],[Colonna7]]*Tabella8[[#This Row],[Colonna4]]/100</f>
        <v>44151.605622788287</v>
      </c>
      <c r="Q544" s="2"/>
      <c r="R544" s="46"/>
      <c r="S544" s="46"/>
      <c r="T544" s="46"/>
    </row>
    <row r="545" spans="2:20">
      <c r="B545" s="92" t="s">
        <v>138</v>
      </c>
      <c r="C545" s="91" t="s">
        <v>2608</v>
      </c>
      <c r="D545" s="93">
        <v>302.5</v>
      </c>
      <c r="E545" s="93">
        <v>184</v>
      </c>
      <c r="F545" s="103">
        <v>3618</v>
      </c>
      <c r="G545" s="103"/>
      <c r="H545" s="240">
        <f ca="1">SUMIF(Tabella2[[#Headers],[#Data],[Age]],$H$76,Tabella2[[#Headers],[#Data],[Federal taxes]])</f>
        <v>6804.3246087429152</v>
      </c>
      <c r="I54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5" s="240">
        <f ca="1">Tabella8[[#This Row],[Colonna7]]*Tabella8[[#This Row],[Colonna4]]/100</f>
        <v>48070.387186941094</v>
      </c>
      <c r="Q545" s="2"/>
      <c r="R545" s="46"/>
      <c r="S545" s="46"/>
      <c r="T545" s="46"/>
    </row>
    <row r="546" spans="2:20">
      <c r="B546" s="92" t="s">
        <v>138</v>
      </c>
      <c r="C546" s="91" t="s">
        <v>2360</v>
      </c>
      <c r="D546" s="93">
        <v>302.5</v>
      </c>
      <c r="E546" s="93">
        <v>169</v>
      </c>
      <c r="F546" s="103">
        <v>3086</v>
      </c>
      <c r="G546" s="103"/>
      <c r="H546" s="240">
        <f ca="1">SUMIF(Tabella2[[#Headers],[#Data],[Age]],$H$76,Tabella2[[#Headers],[#Data],[Federal taxes]])</f>
        <v>6804.3246087429152</v>
      </c>
      <c r="I54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6" s="240">
        <f ca="1">Tabella8[[#This Row],[Colonna7]]*Tabella8[[#This Row],[Colonna4]]/100</f>
        <v>44151.605622788287</v>
      </c>
      <c r="Q546" s="2"/>
      <c r="R546" s="46"/>
      <c r="S546" s="46"/>
      <c r="T546" s="46"/>
    </row>
    <row r="547" spans="2:20">
      <c r="B547" s="92" t="s">
        <v>138</v>
      </c>
      <c r="C547" s="91" t="s">
        <v>2315</v>
      </c>
      <c r="D547" s="93">
        <v>302.5</v>
      </c>
      <c r="E547" s="93">
        <v>189</v>
      </c>
      <c r="F547" s="103">
        <f>IFERROR(INDEX(Tabella9[PLZ],MATCH(Tabella8[[#This Row],[Colonna2]],Tabella9[Ortschaftsname],0)), "Name not found")</f>
        <v>3512</v>
      </c>
      <c r="G547" s="103"/>
      <c r="H547" s="240">
        <f ca="1">SUMIF(Tabella2[[#Headers],[#Data],[Age]],$H$76,Tabella2[[#Headers],[#Data],[Federal taxes]])</f>
        <v>6804.3246087429152</v>
      </c>
      <c r="I54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7" s="240">
        <f ca="1">Tabella8[[#This Row],[Colonna7]]*Tabella8[[#This Row],[Colonna4]]/100</f>
        <v>49376.64770832537</v>
      </c>
      <c r="Q547" s="2"/>
      <c r="R547" s="46"/>
      <c r="S547" s="46"/>
      <c r="T547" s="46"/>
    </row>
    <row r="548" spans="2:20">
      <c r="B548" s="92" t="s">
        <v>138</v>
      </c>
      <c r="C548" s="91" t="s">
        <v>2609</v>
      </c>
      <c r="D548" s="93">
        <v>302.5</v>
      </c>
      <c r="E548" s="93">
        <v>90</v>
      </c>
      <c r="F548" s="103">
        <v>3380</v>
      </c>
      <c r="G548" s="103"/>
      <c r="H548" s="240">
        <f ca="1">SUMIF(Tabella2[[#Headers],[#Data],[Age]],$H$76,Tabella2[[#Headers],[#Data],[Federal taxes]])</f>
        <v>6804.3246087429152</v>
      </c>
      <c r="I54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8" s="240">
        <f ca="1">Tabella8[[#This Row],[Colonna7]]*Tabella8[[#This Row],[Colonna4]]/100</f>
        <v>23512.689384916841</v>
      </c>
      <c r="Q548" s="2"/>
      <c r="R548" s="46"/>
      <c r="S548" s="46"/>
      <c r="T548" s="46"/>
    </row>
    <row r="549" spans="2:20">
      <c r="B549" s="92" t="s">
        <v>138</v>
      </c>
      <c r="C549" s="91" t="s">
        <v>2426</v>
      </c>
      <c r="D549" s="93">
        <v>302.5</v>
      </c>
      <c r="E549" s="93">
        <v>150</v>
      </c>
      <c r="F549" s="103">
        <v>3377</v>
      </c>
      <c r="G549" s="103"/>
      <c r="H549" s="240">
        <f ca="1">SUMIF(Tabella2[[#Headers],[#Data],[Age]],$H$76,Tabella2[[#Headers],[#Data],[Federal taxes]])</f>
        <v>6804.3246087429152</v>
      </c>
      <c r="I54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49" s="240">
        <f ca="1">Tabella8[[#This Row],[Colonna7]]*Tabella8[[#This Row],[Colonna4]]/100</f>
        <v>39187.815641528068</v>
      </c>
      <c r="Q549" s="2"/>
      <c r="R549" s="46"/>
      <c r="S549" s="46"/>
      <c r="T549" s="46"/>
    </row>
    <row r="550" spans="2:20">
      <c r="B550" s="92" t="s">
        <v>138</v>
      </c>
      <c r="C550" s="91" t="s">
        <v>2375</v>
      </c>
      <c r="D550" s="93">
        <v>302.5</v>
      </c>
      <c r="E550" s="93">
        <v>165</v>
      </c>
      <c r="F550" s="103">
        <f>IFERROR(INDEX(Tabella9[PLZ],MATCH(Tabella8[[#This Row],[Colonna2]],Tabella9[Ortschaftsname],0)), "Name not found")</f>
        <v>3272</v>
      </c>
      <c r="G550" s="103"/>
      <c r="H550" s="240">
        <f ca="1">SUMIF(Tabella2[[#Headers],[#Data],[Age]],$H$76,Tabella2[[#Headers],[#Data],[Federal taxes]])</f>
        <v>6804.3246087429152</v>
      </c>
      <c r="I55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0" s="240">
        <f ca="1">Tabella8[[#This Row],[Colonna7]]*Tabella8[[#This Row],[Colonna4]]/100</f>
        <v>43106.597205680882</v>
      </c>
      <c r="Q550" s="2"/>
      <c r="R550" s="46"/>
      <c r="S550" s="46"/>
      <c r="T550" s="46"/>
    </row>
    <row r="551" spans="2:20">
      <c r="B551" s="92" t="s">
        <v>138</v>
      </c>
      <c r="C551" s="91" t="s">
        <v>2439</v>
      </c>
      <c r="D551" s="93">
        <v>302.5</v>
      </c>
      <c r="E551" s="93">
        <v>186</v>
      </c>
      <c r="F551" s="103">
        <v>4944</v>
      </c>
      <c r="G551" s="103"/>
      <c r="H551" s="240">
        <f ca="1">SUMIF(Tabella2[[#Headers],[#Data],[Age]],$H$76,Tabella2[[#Headers],[#Data],[Federal taxes]])</f>
        <v>6804.3246087429152</v>
      </c>
      <c r="I55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1" s="240">
        <f ca="1">Tabella8[[#This Row],[Colonna7]]*Tabella8[[#This Row],[Colonna4]]/100</f>
        <v>48592.891395494808</v>
      </c>
      <c r="Q551" s="2"/>
      <c r="R551" s="46"/>
      <c r="S551" s="46"/>
      <c r="T551" s="46"/>
    </row>
    <row r="552" spans="2:20">
      <c r="B552" s="92" t="s">
        <v>138</v>
      </c>
      <c r="C552" s="91" t="s">
        <v>2297</v>
      </c>
      <c r="D552" s="93">
        <v>302.5</v>
      </c>
      <c r="E552" s="93">
        <v>168</v>
      </c>
      <c r="F552" s="103">
        <f>IFERROR(INDEX(Tabella9[PLZ],MATCH(Tabella8[[#This Row],[Colonna2]],Tabella9[Ortschaftsname],0)), "Name not found")</f>
        <v>3380</v>
      </c>
      <c r="G552" s="103"/>
      <c r="H552" s="240">
        <f ca="1">SUMIF(Tabella2[[#Headers],[#Data],[Age]],$H$76,Tabella2[[#Headers],[#Data],[Federal taxes]])</f>
        <v>6804.3246087429152</v>
      </c>
      <c r="I55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2" s="240">
        <f ca="1">Tabella8[[#This Row],[Colonna7]]*Tabella8[[#This Row],[Colonna4]]/100</f>
        <v>43890.353518511438</v>
      </c>
      <c r="Q552" s="2"/>
      <c r="R552" s="46"/>
      <c r="S552" s="46"/>
      <c r="T552" s="46"/>
    </row>
    <row r="553" spans="2:20">
      <c r="B553" s="92" t="s">
        <v>138</v>
      </c>
      <c r="C553" s="91" t="s">
        <v>2271</v>
      </c>
      <c r="D553" s="93">
        <v>302.5</v>
      </c>
      <c r="E553" s="93">
        <v>194</v>
      </c>
      <c r="F553" s="103">
        <f>IFERROR(INDEX(Tabella9[PLZ],MATCH(Tabella8[[#This Row],[Colonna2]],Tabella9[Ortschaftsname],0)), "Name not found")</f>
        <v>3665</v>
      </c>
      <c r="G553" s="103"/>
      <c r="H553" s="240">
        <f ca="1">SUMIF(Tabella2[[#Headers],[#Data],[Age]],$H$76,Tabella2[[#Headers],[#Data],[Federal taxes]])</f>
        <v>6804.3246087429152</v>
      </c>
      <c r="I55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3" s="240">
        <f ca="1">Tabella8[[#This Row],[Colonna7]]*Tabella8[[#This Row],[Colonna4]]/100</f>
        <v>50682.908229709632</v>
      </c>
      <c r="Q553" s="2"/>
      <c r="R553" s="46"/>
      <c r="S553" s="4"/>
      <c r="T553" s="4"/>
    </row>
    <row r="554" spans="2:20">
      <c r="B554" s="92" t="s">
        <v>138</v>
      </c>
      <c r="C554" s="91" t="s">
        <v>2422</v>
      </c>
      <c r="D554" s="93">
        <v>302.5</v>
      </c>
      <c r="E554" s="93">
        <v>185</v>
      </c>
      <c r="F554" s="103">
        <v>3251</v>
      </c>
      <c r="G554" s="103"/>
      <c r="H554" s="240">
        <f ca="1">SUMIF(Tabella2[[#Headers],[#Data],[Age]],$H$76,Tabella2[[#Headers],[#Data],[Federal taxes]])</f>
        <v>6804.3246087429152</v>
      </c>
      <c r="I55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4" s="240">
        <f ca="1">Tabella8[[#This Row],[Colonna7]]*Tabella8[[#This Row],[Colonna4]]/100</f>
        <v>48331.639291217951</v>
      </c>
      <c r="Q554" s="2"/>
      <c r="R554" s="36">
        <f>IF(Q527&lt;$R$529,$S$528,IF(Q527&lt;$R$530,$S$529+((Q527-$R$529)/100)*$T$529,IF(Q527&lt;$R$531,$S$530+((Q527-$R$530)/100)*$T$530,IF(Q527&lt;$R$532,$S$531+((Q527-$R$531)/100)*$T$531,IF(Q527&lt;$R$533,$S$532+((Q527-$R$532)/100)*$T$532,IF(Q527&lt;$R$534,$S$533+((Q527-$R$533)/100)*$T$533,IF(Q527&lt;$R$535,$S$534+((Q527-$R$534)/100)*$T$534,IF(Q527&lt;$R$536,$S$535+((Q527-$R$535)/100)*$T$535,IF(Q527&lt;$R$537,$S$536+((Q527-$R$536)/100)*$T$536,IF(Q527&lt;$R$538,$S$537+((Q527-$R$537)/100)*$T$537,IF(Q527&lt;$R$539,$S$538+((Q527-$R$538)/100)*$T$538,IF(Q527&lt;$R$540,$S$539+((Q527-$R$539)/100)*$T$539,IF(Q527&lt;$R$541,$S$540+((Q527-$R$540)/100)*$T$540,IF(Q527&lt;$R$542,$S$541+((Q527-$R$541)/100)*$T$541,IF(Q527&gt;=$R$542,$S$542+((Q527-$R$542)/100)*$T$542)))))))))))))))</f>
        <v>7995</v>
      </c>
      <c r="S554" s="2"/>
      <c r="T554" s="2"/>
    </row>
    <row r="555" spans="2:20">
      <c r="B555" s="92" t="s">
        <v>138</v>
      </c>
      <c r="C555" s="91" t="s">
        <v>2232</v>
      </c>
      <c r="D555" s="93">
        <v>302.5</v>
      </c>
      <c r="E555" s="93">
        <v>154</v>
      </c>
      <c r="F555" s="103">
        <f>IFERROR(INDEX(Tabella9[PLZ],MATCH(Tabella8[[#This Row],[Colonna2]],Tabella9[Ortschaftsname],0)), "Name not found")</f>
        <v>3114</v>
      </c>
      <c r="G555" s="103"/>
      <c r="H555" s="240">
        <f ca="1">SUMIF(Tabella2[[#Headers],[#Data],[Age]],$H$76,Tabella2[[#Headers],[#Data],[Federal taxes]])</f>
        <v>6804.3246087429152</v>
      </c>
      <c r="I55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5" s="240">
        <f ca="1">Tabella8[[#This Row],[Colonna7]]*Tabella8[[#This Row],[Colonna4]]/100</f>
        <v>40232.82405863548</v>
      </c>
    </row>
    <row r="556" spans="2:20">
      <c r="B556" s="92" t="s">
        <v>138</v>
      </c>
      <c r="C556" s="91" t="s">
        <v>2295</v>
      </c>
      <c r="D556" s="93">
        <v>302.5</v>
      </c>
      <c r="E556" s="93">
        <v>167</v>
      </c>
      <c r="F556" s="103">
        <f>IFERROR(INDEX(Tabella9[PLZ],MATCH(Tabella8[[#This Row],[Colonna2]],Tabella9[Ortschaftsname],0)), "Name not found")</f>
        <v>4537</v>
      </c>
      <c r="G556" s="103"/>
      <c r="H556" s="240">
        <f ca="1">SUMIF(Tabella2[[#Headers],[#Data],[Age]],$H$76,Tabella2[[#Headers],[#Data],[Federal taxes]])</f>
        <v>6804.3246087429152</v>
      </c>
      <c r="I55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6" s="240">
        <f ca="1">Tabella8[[#This Row],[Colonna7]]*Tabella8[[#This Row],[Colonna4]]/100</f>
        <v>43629.101414234581</v>
      </c>
      <c r="Q556" s="68" t="s">
        <v>2610</v>
      </c>
      <c r="R556" s="21" t="s">
        <v>82</v>
      </c>
      <c r="S556" s="21" t="s">
        <v>2511</v>
      </c>
      <c r="T556" s="21" t="s">
        <v>90</v>
      </c>
    </row>
    <row r="557" spans="2:20">
      <c r="B557" s="92" t="s">
        <v>138</v>
      </c>
      <c r="C557" s="91" t="s">
        <v>2611</v>
      </c>
      <c r="D557" s="93">
        <v>302.5</v>
      </c>
      <c r="E557" s="93">
        <v>140</v>
      </c>
      <c r="F557" s="103">
        <f>IFERROR(INDEX(Tabella9[PLZ],MATCH(Tabella8[[#This Row],[Colonna2]],Tabella9[Ortschaftsname],0)), "Name not found")</f>
        <v>3053</v>
      </c>
      <c r="G557" s="103"/>
      <c r="H557" s="240">
        <f ca="1">SUMIF(Tabella2[[#Headers],[#Data],[Age]],$H$76,Tabella2[[#Headers],[#Data],[Federal taxes]])</f>
        <v>6804.3246087429152</v>
      </c>
      <c r="I55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7" s="240">
        <f ca="1">Tabella8[[#This Row],[Colonna7]]*Tabella8[[#This Row],[Colonna4]]/100</f>
        <v>36575.29459875953</v>
      </c>
      <c r="Q557" s="94">
        <v>100000</v>
      </c>
      <c r="R557" s="11" t="s">
        <v>2512</v>
      </c>
      <c r="S557" s="11" t="s">
        <v>2513</v>
      </c>
      <c r="T557" s="11" t="s">
        <v>2514</v>
      </c>
    </row>
    <row r="558" spans="2:20">
      <c r="B558" s="92" t="s">
        <v>138</v>
      </c>
      <c r="C558" s="91" t="s">
        <v>2275</v>
      </c>
      <c r="D558" s="93">
        <v>302.5</v>
      </c>
      <c r="E558" s="93">
        <v>169</v>
      </c>
      <c r="F558" s="103">
        <f>IFERROR(INDEX(Tabella9[PLZ],MATCH(Tabella8[[#This Row],[Colonna2]],Tabella9[Ortschaftsname],0)), "Name not found")</f>
        <v>3812</v>
      </c>
      <c r="G558" s="103"/>
      <c r="H558" s="240">
        <f ca="1">SUMIF(Tabella2[[#Headers],[#Data],[Age]],$H$76,Tabella2[[#Headers],[#Data],[Federal taxes]])</f>
        <v>6804.3246087429152</v>
      </c>
      <c r="I55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8" s="240">
        <f ca="1">Tabella8[[#This Row],[Colonna7]]*Tabella8[[#This Row],[Colonna4]]/100</f>
        <v>44151.605622788287</v>
      </c>
      <c r="Q558" s="26"/>
      <c r="R558" s="4">
        <v>0</v>
      </c>
      <c r="S558" s="4">
        <v>0</v>
      </c>
      <c r="T558" s="4">
        <v>0</v>
      </c>
    </row>
    <row r="559" spans="2:20">
      <c r="B559" s="92" t="s">
        <v>138</v>
      </c>
      <c r="C559" s="91" t="s">
        <v>2387</v>
      </c>
      <c r="D559" s="93">
        <v>302.5</v>
      </c>
      <c r="E559" s="93">
        <v>170</v>
      </c>
      <c r="F559" s="103">
        <v>3428</v>
      </c>
      <c r="G559" s="103"/>
      <c r="H559" s="240">
        <f ca="1">SUMIF(Tabella2[[#Headers],[#Data],[Age]],$H$76,Tabella2[[#Headers],[#Data],[Federal taxes]])</f>
        <v>6804.3246087429152</v>
      </c>
      <c r="I55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59" s="240">
        <f ca="1">Tabella8[[#This Row],[Colonna7]]*Tabella8[[#This Row],[Colonna4]]/100</f>
        <v>44412.857727065144</v>
      </c>
      <c r="Q559" s="2"/>
      <c r="R559" s="4">
        <v>12000</v>
      </c>
      <c r="S559" s="4">
        <v>0</v>
      </c>
      <c r="T559" s="4">
        <v>4.5</v>
      </c>
    </row>
    <row r="560" spans="2:20">
      <c r="B560" s="92" t="s">
        <v>138</v>
      </c>
      <c r="C560" s="91" t="s">
        <v>2612</v>
      </c>
      <c r="D560" s="93">
        <v>302.5</v>
      </c>
      <c r="E560" s="93">
        <v>160</v>
      </c>
      <c r="F560" s="103">
        <f>IFERROR(INDEX(Tabella9[PLZ],MATCH(Tabella8[[#This Row],[Colonna2]],Tabella9[Ortschaftsname],0)), "Name not found")</f>
        <v>3207</v>
      </c>
      <c r="G560" s="103"/>
      <c r="H560" s="240">
        <f ca="1">SUMIF(Tabella2[[#Headers],[#Data],[Age]],$H$76,Tabella2[[#Headers],[#Data],[Federal taxes]])</f>
        <v>6804.3246087429152</v>
      </c>
      <c r="I56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0" s="240">
        <f ca="1">Tabella8[[#This Row],[Colonna7]]*Tabella8[[#This Row],[Colonna4]]/100</f>
        <v>41800.336684296606</v>
      </c>
      <c r="Q560" s="2"/>
      <c r="R560" s="4">
        <v>16000</v>
      </c>
      <c r="S560" s="4">
        <v>180</v>
      </c>
      <c r="T560" s="4">
        <v>5</v>
      </c>
    </row>
    <row r="561" spans="2:20">
      <c r="B561" s="92" t="s">
        <v>138</v>
      </c>
      <c r="C561" s="91" t="s">
        <v>2613</v>
      </c>
      <c r="D561" s="93">
        <v>302.5</v>
      </c>
      <c r="E561" s="93">
        <v>169</v>
      </c>
      <c r="F561" s="103">
        <f>IFERROR(INDEX(Tabella9[PLZ],MATCH(Tabella8[[#This Row],[Colonna2]],Tabella9[Ortschaftsname],0)), "Name not found")</f>
        <v>3425</v>
      </c>
      <c r="G561" s="103"/>
      <c r="H561" s="240">
        <f ca="1">SUMIF(Tabella2[[#Headers],[#Data],[Age]],$H$76,Tabella2[[#Headers],[#Data],[Federal taxes]])</f>
        <v>6804.3246087429152</v>
      </c>
      <c r="I56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1" s="240">
        <f ca="1">Tabella8[[#This Row],[Colonna7]]*Tabella8[[#This Row],[Colonna4]]/100</f>
        <v>44151.605622788287</v>
      </c>
      <c r="Q561" s="2"/>
      <c r="R561" s="4">
        <v>20000</v>
      </c>
      <c r="S561" s="4">
        <v>380</v>
      </c>
      <c r="T561" s="4">
        <v>6.5</v>
      </c>
    </row>
    <row r="562" spans="2:20">
      <c r="B562" s="92" t="s">
        <v>138</v>
      </c>
      <c r="C562" s="91" t="s">
        <v>2287</v>
      </c>
      <c r="D562" s="93">
        <v>302.5</v>
      </c>
      <c r="E562" s="93">
        <v>157</v>
      </c>
      <c r="F562" s="103">
        <f>IFERROR(INDEX(Tabella9[PLZ],MATCH(Tabella8[[#This Row],[Colonna2]],Tabella9[Ortschaftsname],0)), "Name not found")</f>
        <v>3752</v>
      </c>
      <c r="G562" s="103"/>
      <c r="H562" s="240">
        <f ca="1">SUMIF(Tabella2[[#Headers],[#Data],[Age]],$H$76,Tabella2[[#Headers],[#Data],[Federal taxes]])</f>
        <v>6804.3246087429152</v>
      </c>
      <c r="I56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2" s="240">
        <f ca="1">Tabella8[[#This Row],[Colonna7]]*Tabella8[[#This Row],[Colonna4]]/100</f>
        <v>41016.580371466043</v>
      </c>
      <c r="Q562" s="2"/>
      <c r="R562" s="4">
        <v>23000</v>
      </c>
      <c r="S562" s="4">
        <v>575</v>
      </c>
      <c r="T562" s="4">
        <v>8</v>
      </c>
    </row>
    <row r="563" spans="2:20">
      <c r="B563" s="92" t="s">
        <v>138</v>
      </c>
      <c r="C563" s="91" t="s">
        <v>2202</v>
      </c>
      <c r="D563" s="93">
        <v>302.5</v>
      </c>
      <c r="E563" s="93">
        <v>154</v>
      </c>
      <c r="F563" s="103">
        <v>3033</v>
      </c>
      <c r="G563" s="103"/>
      <c r="H563" s="240">
        <f ca="1">SUMIF(Tabella2[[#Headers],[#Data],[Age]],$H$76,Tabella2[[#Headers],[#Data],[Federal taxes]])</f>
        <v>6804.3246087429152</v>
      </c>
      <c r="I56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3" s="240">
        <f ca="1">Tabella8[[#This Row],[Colonna7]]*Tabella8[[#This Row],[Colonna4]]/100</f>
        <v>40232.82405863548</v>
      </c>
      <c r="Q563" s="2"/>
      <c r="R563" s="4">
        <v>25000</v>
      </c>
      <c r="S563" s="4">
        <v>735</v>
      </c>
      <c r="T563" s="4">
        <v>9</v>
      </c>
    </row>
    <row r="564" spans="2:20">
      <c r="B564" s="92" t="s">
        <v>138</v>
      </c>
      <c r="C564" s="91" t="s">
        <v>2197</v>
      </c>
      <c r="D564" s="93">
        <v>302.5</v>
      </c>
      <c r="E564" s="93">
        <v>170</v>
      </c>
      <c r="F564" s="103">
        <f>IFERROR(INDEX(Tabella9[PLZ],MATCH(Tabella8[[#This Row],[Colonna2]],Tabella9[Ortschaftsname],0)), "Name not found")</f>
        <v>3076</v>
      </c>
      <c r="G564" s="103"/>
      <c r="H564" s="240">
        <f ca="1">SUMIF(Tabella2[[#Headers],[#Data],[Age]],$H$76,Tabella2[[#Headers],[#Data],[Federal taxes]])</f>
        <v>6804.3246087429152</v>
      </c>
      <c r="I564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4" s="240">
        <f ca="1">Tabella8[[#This Row],[Colonna7]]*Tabella8[[#This Row],[Colonna4]]/100</f>
        <v>44412.857727065144</v>
      </c>
      <c r="Q564" s="2"/>
      <c r="R564" s="4">
        <v>28000</v>
      </c>
      <c r="S564" s="4">
        <v>1005</v>
      </c>
      <c r="T564" s="4">
        <v>9.5</v>
      </c>
    </row>
    <row r="565" spans="2:20">
      <c r="B565" s="92" t="s">
        <v>138</v>
      </c>
      <c r="C565" s="91" t="s">
        <v>2299</v>
      </c>
      <c r="D565" s="93">
        <v>302.5</v>
      </c>
      <c r="E565" s="93">
        <v>160</v>
      </c>
      <c r="F565" s="103">
        <f>IFERROR(INDEX(Tabella9[PLZ],MATCH(Tabella8[[#This Row],[Colonna2]],Tabella9[Ortschaftsname],0)), "Name not found")</f>
        <v>3252</v>
      </c>
      <c r="G565" s="103"/>
      <c r="H565" s="240">
        <f ca="1">SUMIF(Tabella2[[#Headers],[#Data],[Age]],$H$76,Tabella2[[#Headers],[#Data],[Federal taxes]])</f>
        <v>6804.3246087429152</v>
      </c>
      <c r="I565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5" s="240">
        <f ca="1">Tabella8[[#This Row],[Colonna7]]*Tabella8[[#This Row],[Colonna4]]/100</f>
        <v>41800.336684296606</v>
      </c>
      <c r="Q565" s="2"/>
      <c r="R565" s="4">
        <v>39000</v>
      </c>
      <c r="S565" s="4">
        <v>2050</v>
      </c>
      <c r="T565" s="4">
        <v>10</v>
      </c>
    </row>
    <row r="566" spans="2:20">
      <c r="B566" s="92" t="s">
        <v>138</v>
      </c>
      <c r="C566" s="91" t="s">
        <v>2321</v>
      </c>
      <c r="D566" s="93">
        <v>302.5</v>
      </c>
      <c r="E566" s="93">
        <v>180</v>
      </c>
      <c r="F566" s="103">
        <f>IFERROR(INDEX(Tabella9[PLZ],MATCH(Tabella8[[#This Row],[Colonna2]],Tabella9[Ortschaftsname],0)), "Name not found")</f>
        <v>4923</v>
      </c>
      <c r="G566" s="103"/>
      <c r="H566" s="240">
        <f ca="1">SUMIF(Tabella2[[#Headers],[#Data],[Age]],$H$76,Tabella2[[#Headers],[#Data],[Federal taxes]])</f>
        <v>6804.3246087429152</v>
      </c>
      <c r="I566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6" s="240">
        <f ca="1">Tabella8[[#This Row],[Colonna7]]*Tabella8[[#This Row],[Colonna4]]/100</f>
        <v>47025.378769833682</v>
      </c>
      <c r="Q566" s="2"/>
      <c r="R566" s="4">
        <v>54000</v>
      </c>
      <c r="S566" s="4">
        <v>3550</v>
      </c>
      <c r="T566" s="4">
        <v>10.5</v>
      </c>
    </row>
    <row r="567" spans="2:20">
      <c r="B567" s="92" t="s">
        <v>138</v>
      </c>
      <c r="C567" s="91" t="s">
        <v>2308</v>
      </c>
      <c r="D567" s="93">
        <v>302.5</v>
      </c>
      <c r="E567" s="93">
        <v>175</v>
      </c>
      <c r="F567" s="103">
        <f>IFERROR(INDEX(Tabella9[PLZ],MATCH(Tabella8[[#This Row],[Colonna2]],Tabella9[Ortschaftsname],0)), "Name not found")</f>
        <v>3472</v>
      </c>
      <c r="G567" s="103"/>
      <c r="H567" s="240">
        <f ca="1">SUMIF(Tabella2[[#Headers],[#Data],[Age]],$H$76,Tabella2[[#Headers],[#Data],[Federal taxes]])</f>
        <v>6804.3246087429152</v>
      </c>
      <c r="I567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7" s="240">
        <f ca="1">Tabella8[[#This Row],[Colonna7]]*Tabella8[[#This Row],[Colonna4]]/100</f>
        <v>45719.118248449413</v>
      </c>
      <c r="Q567" s="2"/>
      <c r="R567" s="4">
        <v>98000</v>
      </c>
      <c r="S567" s="4">
        <v>8170</v>
      </c>
      <c r="T567" s="4">
        <v>11.5</v>
      </c>
    </row>
    <row r="568" spans="2:20">
      <c r="B568" s="92" t="s">
        <v>138</v>
      </c>
      <c r="C568" s="91" t="s">
        <v>2361</v>
      </c>
      <c r="D568" s="93">
        <v>302.5</v>
      </c>
      <c r="E568" s="93">
        <v>190</v>
      </c>
      <c r="F568" s="103">
        <f>IFERROR(INDEX(Tabella9[PLZ],MATCH(Tabella8[[#This Row],[Colonna2]],Tabella9[Ortschaftsname],0)), "Name not found")</f>
        <v>4954</v>
      </c>
      <c r="G568" s="103"/>
      <c r="H568" s="240">
        <f ca="1">SUMIF(Tabella2[[#Headers],[#Data],[Age]],$H$76,Tabella2[[#Headers],[#Data],[Federal taxes]])</f>
        <v>6804.3246087429152</v>
      </c>
      <c r="I568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8" s="240">
        <f ca="1">Tabella8[[#This Row],[Colonna7]]*Tabella8[[#This Row],[Colonna4]]/100</f>
        <v>49637.899812602227</v>
      </c>
      <c r="Q568" s="2"/>
      <c r="R568" s="4">
        <v>310000</v>
      </c>
      <c r="S568" s="4">
        <v>32550</v>
      </c>
      <c r="T568" s="4">
        <v>10.5</v>
      </c>
    </row>
    <row r="569" spans="2:20">
      <c r="B569" s="92" t="s">
        <v>138</v>
      </c>
      <c r="C569" s="91" t="s">
        <v>2614</v>
      </c>
      <c r="D569" s="93">
        <v>302.5</v>
      </c>
      <c r="E569" s="93">
        <v>150</v>
      </c>
      <c r="F569" s="103">
        <f>IFERROR(INDEX(Tabella9[PLZ],MATCH(Tabella8[[#This Row],[Colonna2]],Tabella9[Ortschaftsname],0)), "Name not found")</f>
        <v>4564</v>
      </c>
      <c r="G569" s="103"/>
      <c r="H569" s="240">
        <f ca="1">SUMIF(Tabella2[[#Headers],[#Data],[Age]],$H$76,Tabella2[[#Headers],[#Data],[Federal taxes]])</f>
        <v>6804.3246087429152</v>
      </c>
      <c r="I569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69" s="240">
        <f ca="1">Tabella8[[#This Row],[Colonna7]]*Tabella8[[#This Row],[Colonna4]]/100</f>
        <v>39187.815641528068</v>
      </c>
      <c r="Q569" s="2"/>
      <c r="R569" s="4"/>
      <c r="S569" s="4"/>
      <c r="T569" s="4"/>
    </row>
    <row r="570" spans="2:20">
      <c r="B570" s="92" t="s">
        <v>138</v>
      </c>
      <c r="C570" s="91" t="s">
        <v>2199</v>
      </c>
      <c r="D570" s="93">
        <v>302.5</v>
      </c>
      <c r="E570" s="93">
        <v>140</v>
      </c>
      <c r="F570" s="103">
        <f>IFERROR(INDEX(Tabella9[PLZ],MATCH(Tabella8[[#This Row],[Colonna2]],Tabella9[Ortschaftsname],0)), "Name not found")</f>
        <v>3052</v>
      </c>
      <c r="G570" s="103"/>
      <c r="H570" s="240">
        <f ca="1">SUMIF(Tabella2[[#Headers],[#Data],[Age]],$H$76,Tabella2[[#Headers],[#Data],[Federal taxes]])</f>
        <v>6804.3246087429152</v>
      </c>
      <c r="I570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70" s="240">
        <f ca="1">Tabella8[[#This Row],[Colonna7]]*Tabella8[[#This Row],[Colonna4]]/100</f>
        <v>36575.29459875953</v>
      </c>
      <c r="Q570" s="2"/>
      <c r="R570" s="46"/>
      <c r="S570" s="46"/>
      <c r="T570" s="46"/>
    </row>
    <row r="571" spans="2:20">
      <c r="B571" s="92" t="s">
        <v>138</v>
      </c>
      <c r="C571" s="91" t="s">
        <v>2433</v>
      </c>
      <c r="D571" s="93">
        <v>302.5</v>
      </c>
      <c r="E571" s="93">
        <v>174</v>
      </c>
      <c r="F571" s="103">
        <v>3054</v>
      </c>
      <c r="G571" s="103"/>
      <c r="H571" s="240">
        <f ca="1">SUMIF(Tabella2[[#Headers],[#Data],[Age]],$H$76,Tabella2[[#Headers],[#Data],[Federal taxes]])</f>
        <v>6804.3246087429152</v>
      </c>
      <c r="I571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71" s="240">
        <f ca="1">Tabella8[[#This Row],[Colonna7]]*Tabella8[[#This Row],[Colonna4]]/100</f>
        <v>45457.866144172556</v>
      </c>
      <c r="Q571" s="2"/>
      <c r="R571" s="46"/>
      <c r="S571" s="46"/>
      <c r="T571" s="46"/>
    </row>
    <row r="572" spans="2:20">
      <c r="B572" s="92" t="s">
        <v>138</v>
      </c>
      <c r="C572" s="91" t="s">
        <v>2266</v>
      </c>
      <c r="D572" s="93">
        <v>302.5</v>
      </c>
      <c r="E572" s="93">
        <v>180</v>
      </c>
      <c r="F572" s="103">
        <f>IFERROR(INDEX(Tabella9[PLZ],MATCH(Tabella8[[#This Row],[Colonna2]],Tabella9[Ortschaftsname],0)), "Name not found")</f>
        <v>3770</v>
      </c>
      <c r="G572" s="103"/>
      <c r="H572" s="240">
        <f ca="1">SUMIF(Tabella2[[#Headers],[#Data],[Age]],$H$76,Tabella2[[#Headers],[#Data],[Federal taxes]])</f>
        <v>6804.3246087429152</v>
      </c>
      <c r="I572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72" s="240">
        <f ca="1">Tabella8[[#This Row],[Colonna7]]*Tabella8[[#This Row],[Colonna4]]/100</f>
        <v>47025.378769833682</v>
      </c>
      <c r="Q572" s="2"/>
      <c r="R572" s="46"/>
      <c r="S572" s="46"/>
      <c r="T572" s="46"/>
    </row>
    <row r="573" spans="2:20">
      <c r="B573" s="92" t="s">
        <v>138</v>
      </c>
      <c r="C573" s="91" t="s">
        <v>2323</v>
      </c>
      <c r="D573" s="93">
        <v>302.5</v>
      </c>
      <c r="E573" s="93">
        <v>189</v>
      </c>
      <c r="F573" s="103">
        <f>IFERROR(INDEX(Tabella9[PLZ],MATCH(Tabella8[[#This Row],[Colonna2]],Tabella9[Ortschaftsname],0)), "Name not found")</f>
        <v>3532</v>
      </c>
      <c r="G573" s="103"/>
      <c r="H573" s="240">
        <f ca="1">SUMIF(Tabella2[[#Headers],[#Data],[Age]],$H$76,Tabella2[[#Headers],[#Data],[Federal taxes]])</f>
        <v>6804.3246087429152</v>
      </c>
      <c r="I573" s="240">
        <f ca="1">IFERROR(INDEX(Tabella13[[TI]:[VS commun]], MATCH($H$76, Tabella13[Age], 0), MATCH(Tabella8[[#This Row],[Colonna1]], Tabella13[[#Headers], [TI]:[VS commun]], 0)), "Valore non trovato")*Tabella8[[#This Row],[Colonna3]]/100</f>
        <v>26125.210427685379</v>
      </c>
      <c r="J573" s="240">
        <f ca="1">Tabella8[[#This Row],[Colonna7]]*Tabella8[[#This Row],[Colonna4]]/100</f>
        <v>49376.64770832537</v>
      </c>
      <c r="Q573" s="2"/>
      <c r="R573" s="46"/>
      <c r="S573" s="4"/>
      <c r="T573" s="4"/>
    </row>
    <row r="574" spans="2:20">
      <c r="B574" s="92" t="s">
        <v>140</v>
      </c>
      <c r="C574" s="91" t="s">
        <v>1278</v>
      </c>
      <c r="D574" s="93">
        <v>160</v>
      </c>
      <c r="E574" s="93">
        <v>195</v>
      </c>
      <c r="F574" s="103">
        <f>IFERROR(INDEX(Tabella9[PLZ],MATCH(Tabella8[[#This Row],[Colonna2]],Tabella9[Ortschaftsname],0)), "Name not found")</f>
        <v>6043</v>
      </c>
      <c r="G574" s="103"/>
      <c r="H574" s="240">
        <f ca="1">SUMIF(Tabella2[[#Headers],[#Data],[Age]],$H$76,Tabella2[[#Headers],[#Data],[Federal taxes]])</f>
        <v>6804.3246087429152</v>
      </c>
      <c r="I57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4" s="240">
        <f ca="1">Tabella8[[#This Row],[Colonna7]]*Tabella8[[#This Row],[Colonna4]]/100</f>
        <v>20544.300644655359</v>
      </c>
      <c r="Q574" s="2"/>
      <c r="R574" s="46"/>
      <c r="S574" s="46"/>
      <c r="T574" s="46"/>
    </row>
    <row r="575" spans="2:20">
      <c r="B575" s="92" t="s">
        <v>140</v>
      </c>
      <c r="C575" s="91" t="s">
        <v>1327</v>
      </c>
      <c r="D575" s="93">
        <v>160</v>
      </c>
      <c r="E575" s="93">
        <v>180</v>
      </c>
      <c r="F575" s="103">
        <v>6287</v>
      </c>
      <c r="G575" s="103"/>
      <c r="H575" s="240">
        <f ca="1">SUMIF(Tabella2[[#Headers],[#Data],[Age]],$H$76,Tabella2[[#Headers],[#Data],[Federal taxes]])</f>
        <v>6804.3246087429152</v>
      </c>
      <c r="I57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5" s="240">
        <f ca="1">Tabella8[[#This Row],[Colonna7]]*Tabella8[[#This Row],[Colonna4]]/100</f>
        <v>18963.969825835717</v>
      </c>
      <c r="Q575" s="2"/>
      <c r="R575" s="46"/>
      <c r="S575" s="46"/>
      <c r="T575" s="46"/>
    </row>
    <row r="576" spans="2:20">
      <c r="B576" s="92" t="s">
        <v>140</v>
      </c>
      <c r="C576" s="91" t="s">
        <v>1340</v>
      </c>
      <c r="D576" s="93">
        <v>160</v>
      </c>
      <c r="E576" s="93">
        <v>204.99999999999997</v>
      </c>
      <c r="F576" s="103">
        <f>IFERROR(INDEX(Tabella9[PLZ],MATCH(Tabella8[[#This Row],[Colonna2]],Tabella9[Ortschaftsname],0)), "Name not found")</f>
        <v>6248</v>
      </c>
      <c r="G576" s="103"/>
      <c r="H576" s="240">
        <f ca="1">SUMIF(Tabella2[[#Headers],[#Data],[Age]],$H$76,Tabella2[[#Headers],[#Data],[Federal taxes]])</f>
        <v>6804.3246087429152</v>
      </c>
      <c r="I57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6" s="240">
        <f ca="1">Tabella8[[#This Row],[Colonna7]]*Tabella8[[#This Row],[Colonna4]]/100</f>
        <v>21597.854523868453</v>
      </c>
      <c r="Q576" s="2"/>
      <c r="R576" s="46"/>
      <c r="S576" s="46"/>
      <c r="T576" s="46"/>
    </row>
    <row r="577" spans="2:20">
      <c r="B577" s="92" t="s">
        <v>140</v>
      </c>
      <c r="C577" s="91" t="s">
        <v>1331</v>
      </c>
      <c r="D577" s="93">
        <v>160</v>
      </c>
      <c r="E577" s="93">
        <v>240</v>
      </c>
      <c r="F577" s="103">
        <f>IFERROR(INDEX(Tabella9[PLZ],MATCH(Tabella8[[#This Row],[Colonna2]],Tabella9[Ortschaftsname],0)), "Name not found")</f>
        <v>6147</v>
      </c>
      <c r="G577" s="103"/>
      <c r="H577" s="240">
        <f ca="1">SUMIF(Tabella2[[#Headers],[#Data],[Age]],$H$76,Tabella2[[#Headers],[#Data],[Federal taxes]])</f>
        <v>6804.3246087429152</v>
      </c>
      <c r="I57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7" s="240">
        <f ca="1">Tabella8[[#This Row],[Colonna7]]*Tabella8[[#This Row],[Colonna4]]/100</f>
        <v>25285.29310111429</v>
      </c>
      <c r="Q577" s="2"/>
      <c r="R577" s="46"/>
      <c r="S577" s="4"/>
      <c r="T577" s="4"/>
    </row>
    <row r="578" spans="2:20">
      <c r="B578" s="92" t="s">
        <v>140</v>
      </c>
      <c r="C578" s="91" t="s">
        <v>1318</v>
      </c>
      <c r="D578" s="93">
        <v>160</v>
      </c>
      <c r="E578" s="93">
        <v>170</v>
      </c>
      <c r="F578" s="103">
        <f>IFERROR(INDEX(Tabella9[PLZ],MATCH(Tabella8[[#This Row],[Colonna2]],Tabella9[Ortschaftsname],0)), "Name not found")</f>
        <v>6246</v>
      </c>
      <c r="G578" s="103"/>
      <c r="H578" s="240">
        <f ca="1">SUMIF(Tabella2[[#Headers],[#Data],[Age]],$H$76,Tabella2[[#Headers],[#Data],[Federal taxes]])</f>
        <v>6804.3246087429152</v>
      </c>
      <c r="I57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8" s="240">
        <f ca="1">Tabella8[[#This Row],[Colonna7]]*Tabella8[[#This Row],[Colonna4]]/100</f>
        <v>17910.415946622623</v>
      </c>
      <c r="Q578" s="2"/>
      <c r="R578" s="36">
        <f>IF(Q557&lt;$R$559,$S$558,IF(Q557&lt;$R$560,$S$559+((Q557-$R$559)/100)*$T$559,IF(Q557&lt;$R$561,$S$560+((Q557-$R$560)/100)*$T$560,IF(Q557&lt;$R$562,$S$561+((Q557-$R$561)/100)*$T$561,IF(Q557&lt;$R$563,$S$562+((Q557-$R$562)/100)*$T$562,IF(Q557&lt;$R$564,$S$563+((Q557-$R$563)/100)*$T$563,IF(Q557&lt;$R$565,$S$564+((Q557-$R$564)/100)*$T$564,IF(Q557&lt;$R$566,$S$565+((Q557-$R$565)/100)*$T$565,IF(Q557&lt;$R$567,$S$566+((Q557-$R$566)/100)*$T$566,IF(Q557&lt;$R$568,$S$567+((Q557-$R$567)/100)*$T$567,IF(Q557&gt;=$R$568,$S$568+((Q557-$R$568)/100)*$T$568)))))))))))</f>
        <v>8400</v>
      </c>
      <c r="S578" s="2"/>
      <c r="T578" s="2"/>
    </row>
    <row r="579" spans="2:20">
      <c r="B579" s="92" t="s">
        <v>140</v>
      </c>
      <c r="C579" s="91" t="s">
        <v>1298</v>
      </c>
      <c r="D579" s="93">
        <v>160</v>
      </c>
      <c r="E579" s="93">
        <v>150</v>
      </c>
      <c r="F579" s="103">
        <f>IFERROR(INDEX(Tabella9[PLZ],MATCH(Tabella8[[#This Row],[Colonna2]],Tabella9[Ortschaftsname],0)), "Name not found")</f>
        <v>6275</v>
      </c>
      <c r="G579" s="103"/>
      <c r="H579" s="240">
        <f ca="1">SUMIF(Tabella2[[#Headers],[#Data],[Age]],$H$76,Tabella2[[#Headers],[#Data],[Federal taxes]])</f>
        <v>6804.3246087429152</v>
      </c>
      <c r="I57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79" s="240">
        <f ca="1">Tabella8[[#This Row],[Colonna7]]*Tabella8[[#This Row],[Colonna4]]/100</f>
        <v>15803.30818819643</v>
      </c>
    </row>
    <row r="580" spans="2:20">
      <c r="B580" s="92" t="s">
        <v>140</v>
      </c>
      <c r="C580" s="91" t="s">
        <v>1275</v>
      </c>
      <c r="D580" s="93">
        <v>160</v>
      </c>
      <c r="E580" s="93">
        <v>185</v>
      </c>
      <c r="F580" s="103">
        <f>IFERROR(INDEX(Tabella9[PLZ],MATCH(Tabella8[[#This Row],[Colonna2]],Tabella9[Ortschaftsname],0)), "Name not found")</f>
        <v>6215</v>
      </c>
      <c r="G580" s="103"/>
      <c r="H580" s="240">
        <f ca="1">SUMIF(Tabella2[[#Headers],[#Data],[Age]],$H$76,Tabella2[[#Headers],[#Data],[Federal taxes]])</f>
        <v>6804.3246087429152</v>
      </c>
      <c r="I58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0" s="240">
        <f ca="1">Tabella8[[#This Row],[Colonna7]]*Tabella8[[#This Row],[Colonna4]]/100</f>
        <v>19490.746765442265</v>
      </c>
      <c r="Q580" s="68" t="s">
        <v>2615</v>
      </c>
      <c r="R580" s="21" t="s">
        <v>82</v>
      </c>
      <c r="S580" s="21" t="s">
        <v>2511</v>
      </c>
      <c r="T580" s="21" t="s">
        <v>90</v>
      </c>
    </row>
    <row r="581" spans="2:20">
      <c r="B581" s="92" t="s">
        <v>140</v>
      </c>
      <c r="C581" s="91" t="s">
        <v>1276</v>
      </c>
      <c r="D581" s="93">
        <v>160</v>
      </c>
      <c r="E581" s="93">
        <v>195</v>
      </c>
      <c r="F581" s="103">
        <f>IFERROR(INDEX(Tabella9[PLZ],MATCH(Tabella8[[#This Row],[Colonna2]],Tabella9[Ortschaftsname],0)), "Name not found")</f>
        <v>6033</v>
      </c>
      <c r="G581" s="103"/>
      <c r="H581" s="240">
        <f ca="1">SUMIF(Tabella2[[#Headers],[#Data],[Age]],$H$76,Tabella2[[#Headers],[#Data],[Federal taxes]])</f>
        <v>6804.3246087429152</v>
      </c>
      <c r="I58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1" s="240">
        <f ca="1">Tabella8[[#This Row],[Colonna7]]*Tabella8[[#This Row],[Colonna4]]/100</f>
        <v>20544.300644655359</v>
      </c>
      <c r="Q581" s="94">
        <v>100000</v>
      </c>
      <c r="R581" s="11" t="s">
        <v>2512</v>
      </c>
      <c r="S581" s="11" t="s">
        <v>2513</v>
      </c>
      <c r="T581" s="11" t="s">
        <v>2514</v>
      </c>
    </row>
    <row r="582" spans="2:20">
      <c r="B582" s="92" t="s">
        <v>140</v>
      </c>
      <c r="C582" s="91" t="s">
        <v>1292</v>
      </c>
      <c r="D582" s="93">
        <v>160</v>
      </c>
      <c r="E582" s="93">
        <v>190</v>
      </c>
      <c r="F582" s="103">
        <f>IFERROR(INDEX(Tabella9[PLZ],MATCH(Tabella8[[#This Row],[Colonna2]],Tabella9[Ortschaftsname],0)), "Name not found")</f>
        <v>6018</v>
      </c>
      <c r="G582" s="103"/>
      <c r="H582" s="240">
        <f ca="1">SUMIF(Tabella2[[#Headers],[#Data],[Age]],$H$76,Tabella2[[#Headers],[#Data],[Federal taxes]])</f>
        <v>6804.3246087429152</v>
      </c>
      <c r="I58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2" s="240">
        <f ca="1">Tabella8[[#This Row],[Colonna7]]*Tabella8[[#This Row],[Colonna4]]/100</f>
        <v>20017.523705048814</v>
      </c>
      <c r="Q582" s="26"/>
      <c r="R582" s="4">
        <v>0</v>
      </c>
      <c r="S582" s="4">
        <v>0</v>
      </c>
      <c r="T582" s="4">
        <v>0</v>
      </c>
    </row>
    <row r="583" spans="2:20">
      <c r="B583" s="92" t="s">
        <v>140</v>
      </c>
      <c r="C583" s="91" t="s">
        <v>1305</v>
      </c>
      <c r="D583" s="93">
        <v>160</v>
      </c>
      <c r="E583" s="93">
        <v>200</v>
      </c>
      <c r="F583" s="103">
        <f>IFERROR(INDEX(Tabella9[PLZ],MATCH(Tabella8[[#This Row],[Colonna2]],Tabella9[Ortschaftsname],0)), "Name not found")</f>
        <v>6233</v>
      </c>
      <c r="G583" s="103"/>
      <c r="H583" s="240">
        <f ca="1">SUMIF(Tabella2[[#Headers],[#Data],[Age]],$H$76,Tabella2[[#Headers],[#Data],[Federal taxes]])</f>
        <v>6804.3246087429152</v>
      </c>
      <c r="I58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3" s="240">
        <f ca="1">Tabella8[[#This Row],[Colonna7]]*Tabella8[[#This Row],[Colonna4]]/100</f>
        <v>21071.077584261908</v>
      </c>
      <c r="Q583" s="2"/>
      <c r="R583" s="4">
        <v>12100</v>
      </c>
      <c r="S583" s="4">
        <v>0</v>
      </c>
      <c r="T583" s="4">
        <v>2</v>
      </c>
    </row>
    <row r="584" spans="2:20">
      <c r="B584" s="92" t="s">
        <v>140</v>
      </c>
      <c r="C584" s="91" t="s">
        <v>1277</v>
      </c>
      <c r="D584" s="93">
        <v>160</v>
      </c>
      <c r="E584" s="93">
        <v>175</v>
      </c>
      <c r="F584" s="103">
        <f>IFERROR(INDEX(Tabella9[PLZ],MATCH(Tabella8[[#This Row],[Colonna2]],Tabella9[Ortschaftsname],0)), "Name not found")</f>
        <v>6252</v>
      </c>
      <c r="G584" s="103"/>
      <c r="H584" s="240">
        <f ca="1">SUMIF(Tabella2[[#Headers],[#Data],[Age]],$H$76,Tabella2[[#Headers],[#Data],[Federal taxes]])</f>
        <v>6804.3246087429152</v>
      </c>
      <c r="I58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4" s="240">
        <f ca="1">Tabella8[[#This Row],[Colonna7]]*Tabella8[[#This Row],[Colonna4]]/100</f>
        <v>18437.192886229168</v>
      </c>
      <c r="Q584" s="2"/>
      <c r="R584" s="4">
        <v>14500</v>
      </c>
      <c r="S584" s="4">
        <v>48</v>
      </c>
      <c r="T584" s="4">
        <v>3</v>
      </c>
    </row>
    <row r="585" spans="2:20">
      <c r="B585" s="92" t="s">
        <v>140</v>
      </c>
      <c r="C585" s="91" t="s">
        <v>1320</v>
      </c>
      <c r="D585" s="93">
        <v>160</v>
      </c>
      <c r="E585" s="93">
        <v>185</v>
      </c>
      <c r="F585" s="103">
        <f>IFERROR(INDEX(Tabella9[PLZ],MATCH(Tabella8[[#This Row],[Colonna2]],Tabella9[Ortschaftsname],0)), "Name not found")</f>
        <v>6036</v>
      </c>
      <c r="G585" s="103"/>
      <c r="H585" s="240">
        <f ca="1">SUMIF(Tabella2[[#Headers],[#Data],[Age]],$H$76,Tabella2[[#Headers],[#Data],[Federal taxes]])</f>
        <v>6804.3246087429152</v>
      </c>
      <c r="I58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5" s="240">
        <f ca="1">Tabella8[[#This Row],[Colonna7]]*Tabella8[[#This Row],[Colonna4]]/100</f>
        <v>19490.746765442265</v>
      </c>
      <c r="Q585" s="2"/>
      <c r="R585" s="4">
        <v>16600</v>
      </c>
      <c r="S585" s="4">
        <v>111</v>
      </c>
      <c r="T585" s="4">
        <v>4</v>
      </c>
    </row>
    <row r="586" spans="2:20">
      <c r="B586" s="92" t="s">
        <v>140</v>
      </c>
      <c r="C586" s="91" t="s">
        <v>1336</v>
      </c>
      <c r="D586" s="93">
        <v>160</v>
      </c>
      <c r="E586" s="93">
        <v>229.99999999999997</v>
      </c>
      <c r="F586" s="103">
        <f>IFERROR(INDEX(Tabella9[PLZ],MATCH(Tabella8[[#This Row],[Colonna2]],Tabella9[Ortschaftsname],0)), "Name not found")</f>
        <v>6112</v>
      </c>
      <c r="G586" s="103"/>
      <c r="H586" s="240">
        <f ca="1">SUMIF(Tabella2[[#Headers],[#Data],[Age]],$H$76,Tabella2[[#Headers],[#Data],[Federal taxes]])</f>
        <v>6804.3246087429152</v>
      </c>
      <c r="I58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6" s="240">
        <f ca="1">Tabella8[[#This Row],[Colonna7]]*Tabella8[[#This Row],[Colonna4]]/100</f>
        <v>24231.739221901189</v>
      </c>
      <c r="Q586" s="2"/>
      <c r="R586" s="4">
        <v>18700</v>
      </c>
      <c r="S586" s="4">
        <v>195</v>
      </c>
      <c r="T586" s="4">
        <v>5</v>
      </c>
    </row>
    <row r="587" spans="2:20">
      <c r="B587" s="92" t="s">
        <v>140</v>
      </c>
      <c r="C587" s="91" t="s">
        <v>1265</v>
      </c>
      <c r="D587" s="93">
        <v>160</v>
      </c>
      <c r="E587" s="93">
        <v>205</v>
      </c>
      <c r="F587" s="103">
        <f>IFERROR(INDEX(Tabella9[PLZ],MATCH(Tabella8[[#This Row],[Colonna2]],Tabella9[Ortschaftsname],0)), "Name not found")</f>
        <v>6030</v>
      </c>
      <c r="G587" s="103"/>
      <c r="H587" s="240">
        <f ca="1">SUMIF(Tabella2[[#Headers],[#Data],[Age]],$H$76,Tabella2[[#Headers],[#Data],[Federal taxes]])</f>
        <v>6804.3246087429152</v>
      </c>
      <c r="I58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7" s="240">
        <f ca="1">Tabella8[[#This Row],[Colonna7]]*Tabella8[[#This Row],[Colonna4]]/100</f>
        <v>21597.854523868453</v>
      </c>
      <c r="Q587" s="2"/>
      <c r="R587" s="4">
        <v>20800</v>
      </c>
      <c r="S587" s="4">
        <v>300</v>
      </c>
      <c r="T587" s="4">
        <v>6</v>
      </c>
    </row>
    <row r="588" spans="2:20">
      <c r="B588" s="92" t="s">
        <v>140</v>
      </c>
      <c r="C588" s="91" t="s">
        <v>1322</v>
      </c>
      <c r="D588" s="93">
        <v>160</v>
      </c>
      <c r="E588" s="93">
        <v>204.99999999999997</v>
      </c>
      <c r="F588" s="103">
        <f>IFERROR(INDEX(Tabella9[PLZ],MATCH(Tabella8[[#This Row],[Colonna2]],Tabella9[Ortschaftsname],0)), "Name not found")</f>
        <v>6243</v>
      </c>
      <c r="G588" s="103"/>
      <c r="H588" s="240">
        <f ca="1">SUMIF(Tabella2[[#Headers],[#Data],[Age]],$H$76,Tabella2[[#Headers],[#Data],[Federal taxes]])</f>
        <v>6804.3246087429152</v>
      </c>
      <c r="I58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8" s="240">
        <f ca="1">Tabella8[[#This Row],[Colonna7]]*Tabella8[[#This Row],[Colonna4]]/100</f>
        <v>21597.854523868453</v>
      </c>
      <c r="Q588" s="2"/>
      <c r="R588" s="4">
        <v>36400</v>
      </c>
      <c r="S588" s="4">
        <v>1236</v>
      </c>
      <c r="T588" s="4">
        <v>7</v>
      </c>
    </row>
    <row r="589" spans="2:20">
      <c r="B589" s="92" t="s">
        <v>140</v>
      </c>
      <c r="C589" s="91" t="s">
        <v>1317</v>
      </c>
      <c r="D589" s="93">
        <v>160</v>
      </c>
      <c r="E589" s="93">
        <v>110.00000000000001</v>
      </c>
      <c r="F589" s="103">
        <f>IFERROR(INDEX(Tabella9[PLZ],MATCH(Tabella8[[#This Row],[Colonna2]],Tabella9[Ortschaftsname],0)), "Name not found")</f>
        <v>6205</v>
      </c>
      <c r="G589" s="103"/>
      <c r="H589" s="240">
        <f ca="1">SUMIF(Tabella2[[#Headers],[#Data],[Age]],$H$76,Tabella2[[#Headers],[#Data],[Federal taxes]])</f>
        <v>6804.3246087429152</v>
      </c>
      <c r="I58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89" s="240">
        <f ca="1">Tabella8[[#This Row],[Colonna7]]*Tabella8[[#This Row],[Colonna4]]/100</f>
        <v>11589.092671344049</v>
      </c>
      <c r="Q589" s="2"/>
      <c r="R589" s="4">
        <v>83300</v>
      </c>
      <c r="S589" s="4">
        <v>4519</v>
      </c>
      <c r="T589" s="4">
        <v>7.5</v>
      </c>
    </row>
    <row r="590" spans="2:20">
      <c r="B590" s="92" t="s">
        <v>140</v>
      </c>
      <c r="C590" s="91" t="s">
        <v>1262</v>
      </c>
      <c r="D590" s="93">
        <v>160</v>
      </c>
      <c r="E590" s="93">
        <v>215</v>
      </c>
      <c r="F590" s="103">
        <f>IFERROR(INDEX(Tabella9[PLZ],MATCH(Tabella8[[#This Row],[Colonna2]],Tabella9[Ortschaftsname],0)), "Name not found")</f>
        <v>6032</v>
      </c>
      <c r="G590" s="103"/>
      <c r="H590" s="240">
        <f ca="1">SUMIF(Tabella2[[#Headers],[#Data],[Age]],$H$76,Tabella2[[#Headers],[#Data],[Federal taxes]])</f>
        <v>6804.3246087429152</v>
      </c>
      <c r="I59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0" s="240">
        <f ca="1">Tabella8[[#This Row],[Colonna7]]*Tabella8[[#This Row],[Colonna4]]/100</f>
        <v>22651.40840308155</v>
      </c>
      <c r="Q590" s="2"/>
      <c r="R590" s="4">
        <v>156400</v>
      </c>
      <c r="S590" s="4">
        <v>10002</v>
      </c>
      <c r="T590" s="4">
        <v>8</v>
      </c>
    </row>
    <row r="591" spans="2:20">
      <c r="B591" s="92" t="s">
        <v>140</v>
      </c>
      <c r="C591" s="91" t="s">
        <v>1291</v>
      </c>
      <c r="D591" s="93">
        <v>160</v>
      </c>
      <c r="E591" s="93">
        <v>210</v>
      </c>
      <c r="F591" s="103">
        <f>IFERROR(INDEX(Tabella9[PLZ],MATCH(Tabella8[[#This Row],[Colonna2]],Tabella9[Ortschaftsname],0)), "Name not found")</f>
        <v>6162</v>
      </c>
      <c r="G591" s="103"/>
      <c r="H591" s="240">
        <f ca="1">SUMIF(Tabella2[[#Headers],[#Data],[Age]],$H$76,Tabella2[[#Headers],[#Data],[Federal taxes]])</f>
        <v>6804.3246087429152</v>
      </c>
      <c r="I59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1" s="240">
        <f ca="1">Tabella8[[#This Row],[Colonna7]]*Tabella8[[#This Row],[Colonna4]]/100</f>
        <v>22124.631463475005</v>
      </c>
      <c r="Q591" s="2"/>
      <c r="R591" s="4"/>
      <c r="S591" s="4"/>
      <c r="T591" s="4"/>
    </row>
    <row r="592" spans="2:20">
      <c r="B592" s="92" t="s">
        <v>140</v>
      </c>
      <c r="C592" s="91" t="s">
        <v>1332</v>
      </c>
      <c r="D592" s="93">
        <v>160</v>
      </c>
      <c r="E592" s="93">
        <v>195</v>
      </c>
      <c r="F592" s="103">
        <f>IFERROR(INDEX(Tabella9[PLZ],MATCH(Tabella8[[#This Row],[Colonna2]],Tabella9[Ortschaftsname],0)), "Name not found")</f>
        <v>6294</v>
      </c>
      <c r="G592" s="103"/>
      <c r="H592" s="240">
        <f ca="1">SUMIF(Tabella2[[#Headers],[#Data],[Age]],$H$76,Tabella2[[#Headers],[#Data],[Federal taxes]])</f>
        <v>6804.3246087429152</v>
      </c>
      <c r="I59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2" s="240">
        <f ca="1">Tabella8[[#This Row],[Colonna7]]*Tabella8[[#This Row],[Colonna4]]/100</f>
        <v>20544.300644655359</v>
      </c>
      <c r="Q592" s="2"/>
      <c r="R592" s="4"/>
      <c r="S592" s="4"/>
      <c r="T592" s="4"/>
    </row>
    <row r="593" spans="2:20">
      <c r="B593" s="92" t="s">
        <v>140</v>
      </c>
      <c r="C593" s="91" t="s">
        <v>1290</v>
      </c>
      <c r="D593" s="93">
        <v>160</v>
      </c>
      <c r="E593" s="93">
        <v>140</v>
      </c>
      <c r="F593" s="103">
        <v>6274</v>
      </c>
      <c r="G593" s="103"/>
      <c r="H593" s="240">
        <f ca="1">SUMIF(Tabella2[[#Headers],[#Data],[Age]],$H$76,Tabella2[[#Headers],[#Data],[Federal taxes]])</f>
        <v>6804.3246087429152</v>
      </c>
      <c r="I59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3" s="240">
        <f ca="1">Tabella8[[#This Row],[Colonna7]]*Tabella8[[#This Row],[Colonna4]]/100</f>
        <v>14749.754308983334</v>
      </c>
      <c r="Q593" s="2"/>
      <c r="R593" s="4"/>
      <c r="S593" s="4"/>
      <c r="T593" s="4"/>
    </row>
    <row r="594" spans="2:20">
      <c r="B594" s="92" t="s">
        <v>140</v>
      </c>
      <c r="C594" s="91" t="s">
        <v>1286</v>
      </c>
      <c r="D594" s="93">
        <v>160</v>
      </c>
      <c r="E594" s="93">
        <v>200</v>
      </c>
      <c r="F594" s="103">
        <v>6182</v>
      </c>
      <c r="G594" s="103"/>
      <c r="H594" s="240">
        <f ca="1">SUMIF(Tabella2[[#Headers],[#Data],[Age]],$H$76,Tabella2[[#Headers],[#Data],[Federal taxes]])</f>
        <v>6804.3246087429152</v>
      </c>
      <c r="I59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4" s="240">
        <f ca="1">Tabella8[[#This Row],[Colonna7]]*Tabella8[[#This Row],[Colonna4]]/100</f>
        <v>21071.077584261908</v>
      </c>
      <c r="Q594" s="2"/>
      <c r="R594" s="46"/>
      <c r="S594" s="46"/>
      <c r="T594" s="46"/>
    </row>
    <row r="595" spans="2:20">
      <c r="B595" s="92" t="s">
        <v>140</v>
      </c>
      <c r="C595" s="91" t="s">
        <v>1300</v>
      </c>
      <c r="D595" s="93">
        <v>160</v>
      </c>
      <c r="E595" s="93">
        <v>215</v>
      </c>
      <c r="F595" s="103">
        <f>IFERROR(INDEX(Tabella9[PLZ],MATCH(Tabella8[[#This Row],[Colonna2]],Tabella9[Ortschaftsname],0)), "Name not found")</f>
        <v>6218</v>
      </c>
      <c r="G595" s="103"/>
      <c r="H595" s="240">
        <f ca="1">SUMIF(Tabella2[[#Headers],[#Data],[Age]],$H$76,Tabella2[[#Headers],[#Data],[Federal taxes]])</f>
        <v>6804.3246087429152</v>
      </c>
      <c r="I59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5" s="240">
        <f ca="1">Tabella8[[#This Row],[Colonna7]]*Tabella8[[#This Row],[Colonna4]]/100</f>
        <v>22651.40840308155</v>
      </c>
      <c r="Q595" s="2"/>
      <c r="R595" s="46"/>
      <c r="S595" s="46"/>
      <c r="T595" s="46"/>
    </row>
    <row r="596" spans="2:20">
      <c r="B596" s="92" t="s">
        <v>140</v>
      </c>
      <c r="C596" s="91" t="s">
        <v>2616</v>
      </c>
      <c r="D596" s="93">
        <v>160</v>
      </c>
      <c r="E596" s="93">
        <v>220.00000000000003</v>
      </c>
      <c r="F596" s="103">
        <v>6145</v>
      </c>
      <c r="G596" s="103"/>
      <c r="H596" s="240">
        <f ca="1">SUMIF(Tabella2[[#Headers],[#Data],[Age]],$H$76,Tabella2[[#Headers],[#Data],[Federal taxes]])</f>
        <v>6804.3246087429152</v>
      </c>
      <c r="I59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6" s="240">
        <f ca="1">Tabella8[[#This Row],[Colonna7]]*Tabella8[[#This Row],[Colonna4]]/100</f>
        <v>23178.185342688099</v>
      </c>
      <c r="Q596" s="2"/>
      <c r="R596" s="46"/>
      <c r="S596" s="46"/>
      <c r="T596" s="46"/>
    </row>
    <row r="597" spans="2:20">
      <c r="B597" s="92" t="s">
        <v>140</v>
      </c>
      <c r="C597" s="91" t="s">
        <v>1312</v>
      </c>
      <c r="D597" s="93">
        <v>160</v>
      </c>
      <c r="E597" s="93">
        <v>220.00000000000003</v>
      </c>
      <c r="F597" s="103">
        <v>6173</v>
      </c>
      <c r="G597" s="103"/>
      <c r="H597" s="240">
        <f ca="1">SUMIF(Tabella2[[#Headers],[#Data],[Age]],$H$76,Tabella2[[#Headers],[#Data],[Federal taxes]])</f>
        <v>6804.3246087429152</v>
      </c>
      <c r="I59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7" s="240">
        <f ca="1">Tabella8[[#This Row],[Colonna7]]*Tabella8[[#This Row],[Colonna4]]/100</f>
        <v>23178.185342688099</v>
      </c>
      <c r="Q597" s="2"/>
      <c r="R597" s="46"/>
      <c r="S597" s="4"/>
      <c r="T597" s="4"/>
    </row>
    <row r="598" spans="2:20">
      <c r="B598" s="92" t="s">
        <v>140</v>
      </c>
      <c r="C598" s="91" t="s">
        <v>1295</v>
      </c>
      <c r="D598" s="93">
        <v>160</v>
      </c>
      <c r="E598" s="93">
        <v>204.99999999999997</v>
      </c>
      <c r="F598" s="103">
        <f>IFERROR(INDEX(Tabella9[PLZ],MATCH(Tabella8[[#This Row],[Colonna2]],Tabella9[Ortschaftsname],0)), "Name not found")</f>
        <v>6232</v>
      </c>
      <c r="G598" s="103"/>
      <c r="H598" s="240">
        <f ca="1">SUMIF(Tabella2[[#Headers],[#Data],[Age]],$H$76,Tabella2[[#Headers],[#Data],[Federal taxes]])</f>
        <v>6804.3246087429152</v>
      </c>
      <c r="I59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8" s="240">
        <f ca="1">Tabella8[[#This Row],[Colonna7]]*Tabella8[[#This Row],[Colonna4]]/100</f>
        <v>21597.854523868453</v>
      </c>
      <c r="Q598" s="2"/>
      <c r="R598" s="46"/>
      <c r="S598" s="46"/>
      <c r="T598" s="46"/>
    </row>
    <row r="599" spans="2:20">
      <c r="B599" s="92" t="s">
        <v>140</v>
      </c>
      <c r="C599" s="91" t="s">
        <v>1325</v>
      </c>
      <c r="D599" s="93">
        <v>160</v>
      </c>
      <c r="E599" s="93">
        <v>160</v>
      </c>
      <c r="F599" s="103">
        <f>IFERROR(INDEX(Tabella9[PLZ],MATCH(Tabella8[[#This Row],[Colonna2]],Tabella9[Ortschaftsname],0)), "Name not found")</f>
        <v>6038</v>
      </c>
      <c r="G599" s="103"/>
      <c r="H599" s="240">
        <f ca="1">SUMIF(Tabella2[[#Headers],[#Data],[Age]],$H$76,Tabella2[[#Headers],[#Data],[Federal taxes]])</f>
        <v>6804.3246087429152</v>
      </c>
      <c r="I59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599" s="240">
        <f ca="1">Tabella8[[#This Row],[Colonna7]]*Tabella8[[#This Row],[Colonna4]]/100</f>
        <v>16856.862067409525</v>
      </c>
      <c r="Q599" s="2"/>
      <c r="R599" s="46"/>
      <c r="S599" s="46"/>
      <c r="T599" s="46"/>
    </row>
    <row r="600" spans="2:20">
      <c r="B600" s="92" t="s">
        <v>140</v>
      </c>
      <c r="C600" s="91" t="s">
        <v>1329</v>
      </c>
      <c r="D600" s="93">
        <v>160</v>
      </c>
      <c r="E600" s="93">
        <v>175</v>
      </c>
      <c r="F600" s="103">
        <f>IFERROR(INDEX(Tabella9[PLZ],MATCH(Tabella8[[#This Row],[Colonna2]],Tabella9[Ortschaftsname],0)), "Name not found")</f>
        <v>6404</v>
      </c>
      <c r="G600" s="103"/>
      <c r="H600" s="240">
        <f ca="1">SUMIF(Tabella2[[#Headers],[#Data],[Age]],$H$76,Tabella2[[#Headers],[#Data],[Federal taxes]])</f>
        <v>6804.3246087429152</v>
      </c>
      <c r="I60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0" s="240">
        <f ca="1">Tabella8[[#This Row],[Colonna7]]*Tabella8[[#This Row],[Colonna4]]/100</f>
        <v>18437.192886229168</v>
      </c>
      <c r="Q600" s="2"/>
      <c r="R600" s="46"/>
      <c r="S600" s="46"/>
      <c r="T600" s="46"/>
    </row>
    <row r="601" spans="2:20">
      <c r="B601" s="92" t="s">
        <v>140</v>
      </c>
      <c r="C601" s="91" t="s">
        <v>1335</v>
      </c>
      <c r="D601" s="93">
        <v>160</v>
      </c>
      <c r="E601" s="93">
        <v>229.99999999999997</v>
      </c>
      <c r="F601" s="103">
        <f>IFERROR(INDEX(Tabella9[PLZ],MATCH(Tabella8[[#This Row],[Colonna2]],Tabella9[Ortschaftsname],0)), "Name not found")</f>
        <v>6146</v>
      </c>
      <c r="G601" s="103"/>
      <c r="H601" s="240">
        <f ca="1">SUMIF(Tabella2[[#Headers],[#Data],[Age]],$H$76,Tabella2[[#Headers],[#Data],[Federal taxes]])</f>
        <v>6804.3246087429152</v>
      </c>
      <c r="I60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1" s="240">
        <f ca="1">Tabella8[[#This Row],[Colonna7]]*Tabella8[[#This Row],[Colonna4]]/100</f>
        <v>24231.739221901189</v>
      </c>
      <c r="Q601" s="2"/>
      <c r="R601" s="46"/>
      <c r="S601" s="4"/>
      <c r="T601" s="4"/>
    </row>
    <row r="602" spans="2:20">
      <c r="B602" s="92" t="s">
        <v>140</v>
      </c>
      <c r="C602" s="91" t="s">
        <v>1293</v>
      </c>
      <c r="D602" s="93">
        <v>160</v>
      </c>
      <c r="E602" s="93">
        <v>185</v>
      </c>
      <c r="F602" s="103">
        <f>IFERROR(INDEX(Tabella9[PLZ],MATCH(Tabella8[[#This Row],[Colonna2]],Tabella9[Ortschaftsname],0)), "Name not found")</f>
        <v>6022</v>
      </c>
      <c r="G602" s="103"/>
      <c r="H602" s="240">
        <f ca="1">SUMIF(Tabella2[[#Headers],[#Data],[Age]],$H$76,Tabella2[[#Headers],[#Data],[Federal taxes]])</f>
        <v>6804.3246087429152</v>
      </c>
      <c r="I60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2" s="240">
        <f ca="1">Tabella8[[#This Row],[Colonna7]]*Tabella8[[#This Row],[Colonna4]]/100</f>
        <v>19490.746765442265</v>
      </c>
      <c r="Q602" s="2"/>
      <c r="R602" s="36">
        <f>IF(Q581&lt;$R$583,$S$582,IF(Q581&lt;$R$584,$S$583+((Q581-$R$583)/100)*$T$583,IF(Q581&lt;$R$585,$S$584+((Q581-$R$584)/100)*$T$584,IF(Q581&lt;$R$586,$S$585+((Q581-$R$585)/100)*$T$585,IF(Q581&lt;$R$587,$S$586+((Q581-$R$586)/100)*$T$586,IF(Q581&lt;$R$588,$S$587+((Q581-$R$587)/100)*$T$587,IF(Q581&lt;$R$589,$S$588+((Q581-$R$588)/100)*$T$588,IF(Q581&lt;$R$590,$S$589+((Q581-$R$589)/100)*$T$589,IF(Q581&gt;=$R$590,$S$590+((Q581-$R$590)/100)*$T$590)))))))))</f>
        <v>5771.5</v>
      </c>
      <c r="S602" s="2"/>
      <c r="T602" s="2"/>
    </row>
    <row r="603" spans="2:20">
      <c r="B603" s="92" t="s">
        <v>140</v>
      </c>
      <c r="C603" s="91" t="s">
        <v>1315</v>
      </c>
      <c r="D603" s="93">
        <v>160</v>
      </c>
      <c r="E603" s="93">
        <v>229.99999999999997</v>
      </c>
      <c r="F603" s="103">
        <v>6166</v>
      </c>
      <c r="G603" s="103"/>
      <c r="H603" s="240">
        <f ca="1">SUMIF(Tabella2[[#Headers],[#Data],[Age]],$H$76,Tabella2[[#Headers],[#Data],[Federal taxes]])</f>
        <v>6804.3246087429152</v>
      </c>
      <c r="I60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3" s="240">
        <f ca="1">Tabella8[[#This Row],[Colonna7]]*Tabella8[[#This Row],[Colonna4]]/100</f>
        <v>24231.739221901189</v>
      </c>
    </row>
    <row r="604" spans="2:20">
      <c r="B604" s="92" t="s">
        <v>140</v>
      </c>
      <c r="C604" s="91" t="s">
        <v>2617</v>
      </c>
      <c r="D604" s="93">
        <v>160</v>
      </c>
      <c r="E604" s="93">
        <v>200</v>
      </c>
      <c r="F604" s="103">
        <v>6133</v>
      </c>
      <c r="G604" s="103"/>
      <c r="H604" s="240">
        <f ca="1">SUMIF(Tabella2[[#Headers],[#Data],[Age]],$H$76,Tabella2[[#Headers],[#Data],[Federal taxes]])</f>
        <v>6804.3246087429152</v>
      </c>
      <c r="I60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4" s="240">
        <f ca="1">Tabella8[[#This Row],[Colonna7]]*Tabella8[[#This Row],[Colonna4]]/100</f>
        <v>21071.077584261908</v>
      </c>
      <c r="Q604" s="68" t="s">
        <v>2602</v>
      </c>
      <c r="R604" s="21" t="s">
        <v>82</v>
      </c>
      <c r="S604" s="21" t="s">
        <v>2511</v>
      </c>
      <c r="T604" s="21" t="s">
        <v>90</v>
      </c>
    </row>
    <row r="605" spans="2:20">
      <c r="B605" s="92" t="s">
        <v>140</v>
      </c>
      <c r="C605" s="91" t="s">
        <v>1307</v>
      </c>
      <c r="D605" s="93">
        <v>160</v>
      </c>
      <c r="E605" s="93">
        <v>150</v>
      </c>
      <c r="F605" s="103">
        <f>IFERROR(INDEX(Tabella9[PLZ],MATCH(Tabella8[[#This Row],[Colonna2]],Tabella9[Ortschaftsname],0)), "Name not found")</f>
        <v>6024</v>
      </c>
      <c r="G605" s="103"/>
      <c r="H605" s="240">
        <f ca="1">SUMIF(Tabella2[[#Headers],[#Data],[Age]],$H$76,Tabella2[[#Headers],[#Data],[Federal taxes]])</f>
        <v>6804.3246087429152</v>
      </c>
      <c r="I60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5" s="240">
        <f ca="1">Tabella8[[#This Row],[Colonna7]]*Tabella8[[#This Row],[Colonna4]]/100</f>
        <v>15803.30818819643</v>
      </c>
      <c r="Q605" s="94">
        <v>100000</v>
      </c>
      <c r="R605" s="11" t="s">
        <v>2512</v>
      </c>
      <c r="S605" s="11" t="s">
        <v>2525</v>
      </c>
      <c r="T605" s="11"/>
    </row>
    <row r="606" spans="2:20">
      <c r="B606" s="92" t="s">
        <v>140</v>
      </c>
      <c r="C606" s="91" t="s">
        <v>1279</v>
      </c>
      <c r="D606" s="93">
        <v>160</v>
      </c>
      <c r="E606" s="93">
        <v>180</v>
      </c>
      <c r="F606" s="103">
        <f>IFERROR(INDEX(Tabella9[PLZ],MATCH(Tabella8[[#This Row],[Colonna2]],Tabella9[Ortschaftsname],0)), "Name not found")</f>
        <v>6285</v>
      </c>
      <c r="G606" s="103"/>
      <c r="H606" s="240">
        <f ca="1">SUMIF(Tabella2[[#Headers],[#Data],[Age]],$H$76,Tabella2[[#Headers],[#Data],[Federal taxes]])</f>
        <v>6804.3246087429152</v>
      </c>
      <c r="I60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6" s="240">
        <f ca="1">Tabella8[[#This Row],[Colonna7]]*Tabella8[[#This Row],[Colonna4]]/100</f>
        <v>18963.969825835717</v>
      </c>
      <c r="Q606" s="26"/>
      <c r="R606" s="4">
        <v>0</v>
      </c>
      <c r="S606" s="39">
        <v>7.0999999999999994E-2</v>
      </c>
      <c r="T606" s="4"/>
    </row>
    <row r="607" spans="2:20">
      <c r="B607" s="92" t="s">
        <v>140</v>
      </c>
      <c r="C607" s="91" t="s">
        <v>1267</v>
      </c>
      <c r="D607" s="93">
        <v>160</v>
      </c>
      <c r="E607" s="93">
        <v>190</v>
      </c>
      <c r="F607" s="103">
        <f>IFERROR(INDEX(Tabella9[PLZ],MATCH(Tabella8[[#This Row],[Colonna2]],Tabella9[Ortschaftsname],0)), "Name not found")</f>
        <v>6280</v>
      </c>
      <c r="G607" s="103"/>
      <c r="H607" s="240">
        <f ca="1">SUMIF(Tabella2[[#Headers],[#Data],[Age]],$H$76,Tabella2[[#Headers],[#Data],[Federal taxes]])</f>
        <v>6804.3246087429152</v>
      </c>
      <c r="I60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7" s="240">
        <f ca="1">Tabella8[[#This Row],[Colonna7]]*Tabella8[[#This Row],[Colonna4]]/100</f>
        <v>20017.523705048814</v>
      </c>
      <c r="Q607" s="2"/>
      <c r="R607" s="4"/>
      <c r="S607" s="39"/>
      <c r="T607" s="4"/>
    </row>
    <row r="608" spans="2:20">
      <c r="B608" s="92" t="s">
        <v>140</v>
      </c>
      <c r="C608" s="91" t="s">
        <v>1304</v>
      </c>
      <c r="D608" s="93">
        <v>160</v>
      </c>
      <c r="E608" s="93">
        <v>215</v>
      </c>
      <c r="F608" s="103">
        <f>IFERROR(INDEX(Tabella9[PLZ],MATCH(Tabella8[[#This Row],[Colonna2]],Tabella9[Ortschaftsname],0)), "Name not found")</f>
        <v>6276</v>
      </c>
      <c r="G608" s="103"/>
      <c r="H608" s="240">
        <f ca="1">SUMIF(Tabella2[[#Headers],[#Data],[Age]],$H$76,Tabella2[[#Headers],[#Data],[Federal taxes]])</f>
        <v>6804.3246087429152</v>
      </c>
      <c r="I60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8" s="240">
        <f ca="1">Tabella8[[#This Row],[Colonna7]]*Tabella8[[#This Row],[Colonna4]]/100</f>
        <v>22651.40840308155</v>
      </c>
      <c r="Q608" s="2"/>
      <c r="R608" s="4"/>
      <c r="S608" s="39"/>
      <c r="T608" s="4"/>
    </row>
    <row r="609" spans="2:20">
      <c r="B609" s="92" t="s">
        <v>140</v>
      </c>
      <c r="C609" s="91" t="s">
        <v>1342</v>
      </c>
      <c r="D609" s="93">
        <v>160</v>
      </c>
      <c r="E609" s="93">
        <v>180</v>
      </c>
      <c r="F609" s="103">
        <f>IFERROR(INDEX(Tabella9[PLZ],MATCH(Tabella8[[#This Row],[Colonna2]],Tabella9[Ortschaftsname],0)), "Name not found")</f>
        <v>6038</v>
      </c>
      <c r="G609" s="103"/>
      <c r="H609" s="240">
        <f ca="1">SUMIF(Tabella2[[#Headers],[#Data],[Age]],$H$76,Tabella2[[#Headers],[#Data],[Federal taxes]])</f>
        <v>6804.3246087429152</v>
      </c>
      <c r="I60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09" s="240">
        <f ca="1">Tabella8[[#This Row],[Colonna7]]*Tabella8[[#This Row],[Colonna4]]/100</f>
        <v>18963.969825835717</v>
      </c>
      <c r="Q609" s="2"/>
      <c r="R609" s="4"/>
      <c r="S609" s="39"/>
      <c r="T609" s="4"/>
    </row>
    <row r="610" spans="2:20">
      <c r="B610" s="92" t="s">
        <v>140</v>
      </c>
      <c r="C610" s="91" t="s">
        <v>1264</v>
      </c>
      <c r="D610" s="93">
        <v>160</v>
      </c>
      <c r="E610" s="93">
        <v>145</v>
      </c>
      <c r="F610" s="103">
        <f>IFERROR(INDEX(Tabella9[PLZ],MATCH(Tabella8[[#This Row],[Colonna2]],Tabella9[Ortschaftsname],0)), "Name not found")</f>
        <v>6048</v>
      </c>
      <c r="G610" s="103"/>
      <c r="H610" s="240">
        <f ca="1">SUMIF(Tabella2[[#Headers],[#Data],[Age]],$H$76,Tabella2[[#Headers],[#Data],[Federal taxes]])</f>
        <v>6804.3246087429152</v>
      </c>
      <c r="I61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0" s="240">
        <f ca="1">Tabella8[[#This Row],[Colonna7]]*Tabella8[[#This Row],[Colonna4]]/100</f>
        <v>15276.531248589883</v>
      </c>
      <c r="Q610" s="2"/>
      <c r="R610" s="4"/>
      <c r="S610" s="39"/>
      <c r="T610" s="2"/>
    </row>
    <row r="611" spans="2:20">
      <c r="B611" s="92" t="s">
        <v>140</v>
      </c>
      <c r="C611" s="91" t="s">
        <v>1303</v>
      </c>
      <c r="D611" s="93">
        <v>160</v>
      </c>
      <c r="E611" s="93">
        <v>170</v>
      </c>
      <c r="F611" s="103">
        <f>IFERROR(INDEX(Tabella9[PLZ],MATCH(Tabella8[[#This Row],[Colonna2]],Tabella9[Ortschaftsname],0)), "Name not found")</f>
        <v>6034</v>
      </c>
      <c r="G611" s="103"/>
      <c r="H611" s="240">
        <f ca="1">SUMIF(Tabella2[[#Headers],[#Data],[Age]],$H$76,Tabella2[[#Headers],[#Data],[Federal taxes]])</f>
        <v>6804.3246087429152</v>
      </c>
      <c r="I61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1" s="240">
        <f ca="1">Tabella8[[#This Row],[Colonna7]]*Tabella8[[#This Row],[Colonna4]]/100</f>
        <v>17910.415946622623</v>
      </c>
      <c r="Q611" s="2"/>
      <c r="R611" s="4"/>
      <c r="S611" s="39"/>
      <c r="T611" s="2"/>
    </row>
    <row r="612" spans="2:20">
      <c r="B612" s="92" t="s">
        <v>140</v>
      </c>
      <c r="C612" s="91" t="s">
        <v>1308</v>
      </c>
      <c r="D612" s="93">
        <v>160</v>
      </c>
      <c r="E612" s="93">
        <v>215</v>
      </c>
      <c r="F612" s="103">
        <f>IFERROR(INDEX(Tabella9[PLZ],MATCH(Tabella8[[#This Row],[Colonna2]],Tabella9[Ortschaftsname],0)), "Name not found")</f>
        <v>6213</v>
      </c>
      <c r="G612" s="103"/>
      <c r="H612" s="240">
        <f ca="1">SUMIF(Tabella2[[#Headers],[#Data],[Age]],$H$76,Tabella2[[#Headers],[#Data],[Federal taxes]])</f>
        <v>6804.3246087429152</v>
      </c>
      <c r="I61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2" s="240">
        <f ca="1">Tabella8[[#This Row],[Colonna7]]*Tabella8[[#This Row],[Colonna4]]/100</f>
        <v>22651.40840308155</v>
      </c>
      <c r="Q612" s="2"/>
      <c r="R612" s="36">
        <f>Q605*$S$606</f>
        <v>7099.9999999999991</v>
      </c>
      <c r="S612" s="2"/>
      <c r="T612" s="2"/>
    </row>
    <row r="613" spans="2:20">
      <c r="B613" s="92" t="s">
        <v>140</v>
      </c>
      <c r="C613" s="91" t="s">
        <v>1263</v>
      </c>
      <c r="D613" s="93">
        <v>160</v>
      </c>
      <c r="E613" s="93">
        <v>190</v>
      </c>
      <c r="F613" s="103">
        <f>IFERROR(INDEX(Tabella9[PLZ],MATCH(Tabella8[[#This Row],[Colonna2]],Tabella9[Ortschaftsname],0)), "Name not found")</f>
        <v>6010</v>
      </c>
      <c r="G613" s="103"/>
      <c r="H613" s="240">
        <f ca="1">SUMIF(Tabella2[[#Headers],[#Data],[Age]],$H$76,Tabella2[[#Headers],[#Data],[Federal taxes]])</f>
        <v>6804.3246087429152</v>
      </c>
      <c r="I61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3" s="240">
        <f ca="1">Tabella8[[#This Row],[Colonna7]]*Tabella8[[#This Row],[Colonna4]]/100</f>
        <v>20017.523705048814</v>
      </c>
    </row>
    <row r="614" spans="2:20">
      <c r="B614" s="92" t="s">
        <v>140</v>
      </c>
      <c r="C614" s="91" t="s">
        <v>1326</v>
      </c>
      <c r="D614" s="93">
        <v>160</v>
      </c>
      <c r="E614" s="93">
        <v>240</v>
      </c>
      <c r="F614" s="103">
        <f>IFERROR(INDEX(Tabella9[PLZ],MATCH(Tabella8[[#This Row],[Colonna2]],Tabella9[Ortschaftsname],0)), "Name not found")</f>
        <v>6156</v>
      </c>
      <c r="G614" s="103"/>
      <c r="H614" s="240">
        <f ca="1">SUMIF(Tabella2[[#Headers],[#Data],[Age]],$H$76,Tabella2[[#Headers],[#Data],[Federal taxes]])</f>
        <v>6804.3246087429152</v>
      </c>
      <c r="I61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4" s="240">
        <f ca="1">Tabella8[[#This Row],[Colonna7]]*Tabella8[[#This Row],[Colonna4]]/100</f>
        <v>25285.29310111429</v>
      </c>
      <c r="Q614" s="68" t="s">
        <v>2587</v>
      </c>
      <c r="R614" s="21" t="s">
        <v>82</v>
      </c>
      <c r="S614" s="21" t="s">
        <v>2511</v>
      </c>
      <c r="T614" s="21" t="s">
        <v>90</v>
      </c>
    </row>
    <row r="615" spans="2:20">
      <c r="B615" s="92" t="s">
        <v>140</v>
      </c>
      <c r="C615" s="91" t="s">
        <v>165</v>
      </c>
      <c r="D615" s="93">
        <v>160</v>
      </c>
      <c r="E615" s="93">
        <v>165</v>
      </c>
      <c r="F615" s="103">
        <f>IFERROR(INDEX(Tabella9[PLZ],MATCH(Tabella8[[#This Row],[Colonna2]],Tabella9[Ortschaftsname],0)), "Name not found")</f>
        <v>6004</v>
      </c>
      <c r="G615" s="103"/>
      <c r="H615" s="240">
        <f ca="1">SUMIF(Tabella2[[#Headers],[#Data],[Age]],$H$76,Tabella2[[#Headers],[#Data],[Federal taxes]])</f>
        <v>6804.3246087429152</v>
      </c>
      <c r="I61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5" s="240">
        <f ca="1">Tabella8[[#This Row],[Colonna7]]*Tabella8[[#This Row],[Colonna4]]/100</f>
        <v>17383.639007016074</v>
      </c>
      <c r="Q615" s="94">
        <v>100000</v>
      </c>
      <c r="R615" s="11" t="s">
        <v>2512</v>
      </c>
      <c r="S615" s="11" t="s">
        <v>2513</v>
      </c>
      <c r="T615" s="11" t="s">
        <v>2514</v>
      </c>
    </row>
    <row r="616" spans="2:20">
      <c r="B616" s="92" t="s">
        <v>140</v>
      </c>
      <c r="C616" s="91" t="s">
        <v>1270</v>
      </c>
      <c r="D616" s="93">
        <v>160</v>
      </c>
      <c r="E616" s="93">
        <v>195</v>
      </c>
      <c r="F616" s="103">
        <f>IFERROR(INDEX(Tabella9[PLZ],MATCH(Tabella8[[#This Row],[Colonna2]],Tabella9[Ortschaftsname],0)), "Name not found")</f>
        <v>6102</v>
      </c>
      <c r="G616" s="103"/>
      <c r="H616" s="240">
        <f ca="1">SUMIF(Tabella2[[#Headers],[#Data],[Age]],$H$76,Tabella2[[#Headers],[#Data],[Federal taxes]])</f>
        <v>6804.3246087429152</v>
      </c>
      <c r="I61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6" s="240">
        <f ca="1">Tabella8[[#This Row],[Colonna7]]*Tabella8[[#This Row],[Colonna4]]/100</f>
        <v>20544.300644655359</v>
      </c>
      <c r="Q616" s="26"/>
      <c r="R616" s="4">
        <v>0</v>
      </c>
      <c r="S616" s="4">
        <v>0</v>
      </c>
      <c r="T616" s="4">
        <v>0</v>
      </c>
    </row>
    <row r="617" spans="2:20">
      <c r="B617" s="92" t="s">
        <v>140</v>
      </c>
      <c r="C617" s="91" t="s">
        <v>1321</v>
      </c>
      <c r="D617" s="93">
        <v>160</v>
      </c>
      <c r="E617" s="93">
        <v>190</v>
      </c>
      <c r="F617" s="103">
        <f>IFERROR(INDEX(Tabella9[PLZ],MATCH(Tabella8[[#This Row],[Colonna2]],Tabella9[Ortschaftsname],0)), "Name not found")</f>
        <v>6216</v>
      </c>
      <c r="G617" s="103"/>
      <c r="H617" s="240">
        <f ca="1">SUMIF(Tabella2[[#Headers],[#Data],[Age]],$H$76,Tabella2[[#Headers],[#Data],[Federal taxes]])</f>
        <v>6804.3246087429152</v>
      </c>
      <c r="I61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7" s="240">
        <f ca="1">Tabella8[[#This Row],[Colonna7]]*Tabella8[[#This Row],[Colonna4]]/100</f>
        <v>20017.523705048814</v>
      </c>
      <c r="Q617" s="2"/>
      <c r="R617" s="4">
        <v>100</v>
      </c>
      <c r="S617" s="4">
        <v>1</v>
      </c>
      <c r="T617" s="4">
        <v>1</v>
      </c>
    </row>
    <row r="618" spans="2:20">
      <c r="B618" s="92" t="s">
        <v>140</v>
      </c>
      <c r="C618" s="91" t="s">
        <v>1271</v>
      </c>
      <c r="D618" s="93">
        <v>160</v>
      </c>
      <c r="E618" s="93">
        <v>90</v>
      </c>
      <c r="F618" s="103">
        <f>IFERROR(INDEX(Tabella9[PLZ],MATCH(Tabella8[[#This Row],[Colonna2]],Tabella9[Ortschaftsname],0)), "Name not found")</f>
        <v>6045</v>
      </c>
      <c r="G618" s="103"/>
      <c r="H618" s="240">
        <f ca="1">SUMIF(Tabella2[[#Headers],[#Data],[Age]],$H$76,Tabella2[[#Headers],[#Data],[Federal taxes]])</f>
        <v>6804.3246087429152</v>
      </c>
      <c r="I61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8" s="240">
        <f ca="1">Tabella8[[#This Row],[Colonna7]]*Tabella8[[#This Row],[Colonna4]]/100</f>
        <v>9481.9849129178583</v>
      </c>
      <c r="Q618" s="2"/>
      <c r="R618" s="4">
        <v>1600</v>
      </c>
      <c r="S618" s="4">
        <v>16</v>
      </c>
      <c r="T618" s="4">
        <v>2</v>
      </c>
    </row>
    <row r="619" spans="2:20">
      <c r="B619" s="92" t="s">
        <v>140</v>
      </c>
      <c r="C619" s="91" t="s">
        <v>1324</v>
      </c>
      <c r="D619" s="93">
        <v>160</v>
      </c>
      <c r="E619" s="93">
        <v>200</v>
      </c>
      <c r="F619" s="103">
        <f>IFERROR(INDEX(Tabella9[PLZ],MATCH(Tabella8[[#This Row],[Colonna2]],Tabella9[Ortschaftsname],0)), "Name not found")</f>
        <v>6344</v>
      </c>
      <c r="G619" s="103"/>
      <c r="H619" s="240">
        <f ca="1">SUMIF(Tabella2[[#Headers],[#Data],[Age]],$H$76,Tabella2[[#Headers],[#Data],[Federal taxes]])</f>
        <v>6804.3246087429152</v>
      </c>
      <c r="I61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19" s="240">
        <f ca="1">Tabella8[[#This Row],[Colonna7]]*Tabella8[[#This Row],[Colonna4]]/100</f>
        <v>21071.077584261908</v>
      </c>
      <c r="Q619" s="2"/>
      <c r="R619" s="4">
        <v>3400</v>
      </c>
      <c r="S619" s="4">
        <v>52</v>
      </c>
      <c r="T619" s="4">
        <v>3</v>
      </c>
    </row>
    <row r="620" spans="2:20">
      <c r="B620" s="92" t="s">
        <v>140</v>
      </c>
      <c r="C620" s="91" t="s">
        <v>1296</v>
      </c>
      <c r="D620" s="93">
        <v>160</v>
      </c>
      <c r="E620" s="93">
        <v>195</v>
      </c>
      <c r="F620" s="103">
        <f>IFERROR(INDEX(Tabella9[PLZ],MATCH(Tabella8[[#This Row],[Colonna2]],Tabella9[Ortschaftsname],0)), "Name not found")</f>
        <v>6122</v>
      </c>
      <c r="G620" s="103"/>
      <c r="H620" s="240">
        <f ca="1">SUMIF(Tabella2[[#Headers],[#Data],[Age]],$H$76,Tabella2[[#Headers],[#Data],[Federal taxes]])</f>
        <v>6804.3246087429152</v>
      </c>
      <c r="I62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0" s="240">
        <f ca="1">Tabella8[[#This Row],[Colonna7]]*Tabella8[[#This Row],[Colonna4]]/100</f>
        <v>20544.300644655359</v>
      </c>
      <c r="Q620" s="2"/>
      <c r="R620" s="4">
        <v>5000</v>
      </c>
      <c r="S620" s="4">
        <v>100</v>
      </c>
      <c r="T620" s="4">
        <v>4</v>
      </c>
    </row>
    <row r="621" spans="2:20">
      <c r="B621" s="92" t="s">
        <v>140</v>
      </c>
      <c r="C621" s="91" t="s">
        <v>1302</v>
      </c>
      <c r="D621" s="93">
        <v>160</v>
      </c>
      <c r="E621" s="93">
        <v>180</v>
      </c>
      <c r="F621" s="103">
        <f>IFERROR(INDEX(Tabella9[PLZ],MATCH(Tabella8[[#This Row],[Colonna2]],Tabella9[Ortschaftsname],0)), "Name not found")</f>
        <v>6244</v>
      </c>
      <c r="G621" s="103"/>
      <c r="H621" s="240">
        <f ca="1">SUMIF(Tabella2[[#Headers],[#Data],[Age]],$H$76,Tabella2[[#Headers],[#Data],[Federal taxes]])</f>
        <v>6804.3246087429152</v>
      </c>
      <c r="I62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1" s="240">
        <f ca="1">Tabella8[[#This Row],[Colonna7]]*Tabella8[[#This Row],[Colonna4]]/100</f>
        <v>18963.969825835717</v>
      </c>
      <c r="Q621" s="2"/>
      <c r="R621" s="4">
        <v>8200</v>
      </c>
      <c r="S621" s="4">
        <v>228</v>
      </c>
      <c r="T621" s="4">
        <v>5</v>
      </c>
    </row>
    <row r="622" spans="2:20">
      <c r="B622" s="92" t="s">
        <v>140</v>
      </c>
      <c r="C622" s="91" t="s">
        <v>1272</v>
      </c>
      <c r="D622" s="93">
        <v>160</v>
      </c>
      <c r="E622" s="93">
        <v>185</v>
      </c>
      <c r="F622" s="103">
        <f>IFERROR(INDEX(Tabella9[PLZ],MATCH(Tabella8[[#This Row],[Colonna2]],Tabella9[Ortschaftsname],0)), "Name not found")</f>
        <v>6206</v>
      </c>
      <c r="G622" s="103"/>
      <c r="H622" s="240">
        <f ca="1">SUMIF(Tabella2[[#Headers],[#Data],[Age]],$H$76,Tabella2[[#Headers],[#Data],[Federal taxes]])</f>
        <v>6804.3246087429152</v>
      </c>
      <c r="I62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2" s="240">
        <f ca="1">Tabella8[[#This Row],[Colonna7]]*Tabella8[[#This Row],[Colonna4]]/100</f>
        <v>19490.746765442265</v>
      </c>
      <c r="Q622" s="2"/>
      <c r="R622" s="4">
        <v>11700</v>
      </c>
      <c r="S622" s="4">
        <v>403</v>
      </c>
      <c r="T622" s="4">
        <v>6</v>
      </c>
    </row>
    <row r="623" spans="2:20">
      <c r="B623" s="92" t="s">
        <v>140</v>
      </c>
      <c r="C623" s="91" t="s">
        <v>1289</v>
      </c>
      <c r="D623" s="93">
        <v>160</v>
      </c>
      <c r="E623" s="93">
        <v>185</v>
      </c>
      <c r="F623" s="103">
        <f>IFERROR(INDEX(Tabella9[PLZ],MATCH(Tabella8[[#This Row],[Colonna2]],Tabella9[Ortschaftsname],0)), "Name not found")</f>
        <v>6207</v>
      </c>
      <c r="G623" s="103"/>
      <c r="H623" s="240">
        <f ca="1">SUMIF(Tabella2[[#Headers],[#Data],[Age]],$H$76,Tabella2[[#Headers],[#Data],[Federal taxes]])</f>
        <v>6804.3246087429152</v>
      </c>
      <c r="I62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3" s="240">
        <f ca="1">Tabella8[[#This Row],[Colonna7]]*Tabella8[[#This Row],[Colonna4]]/100</f>
        <v>19490.746765442265</v>
      </c>
      <c r="Q623" s="2"/>
      <c r="R623" s="4">
        <v>14900</v>
      </c>
      <c r="S623" s="4">
        <v>595</v>
      </c>
      <c r="T623" s="4">
        <v>7</v>
      </c>
    </row>
    <row r="624" spans="2:20">
      <c r="B624" s="92" t="s">
        <v>140</v>
      </c>
      <c r="C624" s="91" t="s">
        <v>1281</v>
      </c>
      <c r="D624" s="93">
        <v>160</v>
      </c>
      <c r="E624" s="93">
        <v>155</v>
      </c>
      <c r="F624" s="103">
        <v>6208</v>
      </c>
      <c r="G624" s="103"/>
      <c r="H624" s="240">
        <f ca="1">SUMIF(Tabella2[[#Headers],[#Data],[Age]],$H$76,Tabella2[[#Headers],[#Data],[Federal taxes]])</f>
        <v>6804.3246087429152</v>
      </c>
      <c r="I62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4" s="240">
        <f ca="1">Tabella8[[#This Row],[Colonna7]]*Tabella8[[#This Row],[Colonna4]]/100</f>
        <v>16330.085127802979</v>
      </c>
      <c r="Q624" s="2"/>
      <c r="R624" s="4">
        <v>23300</v>
      </c>
      <c r="S624" s="4">
        <v>1183</v>
      </c>
      <c r="T624" s="4">
        <v>8</v>
      </c>
    </row>
    <row r="625" spans="2:20">
      <c r="B625" s="92" t="s">
        <v>140</v>
      </c>
      <c r="C625" s="91" t="s">
        <v>1301</v>
      </c>
      <c r="D625" s="93">
        <v>160</v>
      </c>
      <c r="E625" s="93">
        <v>220.00000000000003</v>
      </c>
      <c r="F625" s="103">
        <f>IFERROR(INDEX(Tabella9[PLZ],MATCH(Tabella8[[#This Row],[Colonna2]],Tabella9[Ortschaftsname],0)), "Name not found")</f>
        <v>6264</v>
      </c>
      <c r="G625" s="103"/>
      <c r="H625" s="240">
        <f ca="1">SUMIF(Tabella2[[#Headers],[#Data],[Age]],$H$76,Tabella2[[#Headers],[#Data],[Federal taxes]])</f>
        <v>6804.3246087429152</v>
      </c>
      <c r="I62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5" s="240">
        <f ca="1">Tabella8[[#This Row],[Colonna7]]*Tabella8[[#This Row],[Colonna4]]/100</f>
        <v>23178.185342688099</v>
      </c>
      <c r="Q625" s="2"/>
      <c r="R625" s="4">
        <v>40000</v>
      </c>
      <c r="S625" s="4">
        <v>2519</v>
      </c>
      <c r="T625" s="4">
        <v>9</v>
      </c>
    </row>
    <row r="626" spans="2:20">
      <c r="B626" s="92" t="s">
        <v>140</v>
      </c>
      <c r="C626" s="91" t="s">
        <v>1299</v>
      </c>
      <c r="D626" s="93">
        <v>160</v>
      </c>
      <c r="E626" s="93">
        <v>170</v>
      </c>
      <c r="F626" s="103">
        <f>IFERROR(INDEX(Tabella9[PLZ],MATCH(Tabella8[[#This Row],[Colonna2]],Tabella9[Ortschaftsname],0)), "Name not found")</f>
        <v>6026</v>
      </c>
      <c r="G626" s="103"/>
      <c r="H626" s="240">
        <f ca="1">SUMIF(Tabella2[[#Headers],[#Data],[Age]],$H$76,Tabella2[[#Headers],[#Data],[Federal taxes]])</f>
        <v>6804.3246087429152</v>
      </c>
      <c r="I62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6" s="240">
        <f ca="1">Tabella8[[#This Row],[Colonna7]]*Tabella8[[#This Row],[Colonna4]]/100</f>
        <v>17910.415946622623</v>
      </c>
      <c r="Q626" s="2"/>
      <c r="R626" s="4">
        <v>56500</v>
      </c>
      <c r="S626" s="4">
        <v>4004</v>
      </c>
      <c r="T626" s="4">
        <v>10</v>
      </c>
    </row>
    <row r="627" spans="2:20">
      <c r="B627" s="92" t="s">
        <v>140</v>
      </c>
      <c r="C627" s="91" t="s">
        <v>1273</v>
      </c>
      <c r="D627" s="93">
        <v>160</v>
      </c>
      <c r="E627" s="93">
        <v>220.00000000000003</v>
      </c>
      <c r="F627" s="103">
        <f>IFERROR(INDEX(Tabella9[PLZ],MATCH(Tabella8[[#This Row],[Colonna2]],Tabella9[Ortschaftsname],0)), "Name not found")</f>
        <v>6260</v>
      </c>
      <c r="G627" s="103"/>
      <c r="H627" s="240">
        <f ca="1">SUMIF(Tabella2[[#Headers],[#Data],[Age]],$H$76,Tabella2[[#Headers],[#Data],[Federal taxes]])</f>
        <v>6804.3246087429152</v>
      </c>
      <c r="I62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7" s="240">
        <f ca="1">Tabella8[[#This Row],[Colonna7]]*Tabella8[[#This Row],[Colonna4]]/100</f>
        <v>23178.185342688099</v>
      </c>
      <c r="Q627" s="2"/>
      <c r="R627" s="4">
        <v>73300</v>
      </c>
      <c r="S627" s="4">
        <v>5684</v>
      </c>
      <c r="T627" s="4">
        <v>11</v>
      </c>
    </row>
    <row r="628" spans="2:20">
      <c r="B628" s="92" t="s">
        <v>140</v>
      </c>
      <c r="C628" s="91" t="s">
        <v>1294</v>
      </c>
      <c r="D628" s="93">
        <v>160</v>
      </c>
      <c r="E628" s="93">
        <v>180</v>
      </c>
      <c r="F628" s="103">
        <v>6221</v>
      </c>
      <c r="G628" s="103"/>
      <c r="H628" s="240">
        <f ca="1">SUMIF(Tabella2[[#Headers],[#Data],[Age]],$H$76,Tabella2[[#Headers],[#Data],[Federal taxes]])</f>
        <v>6804.3246087429152</v>
      </c>
      <c r="I62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8" s="240">
        <f ca="1">Tabella8[[#This Row],[Colonna7]]*Tabella8[[#This Row],[Colonna4]]/100</f>
        <v>18963.969825835717</v>
      </c>
      <c r="Q628" s="2"/>
      <c r="R628" s="46">
        <v>89900</v>
      </c>
      <c r="S628" s="4">
        <v>7510</v>
      </c>
      <c r="T628" s="46">
        <v>12</v>
      </c>
    </row>
    <row r="629" spans="2:20">
      <c r="B629" s="92" t="s">
        <v>140</v>
      </c>
      <c r="C629" s="91" t="s">
        <v>1338</v>
      </c>
      <c r="D629" s="93">
        <v>160</v>
      </c>
      <c r="E629" s="93">
        <v>210</v>
      </c>
      <c r="F629" s="103">
        <f>IFERROR(INDEX(Tabella9[PLZ],MATCH(Tabella8[[#This Row],[Colonna2]],Tabella9[Ortschaftsname],0)), "Name not found")</f>
        <v>6265</v>
      </c>
      <c r="G629" s="103"/>
      <c r="H629" s="240">
        <f ca="1">SUMIF(Tabella2[[#Headers],[#Data],[Age]],$H$76,Tabella2[[#Headers],[#Data],[Federal taxes]])</f>
        <v>6804.3246087429152</v>
      </c>
      <c r="I62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29" s="240">
        <f ca="1">Tabella8[[#This Row],[Colonna7]]*Tabella8[[#This Row],[Colonna4]]/100</f>
        <v>22124.631463475005</v>
      </c>
      <c r="Q629" s="2"/>
      <c r="R629" s="46">
        <v>106600</v>
      </c>
      <c r="S629" s="46">
        <v>9514</v>
      </c>
      <c r="T629" s="46">
        <v>12.5</v>
      </c>
    </row>
    <row r="630" spans="2:20">
      <c r="B630" s="92" t="s">
        <v>140</v>
      </c>
      <c r="C630" s="91" t="s">
        <v>1339</v>
      </c>
      <c r="D630" s="93">
        <v>160</v>
      </c>
      <c r="E630" s="93">
        <v>220.00000000000003</v>
      </c>
      <c r="F630" s="103">
        <f>IFERROR(INDEX(Tabella9[PLZ],MATCH(Tabella8[[#This Row],[Colonna2]],Tabella9[Ortschaftsname],0)), "Name not found")</f>
        <v>6113</v>
      </c>
      <c r="G630" s="103"/>
      <c r="H630" s="240">
        <f ca="1">SUMIF(Tabella2[[#Headers],[#Data],[Age]],$H$76,Tabella2[[#Headers],[#Data],[Federal taxes]])</f>
        <v>6804.3246087429152</v>
      </c>
      <c r="I63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0" s="240">
        <f ca="1">Tabella8[[#This Row],[Colonna7]]*Tabella8[[#This Row],[Colonna4]]/100</f>
        <v>23178.185342688099</v>
      </c>
      <c r="Q630" s="2"/>
      <c r="R630" s="46">
        <v>133200</v>
      </c>
      <c r="S630" s="46">
        <v>12839</v>
      </c>
      <c r="T630" s="46">
        <v>13</v>
      </c>
    </row>
    <row r="631" spans="2:20">
      <c r="B631" s="92" t="s">
        <v>140</v>
      </c>
      <c r="C631" s="91" t="s">
        <v>1280</v>
      </c>
      <c r="D631" s="93">
        <v>160</v>
      </c>
      <c r="E631" s="93">
        <v>150</v>
      </c>
      <c r="F631" s="103">
        <f>IFERROR(INDEX(Tabella9[PLZ],MATCH(Tabella8[[#This Row],[Colonna2]],Tabella9[Ortschaftsname],0)), "Name not found")</f>
        <v>6037</v>
      </c>
      <c r="G631" s="103"/>
      <c r="H631" s="240">
        <f ca="1">SUMIF(Tabella2[[#Headers],[#Data],[Age]],$H$76,Tabella2[[#Headers],[#Data],[Federal taxes]])</f>
        <v>6804.3246087429152</v>
      </c>
      <c r="I63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1" s="240">
        <f ca="1">Tabella8[[#This Row],[Colonna7]]*Tabella8[[#This Row],[Colonna4]]/100</f>
        <v>15803.30818819643</v>
      </c>
      <c r="Q631" s="2"/>
      <c r="R631" s="46">
        <v>159800</v>
      </c>
      <c r="S631" s="46">
        <v>16297</v>
      </c>
      <c r="T631" s="4">
        <v>13.5</v>
      </c>
    </row>
    <row r="632" spans="2:20">
      <c r="B632" s="92" t="s">
        <v>140</v>
      </c>
      <c r="C632" s="91" t="s">
        <v>1269</v>
      </c>
      <c r="D632" s="93">
        <v>160</v>
      </c>
      <c r="E632" s="93">
        <v>165</v>
      </c>
      <c r="F632" s="103">
        <f>IFERROR(INDEX(Tabella9[PLZ],MATCH(Tabella8[[#This Row],[Colonna2]],Tabella9[Ortschaftsname],0)), "Name not found")</f>
        <v>6023</v>
      </c>
      <c r="G632" s="103"/>
      <c r="H632" s="240">
        <f ca="1">SUMIF(Tabella2[[#Headers],[#Data],[Age]],$H$76,Tabella2[[#Headers],[#Data],[Federal taxes]])</f>
        <v>6804.3246087429152</v>
      </c>
      <c r="I63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2" s="240">
        <f ca="1">Tabella8[[#This Row],[Colonna7]]*Tabella8[[#This Row],[Colonna4]]/100</f>
        <v>17383.639007016074</v>
      </c>
      <c r="Q632" s="2"/>
      <c r="R632" s="46">
        <v>189800</v>
      </c>
      <c r="S632" s="4">
        <v>20347</v>
      </c>
      <c r="T632" s="46">
        <v>14</v>
      </c>
    </row>
    <row r="633" spans="2:20">
      <c r="B633" s="92" t="s">
        <v>140</v>
      </c>
      <c r="C633" s="91" t="s">
        <v>1274</v>
      </c>
      <c r="D633" s="93">
        <v>160</v>
      </c>
      <c r="E633" s="93">
        <v>200</v>
      </c>
      <c r="F633" s="103">
        <f>IFERROR(INDEX(Tabella9[PLZ],MATCH(Tabella8[[#This Row],[Colonna2]],Tabella9[Ortschaftsname],0)), "Name not found")</f>
        <v>6017</v>
      </c>
      <c r="G633" s="103"/>
      <c r="H633" s="240">
        <f ca="1">SUMIF(Tabella2[[#Headers],[#Data],[Age]],$H$76,Tabella2[[#Headers],[#Data],[Federal taxes]])</f>
        <v>6804.3246087429152</v>
      </c>
      <c r="I63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3" s="240">
        <f ca="1">Tabella8[[#This Row],[Colonna7]]*Tabella8[[#This Row],[Colonna4]]/100</f>
        <v>21071.077584261908</v>
      </c>
      <c r="Q633" s="2"/>
      <c r="R633" s="46">
        <v>219900</v>
      </c>
      <c r="S633" s="46">
        <v>24561</v>
      </c>
      <c r="T633" s="46">
        <v>14.5</v>
      </c>
    </row>
    <row r="634" spans="2:20">
      <c r="B634" s="92" t="s">
        <v>140</v>
      </c>
      <c r="C634" s="91" t="s">
        <v>1314</v>
      </c>
      <c r="D634" s="93">
        <v>160</v>
      </c>
      <c r="E634" s="93">
        <v>210</v>
      </c>
      <c r="F634" s="103">
        <v>6027</v>
      </c>
      <c r="G634" s="103"/>
      <c r="H634" s="240">
        <f ca="1">SUMIF(Tabella2[[#Headers],[#Data],[Age]],$H$76,Tabella2[[#Headers],[#Data],[Federal taxes]])</f>
        <v>6804.3246087429152</v>
      </c>
      <c r="I63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4" s="240">
        <f ca="1">Tabella8[[#This Row],[Colonna7]]*Tabella8[[#This Row],[Colonna4]]/100</f>
        <v>22124.631463475005</v>
      </c>
      <c r="Q634" s="2"/>
      <c r="R634" s="46">
        <v>252500</v>
      </c>
      <c r="S634" s="46">
        <v>29288</v>
      </c>
      <c r="T634" s="46">
        <v>15</v>
      </c>
    </row>
    <row r="635" spans="2:20">
      <c r="B635" s="92" t="s">
        <v>140</v>
      </c>
      <c r="C635" s="91" t="s">
        <v>1297</v>
      </c>
      <c r="D635" s="93">
        <v>160</v>
      </c>
      <c r="E635" s="93">
        <v>110.00000000000001</v>
      </c>
      <c r="F635" s="103">
        <f>IFERROR(INDEX(Tabella9[PLZ],MATCH(Tabella8[[#This Row],[Colonna2]],Tabella9[Ortschaftsname],0)), "Name not found")</f>
        <v>6214</v>
      </c>
      <c r="G635" s="103"/>
      <c r="H635" s="240">
        <f ca="1">SUMIF(Tabella2[[#Headers],[#Data],[Age]],$H$76,Tabella2[[#Headers],[#Data],[Federal taxes]])</f>
        <v>6804.3246087429152</v>
      </c>
      <c r="I63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5" s="240">
        <f ca="1">Tabella8[[#This Row],[Colonna7]]*Tabella8[[#This Row],[Colonna4]]/100</f>
        <v>11589.092671344049</v>
      </c>
      <c r="Q635" s="2"/>
      <c r="R635" s="46">
        <v>287600</v>
      </c>
      <c r="S635" s="46">
        <v>34553</v>
      </c>
      <c r="T635" s="46">
        <v>15.5</v>
      </c>
    </row>
    <row r="636" spans="2:20">
      <c r="B636" s="92" t="s">
        <v>140</v>
      </c>
      <c r="C636" s="91" t="s">
        <v>1334</v>
      </c>
      <c r="D636" s="93">
        <v>160</v>
      </c>
      <c r="E636" s="93">
        <v>165</v>
      </c>
      <c r="F636" s="103">
        <f>IFERROR(INDEX(Tabella9[PLZ],MATCH(Tabella8[[#This Row],[Colonna2]],Tabella9[Ortschaftsname],0)), "Name not found")</f>
        <v>6231</v>
      </c>
      <c r="G636" s="103"/>
      <c r="H636" s="240">
        <f ca="1">SUMIF(Tabella2[[#Headers],[#Data],[Age]],$H$76,Tabella2[[#Headers],[#Data],[Federal taxes]])</f>
        <v>6804.3246087429152</v>
      </c>
      <c r="I63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6" s="240">
        <f ca="1">Tabella8[[#This Row],[Colonna7]]*Tabella8[[#This Row],[Colonna4]]/100</f>
        <v>17383.639007016074</v>
      </c>
      <c r="Q636" s="2"/>
      <c r="R636" s="46"/>
      <c r="S636" s="46"/>
      <c r="T636" s="46"/>
    </row>
    <row r="637" spans="2:20">
      <c r="B637" s="92" t="s">
        <v>140</v>
      </c>
      <c r="C637" s="91" t="s">
        <v>1330</v>
      </c>
      <c r="D637" s="93">
        <v>160</v>
      </c>
      <c r="E637" s="93">
        <v>210</v>
      </c>
      <c r="F637" s="103">
        <f>IFERROR(INDEX(Tabella9[PLZ],MATCH(Tabella8[[#This Row],[Colonna2]],Tabella9[Ortschaftsname],0)), "Name not found")</f>
        <v>6288</v>
      </c>
      <c r="G637" s="103"/>
      <c r="H637" s="240">
        <f ca="1">SUMIF(Tabella2[[#Headers],[#Data],[Age]],$H$76,Tabella2[[#Headers],[#Data],[Federal taxes]])</f>
        <v>6804.3246087429152</v>
      </c>
      <c r="I63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7" s="240">
        <f ca="1">Tabella8[[#This Row],[Colonna7]]*Tabella8[[#This Row],[Colonna4]]/100</f>
        <v>22124.631463475005</v>
      </c>
      <c r="Q637" s="2"/>
      <c r="R637" s="36">
        <f>IF(Q615&lt;$R$617,$S$616,IF(Q615&lt;$R$618,$S$617+((Q615-$R$617)/100)*$T$617,IF(Q615&lt;$R$619,$S$618+((Q615-$R$618)/100)*$T$618,IF(Q615&lt;$R$620,$S$619+((Q615-$R$619)/100)*$T$619,IF(Q615&lt;$R$621,$S$620+((Q615-$R$620)/100)*$T$620,IF(Q615&lt;$R$622,$S$621+((Q615-$R$621)/100)*$T$621,IF(Q615&lt;$R$623,$S$622+((Q615-$R$622)/100)*$T$622,IF(Q615&lt;$R$624,$S$623+((Q615-$R$623)/100)*$T$623,IF(Q615&lt;$R$625,$S$624+((Q615-$R$624)/100)*$T$624,IF(Q615&lt;$R$626,$S$625+((Q615-$R$625)/100)*$T$625,IF(Q615&lt;$R$627,$S$626+((Q615-$R$626)/100)*$T$626,IF(Q615&lt;$R$628,$S$627+((Q615-$R$627)/100)*$T$627,IF(Q615&lt;$R$629,$S$628+((Q615-$R$628)/100)*$T$628,IF(Q615&lt;$R$630,$S$629+((Q615-$R$629)/100)*$T$629,IF(Q615&lt;$R$631,$S$630+((Q615-$R$630)/100)*$T$630,IF(Q615&lt;$R$632,$S$631+((Q615-$R$631)/100)*$T$631,IF(Q615&lt;$R$633,$S$632+((Q615-$R$632)/100)*$T$632,IF(Q615&lt;$R$634,$S$633+((Q615-$R$633)/100)*$T$633,IF(Q615&lt;$R$635,$S$634+((Q615-$R$634)/100)*$T$634,IF(Q615&gt;=$R$635,$S$635+((Q615-$R$635)/100)*$T$635))))))))))))))))))))</f>
        <v>8722</v>
      </c>
      <c r="S637" s="2"/>
      <c r="T637" s="2"/>
    </row>
    <row r="638" spans="2:20">
      <c r="B638" s="92" t="s">
        <v>140</v>
      </c>
      <c r="C638" s="91" t="s">
        <v>1316</v>
      </c>
      <c r="D638" s="93">
        <v>160</v>
      </c>
      <c r="E638" s="93">
        <v>210</v>
      </c>
      <c r="F638" s="103">
        <v>6103</v>
      </c>
      <c r="G638" s="103"/>
      <c r="H638" s="240">
        <f ca="1">SUMIF(Tabella2[[#Headers],[#Data],[Age]],$H$76,Tabella2[[#Headers],[#Data],[Federal taxes]])</f>
        <v>6804.3246087429152</v>
      </c>
      <c r="I63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8" s="240">
        <f ca="1">Tabella8[[#This Row],[Colonna7]]*Tabella8[[#This Row],[Colonna4]]/100</f>
        <v>22124.631463475005</v>
      </c>
    </row>
    <row r="639" spans="2:20">
      <c r="B639" s="92" t="s">
        <v>140</v>
      </c>
      <c r="C639" s="91" t="s">
        <v>1284</v>
      </c>
      <c r="D639" s="93">
        <v>160</v>
      </c>
      <c r="E639" s="93">
        <v>215</v>
      </c>
      <c r="F639" s="103">
        <f>IFERROR(INDEX(Tabella9[PLZ],MATCH(Tabella8[[#This Row],[Colonna2]],Tabella9[Ortschaftsname],0)), "Name not found")</f>
        <v>6247</v>
      </c>
      <c r="G639" s="103"/>
      <c r="H639" s="240">
        <f ca="1">SUMIF(Tabella2[[#Headers],[#Data],[Age]],$H$76,Tabella2[[#Headers],[#Data],[Federal taxes]])</f>
        <v>6804.3246087429152</v>
      </c>
      <c r="I63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39" s="240">
        <f ca="1">Tabella8[[#This Row],[Colonna7]]*Tabella8[[#This Row],[Colonna4]]/100</f>
        <v>22651.40840308155</v>
      </c>
      <c r="Q639" s="68" t="s">
        <v>2618</v>
      </c>
      <c r="R639" s="21" t="s">
        <v>82</v>
      </c>
      <c r="S639" s="21" t="s">
        <v>2511</v>
      </c>
      <c r="T639" s="21" t="s">
        <v>90</v>
      </c>
    </row>
    <row r="640" spans="2:20">
      <c r="B640" s="92" t="s">
        <v>140</v>
      </c>
      <c r="C640" s="91" t="s">
        <v>1287</v>
      </c>
      <c r="D640" s="93">
        <v>160</v>
      </c>
      <c r="E640" s="93">
        <v>220.00000000000003</v>
      </c>
      <c r="F640" s="103">
        <f>IFERROR(INDEX(Tabella9[PLZ],MATCH(Tabella8[[#This Row],[Colonna2]],Tabella9[Ortschaftsname],0)), "Name not found")</f>
        <v>6170</v>
      </c>
      <c r="G640" s="103"/>
      <c r="H640" s="240">
        <f ca="1">SUMIF(Tabella2[[#Headers],[#Data],[Age]],$H$76,Tabella2[[#Headers],[#Data],[Federal taxes]])</f>
        <v>6804.3246087429152</v>
      </c>
      <c r="I64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0" s="240">
        <f ca="1">Tabella8[[#This Row],[Colonna7]]*Tabella8[[#This Row],[Colonna4]]/100</f>
        <v>23178.185342688099</v>
      </c>
      <c r="Q640" s="94">
        <v>100000</v>
      </c>
      <c r="R640" s="11" t="s">
        <v>2512</v>
      </c>
      <c r="S640" s="11" t="s">
        <v>2525</v>
      </c>
      <c r="T640" s="11"/>
    </row>
    <row r="641" spans="2:20">
      <c r="B641" s="92" t="s">
        <v>140</v>
      </c>
      <c r="C641" s="91" t="s">
        <v>1288</v>
      </c>
      <c r="D641" s="93">
        <v>160</v>
      </c>
      <c r="E641" s="93">
        <v>170</v>
      </c>
      <c r="F641" s="103">
        <f>IFERROR(INDEX(Tabella9[PLZ],MATCH(Tabella8[[#This Row],[Colonna2]],Tabella9[Ortschaftsname],0)), "Name not found")</f>
        <v>6204</v>
      </c>
      <c r="G641" s="103"/>
      <c r="H641" s="240">
        <f ca="1">SUMIF(Tabella2[[#Headers],[#Data],[Age]],$H$76,Tabella2[[#Headers],[#Data],[Federal taxes]])</f>
        <v>6804.3246087429152</v>
      </c>
      <c r="I64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1" s="240">
        <f ca="1">Tabella8[[#This Row],[Colonna7]]*Tabella8[[#This Row],[Colonna4]]/100</f>
        <v>17910.415946622623</v>
      </c>
      <c r="Q641" s="26"/>
      <c r="R641" s="4">
        <v>0</v>
      </c>
      <c r="S641" s="39">
        <v>0.02</v>
      </c>
      <c r="T641" s="4"/>
    </row>
    <row r="642" spans="2:20">
      <c r="B642" s="92" t="s">
        <v>140</v>
      </c>
      <c r="C642" s="91" t="s">
        <v>1266</v>
      </c>
      <c r="D642" s="93">
        <v>160</v>
      </c>
      <c r="E642" s="93">
        <v>175</v>
      </c>
      <c r="F642" s="103">
        <f>IFERROR(INDEX(Tabella9[PLZ],MATCH(Tabella8[[#This Row],[Colonna2]],Tabella9[Ortschaftsname],0)), "Name not found")</f>
        <v>6210</v>
      </c>
      <c r="G642" s="103"/>
      <c r="H642" s="240">
        <f ca="1">SUMIF(Tabella2[[#Headers],[#Data],[Age]],$H$76,Tabella2[[#Headers],[#Data],[Federal taxes]])</f>
        <v>6804.3246087429152</v>
      </c>
      <c r="I64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2" s="240">
        <f ca="1">Tabella8[[#This Row],[Colonna7]]*Tabella8[[#This Row],[Colonna4]]/100</f>
        <v>18437.192886229168</v>
      </c>
      <c r="Q642" s="2"/>
      <c r="R642" s="4">
        <v>5000</v>
      </c>
      <c r="S642" s="39">
        <v>0.02</v>
      </c>
      <c r="T642" s="4"/>
    </row>
    <row r="643" spans="2:20">
      <c r="B643" s="92" t="s">
        <v>140</v>
      </c>
      <c r="C643" s="91" t="s">
        <v>1282</v>
      </c>
      <c r="D643" s="93">
        <v>160</v>
      </c>
      <c r="E643" s="93">
        <v>190</v>
      </c>
      <c r="F643" s="103">
        <f>IFERROR(INDEX(Tabella9[PLZ],MATCH(Tabella8[[#This Row],[Colonna2]],Tabella9[Ortschaftsname],0)), "Name not found")</f>
        <v>6234</v>
      </c>
      <c r="G643" s="103"/>
      <c r="H643" s="240">
        <f ca="1">SUMIF(Tabella2[[#Headers],[#Data],[Age]],$H$76,Tabella2[[#Headers],[#Data],[Federal taxes]])</f>
        <v>6804.3246087429152</v>
      </c>
      <c r="I64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3" s="240">
        <f ca="1">Tabella8[[#This Row],[Colonna7]]*Tabella8[[#This Row],[Colonna4]]/100</f>
        <v>20017.523705048814</v>
      </c>
      <c r="Q643" s="2"/>
      <c r="R643" s="4">
        <v>10000</v>
      </c>
      <c r="S643" s="39">
        <v>2.8000000000000001E-2</v>
      </c>
      <c r="T643" s="4"/>
    </row>
    <row r="644" spans="2:20">
      <c r="B644" s="92" t="s">
        <v>140</v>
      </c>
      <c r="C644" s="91" t="s">
        <v>1306</v>
      </c>
      <c r="D644" s="93">
        <v>160</v>
      </c>
      <c r="E644" s="93">
        <v>185</v>
      </c>
      <c r="F644" s="103">
        <f>IFERROR(INDEX(Tabella9[PLZ],MATCH(Tabella8[[#This Row],[Colonna2]],Tabella9[Ortschaftsname],0)), "Name not found")</f>
        <v>6044</v>
      </c>
      <c r="G644" s="103"/>
      <c r="H644" s="240">
        <f ca="1">SUMIF(Tabella2[[#Headers],[#Data],[Age]],$H$76,Tabella2[[#Headers],[#Data],[Federal taxes]])</f>
        <v>6804.3246087429152</v>
      </c>
      <c r="I644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4" s="240">
        <f ca="1">Tabella8[[#This Row],[Colonna7]]*Tabella8[[#This Row],[Colonna4]]/100</f>
        <v>19490.746765442265</v>
      </c>
      <c r="Q644" s="2"/>
      <c r="R644" s="4">
        <v>20000</v>
      </c>
      <c r="S644" s="39">
        <v>4.5999999999999999E-2</v>
      </c>
      <c r="T644" s="4"/>
    </row>
    <row r="645" spans="2:20">
      <c r="B645" s="92" t="s">
        <v>140</v>
      </c>
      <c r="C645" s="91" t="s">
        <v>1333</v>
      </c>
      <c r="D645" s="93">
        <v>160</v>
      </c>
      <c r="E645" s="93">
        <v>220.00000000000003</v>
      </c>
      <c r="F645" s="103">
        <f>IFERROR(INDEX(Tabella9[PLZ],MATCH(Tabella8[[#This Row],[Colonna2]],Tabella9[Ortschaftsname],0)), "Name not found")</f>
        <v>6153</v>
      </c>
      <c r="G645" s="103"/>
      <c r="H645" s="240">
        <f ca="1">SUMIF(Tabella2[[#Headers],[#Data],[Age]],$H$76,Tabella2[[#Headers],[#Data],[Federal taxes]])</f>
        <v>6804.3246087429152</v>
      </c>
      <c r="I645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5" s="240">
        <f ca="1">Tabella8[[#This Row],[Colonna7]]*Tabella8[[#This Row],[Colonna4]]/100</f>
        <v>23178.185342688099</v>
      </c>
      <c r="Q645" s="2"/>
      <c r="R645" s="4">
        <v>30000</v>
      </c>
      <c r="S645" s="39">
        <v>6.3E-2</v>
      </c>
      <c r="T645" s="4"/>
    </row>
    <row r="646" spans="2:20">
      <c r="B646" s="92" t="s">
        <v>140</v>
      </c>
      <c r="C646" s="91" t="s">
        <v>1323</v>
      </c>
      <c r="D646" s="93">
        <v>160</v>
      </c>
      <c r="E646" s="93">
        <v>140</v>
      </c>
      <c r="F646" s="103">
        <f>IFERROR(INDEX(Tabella9[PLZ],MATCH(Tabella8[[#This Row],[Colonna2]],Tabella9[Ortschaftsname],0)), "Name not found")</f>
        <v>6354</v>
      </c>
      <c r="G646" s="103"/>
      <c r="H646" s="240">
        <f ca="1">SUMIF(Tabella2[[#Headers],[#Data],[Age]],$H$76,Tabella2[[#Headers],[#Data],[Federal taxes]])</f>
        <v>6804.3246087429152</v>
      </c>
      <c r="I646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6" s="240">
        <f ca="1">Tabella8[[#This Row],[Colonna7]]*Tabella8[[#This Row],[Colonna4]]/100</f>
        <v>14749.754308983334</v>
      </c>
      <c r="Q646" s="2"/>
      <c r="R646" s="4">
        <v>40000</v>
      </c>
      <c r="S646" s="39">
        <v>7.6999999999999999E-2</v>
      </c>
      <c r="T646" s="4"/>
    </row>
    <row r="647" spans="2:20">
      <c r="B647" s="92" t="s">
        <v>140</v>
      </c>
      <c r="C647" s="91" t="s">
        <v>1309</v>
      </c>
      <c r="D647" s="93">
        <v>160</v>
      </c>
      <c r="E647" s="93">
        <v>204.99999999999997</v>
      </c>
      <c r="F647" s="103">
        <f>IFERROR(INDEX(Tabella9[PLZ],MATCH(Tabella8[[#This Row],[Colonna2]],Tabella9[Ortschaftsname],0)), "Name not found")</f>
        <v>6242</v>
      </c>
      <c r="G647" s="103"/>
      <c r="H647" s="240">
        <f ca="1">SUMIF(Tabella2[[#Headers],[#Data],[Age]],$H$76,Tabella2[[#Headers],[#Data],[Federal taxes]])</f>
        <v>6804.3246087429152</v>
      </c>
      <c r="I647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7" s="240">
        <f ca="1">Tabella8[[#This Row],[Colonna7]]*Tabella8[[#This Row],[Colonna4]]/100</f>
        <v>21597.854523868453</v>
      </c>
      <c r="Q647" s="2"/>
      <c r="R647" s="4">
        <v>50000</v>
      </c>
      <c r="S647" s="39">
        <v>0.09</v>
      </c>
      <c r="T647" s="4"/>
    </row>
    <row r="648" spans="2:20">
      <c r="B648" s="92" t="s">
        <v>140</v>
      </c>
      <c r="C648" s="91" t="s">
        <v>1283</v>
      </c>
      <c r="D648" s="93">
        <v>160</v>
      </c>
      <c r="E648" s="93">
        <v>135</v>
      </c>
      <c r="F648" s="103">
        <f>IFERROR(INDEX(Tabella9[PLZ],MATCH(Tabella8[[#This Row],[Colonna2]],Tabella9[Ortschaftsname],0)), "Name not found")</f>
        <v>6353</v>
      </c>
      <c r="G648" s="103"/>
      <c r="H648" s="240">
        <f ca="1">SUMIF(Tabella2[[#Headers],[#Data],[Age]],$H$76,Tabella2[[#Headers],[#Data],[Federal taxes]])</f>
        <v>6804.3246087429152</v>
      </c>
      <c r="I648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8" s="240">
        <f ca="1">Tabella8[[#This Row],[Colonna7]]*Tabella8[[#This Row],[Colonna4]]/100</f>
        <v>14222.977369376789</v>
      </c>
      <c r="Q648" s="2"/>
      <c r="R648" s="4">
        <v>60000</v>
      </c>
      <c r="S648" s="39">
        <v>0.105</v>
      </c>
      <c r="T648" s="4"/>
    </row>
    <row r="649" spans="2:20">
      <c r="B649" s="92" t="s">
        <v>140</v>
      </c>
      <c r="C649" s="91" t="s">
        <v>1310</v>
      </c>
      <c r="D649" s="93">
        <v>160</v>
      </c>
      <c r="E649" s="93">
        <v>215</v>
      </c>
      <c r="F649" s="103">
        <f>IFERROR(INDEX(Tabella9[PLZ],MATCH(Tabella8[[#This Row],[Colonna2]],Tabella9[Ortschaftsname],0)), "Name not found")</f>
        <v>6106</v>
      </c>
      <c r="G649" s="103"/>
      <c r="H649" s="240">
        <f ca="1">SUMIF(Tabella2[[#Headers],[#Data],[Age]],$H$76,Tabella2[[#Headers],[#Data],[Federal taxes]])</f>
        <v>6804.3246087429152</v>
      </c>
      <c r="I649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49" s="240">
        <f ca="1">Tabella8[[#This Row],[Colonna7]]*Tabella8[[#This Row],[Colonna4]]/100</f>
        <v>22651.40840308155</v>
      </c>
      <c r="Q649" s="2"/>
      <c r="R649" s="4">
        <v>70000</v>
      </c>
      <c r="S649" s="39">
        <v>0.11799999999999999</v>
      </c>
      <c r="T649" s="4"/>
    </row>
    <row r="650" spans="2:20">
      <c r="B650" s="92" t="s">
        <v>140</v>
      </c>
      <c r="C650" s="91" t="s">
        <v>1319</v>
      </c>
      <c r="D650" s="93">
        <v>160</v>
      </c>
      <c r="E650" s="93">
        <v>229.99999999999997</v>
      </c>
      <c r="F650" s="103">
        <f>IFERROR(INDEX(Tabella9[PLZ],MATCH(Tabella8[[#This Row],[Colonna2]],Tabella9[Ortschaftsname],0)), "Name not found")</f>
        <v>4806</v>
      </c>
      <c r="G650" s="103"/>
      <c r="H650" s="240">
        <f ca="1">SUMIF(Tabella2[[#Headers],[#Data],[Age]],$H$76,Tabella2[[#Headers],[#Data],[Federal taxes]])</f>
        <v>6804.3246087429152</v>
      </c>
      <c r="I650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50" s="240">
        <f ca="1">Tabella8[[#This Row],[Colonna7]]*Tabella8[[#This Row],[Colonna4]]/100</f>
        <v>24231.739221901189</v>
      </c>
      <c r="Q650" s="2"/>
      <c r="R650" s="4">
        <v>80000</v>
      </c>
      <c r="S650" s="39">
        <v>0.13</v>
      </c>
      <c r="T650" s="4"/>
    </row>
    <row r="651" spans="2:20">
      <c r="B651" s="92" t="s">
        <v>140</v>
      </c>
      <c r="C651" s="91" t="s">
        <v>1268</v>
      </c>
      <c r="D651" s="93">
        <v>160</v>
      </c>
      <c r="E651" s="93">
        <v>210</v>
      </c>
      <c r="F651" s="103">
        <f>IFERROR(INDEX(Tabella9[PLZ],MATCH(Tabella8[[#This Row],[Colonna2]],Tabella9[Ortschaftsname],0)), "Name not found")</f>
        <v>6130</v>
      </c>
      <c r="G651" s="103"/>
      <c r="H651" s="240">
        <f ca="1">SUMIF(Tabella2[[#Headers],[#Data],[Age]],$H$76,Tabella2[[#Headers],[#Data],[Federal taxes]])</f>
        <v>6804.3246087429152</v>
      </c>
      <c r="I651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51" s="240">
        <f ca="1">Tabella8[[#This Row],[Colonna7]]*Tabella8[[#This Row],[Colonna4]]/100</f>
        <v>22124.631463475005</v>
      </c>
      <c r="Q651" s="2"/>
      <c r="R651" s="4">
        <v>90000</v>
      </c>
      <c r="S651" s="39">
        <v>0.13300000000000001</v>
      </c>
      <c r="T651" s="4"/>
    </row>
    <row r="652" spans="2:20">
      <c r="B652" s="92" t="s">
        <v>140</v>
      </c>
      <c r="C652" s="91" t="s">
        <v>1285</v>
      </c>
      <c r="D652" s="93">
        <v>160</v>
      </c>
      <c r="E652" s="93">
        <v>229.99999999999997</v>
      </c>
      <c r="F652" s="103">
        <f>IFERROR(INDEX(Tabella9[PLZ],MATCH(Tabella8[[#This Row],[Colonna2]],Tabella9[Ortschaftsname],0)), "Name not found")</f>
        <v>6110</v>
      </c>
      <c r="G652" s="103"/>
      <c r="H652" s="240">
        <f ca="1">SUMIF(Tabella2[[#Headers],[#Data],[Age]],$H$76,Tabella2[[#Headers],[#Data],[Federal taxes]])</f>
        <v>6804.3246087429152</v>
      </c>
      <c r="I652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52" s="240">
        <f ca="1">Tabella8[[#This Row],[Colonna7]]*Tabella8[[#This Row],[Colonna4]]/100</f>
        <v>24231.739221901189</v>
      </c>
      <c r="Q652" s="2"/>
      <c r="R652" s="4">
        <v>100000</v>
      </c>
      <c r="S652" s="39">
        <v>0.13500000000000001</v>
      </c>
      <c r="T652" s="4"/>
    </row>
    <row r="653" spans="2:20">
      <c r="B653" s="92" t="s">
        <v>140</v>
      </c>
      <c r="C653" s="91" t="s">
        <v>1311</v>
      </c>
      <c r="D653" s="93">
        <v>160</v>
      </c>
      <c r="E653" s="93">
        <v>190</v>
      </c>
      <c r="F653" s="103">
        <v>6144</v>
      </c>
      <c r="G653" s="103"/>
      <c r="H653" s="240">
        <f ca="1">SUMIF(Tabella2[[#Headers],[#Data],[Age]],$H$76,Tabella2[[#Headers],[#Data],[Federal taxes]])</f>
        <v>6804.3246087429152</v>
      </c>
      <c r="I653" s="240">
        <f ca="1">IFERROR(INDEX(Tabella13[[TI]:[VS commun]], MATCH($H$76, Tabella13[Age], 0), MATCH(Tabella8[[#This Row],[Colonna1]], Tabella13[[#Headers], [TI]:[VS commun]], 0)), "Valore non trovato")*Tabella8[[#This Row],[Colonna3]]/100</f>
        <v>10535.538792130954</v>
      </c>
      <c r="J653" s="240">
        <f ca="1">Tabella8[[#This Row],[Colonna7]]*Tabella8[[#This Row],[Colonna4]]/100</f>
        <v>20017.523705048814</v>
      </c>
      <c r="Q653" s="2"/>
      <c r="R653" s="4">
        <v>200000</v>
      </c>
      <c r="S653" s="39">
        <v>0.14000000000000001</v>
      </c>
      <c r="T653" s="46"/>
    </row>
    <row r="654" spans="2:20">
      <c r="B654" s="92" t="s">
        <v>150</v>
      </c>
      <c r="C654" s="91" t="s">
        <v>1985</v>
      </c>
      <c r="D654" s="93">
        <v>100</v>
      </c>
      <c r="E654" s="93">
        <v>95</v>
      </c>
      <c r="F654" s="103">
        <v>6460</v>
      </c>
      <c r="G654" s="103"/>
      <c r="H654" s="240">
        <f ca="1">SUMIF(Tabella2[[#Headers],[#Data],[Age]],$H$76,Tabella2[[#Headers],[#Data],[Federal taxes]])</f>
        <v>6804.3246087429152</v>
      </c>
      <c r="I654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4" s="240">
        <f ca="1">Tabella8[[#This Row],[Colonna7]]*Tabella8[[#This Row],[Colonna4]]/100</f>
        <v>9873.3460896337238</v>
      </c>
      <c r="Q654" s="2"/>
      <c r="R654" s="4"/>
      <c r="S654" s="39"/>
      <c r="T654" s="46"/>
    </row>
    <row r="655" spans="2:20">
      <c r="B655" s="92" t="s">
        <v>150</v>
      </c>
      <c r="C655" s="91" t="s">
        <v>1993</v>
      </c>
      <c r="D655" s="93">
        <v>100</v>
      </c>
      <c r="E655" s="93">
        <v>99</v>
      </c>
      <c r="F655" s="103">
        <f>IFERROR(INDEX(Tabella9[PLZ],MATCH(Tabella8[[#This Row],[Colonna2]],Tabella9[Ortschaftsname],0)), "Name not found")</f>
        <v>6490</v>
      </c>
      <c r="G655" s="103"/>
      <c r="H655" s="240">
        <f ca="1">SUMIF(Tabella2[[#Headers],[#Data],[Age]],$H$76,Tabella2[[#Headers],[#Data],[Federal taxes]])</f>
        <v>6804.3246087429152</v>
      </c>
      <c r="I655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5" s="240">
        <f ca="1">Tabella8[[#This Row],[Colonna7]]*Tabella8[[#This Row],[Colonna4]]/100</f>
        <v>10289.065924986722</v>
      </c>
      <c r="Q655" s="2"/>
      <c r="R655" s="4"/>
      <c r="S655" s="39"/>
      <c r="T655" s="2"/>
    </row>
    <row r="656" spans="2:20">
      <c r="B656" s="92" t="s">
        <v>150</v>
      </c>
      <c r="C656" s="91" t="s">
        <v>2619</v>
      </c>
      <c r="D656" s="93">
        <v>100</v>
      </c>
      <c r="E656" s="93">
        <v>97</v>
      </c>
      <c r="F656" s="103">
        <f>IFERROR(INDEX(Tabella9[PLZ],MATCH(Tabella8[[#This Row],[Colonna2]],Tabella9[Ortschaftsname],0)), "Name not found")</f>
        <v>6468</v>
      </c>
      <c r="G656" s="103"/>
      <c r="H656" s="240">
        <f ca="1">SUMIF(Tabella2[[#Headers],[#Data],[Age]],$H$76,Tabella2[[#Headers],[#Data],[Federal taxes]])</f>
        <v>6804.3246087429152</v>
      </c>
      <c r="I656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6" s="240">
        <f ca="1">Tabella8[[#This Row],[Colonna7]]*Tabella8[[#This Row],[Colonna4]]/100</f>
        <v>10081.206007310222</v>
      </c>
      <c r="Q656" s="2"/>
      <c r="R656" s="36">
        <f>IF(Q640&lt;$R$642,Q640*$S$641,IF(Q640&lt;$R$643,Q640*$S$642,IF(Q640&lt;$R$644,Q640*$S$643,IF(Q640&lt;$R$645,Q640*$S$644,IF(Q640&lt;$R$646,Q640*$S$645,IF(Q640&lt;$R$647,Q640*$S$646,IF(Q640&lt;$R$648,Q640*$S$647,IF(Q640&lt;$R$649,Q640*$S$648,IF(Q640&lt;$R$650,Q640*$S$649,IF(Q640&lt;$R$651,Q640*$S$650,IF(Q640&lt;$R$652,Q640*$S$651,IF(Q640&lt;$R$653,Q640*$S$652,IF(Q640&gt;$R$653,Q640*S653)))))))))))))</f>
        <v>13500</v>
      </c>
      <c r="S656" s="2"/>
      <c r="T656" s="2"/>
    </row>
    <row r="657" spans="2:20">
      <c r="B657" s="92" t="s">
        <v>150</v>
      </c>
      <c r="C657" s="91" t="s">
        <v>1987</v>
      </c>
      <c r="D657" s="93">
        <v>100</v>
      </c>
      <c r="E657" s="93">
        <v>92</v>
      </c>
      <c r="F657" s="103">
        <v>6463</v>
      </c>
      <c r="G657" s="103"/>
      <c r="H657" s="240">
        <f ca="1">SUMIF(Tabella2[[#Headers],[#Data],[Age]],$H$76,Tabella2[[#Headers],[#Data],[Federal taxes]])</f>
        <v>6804.3246087429152</v>
      </c>
      <c r="I657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7" s="240">
        <f ca="1">Tabella8[[#This Row],[Colonna7]]*Tabella8[[#This Row],[Colonna4]]/100</f>
        <v>9561.5562131189745</v>
      </c>
    </row>
    <row r="658" spans="2:20">
      <c r="B658" s="92" t="s">
        <v>150</v>
      </c>
      <c r="C658" s="91" t="s">
        <v>1988</v>
      </c>
      <c r="D658" s="93">
        <v>100</v>
      </c>
      <c r="E658" s="93">
        <v>103</v>
      </c>
      <c r="F658" s="103">
        <f>IFERROR(INDEX(Tabella9[PLZ],MATCH(Tabella8[[#This Row],[Colonna2]],Tabella9[Ortschaftsname],0)), "Name not found")</f>
        <v>6472</v>
      </c>
      <c r="G658" s="103"/>
      <c r="H658" s="240">
        <f ca="1">SUMIF(Tabella2[[#Headers],[#Data],[Age]],$H$76,Tabella2[[#Headers],[#Data],[Federal taxes]])</f>
        <v>6804.3246087429152</v>
      </c>
      <c r="I658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8" s="240">
        <f ca="1">Tabella8[[#This Row],[Colonna7]]*Tabella8[[#This Row],[Colonna4]]/100</f>
        <v>10704.785760339721</v>
      </c>
    </row>
    <row r="659" spans="2:20">
      <c r="B659" s="92" t="s">
        <v>150</v>
      </c>
      <c r="C659" s="91" t="s">
        <v>1990</v>
      </c>
      <c r="D659" s="93">
        <v>100</v>
      </c>
      <c r="E659" s="93">
        <v>93</v>
      </c>
      <c r="F659" s="103">
        <f>IFERROR(INDEX(Tabella9[PLZ],MATCH(Tabella8[[#This Row],[Colonna2]],Tabella9[Ortschaftsname],0)), "Name not found")</f>
        <v>6454</v>
      </c>
      <c r="G659" s="103"/>
      <c r="H659" s="240">
        <f ca="1">SUMIF(Tabella2[[#Headers],[#Data],[Age]],$H$76,Tabella2[[#Headers],[#Data],[Federal taxes]])</f>
        <v>6804.3246087429152</v>
      </c>
      <c r="I659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59" s="240">
        <f ca="1">Tabella8[[#This Row],[Colonna7]]*Tabella8[[#This Row],[Colonna4]]/100</f>
        <v>9665.4861719572236</v>
      </c>
      <c r="Q659" s="68" t="s">
        <v>2620</v>
      </c>
      <c r="R659" s="21" t="s">
        <v>82</v>
      </c>
      <c r="S659" s="21" t="s">
        <v>2511</v>
      </c>
      <c r="T659" s="21" t="s">
        <v>90</v>
      </c>
    </row>
    <row r="660" spans="2:20">
      <c r="B660" s="92" t="s">
        <v>150</v>
      </c>
      <c r="C660" s="91" t="s">
        <v>2621</v>
      </c>
      <c r="D660" s="93">
        <v>100</v>
      </c>
      <c r="E660" s="93">
        <v>110</v>
      </c>
      <c r="F660" s="103">
        <f>IFERROR(INDEX(Tabella9[PLZ],MATCH(Tabella8[[#This Row],[Colonna2]],Tabella9[Ortschaftsname],0)), "Name not found")</f>
        <v>6482</v>
      </c>
      <c r="G660" s="103"/>
      <c r="H660" s="240">
        <f ca="1">SUMIF(Tabella2[[#Headers],[#Data],[Age]],$H$76,Tabella2[[#Headers],[#Data],[Federal taxes]])</f>
        <v>6804.3246087429152</v>
      </c>
      <c r="I660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0" s="240">
        <f ca="1">Tabella8[[#This Row],[Colonna7]]*Tabella8[[#This Row],[Colonna4]]/100</f>
        <v>11432.295472207468</v>
      </c>
      <c r="Q660" s="94">
        <v>100000</v>
      </c>
      <c r="R660" s="11" t="s">
        <v>2512</v>
      </c>
      <c r="S660" s="11" t="s">
        <v>2525</v>
      </c>
      <c r="T660" s="11"/>
    </row>
    <row r="661" spans="2:20">
      <c r="B661" s="92" t="s">
        <v>150</v>
      </c>
      <c r="C661" s="91" t="s">
        <v>2622</v>
      </c>
      <c r="D661" s="93">
        <v>100</v>
      </c>
      <c r="E661" s="93">
        <v>108</v>
      </c>
      <c r="F661" s="103">
        <f>IFERROR(INDEX(Tabella9[PLZ],MATCH(Tabella8[[#This Row],[Colonna2]],Tabella9[Ortschaftsname],0)), "Name not found")</f>
        <v>6487</v>
      </c>
      <c r="G661" s="103"/>
      <c r="H661" s="240">
        <f ca="1">SUMIF(Tabella2[[#Headers],[#Data],[Age]],$H$76,Tabella2[[#Headers],[#Data],[Federal taxes]])</f>
        <v>6804.3246087429152</v>
      </c>
      <c r="I661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1" s="240">
        <f ca="1">Tabella8[[#This Row],[Colonna7]]*Tabella8[[#This Row],[Colonna4]]/100</f>
        <v>11224.43555453097</v>
      </c>
      <c r="Q661" s="26"/>
      <c r="R661" s="4">
        <v>0</v>
      </c>
      <c r="S661" s="39">
        <v>0.02</v>
      </c>
      <c r="T661" s="4"/>
    </row>
    <row r="662" spans="2:20">
      <c r="B662" s="92" t="s">
        <v>150</v>
      </c>
      <c r="C662" s="91" t="s">
        <v>2002</v>
      </c>
      <c r="D662" s="93">
        <v>100</v>
      </c>
      <c r="E662" s="93">
        <v>95</v>
      </c>
      <c r="F662" s="103">
        <f>IFERROR(INDEX(Tabella9[PLZ],MATCH(Tabella8[[#This Row],[Colonna2]],Tabella9[Ortschaftsname],0)), "Name not found")</f>
        <v>6493</v>
      </c>
      <c r="G662" s="103"/>
      <c r="H662" s="240">
        <f ca="1">SUMIF(Tabella2[[#Headers],[#Data],[Age]],$H$76,Tabella2[[#Headers],[#Data],[Federal taxes]])</f>
        <v>6804.3246087429152</v>
      </c>
      <c r="I662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2" s="240">
        <f ca="1">Tabella8[[#This Row],[Colonna7]]*Tabella8[[#This Row],[Colonna4]]/100</f>
        <v>9873.3460896337238</v>
      </c>
      <c r="Q662" s="2"/>
      <c r="R662" s="4">
        <v>5000</v>
      </c>
      <c r="S662" s="39">
        <v>0.02</v>
      </c>
      <c r="T662" s="4"/>
    </row>
    <row r="663" spans="2:20">
      <c r="B663" s="92" t="s">
        <v>150</v>
      </c>
      <c r="C663" s="91" t="s">
        <v>2623</v>
      </c>
      <c r="D663" s="93">
        <v>100</v>
      </c>
      <c r="E663" s="93">
        <v>117</v>
      </c>
      <c r="F663" s="103">
        <f>IFERROR(INDEX(Tabella9[PLZ],MATCH(Tabella8[[#This Row],[Colonna2]],Tabella9[Ortschaftsname],0)), "Name not found")</f>
        <v>6461</v>
      </c>
      <c r="G663" s="103"/>
      <c r="H663" s="240">
        <f ca="1">SUMIF(Tabella2[[#Headers],[#Data],[Age]],$H$76,Tabella2[[#Headers],[#Data],[Federal taxes]])</f>
        <v>6804.3246087429152</v>
      </c>
      <c r="I663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3" s="240">
        <f ca="1">Tabella8[[#This Row],[Colonna7]]*Tabella8[[#This Row],[Colonna4]]/100</f>
        <v>12159.805184075216</v>
      </c>
      <c r="Q663" s="2"/>
      <c r="R663" s="4">
        <v>10000</v>
      </c>
      <c r="S663" s="39">
        <v>2.7E-2</v>
      </c>
      <c r="T663" s="4"/>
    </row>
    <row r="664" spans="2:20">
      <c r="B664" s="92" t="s">
        <v>150</v>
      </c>
      <c r="C664" s="91" t="s">
        <v>2004</v>
      </c>
      <c r="D664" s="93">
        <v>100</v>
      </c>
      <c r="E664" s="93">
        <v>92</v>
      </c>
      <c r="F664" s="103">
        <f>IFERROR(INDEX(Tabella9[PLZ],MATCH(Tabella8[[#This Row],[Colonna2]],Tabella9[Ortschaftsname],0)), "Name not found")</f>
        <v>6491</v>
      </c>
      <c r="G664" s="103"/>
      <c r="H664" s="240">
        <f ca="1">SUMIF(Tabella2[[#Headers],[#Data],[Age]],$H$76,Tabella2[[#Headers],[#Data],[Federal taxes]])</f>
        <v>6804.3246087429152</v>
      </c>
      <c r="I664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4" s="240">
        <f ca="1">Tabella8[[#This Row],[Colonna7]]*Tabella8[[#This Row],[Colonna4]]/100</f>
        <v>9561.5562131189745</v>
      </c>
      <c r="Q664" s="2"/>
      <c r="R664" s="4">
        <v>15000</v>
      </c>
      <c r="S664" s="39">
        <v>3.5999999999999997E-2</v>
      </c>
      <c r="T664" s="4"/>
    </row>
    <row r="665" spans="2:20">
      <c r="B665" s="92" t="s">
        <v>150</v>
      </c>
      <c r="C665" s="91" t="s">
        <v>1986</v>
      </c>
      <c r="D665" s="93">
        <v>100</v>
      </c>
      <c r="E665" s="93">
        <v>91</v>
      </c>
      <c r="F665" s="103">
        <f>IFERROR(INDEX(Tabella9[PLZ],MATCH(Tabella8[[#This Row],[Colonna2]],Tabella9[Ortschaftsname],0)), "Name not found")</f>
        <v>6467</v>
      </c>
      <c r="G665" s="103"/>
      <c r="H665" s="240">
        <f ca="1">SUMIF(Tabella2[[#Headers],[#Data],[Age]],$H$76,Tabella2[[#Headers],[#Data],[Federal taxes]])</f>
        <v>6804.3246087429152</v>
      </c>
      <c r="I665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5" s="240">
        <f ca="1">Tabella8[[#This Row],[Colonna7]]*Tabella8[[#This Row],[Colonna4]]/100</f>
        <v>9457.6262542807235</v>
      </c>
      <c r="Q665" s="2"/>
      <c r="R665" s="4">
        <v>20000</v>
      </c>
      <c r="S665" s="39">
        <v>4.3999999999999997E-2</v>
      </c>
      <c r="T665" s="4"/>
    </row>
    <row r="666" spans="2:20">
      <c r="B666" s="92" t="s">
        <v>150</v>
      </c>
      <c r="C666" s="91" t="s">
        <v>1991</v>
      </c>
      <c r="D666" s="93">
        <v>100</v>
      </c>
      <c r="E666" s="93">
        <v>90</v>
      </c>
      <c r="F666" s="103">
        <v>6462</v>
      </c>
      <c r="G666" s="103"/>
      <c r="H666" s="240">
        <f ca="1">SUMIF(Tabella2[[#Headers],[#Data],[Age]],$H$76,Tabella2[[#Headers],[#Data],[Federal taxes]])</f>
        <v>6804.3246087429152</v>
      </c>
      <c r="I666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6" s="240">
        <f ca="1">Tabella8[[#This Row],[Colonna7]]*Tabella8[[#This Row],[Colonna4]]/100</f>
        <v>9353.6962954424744</v>
      </c>
      <c r="Q666" s="2"/>
      <c r="R666" s="4">
        <v>30000</v>
      </c>
      <c r="S666" s="39">
        <v>5.8000000000000003E-2</v>
      </c>
      <c r="T666" s="4"/>
    </row>
    <row r="667" spans="2:20">
      <c r="B667" s="92" t="s">
        <v>150</v>
      </c>
      <c r="C667" s="91" t="s">
        <v>1996</v>
      </c>
      <c r="D667" s="93">
        <v>100</v>
      </c>
      <c r="E667" s="93">
        <v>110</v>
      </c>
      <c r="F667" s="103">
        <f>IFERROR(INDEX(Tabella9[PLZ],MATCH(Tabella8[[#This Row],[Colonna2]],Tabella9[Ortschaftsname],0)), "Name not found")</f>
        <v>6377</v>
      </c>
      <c r="G667" s="103"/>
      <c r="H667" s="240">
        <f ca="1">SUMIF(Tabella2[[#Headers],[#Data],[Age]],$H$76,Tabella2[[#Headers],[#Data],[Federal taxes]])</f>
        <v>6804.3246087429152</v>
      </c>
      <c r="I667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7" s="240">
        <f ca="1">Tabella8[[#This Row],[Colonna7]]*Tabella8[[#This Row],[Colonna4]]/100</f>
        <v>11432.295472207468</v>
      </c>
      <c r="Q667" s="2"/>
      <c r="R667" s="4">
        <v>40000</v>
      </c>
      <c r="S667" s="39">
        <v>6.8000000000000005E-2</v>
      </c>
      <c r="T667" s="4"/>
    </row>
    <row r="668" spans="2:20">
      <c r="B668" s="92" t="s">
        <v>150</v>
      </c>
      <c r="C668" s="91" t="s">
        <v>1989</v>
      </c>
      <c r="D668" s="93">
        <v>100</v>
      </c>
      <c r="E668" s="93">
        <v>105</v>
      </c>
      <c r="F668" s="103">
        <f>IFERROR(INDEX(Tabella9[PLZ],MATCH(Tabella8[[#This Row],[Colonna2]],Tabella9[Ortschaftsname],0)), "Name not found")</f>
        <v>6473</v>
      </c>
      <c r="G668" s="103"/>
      <c r="H668" s="240">
        <f ca="1">SUMIF(Tabella2[[#Headers],[#Data],[Age]],$H$76,Tabella2[[#Headers],[#Data],[Federal taxes]])</f>
        <v>6804.3246087429152</v>
      </c>
      <c r="I668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8" s="240">
        <f ca="1">Tabella8[[#This Row],[Colonna7]]*Tabella8[[#This Row],[Colonna4]]/100</f>
        <v>10912.645678016219</v>
      </c>
      <c r="Q668" s="2"/>
      <c r="R668" s="4">
        <v>50000</v>
      </c>
      <c r="S668" s="39">
        <v>7.4999999999999997E-2</v>
      </c>
      <c r="T668" s="4"/>
    </row>
    <row r="669" spans="2:20">
      <c r="B669" s="92" t="s">
        <v>150</v>
      </c>
      <c r="C669" s="91" t="s">
        <v>2001</v>
      </c>
      <c r="D669" s="93">
        <v>100</v>
      </c>
      <c r="E669" s="93">
        <v>120</v>
      </c>
      <c r="F669" s="103">
        <f>IFERROR(INDEX(Tabella9[PLZ],MATCH(Tabella8[[#This Row],[Colonna2]],Tabella9[Ortschaftsname],0)), "Name not found")</f>
        <v>6452</v>
      </c>
      <c r="G669" s="103"/>
      <c r="H669" s="240">
        <f ca="1">SUMIF(Tabella2[[#Headers],[#Data],[Age]],$H$76,Tabella2[[#Headers],[#Data],[Federal taxes]])</f>
        <v>6804.3246087429152</v>
      </c>
      <c r="I669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69" s="240">
        <f ca="1">Tabella8[[#This Row],[Colonna7]]*Tabella8[[#This Row],[Colonna4]]/100</f>
        <v>12471.595060589965</v>
      </c>
      <c r="Q669" s="2"/>
      <c r="R669" s="4">
        <v>60000</v>
      </c>
      <c r="S669" s="39">
        <v>0.08</v>
      </c>
      <c r="T669" s="4"/>
    </row>
    <row r="670" spans="2:20">
      <c r="B670" s="92" t="s">
        <v>150</v>
      </c>
      <c r="C670" s="91" t="s">
        <v>2624</v>
      </c>
      <c r="D670" s="93">
        <v>100</v>
      </c>
      <c r="E670" s="93">
        <v>110</v>
      </c>
      <c r="F670" s="103">
        <f>IFERROR(INDEX(Tabella9[PLZ],MATCH(Tabella8[[#This Row],[Colonna2]],Tabella9[Ortschaftsname],0)), "Name not found")</f>
        <v>6464</v>
      </c>
      <c r="G670" s="103"/>
      <c r="H670" s="240">
        <f ca="1">SUMIF(Tabella2[[#Headers],[#Data],[Age]],$H$76,Tabella2[[#Headers],[#Data],[Federal taxes]])</f>
        <v>6804.3246087429152</v>
      </c>
      <c r="I670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70" s="240">
        <f ca="1">Tabella8[[#This Row],[Colonna7]]*Tabella8[[#This Row],[Colonna4]]/100</f>
        <v>11432.295472207468</v>
      </c>
      <c r="Q670" s="2"/>
      <c r="R670" s="4">
        <v>80000</v>
      </c>
      <c r="S670" s="39">
        <v>8.7999999999999995E-2</v>
      </c>
      <c r="T670" s="4"/>
    </row>
    <row r="671" spans="2:20">
      <c r="B671" s="92" t="s">
        <v>150</v>
      </c>
      <c r="C671" s="91" t="s">
        <v>1995</v>
      </c>
      <c r="D671" s="93">
        <v>100</v>
      </c>
      <c r="E671" s="93">
        <v>104</v>
      </c>
      <c r="F671" s="103">
        <f>IFERROR(INDEX(Tabella9[PLZ],MATCH(Tabella8[[#This Row],[Colonna2]],Tabella9[Ortschaftsname],0)), "Name not found")</f>
        <v>6465</v>
      </c>
      <c r="G671" s="103"/>
      <c r="H671" s="240">
        <f ca="1">SUMIF(Tabella2[[#Headers],[#Data],[Age]],$H$76,Tabella2[[#Headers],[#Data],[Federal taxes]])</f>
        <v>6804.3246087429152</v>
      </c>
      <c r="I671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71" s="240">
        <f ca="1">Tabella8[[#This Row],[Colonna7]]*Tabella8[[#This Row],[Colonna4]]/100</f>
        <v>10808.71571917797</v>
      </c>
      <c r="Q671" s="2"/>
      <c r="R671" s="4">
        <v>90000</v>
      </c>
      <c r="S671" s="39">
        <v>0.09</v>
      </c>
      <c r="T671" s="4"/>
    </row>
    <row r="672" spans="2:20">
      <c r="B672" s="92" t="s">
        <v>150</v>
      </c>
      <c r="C672" s="91" t="s">
        <v>2000</v>
      </c>
      <c r="D672" s="93">
        <v>100</v>
      </c>
      <c r="E672" s="93">
        <v>108</v>
      </c>
      <c r="F672" s="103">
        <v>6484</v>
      </c>
      <c r="G672" s="103"/>
      <c r="H672" s="240">
        <f ca="1">SUMIF(Tabella2[[#Headers],[#Data],[Age]],$H$76,Tabella2[[#Headers],[#Data],[Federal taxes]])</f>
        <v>6804.3246087429152</v>
      </c>
      <c r="I672" s="240">
        <f ca="1">IFERROR(INDEX(Tabella13[[TI]:[VS commun]], MATCH($H$76, Tabella13[Age], 0), MATCH(Tabella8[[#This Row],[Colonna1]], Tabella13[[#Headers], [TI]:[VS commun]], 0)), "Valore non trovato")*Tabella8[[#This Row],[Colonna3]]/100</f>
        <v>10392.995883824971</v>
      </c>
      <c r="J672" s="240">
        <f ca="1">Tabella8[[#This Row],[Colonna7]]*Tabella8[[#This Row],[Colonna4]]/100</f>
        <v>11224.43555453097</v>
      </c>
      <c r="Q672" s="2"/>
      <c r="R672" s="4">
        <v>180000</v>
      </c>
      <c r="S672" s="39">
        <v>9.9000000000000005E-2</v>
      </c>
      <c r="T672" s="4"/>
    </row>
    <row r="673" spans="2:20">
      <c r="B673" s="92" t="s">
        <v>156</v>
      </c>
      <c r="C673" s="91" t="s">
        <v>1426</v>
      </c>
      <c r="D673" s="93">
        <v>120</v>
      </c>
      <c r="E673" s="93">
        <v>175</v>
      </c>
      <c r="F673" s="103">
        <f>IFERROR(INDEX(Tabella9[PLZ],MATCH(Tabella8[[#This Row],[Colonna2]],Tabella9[Ortschaftsname],0)), "Name not found")</f>
        <v>8849</v>
      </c>
      <c r="G673" s="103"/>
      <c r="H673" s="240">
        <f ca="1">SUMIF(Tabella2[[#Headers],[#Data],[Age]],$H$76,Tabella2[[#Headers],[#Data],[Federal taxes]])</f>
        <v>6804.3246087429152</v>
      </c>
      <c r="I673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3" s="240">
        <f ca="1">Tabella8[[#This Row],[Colonna7]]*Tabella8[[#This Row],[Colonna4]]/100</f>
        <v>11988.540322327681</v>
      </c>
      <c r="Q673" s="2"/>
      <c r="R673" s="4">
        <v>200000</v>
      </c>
      <c r="S673" s="39">
        <v>0.1</v>
      </c>
      <c r="T673" s="46"/>
    </row>
    <row r="674" spans="2:20">
      <c r="B674" s="92" t="s">
        <v>156</v>
      </c>
      <c r="C674" s="91" t="s">
        <v>1408</v>
      </c>
      <c r="D674" s="93">
        <v>120</v>
      </c>
      <c r="E674" s="93">
        <v>125</v>
      </c>
      <c r="F674" s="103">
        <f>IFERROR(INDEX(Tabella9[PLZ],MATCH(Tabella8[[#This Row],[Colonna2]],Tabella9[Ortschaftsname],0)), "Name not found")</f>
        <v>8852</v>
      </c>
      <c r="G674" s="103"/>
      <c r="H674" s="240">
        <f ca="1">SUMIF(Tabella2[[#Headers],[#Data],[Age]],$H$76,Tabella2[[#Headers],[#Data],[Federal taxes]])</f>
        <v>6804.3246087429152</v>
      </c>
      <c r="I674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4" s="240">
        <f ca="1">Tabella8[[#This Row],[Colonna7]]*Tabella8[[#This Row],[Colonna4]]/100</f>
        <v>8563.2430873769154</v>
      </c>
      <c r="Q674" s="2"/>
      <c r="R674" s="4"/>
      <c r="S674" s="39"/>
      <c r="T674" s="46"/>
    </row>
    <row r="675" spans="2:20">
      <c r="B675" s="92" t="s">
        <v>156</v>
      </c>
      <c r="C675" s="91" t="s">
        <v>1403</v>
      </c>
      <c r="D675" s="93">
        <v>120</v>
      </c>
      <c r="E675" s="93">
        <v>160</v>
      </c>
      <c r="F675" s="103">
        <f>IFERROR(INDEX(Tabella9[PLZ],MATCH(Tabella8[[#This Row],[Colonna2]],Tabella9[Ortschaftsname],0)), "Name not found")</f>
        <v>6415</v>
      </c>
      <c r="G675" s="103"/>
      <c r="H675" s="240">
        <f ca="1">SUMIF(Tabella2[[#Headers],[#Data],[Age]],$H$76,Tabella2[[#Headers],[#Data],[Federal taxes]])</f>
        <v>6804.3246087429152</v>
      </c>
      <c r="I675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5" s="240">
        <f ca="1">Tabella8[[#This Row],[Colonna7]]*Tabella8[[#This Row],[Colonna4]]/100</f>
        <v>10960.951151842452</v>
      </c>
      <c r="Q675" s="2"/>
      <c r="R675" s="4"/>
      <c r="S675" s="39"/>
      <c r="T675" s="2"/>
    </row>
    <row r="676" spans="2:20">
      <c r="B676" s="92" t="s">
        <v>156</v>
      </c>
      <c r="C676" s="91" t="s">
        <v>1401</v>
      </c>
      <c r="D676" s="93">
        <v>120</v>
      </c>
      <c r="E676" s="93">
        <v>200</v>
      </c>
      <c r="F676" s="103">
        <f>IFERROR(INDEX(Tabella9[PLZ],MATCH(Tabella8[[#This Row],[Colonna2]],Tabella9[Ortschaftsname],0)), "Name not found")</f>
        <v>8840</v>
      </c>
      <c r="G676" s="103"/>
      <c r="H676" s="240">
        <f ca="1">SUMIF(Tabella2[[#Headers],[#Data],[Age]],$H$76,Tabella2[[#Headers],[#Data],[Federal taxes]])</f>
        <v>6804.3246087429152</v>
      </c>
      <c r="I676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6" s="240">
        <f ca="1">Tabella8[[#This Row],[Colonna7]]*Tabella8[[#This Row],[Colonna4]]/100</f>
        <v>13701.188939803063</v>
      </c>
      <c r="Q676" s="2"/>
      <c r="R676" s="36">
        <f>IF(Q660&lt;$R$662,Q660*$S$661,IF(Q660&lt;$R$663,Q660*$S$662,IF(Q660&lt;$R$664,Q660*$S$663,IF(Q660&lt;$R$665,Q660*$S$664,IF(Q660&lt;$R$666,Q660*$S$665,IF(Q660&lt;$R$667,Q660*$S$666,IF(Q660&lt;$R$668,Q660*$S$667,IF(Q660&lt;$R$669,Q660*$S$668,IF(Q660&lt;$R$670,Q660*$S$669,IF(Q660&lt;$R$671,Q660*$S$670,IF(Q660&lt;$R$672,Q660*$S$671,IF(Q660&lt;$R$673,Q660*$S$672,IF(Q660&gt;$R$673,Q660*$S$673)))))))))))))</f>
        <v>9000</v>
      </c>
      <c r="S676" s="2"/>
      <c r="T676" s="2"/>
    </row>
    <row r="677" spans="2:20">
      <c r="B677" s="92" t="s">
        <v>156</v>
      </c>
      <c r="C677" s="91" t="s">
        <v>1409</v>
      </c>
      <c r="D677" s="93">
        <v>120</v>
      </c>
      <c r="E677" s="93">
        <v>74</v>
      </c>
      <c r="F677" s="103">
        <f>IFERROR(INDEX(Tabella9[PLZ],MATCH(Tabella8[[#This Row],[Colonna2]],Tabella9[Ortschaftsname],0)), "Name not found")</f>
        <v>8835</v>
      </c>
      <c r="G677" s="103"/>
      <c r="H677" s="240">
        <f ca="1">SUMIF(Tabella2[[#Headers],[#Data],[Age]],$H$76,Tabella2[[#Headers],[#Data],[Federal taxes]])</f>
        <v>6804.3246087429152</v>
      </c>
      <c r="I677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7" s="240">
        <f ca="1">Tabella8[[#This Row],[Colonna7]]*Tabella8[[#This Row],[Colonna4]]/100</f>
        <v>5069.4399077271337</v>
      </c>
    </row>
    <row r="678" spans="2:20">
      <c r="B678" s="92" t="s">
        <v>156</v>
      </c>
      <c r="C678" s="91" t="s">
        <v>1400</v>
      </c>
      <c r="D678" s="93">
        <v>120</v>
      </c>
      <c r="E678" s="93">
        <v>69</v>
      </c>
      <c r="F678" s="103">
        <f>IFERROR(INDEX(Tabella9[PLZ],MATCH(Tabella8[[#This Row],[Colonna2]],Tabella9[Ortschaftsname],0)), "Name not found")</f>
        <v>8807</v>
      </c>
      <c r="G678" s="103"/>
      <c r="H678" s="240">
        <f ca="1">SUMIF(Tabella2[[#Headers],[#Data],[Age]],$H$76,Tabella2[[#Headers],[#Data],[Federal taxes]])</f>
        <v>6804.3246087429152</v>
      </c>
      <c r="I678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8" s="240">
        <f ca="1">Tabella8[[#This Row],[Colonna7]]*Tabella8[[#This Row],[Colonna4]]/100</f>
        <v>4726.910184232057</v>
      </c>
    </row>
    <row r="679" spans="2:20">
      <c r="B679" s="92" t="s">
        <v>156</v>
      </c>
      <c r="C679" s="91" t="s">
        <v>1410</v>
      </c>
      <c r="D679" s="93">
        <v>120</v>
      </c>
      <c r="E679" s="93">
        <v>165</v>
      </c>
      <c r="F679" s="103">
        <f>IFERROR(INDEX(Tabella9[PLZ],MATCH(Tabella8[[#This Row],[Colonna2]],Tabella9[Ortschaftsname],0)), "Name not found")</f>
        <v>8854</v>
      </c>
      <c r="G679" s="103"/>
      <c r="H679" s="240">
        <f ca="1">SUMIF(Tabella2[[#Headers],[#Data],[Age]],$H$76,Tabella2[[#Headers],[#Data],[Federal taxes]])</f>
        <v>6804.3246087429152</v>
      </c>
      <c r="I679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79" s="240">
        <f ca="1">Tabella8[[#This Row],[Colonna7]]*Tabella8[[#This Row],[Colonna4]]/100</f>
        <v>11303.480875337527</v>
      </c>
    </row>
    <row r="680" spans="2:20">
      <c r="B680" s="92" t="s">
        <v>156</v>
      </c>
      <c r="C680" s="91" t="s">
        <v>1418</v>
      </c>
      <c r="D680" s="93">
        <v>120</v>
      </c>
      <c r="E680" s="93">
        <v>190</v>
      </c>
      <c r="F680" s="103">
        <f>IFERROR(INDEX(Tabella9[PLZ],MATCH(Tabella8[[#This Row],[Colonna2]],Tabella9[Ortschaftsname],0)), "Name not found")</f>
        <v>6442</v>
      </c>
      <c r="G680" s="103"/>
      <c r="H680" s="240">
        <f ca="1">SUMIF(Tabella2[[#Headers],[#Data],[Age]],$H$76,Tabella2[[#Headers],[#Data],[Federal taxes]])</f>
        <v>6804.3246087429152</v>
      </c>
      <c r="I680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0" s="240">
        <f ca="1">Tabella8[[#This Row],[Colonna7]]*Tabella8[[#This Row],[Colonna4]]/100</f>
        <v>13016.129492812912</v>
      </c>
    </row>
    <row r="681" spans="2:20">
      <c r="B681" s="92" t="s">
        <v>156</v>
      </c>
      <c r="C681" s="91" t="s">
        <v>1425</v>
      </c>
      <c r="D681" s="93">
        <v>120</v>
      </c>
      <c r="E681" s="93">
        <v>210</v>
      </c>
      <c r="F681" s="103">
        <f>IFERROR(INDEX(Tabella9[PLZ],MATCH(Tabella8[[#This Row],[Colonna2]],Tabella9[Ortschaftsname],0)), "Name not found")</f>
        <v>6434</v>
      </c>
      <c r="G681" s="103"/>
      <c r="H681" s="240">
        <f ca="1">SUMIF(Tabella2[[#Headers],[#Data],[Age]],$H$76,Tabella2[[#Headers],[#Data],[Federal taxes]])</f>
        <v>6804.3246087429152</v>
      </c>
      <c r="I681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1" s="240">
        <f ca="1">Tabella8[[#This Row],[Colonna7]]*Tabella8[[#This Row],[Colonna4]]/100</f>
        <v>14386.248386793215</v>
      </c>
    </row>
    <row r="682" spans="2:20">
      <c r="B682" s="92" t="s">
        <v>156</v>
      </c>
      <c r="C682" s="91" t="s">
        <v>1405</v>
      </c>
      <c r="D682" s="93">
        <v>120</v>
      </c>
      <c r="E682" s="93">
        <v>200</v>
      </c>
      <c r="F682" s="103">
        <v>6440</v>
      </c>
      <c r="G682" s="103"/>
      <c r="H682" s="240">
        <f ca="1">SUMIF(Tabella2[[#Headers],[#Data],[Age]],$H$76,Tabella2[[#Headers],[#Data],[Federal taxes]])</f>
        <v>6804.3246087429152</v>
      </c>
      <c r="I682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2" s="240">
        <f ca="1">Tabella8[[#This Row],[Colonna7]]*Tabella8[[#This Row],[Colonna4]]/100</f>
        <v>13701.188939803063</v>
      </c>
    </row>
    <row r="683" spans="2:20">
      <c r="B683" s="92" t="s">
        <v>156</v>
      </c>
      <c r="C683" s="91" t="s">
        <v>1427</v>
      </c>
      <c r="D683" s="93">
        <v>120</v>
      </c>
      <c r="E683" s="93">
        <v>170</v>
      </c>
      <c r="F683" s="103">
        <f>IFERROR(INDEX(Tabella9[PLZ],MATCH(Tabella8[[#This Row],[Colonna2]],Tabella9[Ortschaftsname],0)), "Name not found")</f>
        <v>8858</v>
      </c>
      <c r="G683" s="103"/>
      <c r="H683" s="240">
        <f ca="1">SUMIF(Tabella2[[#Headers],[#Data],[Age]],$H$76,Tabella2[[#Headers],[#Data],[Federal taxes]])</f>
        <v>6804.3246087429152</v>
      </c>
      <c r="I683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3" s="240">
        <f ca="1">Tabella8[[#This Row],[Colonna7]]*Tabella8[[#This Row],[Colonna4]]/100</f>
        <v>11646.010598832603</v>
      </c>
    </row>
    <row r="684" spans="2:20">
      <c r="B684" s="92" t="s">
        <v>156</v>
      </c>
      <c r="C684" s="91" t="s">
        <v>1402</v>
      </c>
      <c r="D684" s="93">
        <v>120</v>
      </c>
      <c r="E684" s="93">
        <v>155</v>
      </c>
      <c r="F684" s="103">
        <v>6403</v>
      </c>
      <c r="G684" s="103"/>
      <c r="H684" s="240">
        <f ca="1">SUMIF(Tabella2[[#Headers],[#Data],[Age]],$H$76,Tabella2[[#Headers],[#Data],[Federal taxes]])</f>
        <v>6804.3246087429152</v>
      </c>
      <c r="I684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4" s="240">
        <f ca="1">Tabella8[[#This Row],[Colonna7]]*Tabella8[[#This Row],[Colonna4]]/100</f>
        <v>10618.421428347374</v>
      </c>
    </row>
    <row r="685" spans="2:20">
      <c r="B685" s="92" t="s">
        <v>156</v>
      </c>
      <c r="C685" s="91" t="s">
        <v>1406</v>
      </c>
      <c r="D685" s="93">
        <v>120</v>
      </c>
      <c r="E685" s="93">
        <v>135</v>
      </c>
      <c r="F685" s="103">
        <v>8853</v>
      </c>
      <c r="G685" s="103"/>
      <c r="H685" s="240">
        <f ca="1">SUMIF(Tabella2[[#Headers],[#Data],[Age]],$H$76,Tabella2[[#Headers],[#Data],[Federal taxes]])</f>
        <v>6804.3246087429152</v>
      </c>
      <c r="I685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5" s="240">
        <f ca="1">Tabella8[[#This Row],[Colonna7]]*Tabella8[[#This Row],[Colonna4]]/100</f>
        <v>9248.302534367067</v>
      </c>
    </row>
    <row r="686" spans="2:20">
      <c r="B686" s="92" t="s">
        <v>156</v>
      </c>
      <c r="C686" s="91" t="s">
        <v>1421</v>
      </c>
      <c r="D686" s="93">
        <v>120</v>
      </c>
      <c r="E686" s="93">
        <v>200</v>
      </c>
      <c r="F686" s="103">
        <f>IFERROR(INDEX(Tabella9[PLZ],MATCH(Tabella8[[#This Row],[Colonna2]],Tabella9[Ortschaftsname],0)), "Name not found")</f>
        <v>6424</v>
      </c>
      <c r="G686" s="103"/>
      <c r="H686" s="240">
        <f ca="1">SUMIF(Tabella2[[#Headers],[#Data],[Age]],$H$76,Tabella2[[#Headers],[#Data],[Federal taxes]])</f>
        <v>6804.3246087429152</v>
      </c>
      <c r="I686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6" s="240">
        <f ca="1">Tabella8[[#This Row],[Colonna7]]*Tabella8[[#This Row],[Colonna4]]/100</f>
        <v>13701.188939803063</v>
      </c>
    </row>
    <row r="687" spans="2:20">
      <c r="B687" s="92" t="s">
        <v>156</v>
      </c>
      <c r="C687" s="91" t="s">
        <v>1420</v>
      </c>
      <c r="D687" s="93">
        <v>120</v>
      </c>
      <c r="E687" s="93">
        <v>180</v>
      </c>
      <c r="F687" s="103">
        <f>IFERROR(INDEX(Tabella9[PLZ],MATCH(Tabella8[[#This Row],[Colonna2]],Tabella9[Ortschaftsname],0)), "Name not found")</f>
        <v>6443</v>
      </c>
      <c r="G687" s="103"/>
      <c r="H687" s="240">
        <f ca="1">SUMIF(Tabella2[[#Headers],[#Data],[Age]],$H$76,Tabella2[[#Headers],[#Data],[Federal taxes]])</f>
        <v>6804.3246087429152</v>
      </c>
      <c r="I687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7" s="240">
        <f ca="1">Tabella8[[#This Row],[Colonna7]]*Tabella8[[#This Row],[Colonna4]]/100</f>
        <v>12331.070045822757</v>
      </c>
    </row>
    <row r="688" spans="2:20">
      <c r="B688" s="92" t="s">
        <v>156</v>
      </c>
      <c r="C688" s="91" t="s">
        <v>1413</v>
      </c>
      <c r="D688" s="93">
        <v>120</v>
      </c>
      <c r="E688" s="93">
        <v>170</v>
      </c>
      <c r="F688" s="103">
        <f>IFERROR(INDEX(Tabella9[PLZ],MATCH(Tabella8[[#This Row],[Colonna2]],Tabella9[Ortschaftsname],0)), "Name not found")</f>
        <v>6436</v>
      </c>
      <c r="G688" s="103"/>
      <c r="H688" s="240">
        <f ca="1">SUMIF(Tabella2[[#Headers],[#Data],[Age]],$H$76,Tabella2[[#Headers],[#Data],[Federal taxes]])</f>
        <v>6804.3246087429152</v>
      </c>
      <c r="I688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8" s="240">
        <f ca="1">Tabella8[[#This Row],[Colonna7]]*Tabella8[[#This Row],[Colonna4]]/100</f>
        <v>11646.010598832603</v>
      </c>
    </row>
    <row r="689" spans="2:10">
      <c r="B689" s="92" t="s">
        <v>156</v>
      </c>
      <c r="C689" s="91" t="s">
        <v>1424</v>
      </c>
      <c r="D689" s="93">
        <v>120</v>
      </c>
      <c r="E689" s="93">
        <v>180</v>
      </c>
      <c r="F689" s="103">
        <f>IFERROR(INDEX(Tabella9[PLZ],MATCH(Tabella8[[#This Row],[Colonna2]],Tabella9[Ortschaftsname],0)), "Name not found")</f>
        <v>8843</v>
      </c>
      <c r="G689" s="103"/>
      <c r="H689" s="240">
        <f ca="1">SUMIF(Tabella2[[#Headers],[#Data],[Age]],$H$76,Tabella2[[#Headers],[#Data],[Federal taxes]])</f>
        <v>6804.3246087429152</v>
      </c>
      <c r="I689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89" s="240">
        <f ca="1">Tabella8[[#This Row],[Colonna7]]*Tabella8[[#This Row],[Colonna4]]/100</f>
        <v>12331.070045822757</v>
      </c>
    </row>
    <row r="690" spans="2:10">
      <c r="B690" s="92" t="s">
        <v>156</v>
      </c>
      <c r="C690" s="91" t="s">
        <v>1412</v>
      </c>
      <c r="D690" s="93">
        <v>120</v>
      </c>
      <c r="E690" s="93">
        <v>190</v>
      </c>
      <c r="F690" s="103">
        <f>IFERROR(INDEX(Tabella9[PLZ],MATCH(Tabella8[[#This Row],[Colonna2]],Tabella9[Ortschaftsname],0)), "Name not found")</f>
        <v>8864</v>
      </c>
      <c r="G690" s="103"/>
      <c r="H690" s="240">
        <f ca="1">SUMIF(Tabella2[[#Headers],[#Data],[Age]],$H$76,Tabella2[[#Headers],[#Data],[Federal taxes]])</f>
        <v>6804.3246087429152</v>
      </c>
      <c r="I690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0" s="240">
        <f ca="1">Tabella8[[#This Row],[Colonna7]]*Tabella8[[#This Row],[Colonna4]]/100</f>
        <v>13016.129492812912</v>
      </c>
    </row>
    <row r="691" spans="2:10">
      <c r="B691" s="92" t="s">
        <v>156</v>
      </c>
      <c r="C691" s="91" t="s">
        <v>1428</v>
      </c>
      <c r="D691" s="93">
        <v>120</v>
      </c>
      <c r="E691" s="93">
        <v>140</v>
      </c>
      <c r="F691" s="103">
        <f>IFERROR(INDEX(Tabella9[PLZ],MATCH(Tabella8[[#This Row],[Colonna2]],Tabella9[Ortschaftsname],0)), "Name not found")</f>
        <v>6452</v>
      </c>
      <c r="G691" s="103"/>
      <c r="H691" s="240">
        <f ca="1">SUMIF(Tabella2[[#Headers],[#Data],[Age]],$H$76,Tabella2[[#Headers],[#Data],[Federal taxes]])</f>
        <v>6804.3246087429152</v>
      </c>
      <c r="I691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1" s="240">
        <f ca="1">Tabella8[[#This Row],[Colonna7]]*Tabella8[[#This Row],[Colonna4]]/100</f>
        <v>9590.8322578621446</v>
      </c>
    </row>
    <row r="692" spans="2:10">
      <c r="B692" s="92" t="s">
        <v>156</v>
      </c>
      <c r="C692" s="91" t="s">
        <v>1417</v>
      </c>
      <c r="D692" s="93">
        <v>120</v>
      </c>
      <c r="E692" s="93">
        <v>175</v>
      </c>
      <c r="F692" s="103">
        <f>IFERROR(INDEX(Tabella9[PLZ],MATCH(Tabella8[[#This Row],[Colonna2]],Tabella9[Ortschaftsname],0)), "Name not found")</f>
        <v>6418</v>
      </c>
      <c r="G692" s="103"/>
      <c r="H692" s="240">
        <f ca="1">SUMIF(Tabella2[[#Headers],[#Data],[Age]],$H$76,Tabella2[[#Headers],[#Data],[Federal taxes]])</f>
        <v>6804.3246087429152</v>
      </c>
      <c r="I692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2" s="240">
        <f ca="1">Tabella8[[#This Row],[Colonna7]]*Tabella8[[#This Row],[Colonna4]]/100</f>
        <v>11988.540322327681</v>
      </c>
    </row>
    <row r="693" spans="2:10">
      <c r="B693" s="92" t="s">
        <v>156</v>
      </c>
      <c r="C693" s="91" t="s">
        <v>1419</v>
      </c>
      <c r="D693" s="93">
        <v>120</v>
      </c>
      <c r="E693" s="93">
        <v>180</v>
      </c>
      <c r="F693" s="103">
        <f>IFERROR(INDEX(Tabella9[PLZ],MATCH(Tabella8[[#This Row],[Colonna2]],Tabella9[Ortschaftsname],0)), "Name not found")</f>
        <v>6417</v>
      </c>
      <c r="G693" s="103"/>
      <c r="H693" s="240">
        <f ca="1">SUMIF(Tabella2[[#Headers],[#Data],[Age]],$H$76,Tabella2[[#Headers],[#Data],[Federal taxes]])</f>
        <v>6804.3246087429152</v>
      </c>
      <c r="I693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3" s="240">
        <f ca="1">Tabella8[[#This Row],[Colonna7]]*Tabella8[[#This Row],[Colonna4]]/100</f>
        <v>12331.070045822757</v>
      </c>
    </row>
    <row r="694" spans="2:10">
      <c r="B694" s="92" t="s">
        <v>156</v>
      </c>
      <c r="C694" s="91" t="s">
        <v>178</v>
      </c>
      <c r="D694" s="93">
        <v>120</v>
      </c>
      <c r="E694" s="93">
        <v>205</v>
      </c>
      <c r="F694" s="103">
        <f>IFERROR(INDEX(Tabella9[PLZ],MATCH(Tabella8[[#This Row],[Colonna2]],Tabella9[Ortschaftsname],0)), "Name not found")</f>
        <v>6430</v>
      </c>
      <c r="G694" s="103"/>
      <c r="H694" s="240">
        <f ca="1">SUMIF(Tabella2[[#Headers],[#Data],[Age]],$H$76,Tabella2[[#Headers],[#Data],[Federal taxes]])</f>
        <v>6804.3246087429152</v>
      </c>
      <c r="I694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4" s="240">
        <f ca="1">Tabella8[[#This Row],[Colonna7]]*Tabella8[[#This Row],[Colonna4]]/100</f>
        <v>14043.718663298141</v>
      </c>
    </row>
    <row r="695" spans="2:10">
      <c r="B695" s="92" t="s">
        <v>156</v>
      </c>
      <c r="C695" s="91" t="s">
        <v>1404</v>
      </c>
      <c r="D695" s="93">
        <v>120</v>
      </c>
      <c r="E695" s="93">
        <v>210</v>
      </c>
      <c r="F695" s="103">
        <f>IFERROR(INDEX(Tabella9[PLZ],MATCH(Tabella8[[#This Row],[Colonna2]],Tabella9[Ortschaftsname],0)), "Name not found")</f>
        <v>8862</v>
      </c>
      <c r="G695" s="103"/>
      <c r="H695" s="240">
        <f ca="1">SUMIF(Tabella2[[#Headers],[#Data],[Age]],$H$76,Tabella2[[#Headers],[#Data],[Federal taxes]])</f>
        <v>6804.3246087429152</v>
      </c>
      <c r="I695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5" s="240">
        <f ca="1">Tabella8[[#This Row],[Colonna7]]*Tabella8[[#This Row],[Colonna4]]/100</f>
        <v>14386.248386793215</v>
      </c>
    </row>
    <row r="696" spans="2:10">
      <c r="B696" s="92" t="s">
        <v>156</v>
      </c>
      <c r="C696" s="91" t="s">
        <v>1414</v>
      </c>
      <c r="D696" s="93">
        <v>120</v>
      </c>
      <c r="E696" s="93">
        <v>200</v>
      </c>
      <c r="F696" s="103">
        <f>IFERROR(INDEX(Tabella9[PLZ],MATCH(Tabella8[[#This Row],[Colonna2]],Tabella9[Ortschaftsname],0)), "Name not found")</f>
        <v>6422</v>
      </c>
      <c r="G696" s="103"/>
      <c r="H696" s="240">
        <f ca="1">SUMIF(Tabella2[[#Headers],[#Data],[Age]],$H$76,Tabella2[[#Headers],[#Data],[Federal taxes]])</f>
        <v>6804.3246087429152</v>
      </c>
      <c r="I696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6" s="240">
        <f ca="1">Tabella8[[#This Row],[Colonna7]]*Tabella8[[#This Row],[Colonna4]]/100</f>
        <v>13701.188939803063</v>
      </c>
    </row>
    <row r="697" spans="2:10">
      <c r="B697" s="92" t="s">
        <v>156</v>
      </c>
      <c r="C697" s="91" t="s">
        <v>1423</v>
      </c>
      <c r="D697" s="93">
        <v>120</v>
      </c>
      <c r="E697" s="93">
        <v>160</v>
      </c>
      <c r="F697" s="103">
        <f>IFERROR(INDEX(Tabella9[PLZ],MATCH(Tabella8[[#This Row],[Colonna2]],Tabella9[Ortschaftsname],0)), "Name not found")</f>
        <v>6416</v>
      </c>
      <c r="G697" s="103"/>
      <c r="H697" s="240">
        <f ca="1">SUMIF(Tabella2[[#Headers],[#Data],[Age]],$H$76,Tabella2[[#Headers],[#Data],[Federal taxes]])</f>
        <v>6804.3246087429152</v>
      </c>
      <c r="I697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7" s="240">
        <f ca="1">Tabella8[[#This Row],[Colonna7]]*Tabella8[[#This Row],[Colonna4]]/100</f>
        <v>10960.951151842452</v>
      </c>
    </row>
    <row r="698" spans="2:10">
      <c r="B698" s="92" t="s">
        <v>156</v>
      </c>
      <c r="C698" s="91" t="s">
        <v>1415</v>
      </c>
      <c r="D698" s="93">
        <v>120</v>
      </c>
      <c r="E698" s="93">
        <v>179</v>
      </c>
      <c r="F698" s="103">
        <f>IFERROR(INDEX(Tabella9[PLZ],MATCH(Tabella8[[#This Row],[Colonna2]],Tabella9[Ortschaftsname],0)), "Name not found")</f>
        <v>8856</v>
      </c>
      <c r="G698" s="103"/>
      <c r="H698" s="240">
        <f ca="1">SUMIF(Tabella2[[#Headers],[#Data],[Age]],$H$76,Tabella2[[#Headers],[#Data],[Federal taxes]])</f>
        <v>6804.3246087429152</v>
      </c>
      <c r="I698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8" s="240">
        <f ca="1">Tabella8[[#This Row],[Colonna7]]*Tabella8[[#This Row],[Colonna4]]/100</f>
        <v>12262.564101123742</v>
      </c>
    </row>
    <row r="699" spans="2:10">
      <c r="B699" s="92" t="s">
        <v>156</v>
      </c>
      <c r="C699" s="91" t="s">
        <v>1416</v>
      </c>
      <c r="D699" s="93">
        <v>120</v>
      </c>
      <c r="E699" s="93">
        <v>205</v>
      </c>
      <c r="F699" s="103">
        <f>IFERROR(INDEX(Tabella9[PLZ],MATCH(Tabella8[[#This Row],[Colonna2]],Tabella9[Ortschaftsname],0)), "Name not found")</f>
        <v>8842</v>
      </c>
      <c r="G699" s="103"/>
      <c r="H699" s="240">
        <f ca="1">SUMIF(Tabella2[[#Headers],[#Data],[Age]],$H$76,Tabella2[[#Headers],[#Data],[Federal taxes]])</f>
        <v>6804.3246087429152</v>
      </c>
      <c r="I699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699" s="240">
        <f ca="1">Tabella8[[#This Row],[Colonna7]]*Tabella8[[#This Row],[Colonna4]]/100</f>
        <v>14043.718663298141</v>
      </c>
    </row>
    <row r="700" spans="2:10">
      <c r="B700" s="92" t="s">
        <v>156</v>
      </c>
      <c r="C700" s="91" t="s">
        <v>1422</v>
      </c>
      <c r="D700" s="93">
        <v>120</v>
      </c>
      <c r="E700" s="93">
        <v>175</v>
      </c>
      <c r="F700" s="103">
        <f>IFERROR(INDEX(Tabella9[PLZ],MATCH(Tabella8[[#This Row],[Colonna2]],Tabella9[Ortschaftsname],0)), "Name not found")</f>
        <v>8857</v>
      </c>
      <c r="G700" s="103"/>
      <c r="H700" s="240">
        <f ca="1">SUMIF(Tabella2[[#Headers],[#Data],[Age]],$H$76,Tabella2[[#Headers],[#Data],[Federal taxes]])</f>
        <v>6804.3246087429152</v>
      </c>
      <c r="I700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700" s="240">
        <f ca="1">Tabella8[[#This Row],[Colonna7]]*Tabella8[[#This Row],[Colonna4]]/100</f>
        <v>11988.540322327681</v>
      </c>
    </row>
    <row r="701" spans="2:10">
      <c r="B701" s="92" t="s">
        <v>156</v>
      </c>
      <c r="C701" s="91" t="s">
        <v>1411</v>
      </c>
      <c r="D701" s="93">
        <v>120</v>
      </c>
      <c r="E701" s="93">
        <v>190</v>
      </c>
      <c r="F701" s="103">
        <v>8855</v>
      </c>
      <c r="G701" s="103"/>
      <c r="H701" s="240">
        <f ca="1">SUMIF(Tabella2[[#Headers],[#Data],[Age]],$H$76,Tabella2[[#Headers],[#Data],[Federal taxes]])</f>
        <v>6804.3246087429152</v>
      </c>
      <c r="I701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701" s="240">
        <f ca="1">Tabella8[[#This Row],[Colonna7]]*Tabella8[[#This Row],[Colonna4]]/100</f>
        <v>13016.129492812912</v>
      </c>
    </row>
    <row r="702" spans="2:10">
      <c r="B702" s="92" t="s">
        <v>156</v>
      </c>
      <c r="C702" s="91" t="s">
        <v>1407</v>
      </c>
      <c r="D702" s="93">
        <v>120</v>
      </c>
      <c r="E702" s="93">
        <v>74</v>
      </c>
      <c r="F702" s="103">
        <f>IFERROR(INDEX(Tabella9[PLZ],MATCH(Tabella8[[#This Row],[Colonna2]],Tabella9[Ortschaftsname],0)), "Name not found")</f>
        <v>8832</v>
      </c>
      <c r="G702" s="103"/>
      <c r="H702" s="240">
        <f ca="1">SUMIF(Tabella2[[#Headers],[#Data],[Age]],$H$76,Tabella2[[#Headers],[#Data],[Federal taxes]])</f>
        <v>6804.3246087429152</v>
      </c>
      <c r="I702" s="240">
        <f ca="1">IFERROR(INDEX(Tabella13[[TI]:[VS commun]], MATCH($H$76, Tabella13[Age], 0), MATCH(Tabella8[[#This Row],[Colonna1]], Tabella13[[#Headers], [TI]:[VS commun]], 0)), "Valore non trovato")*Tabella8[[#This Row],[Colonna3]]/100</f>
        <v>6850.5944699015317</v>
      </c>
      <c r="J702" s="240">
        <f ca="1">Tabella8[[#This Row],[Colonna7]]*Tabella8[[#This Row],[Colonna4]]/100</f>
        <v>5069.4399077271337</v>
      </c>
    </row>
    <row r="703" spans="2:10">
      <c r="B703" s="92" t="s">
        <v>148</v>
      </c>
      <c r="C703" s="91" t="s">
        <v>2019</v>
      </c>
      <c r="D703" s="93">
        <v>335</v>
      </c>
      <c r="E703" s="93">
        <v>485</v>
      </c>
      <c r="F703" s="103">
        <v>6055</v>
      </c>
      <c r="G703" s="103"/>
      <c r="H703" s="240">
        <f ca="1">SUMIF(Tabella2[[#Headers],[#Data],[Age]],$H$76,Tabella2[[#Headers],[#Data],[Federal taxes]])</f>
        <v>6804.3246087429152</v>
      </c>
      <c r="I703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3" s="240">
        <f ca="1">Tabella8[[#This Row],[Colonna7]]*Tabella8[[#This Row],[Colonna4]]/100</f>
        <v>42809.62832681735</v>
      </c>
    </row>
    <row r="704" spans="2:10">
      <c r="B704" s="92" t="s">
        <v>148</v>
      </c>
      <c r="C704" s="91" t="s">
        <v>2021</v>
      </c>
      <c r="D704" s="93">
        <v>335</v>
      </c>
      <c r="E704" s="93">
        <v>465</v>
      </c>
      <c r="F704" s="103">
        <f>IFERROR(INDEX(Tabella9[PLZ],MATCH(Tabella8[[#This Row],[Colonna2]],Tabella9[Ortschaftsname],0)), "Name not found")</f>
        <v>6390</v>
      </c>
      <c r="G704" s="103"/>
      <c r="H704" s="240">
        <f ca="1">SUMIF(Tabella2[[#Headers],[#Data],[Age]],$H$76,Tabella2[[#Headers],[#Data],[Federal taxes]])</f>
        <v>6804.3246087429152</v>
      </c>
      <c r="I704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4" s="240">
        <f ca="1">Tabella8[[#This Row],[Colonna7]]*Tabella8[[#This Row],[Colonna4]]/100</f>
        <v>41044.282828804266</v>
      </c>
    </row>
    <row r="705" spans="2:10">
      <c r="B705" s="92" t="s">
        <v>148</v>
      </c>
      <c r="C705" s="91" t="s">
        <v>2022</v>
      </c>
      <c r="D705" s="93">
        <v>335</v>
      </c>
      <c r="E705" s="93">
        <v>485</v>
      </c>
      <c r="F705" s="103">
        <f>IFERROR(INDEX(Tabella9[PLZ],MATCH(Tabella8[[#This Row],[Colonna2]],Tabella9[Ortschaftsname],0)), "Name not found")</f>
        <v>6074</v>
      </c>
      <c r="G705" s="103"/>
      <c r="H705" s="240">
        <f ca="1">SUMIF(Tabella2[[#Headers],[#Data],[Age]],$H$76,Tabella2[[#Headers],[#Data],[Federal taxes]])</f>
        <v>6804.3246087429152</v>
      </c>
      <c r="I705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5" s="240">
        <f ca="1">Tabella8[[#This Row],[Colonna7]]*Tabella8[[#This Row],[Colonna4]]/100</f>
        <v>42809.62832681735</v>
      </c>
    </row>
    <row r="706" spans="2:10">
      <c r="B706" s="92" t="s">
        <v>148</v>
      </c>
      <c r="C706" s="91" t="s">
        <v>2018</v>
      </c>
      <c r="D706" s="93">
        <v>335</v>
      </c>
      <c r="E706" s="93">
        <v>450</v>
      </c>
      <c r="F706" s="103">
        <f>IFERROR(INDEX(Tabella9[PLZ],MATCH(Tabella8[[#This Row],[Colonna2]],Tabella9[Ortschaftsname],0)), "Name not found")</f>
        <v>6064</v>
      </c>
      <c r="G706" s="103"/>
      <c r="H706" s="240">
        <f ca="1">SUMIF(Tabella2[[#Headers],[#Data],[Age]],$H$76,Tabella2[[#Headers],[#Data],[Federal taxes]])</f>
        <v>6804.3246087429152</v>
      </c>
      <c r="I706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6" s="240">
        <f ca="1">Tabella8[[#This Row],[Colonna7]]*Tabella8[[#This Row],[Colonna4]]/100</f>
        <v>39720.27370529445</v>
      </c>
    </row>
    <row r="707" spans="2:10">
      <c r="B707" s="92" t="s">
        <v>148</v>
      </c>
      <c r="C707" s="91" t="s">
        <v>2023</v>
      </c>
      <c r="D707" s="93">
        <v>335</v>
      </c>
      <c r="E707" s="93">
        <v>525</v>
      </c>
      <c r="F707" s="103">
        <f>IFERROR(INDEX(Tabella9[PLZ],MATCH(Tabella8[[#This Row],[Colonna2]],Tabella9[Ortschaftsname],0)), "Name not found")</f>
        <v>6078</v>
      </c>
      <c r="G707" s="103"/>
      <c r="H707" s="240">
        <f ca="1">SUMIF(Tabella2[[#Headers],[#Data],[Age]],$H$76,Tabella2[[#Headers],[#Data],[Federal taxes]])</f>
        <v>6804.3246087429152</v>
      </c>
      <c r="I707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7" s="240">
        <f ca="1">Tabella8[[#This Row],[Colonna7]]*Tabella8[[#This Row],[Colonna4]]/100</f>
        <v>46340.319322843527</v>
      </c>
    </row>
    <row r="708" spans="2:10">
      <c r="B708" s="92" t="s">
        <v>148</v>
      </c>
      <c r="C708" s="91" t="s">
        <v>2020</v>
      </c>
      <c r="D708" s="93">
        <v>335</v>
      </c>
      <c r="E708" s="93">
        <v>470</v>
      </c>
      <c r="F708" s="103">
        <f>IFERROR(INDEX(Tabella9[PLZ],MATCH(Tabella8[[#This Row],[Colonna2]],Tabella9[Ortschaftsname],0)), "Name not found")</f>
        <v>6072</v>
      </c>
      <c r="G708" s="103"/>
      <c r="H708" s="240">
        <f ca="1">SUMIF(Tabella2[[#Headers],[#Data],[Age]],$H$76,Tabella2[[#Headers],[#Data],[Federal taxes]])</f>
        <v>6804.3246087429152</v>
      </c>
      <c r="I708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8" s="240">
        <f ca="1">Tabella8[[#This Row],[Colonna7]]*Tabella8[[#This Row],[Colonna4]]/100</f>
        <v>41485.619203307542</v>
      </c>
    </row>
    <row r="709" spans="2:10">
      <c r="B709" s="92" t="s">
        <v>148</v>
      </c>
      <c r="C709" s="91" t="s">
        <v>2016</v>
      </c>
      <c r="D709" s="93">
        <v>335</v>
      </c>
      <c r="E709" s="93">
        <v>386</v>
      </c>
      <c r="F709" s="103">
        <f>IFERROR(INDEX(Tabella9[PLZ],MATCH(Tabella8[[#This Row],[Colonna2]],Tabella9[Ortschaftsname],0)), "Name not found")</f>
        <v>6060</v>
      </c>
      <c r="G709" s="103"/>
      <c r="H709" s="240">
        <f ca="1">SUMIF(Tabella2[[#Headers],[#Data],[Age]],$H$76,Tabella2[[#Headers],[#Data],[Federal taxes]])</f>
        <v>6804.3246087429152</v>
      </c>
      <c r="I709" s="240">
        <f ca="1">IFERROR(INDEX(Tabella13[[TI]:[VS commun]], MATCH($H$76, Tabella13[Age], 0), MATCH(Tabella8[[#This Row],[Colonna1]], Tabella13[[#Headers], [TI]:[VS commun]], 0)), "Valore non trovato")*Tabella8[[#This Row],[Colonna3]]/100</f>
        <v>8826.7274900654338</v>
      </c>
      <c r="J709" s="240">
        <f ca="1">Tabella8[[#This Row],[Colonna7]]*Tabella8[[#This Row],[Colonna4]]/100</f>
        <v>34071.168111652572</v>
      </c>
    </row>
    <row r="710" spans="2:10">
      <c r="B710" s="92" t="s">
        <v>147</v>
      </c>
      <c r="C710" s="91" t="s">
        <v>2010</v>
      </c>
      <c r="D710" s="93">
        <v>266</v>
      </c>
      <c r="E710" s="93">
        <v>179</v>
      </c>
      <c r="F710" s="103">
        <f>IFERROR(INDEX(Tabella9[PLZ],MATCH(Tabella8[[#This Row],[Colonna2]],Tabella9[Ortschaftsname],0)), "Name not found")</f>
        <v>6375</v>
      </c>
      <c r="G710" s="103"/>
      <c r="H710" s="240">
        <f ca="1">SUMIF(Tabella2[[#Headers],[#Data],[Age]],$H$76,Tabella2[[#Headers],[#Data],[Federal taxes]])</f>
        <v>6804.3246087429152</v>
      </c>
      <c r="I710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0" s="240">
        <f ca="1">Tabella8[[#This Row],[Colonna7]]*Tabella8[[#This Row],[Colonna4]]/100</f>
        <v>20212.269118818069</v>
      </c>
    </row>
    <row r="711" spans="2:10">
      <c r="B711" s="92" t="s">
        <v>147</v>
      </c>
      <c r="C711" s="91" t="s">
        <v>2007</v>
      </c>
      <c r="D711" s="93">
        <v>266</v>
      </c>
      <c r="E711" s="93">
        <v>217</v>
      </c>
      <c r="F711" s="103">
        <f>IFERROR(INDEX(Tabella9[PLZ],MATCH(Tabella8[[#This Row],[Colonna2]],Tabella9[Ortschaftsname],0)), "Name not found")</f>
        <v>6374</v>
      </c>
      <c r="G711" s="103"/>
      <c r="H711" s="240">
        <f ca="1">SUMIF(Tabella2[[#Headers],[#Data],[Age]],$H$76,Tabella2[[#Headers],[#Data],[Federal taxes]])</f>
        <v>6804.3246087429152</v>
      </c>
      <c r="I711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1" s="240">
        <f ca="1">Tabella8[[#This Row],[Colonna7]]*Tabella8[[#This Row],[Colonna4]]/100</f>
        <v>24503.14189264537</v>
      </c>
    </row>
    <row r="712" spans="2:10">
      <c r="B712" s="92" t="s">
        <v>147</v>
      </c>
      <c r="C712" s="91" t="s">
        <v>2014</v>
      </c>
      <c r="D712" s="93">
        <v>266</v>
      </c>
      <c r="E712" s="93">
        <v>240</v>
      </c>
      <c r="F712" s="103">
        <f>IFERROR(INDEX(Tabella9[PLZ],MATCH(Tabella8[[#This Row],[Colonna2]],Tabella9[Ortschaftsname],0)), "Name not found")</f>
        <v>6383</v>
      </c>
      <c r="G712" s="103"/>
      <c r="H712" s="240">
        <f ca="1">SUMIF(Tabella2[[#Headers],[#Data],[Age]],$H$76,Tabella2[[#Headers],[#Data],[Federal taxes]])</f>
        <v>6804.3246087429152</v>
      </c>
      <c r="I712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2" s="240">
        <f ca="1">Tabella8[[#This Row],[Colonna7]]*Tabella8[[#This Row],[Colonna4]]/100</f>
        <v>27100.249097856627</v>
      </c>
    </row>
    <row r="713" spans="2:10">
      <c r="B713" s="92" t="s">
        <v>147</v>
      </c>
      <c r="C713" s="91" t="s">
        <v>2015</v>
      </c>
      <c r="D713" s="93">
        <v>266</v>
      </c>
      <c r="E713" s="93">
        <v>222</v>
      </c>
      <c r="F713" s="103">
        <f>IFERROR(INDEX(Tabella9[PLZ],MATCH(Tabella8[[#This Row],[Colonna2]],Tabella9[Ortschaftsname],0)), "Name not found")</f>
        <v>6376</v>
      </c>
      <c r="G713" s="103"/>
      <c r="H713" s="240">
        <f ca="1">SUMIF(Tabella2[[#Headers],[#Data],[Age]],$H$76,Tabella2[[#Headers],[#Data],[Federal taxes]])</f>
        <v>6804.3246087429152</v>
      </c>
      <c r="I713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3" s="240">
        <f ca="1">Tabella8[[#This Row],[Colonna7]]*Tabella8[[#This Row],[Colonna4]]/100</f>
        <v>25067.730415517381</v>
      </c>
    </row>
    <row r="714" spans="2:10">
      <c r="B714" s="92" t="s">
        <v>147</v>
      </c>
      <c r="C714" s="91" t="s">
        <v>2008</v>
      </c>
      <c r="D714" s="93">
        <v>266</v>
      </c>
      <c r="E714" s="93">
        <v>150</v>
      </c>
      <c r="F714" s="103">
        <f>IFERROR(INDEX(Tabella9[PLZ],MATCH(Tabella8[[#This Row],[Colonna2]],Tabella9[Ortschaftsname],0)), "Name not found")</f>
        <v>6373</v>
      </c>
      <c r="G714" s="103"/>
      <c r="H714" s="240">
        <f ca="1">SUMIF(Tabella2[[#Headers],[#Data],[Age]],$H$76,Tabella2[[#Headers],[#Data],[Federal taxes]])</f>
        <v>6804.3246087429152</v>
      </c>
      <c r="I714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4" s="240">
        <f ca="1">Tabella8[[#This Row],[Colonna7]]*Tabella8[[#This Row],[Colonna4]]/100</f>
        <v>16937.655686160389</v>
      </c>
    </row>
    <row r="715" spans="2:10">
      <c r="B715" s="92" t="s">
        <v>147</v>
      </c>
      <c r="C715" s="91" t="s">
        <v>2012</v>
      </c>
      <c r="D715" s="93">
        <v>266</v>
      </c>
      <c r="E715" s="93">
        <v>200</v>
      </c>
      <c r="F715" s="103">
        <f>IFERROR(INDEX(Tabella9[PLZ],MATCH(Tabella8[[#This Row],[Colonna2]],Tabella9[Ortschaftsname],0)), "Name not found")</f>
        <v>6372</v>
      </c>
      <c r="G715" s="103"/>
      <c r="H715" s="240">
        <f ca="1">SUMIF(Tabella2[[#Headers],[#Data],[Age]],$H$76,Tabella2[[#Headers],[#Data],[Federal taxes]])</f>
        <v>6804.3246087429152</v>
      </c>
      <c r="I715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5" s="240">
        <f ca="1">Tabella8[[#This Row],[Colonna7]]*Tabella8[[#This Row],[Colonna4]]/100</f>
        <v>22583.540914880523</v>
      </c>
    </row>
    <row r="716" spans="2:10">
      <c r="B716" s="92" t="s">
        <v>147</v>
      </c>
      <c r="C716" s="91" t="s">
        <v>2006</v>
      </c>
      <c r="D716" s="93">
        <v>266</v>
      </c>
      <c r="E716" s="93">
        <v>149</v>
      </c>
      <c r="F716" s="103">
        <v>6052</v>
      </c>
      <c r="G716" s="103"/>
      <c r="H716" s="240">
        <f ca="1">SUMIF(Tabella2[[#Headers],[#Data],[Age]],$H$76,Tabella2[[#Headers],[#Data],[Federal taxes]])</f>
        <v>6804.3246087429152</v>
      </c>
      <c r="I716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6" s="240">
        <f ca="1">Tabella8[[#This Row],[Colonna7]]*Tabella8[[#This Row],[Colonna4]]/100</f>
        <v>16824.737981585989</v>
      </c>
    </row>
    <row r="717" spans="2:10">
      <c r="B717" s="92" t="s">
        <v>147</v>
      </c>
      <c r="C717" s="91" t="s">
        <v>2011</v>
      </c>
      <c r="D717" s="93">
        <v>266</v>
      </c>
      <c r="E717" s="93">
        <v>200</v>
      </c>
      <c r="F717" s="103">
        <v>6370</v>
      </c>
      <c r="G717" s="103"/>
      <c r="H717" s="240">
        <f ca="1">SUMIF(Tabella2[[#Headers],[#Data],[Age]],$H$76,Tabella2[[#Headers],[#Data],[Federal taxes]])</f>
        <v>6804.3246087429152</v>
      </c>
      <c r="I717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7" s="240">
        <f ca="1">Tabella8[[#This Row],[Colonna7]]*Tabella8[[#This Row],[Colonna4]]/100</f>
        <v>22583.540914880523</v>
      </c>
    </row>
    <row r="718" spans="2:10">
      <c r="B718" s="92" t="s">
        <v>147</v>
      </c>
      <c r="C718" s="91" t="s">
        <v>2005</v>
      </c>
      <c r="D718" s="93">
        <v>266</v>
      </c>
      <c r="E718" s="93">
        <v>235</v>
      </c>
      <c r="F718" s="103">
        <f>IFERROR(INDEX(Tabella9[PLZ],MATCH(Tabella8[[#This Row],[Colonna2]],Tabella9[Ortschaftsname],0)), "Name not found")</f>
        <v>6370</v>
      </c>
      <c r="G718" s="103"/>
      <c r="H718" s="240">
        <f ca="1">SUMIF(Tabella2[[#Headers],[#Data],[Age]],$H$76,Tabella2[[#Headers],[#Data],[Federal taxes]])</f>
        <v>6804.3246087429152</v>
      </c>
      <c r="I718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8" s="240">
        <f ca="1">Tabella8[[#This Row],[Colonna7]]*Tabella8[[#This Row],[Colonna4]]/100</f>
        <v>26535.660574984617</v>
      </c>
    </row>
    <row r="719" spans="2:10">
      <c r="B719" s="92" t="s">
        <v>147</v>
      </c>
      <c r="C719" s="91" t="s">
        <v>2009</v>
      </c>
      <c r="D719" s="93">
        <v>266</v>
      </c>
      <c r="E719" s="93">
        <v>187</v>
      </c>
      <c r="F719" s="103">
        <f>IFERROR(INDEX(Tabella9[PLZ],MATCH(Tabella8[[#This Row],[Colonna2]],Tabella9[Ortschaftsname],0)), "Name not found")</f>
        <v>6362</v>
      </c>
      <c r="G719" s="103"/>
      <c r="H719" s="240">
        <f ca="1">SUMIF(Tabella2[[#Headers],[#Data],[Age]],$H$76,Tabella2[[#Headers],[#Data],[Federal taxes]])</f>
        <v>6804.3246087429152</v>
      </c>
      <c r="I719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19" s="240">
        <f ca="1">Tabella8[[#This Row],[Colonna7]]*Tabella8[[#This Row],[Colonna4]]/100</f>
        <v>21115.61075541329</v>
      </c>
    </row>
    <row r="720" spans="2:10">
      <c r="B720" s="92" t="s">
        <v>147</v>
      </c>
      <c r="C720" s="91" t="s">
        <v>2013</v>
      </c>
      <c r="D720" s="93">
        <v>266</v>
      </c>
      <c r="E720" s="93">
        <v>250</v>
      </c>
      <c r="F720" s="103">
        <f>IFERROR(INDEX(Tabella9[PLZ],MATCH(Tabella8[[#This Row],[Colonna2]],Tabella9[Ortschaftsname],0)), "Name not found")</f>
        <v>6386</v>
      </c>
      <c r="G720" s="103"/>
      <c r="H720" s="240">
        <f ca="1">SUMIF(Tabella2[[#Headers],[#Data],[Age]],$H$76,Tabella2[[#Headers],[#Data],[Federal taxes]])</f>
        <v>6804.3246087429152</v>
      </c>
      <c r="I720" s="240">
        <f ca="1">IFERROR(INDEX(Tabella13[[TI]:[VS commun]], MATCH($H$76, Tabella13[Age], 0), MATCH(Tabella8[[#This Row],[Colonna1]], Tabella13[[#Headers], [TI]:[VS commun]], 0)), "Valore non trovato")*Tabella8[[#This Row],[Colonna3]]/100</f>
        <v>11291.770457440261</v>
      </c>
      <c r="J720" s="240">
        <f ca="1">Tabella8[[#This Row],[Colonna7]]*Tabella8[[#This Row],[Colonna4]]/100</f>
        <v>28229.426143600653</v>
      </c>
    </row>
    <row r="721" spans="2:10">
      <c r="B721" s="92" t="s">
        <v>149</v>
      </c>
      <c r="C721" s="91" t="s">
        <v>180</v>
      </c>
      <c r="D721" s="93">
        <v>59.7</v>
      </c>
      <c r="E721" s="93">
        <v>56</v>
      </c>
      <c r="F721" s="103">
        <f>IFERROR(INDEX(Tabella9[PLZ],MATCH(Tabella8[[#This Row],[Colonna2]],Tabella9[Ortschaftsname],0)), "Name not found")</f>
        <v>8750</v>
      </c>
      <c r="G721" s="103"/>
      <c r="H721" s="240">
        <f ca="1">SUMIF(Tabella2[[#Headers],[#Data],[Age]],$H$76,Tabella2[[#Headers],[#Data],[Federal taxes]])</f>
        <v>6804.3246087429152</v>
      </c>
      <c r="I721" s="240">
        <f ca="1">IFERROR(INDEX(Tabella13[[TI]:[VS commun]], MATCH($H$76, Tabella13[Age], 0), MATCH(Tabella8[[#This Row],[Colonna1]], Tabella13[[#Headers], [TI]:[VS commun]], 0)), "Valore non trovato")*Tabella8[[#This Row],[Colonna3]]/100</f>
        <v>11551.254969337484</v>
      </c>
      <c r="J721" s="240">
        <f ca="1">Tabella8[[#This Row],[Colonna7]]*Tabella8[[#This Row],[Colonna4]]/100</f>
        <v>6468.7027828289902</v>
      </c>
    </row>
    <row r="722" spans="2:10">
      <c r="B722" s="92" t="s">
        <v>149</v>
      </c>
      <c r="C722" s="91" t="s">
        <v>1260</v>
      </c>
      <c r="D722" s="93">
        <v>59.7</v>
      </c>
      <c r="E722" s="93">
        <v>61.5</v>
      </c>
      <c r="F722" s="103">
        <v>8757</v>
      </c>
      <c r="G722" s="103"/>
      <c r="H722" s="240">
        <f ca="1">SUMIF(Tabella2[[#Headers],[#Data],[Age]],$H$76,Tabella2[[#Headers],[#Data],[Federal taxes]])</f>
        <v>6804.3246087429152</v>
      </c>
      <c r="I722" s="240">
        <f ca="1">IFERROR(INDEX(Tabella13[[TI]:[VS commun]], MATCH($H$76, Tabella13[Age], 0), MATCH(Tabella8[[#This Row],[Colonna1]], Tabella13[[#Headers], [TI]:[VS commun]], 0)), "Valore non trovato")*Tabella8[[#This Row],[Colonna3]]/100</f>
        <v>11551.254969337484</v>
      </c>
      <c r="J722" s="240">
        <f ca="1">Tabella8[[#This Row],[Colonna7]]*Tabella8[[#This Row],[Colonna4]]/100</f>
        <v>7104.0218061425521</v>
      </c>
    </row>
    <row r="723" spans="2:10">
      <c r="B723" s="92" t="s">
        <v>149</v>
      </c>
      <c r="C723" s="91" t="s">
        <v>1261</v>
      </c>
      <c r="D723" s="93">
        <v>59.7</v>
      </c>
      <c r="E723" s="93">
        <v>63</v>
      </c>
      <c r="F723" s="103">
        <v>8762</v>
      </c>
      <c r="G723" s="103"/>
      <c r="H723" s="240">
        <f ca="1">SUMIF(Tabella2[[#Headers],[#Data],[Age]],$H$76,Tabella2[[#Headers],[#Data],[Federal taxes]])</f>
        <v>6804.3246087429152</v>
      </c>
      <c r="I723" s="240">
        <f ca="1">IFERROR(INDEX(Tabella13[[TI]:[VS commun]], MATCH($H$76, Tabella13[Age], 0), MATCH(Tabella8[[#This Row],[Colonna1]], Tabella13[[#Headers], [TI]:[VS commun]], 0)), "Valore non trovato")*Tabella8[[#This Row],[Colonna3]]/100</f>
        <v>11551.254969337484</v>
      </c>
      <c r="J723" s="240">
        <f ca="1">Tabella8[[#This Row],[Colonna7]]*Tabella8[[#This Row],[Colonna4]]/100</f>
        <v>7277.2906306826153</v>
      </c>
    </row>
    <row r="724" spans="2:10">
      <c r="B724" s="92" t="s">
        <v>158</v>
      </c>
      <c r="C724" s="91" t="s">
        <v>1548</v>
      </c>
      <c r="D724" s="93">
        <v>82</v>
      </c>
      <c r="E724" s="93">
        <v>50.88</v>
      </c>
      <c r="F724" s="103">
        <f>IFERROR(INDEX(Tabella9[PLZ],MATCH(Tabella8[[#This Row],[Colonna2]],Tabella9[Ortschaftsname],0)), "Name not found")</f>
        <v>6340</v>
      </c>
      <c r="G724" s="103"/>
      <c r="H724" s="240">
        <f ca="1">SUMIF(Tabella2[[#Headers],[#Data],[Age]],$H$76,Tabella2[[#Headers],[#Data],[Federal taxes]])</f>
        <v>6804.3246087429152</v>
      </c>
      <c r="I724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4" s="240">
        <f ca="1">Tabella8[[#This Row],[Colonna7]]*Tabella8[[#This Row],[Colonna4]]/100</f>
        <v>4194.7815076046863</v>
      </c>
    </row>
    <row r="725" spans="2:10">
      <c r="B725" s="92" t="s">
        <v>158</v>
      </c>
      <c r="C725" s="91" t="s">
        <v>1549</v>
      </c>
      <c r="D725" s="93">
        <v>82</v>
      </c>
      <c r="E725" s="93">
        <v>56</v>
      </c>
      <c r="F725" s="103">
        <f>IFERROR(INDEX(Tabella9[PLZ],MATCH(Tabella8[[#This Row],[Colonna2]],Tabella9[Ortschaftsname],0)), "Name not found")</f>
        <v>6330</v>
      </c>
      <c r="G725" s="103"/>
      <c r="H725" s="240">
        <f ca="1">SUMIF(Tabella2[[#Headers],[#Data],[Age]],$H$76,Tabella2[[#Headers],[#Data],[Federal taxes]])</f>
        <v>6804.3246087429152</v>
      </c>
      <c r="I725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5" s="240">
        <f ca="1">Tabella8[[#This Row],[Colonna7]]*Tabella8[[#This Row],[Colonna4]]/100</f>
        <v>4616.8978857284292</v>
      </c>
    </row>
    <row r="726" spans="2:10">
      <c r="B726" s="92" t="s">
        <v>158</v>
      </c>
      <c r="C726" s="91" t="s">
        <v>1552</v>
      </c>
      <c r="D726" s="93">
        <v>82</v>
      </c>
      <c r="E726" s="93">
        <v>57</v>
      </c>
      <c r="F726" s="103">
        <f>IFERROR(INDEX(Tabella9[PLZ],MATCH(Tabella8[[#This Row],[Colonna2]],Tabella9[Ortschaftsname],0)), "Name not found")</f>
        <v>6331</v>
      </c>
      <c r="G726" s="103"/>
      <c r="H726" s="240">
        <f ca="1">SUMIF(Tabella2[[#Headers],[#Data],[Age]],$H$76,Tabella2[[#Headers],[#Data],[Federal taxes]])</f>
        <v>6804.3246087429152</v>
      </c>
      <c r="I726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6" s="240">
        <f ca="1">Tabella8[[#This Row],[Colonna7]]*Tabella8[[#This Row],[Colonna4]]/100</f>
        <v>4699.3424908307225</v>
      </c>
    </row>
    <row r="727" spans="2:10">
      <c r="B727" s="92" t="s">
        <v>158</v>
      </c>
      <c r="C727" s="91" t="s">
        <v>1555</v>
      </c>
      <c r="D727" s="93">
        <v>82</v>
      </c>
      <c r="E727" s="93">
        <v>61</v>
      </c>
      <c r="F727" s="103">
        <f>IFERROR(INDEX(Tabella9[PLZ],MATCH(Tabella8[[#This Row],[Colonna2]],Tabella9[Ortschaftsname],0)), "Name not found")</f>
        <v>6313</v>
      </c>
      <c r="G727" s="103"/>
      <c r="H727" s="240">
        <f ca="1">SUMIF(Tabella2[[#Headers],[#Data],[Age]],$H$76,Tabella2[[#Headers],[#Data],[Federal taxes]])</f>
        <v>6804.3246087429152</v>
      </c>
      <c r="I727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7" s="240">
        <f ca="1">Tabella8[[#This Row],[Colonna7]]*Tabella8[[#This Row],[Colonna4]]/100</f>
        <v>5029.1209112398956</v>
      </c>
    </row>
    <row r="728" spans="2:10">
      <c r="B728" s="92" t="s">
        <v>158</v>
      </c>
      <c r="C728" s="91" t="s">
        <v>1557</v>
      </c>
      <c r="D728" s="93">
        <v>82</v>
      </c>
      <c r="E728" s="93">
        <v>65</v>
      </c>
      <c r="F728" s="103">
        <f>IFERROR(INDEX(Tabella9[PLZ],MATCH(Tabella8[[#This Row],[Colonna2]],Tabella9[Ortschaftsname],0)), "Name not found")</f>
        <v>6345</v>
      </c>
      <c r="G728" s="103"/>
      <c r="H728" s="240">
        <f ca="1">SUMIF(Tabella2[[#Headers],[#Data],[Age]],$H$76,Tabella2[[#Headers],[#Data],[Federal taxes]])</f>
        <v>6804.3246087429152</v>
      </c>
      <c r="I728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8" s="240">
        <f ca="1">Tabella8[[#This Row],[Colonna7]]*Tabella8[[#This Row],[Colonna4]]/100</f>
        <v>5358.8993316490696</v>
      </c>
    </row>
    <row r="729" spans="2:10">
      <c r="B729" s="92" t="s">
        <v>158</v>
      </c>
      <c r="C729" s="91" t="s">
        <v>1554</v>
      </c>
      <c r="D729" s="93">
        <v>82</v>
      </c>
      <c r="E729" s="93">
        <v>57</v>
      </c>
      <c r="F729" s="103">
        <f>IFERROR(INDEX(Tabella9[PLZ],MATCH(Tabella8[[#This Row],[Colonna2]],Tabella9[Ortschaftsname],0)), "Name not found")</f>
        <v>6315</v>
      </c>
      <c r="G729" s="103"/>
      <c r="H729" s="240">
        <f ca="1">SUMIF(Tabella2[[#Headers],[#Data],[Age]],$H$76,Tabella2[[#Headers],[#Data],[Federal taxes]])</f>
        <v>6804.3246087429152</v>
      </c>
      <c r="I729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29" s="240">
        <f ca="1">Tabella8[[#This Row],[Colonna7]]*Tabella8[[#This Row],[Colonna4]]/100</f>
        <v>4699.3424908307225</v>
      </c>
    </row>
    <row r="730" spans="2:10">
      <c r="B730" s="92" t="s">
        <v>158</v>
      </c>
      <c r="C730" s="91" t="s">
        <v>1550</v>
      </c>
      <c r="D730" s="93">
        <v>82</v>
      </c>
      <c r="E730" s="93">
        <v>55</v>
      </c>
      <c r="F730" s="103">
        <f>IFERROR(INDEX(Tabella9[PLZ],MATCH(Tabella8[[#This Row],[Colonna2]],Tabella9[Ortschaftsname],0)), "Name not found")</f>
        <v>6343</v>
      </c>
      <c r="G730" s="103"/>
      <c r="H730" s="240">
        <f ca="1">SUMIF(Tabella2[[#Headers],[#Data],[Age]],$H$76,Tabella2[[#Headers],[#Data],[Federal taxes]])</f>
        <v>6804.3246087429152</v>
      </c>
      <c r="I730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30" s="240">
        <f ca="1">Tabella8[[#This Row],[Colonna7]]*Tabella8[[#This Row],[Colonna4]]/100</f>
        <v>4534.4532806261359</v>
      </c>
    </row>
    <row r="731" spans="2:10">
      <c r="B731" s="92" t="s">
        <v>158</v>
      </c>
      <c r="C731" s="91" t="s">
        <v>1551</v>
      </c>
      <c r="D731" s="93">
        <v>82</v>
      </c>
      <c r="E731" s="93">
        <v>54</v>
      </c>
      <c r="F731" s="103">
        <f>IFERROR(INDEX(Tabella9[PLZ],MATCH(Tabella8[[#This Row],[Colonna2]],Tabella9[Ortschaftsname],0)), "Name not found")</f>
        <v>6312</v>
      </c>
      <c r="G731" s="103"/>
      <c r="H731" s="240">
        <f ca="1">SUMIF(Tabella2[[#Headers],[#Data],[Age]],$H$76,Tabella2[[#Headers],[#Data],[Federal taxes]])</f>
        <v>6804.3246087429152</v>
      </c>
      <c r="I731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31" s="240">
        <f ca="1">Tabella8[[#This Row],[Colonna7]]*Tabella8[[#This Row],[Colonna4]]/100</f>
        <v>4452.0086755238417</v>
      </c>
    </row>
    <row r="732" spans="2:10">
      <c r="B732" s="92" t="s">
        <v>158</v>
      </c>
      <c r="C732" s="91" t="s">
        <v>1553</v>
      </c>
      <c r="D732" s="93">
        <v>82</v>
      </c>
      <c r="E732" s="93">
        <v>56</v>
      </c>
      <c r="F732" s="103">
        <f>IFERROR(INDEX(Tabella9[PLZ],MATCH(Tabella8[[#This Row],[Colonna2]],Tabella9[Ortschaftsname],0)), "Name not found")</f>
        <v>6314</v>
      </c>
      <c r="G732" s="103"/>
      <c r="H732" s="240">
        <f ca="1">SUMIF(Tabella2[[#Headers],[#Data],[Age]],$H$76,Tabella2[[#Headers],[#Data],[Federal taxes]])</f>
        <v>6804.3246087429152</v>
      </c>
      <c r="I732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32" s="240">
        <f ca="1">Tabella8[[#This Row],[Colonna7]]*Tabella8[[#This Row],[Colonna4]]/100</f>
        <v>4616.8978857284292</v>
      </c>
    </row>
    <row r="733" spans="2:10">
      <c r="B733" s="92" t="s">
        <v>158</v>
      </c>
      <c r="C733" s="91" t="s">
        <v>1556</v>
      </c>
      <c r="D733" s="93">
        <v>82</v>
      </c>
      <c r="E733" s="93">
        <v>53</v>
      </c>
      <c r="F733" s="103">
        <f>IFERROR(INDEX(Tabella9[PLZ],MATCH(Tabella8[[#This Row],[Colonna2]],Tabella9[Ortschaftsname],0)), "Name not found")</f>
        <v>6318</v>
      </c>
      <c r="G733" s="103"/>
      <c r="H733" s="240">
        <f ca="1">SUMIF(Tabella2[[#Headers],[#Data],[Age]],$H$76,Tabella2[[#Headers],[#Data],[Federal taxes]])</f>
        <v>6804.3246087429152</v>
      </c>
      <c r="I733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33" s="240">
        <f ca="1">Tabella8[[#This Row],[Colonna7]]*Tabella8[[#This Row],[Colonna4]]/100</f>
        <v>4369.5640704215484</v>
      </c>
    </row>
    <row r="734" spans="2:10">
      <c r="B734" s="92" t="s">
        <v>158</v>
      </c>
      <c r="C734" s="91" t="s">
        <v>1547</v>
      </c>
      <c r="D734" s="93">
        <v>82</v>
      </c>
      <c r="E734" s="93">
        <v>52.11</v>
      </c>
      <c r="F734" s="103">
        <f>IFERROR(INDEX(Tabella9[PLZ],MATCH(Tabella8[[#This Row],[Colonna2]],Tabella9[Ortschaftsname],0)), "Name not found")</f>
        <v>6300</v>
      </c>
      <c r="G734" s="103"/>
      <c r="H734" s="240">
        <f ca="1">SUMIF(Tabella2[[#Headers],[#Data],[Age]],$H$76,Tabella2[[#Headers],[#Data],[Federal taxes]])</f>
        <v>6804.3246087429152</v>
      </c>
      <c r="I734" s="240">
        <f ca="1">IFERROR(INDEX(Tabella13[[TI]:[VS commun]], MATCH($H$76, Tabella13[Age], 0), MATCH(Tabella8[[#This Row],[Colonna1]], Tabella13[[#Headers], [TI]:[VS commun]], 0)), "Valore non trovato")*Tabella8[[#This Row],[Colonna3]]/100</f>
        <v>8244.4605102293372</v>
      </c>
      <c r="J734" s="240">
        <f ca="1">Tabella8[[#This Row],[Colonna7]]*Tabella8[[#This Row],[Colonna4]]/100</f>
        <v>4296.1883718805075</v>
      </c>
    </row>
    <row r="735" spans="2:10">
      <c r="B735" s="92" t="s">
        <v>152</v>
      </c>
      <c r="C735" s="91" t="s">
        <v>1143</v>
      </c>
      <c r="D735" s="93">
        <v>96</v>
      </c>
      <c r="E735" s="93">
        <v>78.5</v>
      </c>
      <c r="F735" s="103">
        <f>IFERROR(INDEX(Tabella9[PLZ],MATCH(Tabella8[[#This Row],[Colonna2]],Tabella9[Ortschaftsname],0)), "Name not found")</f>
        <v>1616</v>
      </c>
      <c r="G735" s="103"/>
      <c r="H735" s="240">
        <f ca="1">SUMIF(Tabella2[[#Headers],[#Data],[Age]],$H$76,Tabella2[[#Headers],[#Data],[Federal taxes]])</f>
        <v>6804.3246087429152</v>
      </c>
      <c r="I73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35" s="240">
        <f ca="1">Tabella8[[#This Row],[Colonna7]]*Tabella8[[#This Row],[Colonna4]]/100</f>
        <v>12928.582408612936</v>
      </c>
    </row>
    <row r="736" spans="2:10">
      <c r="B736" s="92" t="s">
        <v>152</v>
      </c>
      <c r="C736" s="91" t="s">
        <v>1249</v>
      </c>
      <c r="D736" s="93">
        <v>96</v>
      </c>
      <c r="E736" s="93">
        <v>77</v>
      </c>
      <c r="F736" s="103">
        <f>IFERROR(INDEX(Tabella9[PLZ],MATCH(Tabella8[[#This Row],[Colonna2]],Tabella9[Ortschaftsname],0)), "Name not found")</f>
        <v>1673</v>
      </c>
      <c r="G736" s="103"/>
      <c r="H736" s="240">
        <f ca="1">SUMIF(Tabella2[[#Headers],[#Data],[Age]],$H$76,Tabella2[[#Headers],[#Data],[Federal taxes]])</f>
        <v>6804.3246087429152</v>
      </c>
      <c r="I73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36" s="240">
        <f ca="1">Tabella8[[#This Row],[Colonna7]]*Tabella8[[#This Row],[Colonna4]]/100</f>
        <v>12681.53943265218</v>
      </c>
    </row>
    <row r="737" spans="2:10">
      <c r="B737" s="92" t="s">
        <v>152</v>
      </c>
      <c r="C737" s="91" t="s">
        <v>1220</v>
      </c>
      <c r="D737" s="93">
        <v>96</v>
      </c>
      <c r="E737" s="93">
        <v>90</v>
      </c>
      <c r="F737" s="103">
        <f>IFERROR(INDEX(Tabella9[PLZ],MATCH(Tabella8[[#This Row],[Colonna2]],Tabella9[Ortschaftsname],0)), "Name not found")</f>
        <v>1742</v>
      </c>
      <c r="G737" s="103"/>
      <c r="H737" s="240">
        <f ca="1">SUMIF(Tabella2[[#Headers],[#Data],[Age]],$H$76,Tabella2[[#Headers],[#Data],[Federal taxes]])</f>
        <v>6804.3246087429152</v>
      </c>
      <c r="I73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37" s="240">
        <f ca="1">Tabella8[[#This Row],[Colonna7]]*Tabella8[[#This Row],[Colonna4]]/100</f>
        <v>14822.578557645405</v>
      </c>
    </row>
    <row r="738" spans="2:10">
      <c r="B738" s="92" t="s">
        <v>152</v>
      </c>
      <c r="C738" s="91" t="s">
        <v>1168</v>
      </c>
      <c r="D738" s="93">
        <v>96</v>
      </c>
      <c r="E738" s="93">
        <v>69.099999999999994</v>
      </c>
      <c r="F738" s="103">
        <v>1754</v>
      </c>
      <c r="G738" s="103"/>
      <c r="H738" s="240">
        <f ca="1">SUMIF(Tabella2[[#Headers],[#Data],[Age]],$H$76,Tabella2[[#Headers],[#Data],[Federal taxes]])</f>
        <v>6804.3246087429152</v>
      </c>
      <c r="I73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38" s="240">
        <f ca="1">Tabella8[[#This Row],[Colonna7]]*Tabella8[[#This Row],[Colonna4]]/100</f>
        <v>11380.446425925527</v>
      </c>
    </row>
    <row r="739" spans="2:10">
      <c r="B739" s="92" t="s">
        <v>152</v>
      </c>
      <c r="C739" s="91" t="s">
        <v>1184</v>
      </c>
      <c r="D739" s="93">
        <v>96</v>
      </c>
      <c r="E739" s="93">
        <v>83.2</v>
      </c>
      <c r="F739" s="103">
        <v>1666</v>
      </c>
      <c r="G739" s="103"/>
      <c r="H739" s="240">
        <f ca="1">SUMIF(Tabella2[[#Headers],[#Data],[Age]],$H$76,Tabella2[[#Headers],[#Data],[Federal taxes]])</f>
        <v>6804.3246087429152</v>
      </c>
      <c r="I73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39" s="240">
        <f ca="1">Tabella8[[#This Row],[Colonna7]]*Tabella8[[#This Row],[Colonna4]]/100</f>
        <v>13702.650399956643</v>
      </c>
    </row>
    <row r="740" spans="2:10">
      <c r="B740" s="92" t="s">
        <v>152</v>
      </c>
      <c r="C740" s="91" t="s">
        <v>1145</v>
      </c>
      <c r="D740" s="93">
        <v>96</v>
      </c>
      <c r="E740" s="93">
        <v>84</v>
      </c>
      <c r="F740" s="103">
        <f>IFERROR(INDEX(Tabella9[PLZ],MATCH(Tabella8[[#This Row],[Colonna2]],Tabella9[Ortschaftsname],0)), "Name not found")</f>
        <v>1782</v>
      </c>
      <c r="G740" s="103"/>
      <c r="H740" s="240">
        <f ca="1">SUMIF(Tabella2[[#Headers],[#Data],[Age]],$H$76,Tabella2[[#Headers],[#Data],[Federal taxes]])</f>
        <v>6804.3246087429152</v>
      </c>
      <c r="I74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0" s="240">
        <f ca="1">Tabella8[[#This Row],[Colonna7]]*Tabella8[[#This Row],[Colonna4]]/100</f>
        <v>13834.406653802378</v>
      </c>
    </row>
    <row r="741" spans="2:10">
      <c r="B741" s="92" t="s">
        <v>152</v>
      </c>
      <c r="C741" s="91" t="s">
        <v>1133</v>
      </c>
      <c r="D741" s="93">
        <v>96</v>
      </c>
      <c r="E741" s="93">
        <v>78</v>
      </c>
      <c r="F741" s="103">
        <v>1773</v>
      </c>
      <c r="G741" s="103"/>
      <c r="H741" s="240">
        <f ca="1">SUMIF(Tabella2[[#Headers],[#Data],[Age]],$H$76,Tabella2[[#Headers],[#Data],[Federal taxes]])</f>
        <v>6804.3246087429152</v>
      </c>
      <c r="I74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1" s="240">
        <f ca="1">Tabella8[[#This Row],[Colonna7]]*Tabella8[[#This Row],[Colonna4]]/100</f>
        <v>12846.234749959351</v>
      </c>
    </row>
    <row r="742" spans="2:10">
      <c r="B742" s="92" t="s">
        <v>152</v>
      </c>
      <c r="C742" s="91" t="s">
        <v>1221</v>
      </c>
      <c r="D742" s="93">
        <v>96</v>
      </c>
      <c r="E742" s="93">
        <v>95</v>
      </c>
      <c r="F742" s="103">
        <v>1681</v>
      </c>
      <c r="G742" s="103"/>
      <c r="H742" s="240">
        <f ca="1">SUMIF(Tabella2[[#Headers],[#Data],[Age]],$H$76,Tabella2[[#Headers],[#Data],[Federal taxes]])</f>
        <v>6804.3246087429152</v>
      </c>
      <c r="I74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2" s="240">
        <f ca="1">Tabella8[[#This Row],[Colonna7]]*Tabella8[[#This Row],[Colonna4]]/100</f>
        <v>15646.05514418126</v>
      </c>
    </row>
    <row r="743" spans="2:10">
      <c r="B743" s="92" t="s">
        <v>152</v>
      </c>
      <c r="C743" s="91" t="s">
        <v>2625</v>
      </c>
      <c r="D743" s="93">
        <v>96</v>
      </c>
      <c r="E743" s="93">
        <v>85</v>
      </c>
      <c r="F743" s="103">
        <v>1290</v>
      </c>
      <c r="G743" s="103"/>
      <c r="H743" s="240">
        <f ca="1">SUMIF(Tabella2[[#Headers],[#Data],[Age]],$H$76,Tabella2[[#Headers],[#Data],[Federal taxes]])</f>
        <v>6804.3246087429152</v>
      </c>
      <c r="I74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3" s="240">
        <f ca="1">Tabella8[[#This Row],[Colonna7]]*Tabella8[[#This Row],[Colonna4]]/100</f>
        <v>13999.101971109549</v>
      </c>
    </row>
    <row r="744" spans="2:10">
      <c r="B744" s="92" t="s">
        <v>152</v>
      </c>
      <c r="C744" s="91" t="s">
        <v>1178</v>
      </c>
      <c r="D744" s="93">
        <v>96</v>
      </c>
      <c r="E744" s="93">
        <v>90</v>
      </c>
      <c r="F744" s="103">
        <f>IFERROR(INDEX(Tabella9[PLZ],MATCH(Tabella8[[#This Row],[Colonna2]],Tabella9[Ortschaftsname],0)), "Name not found")</f>
        <v>1615</v>
      </c>
      <c r="G744" s="103"/>
      <c r="H744" s="240">
        <f ca="1">SUMIF(Tabella2[[#Headers],[#Data],[Age]],$H$76,Tabella2[[#Headers],[#Data],[Federal taxes]])</f>
        <v>6804.3246087429152</v>
      </c>
      <c r="I74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4" s="240">
        <f ca="1">Tabella8[[#This Row],[Colonna7]]*Tabella8[[#This Row],[Colonna4]]/100</f>
        <v>14822.578557645405</v>
      </c>
    </row>
    <row r="745" spans="2:10">
      <c r="B745" s="92" t="s">
        <v>152</v>
      </c>
      <c r="C745" s="91" t="s">
        <v>1233</v>
      </c>
      <c r="D745" s="93">
        <v>96</v>
      </c>
      <c r="E745" s="93">
        <v>85</v>
      </c>
      <c r="F745" s="103">
        <f>IFERROR(INDEX(Tabella9[PLZ],MATCH(Tabella8[[#This Row],[Colonna2]],Tabella9[Ortschaftsname],0)), "Name not found")</f>
        <v>1652</v>
      </c>
      <c r="G745" s="103"/>
      <c r="H745" s="240">
        <f ca="1">SUMIF(Tabella2[[#Headers],[#Data],[Age]],$H$76,Tabella2[[#Headers],[#Data],[Federal taxes]])</f>
        <v>6804.3246087429152</v>
      </c>
      <c r="I74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5" s="240">
        <f ca="1">Tabella8[[#This Row],[Colonna7]]*Tabella8[[#This Row],[Colonna4]]/100</f>
        <v>13999.101971109549</v>
      </c>
    </row>
    <row r="746" spans="2:10">
      <c r="B746" s="92" t="s">
        <v>152</v>
      </c>
      <c r="C746" s="91" t="s">
        <v>1149</v>
      </c>
      <c r="D746" s="93">
        <v>96</v>
      </c>
      <c r="E746" s="93">
        <v>92</v>
      </c>
      <c r="F746" s="103">
        <f>IFERROR(INDEX(Tabella9[PLZ],MATCH(Tabella8[[#This Row],[Colonna2]],Tabella9[Ortschaftsname],0)), "Name not found")</f>
        <v>1636</v>
      </c>
      <c r="G746" s="103"/>
      <c r="H746" s="240">
        <f ca="1">SUMIF(Tabella2[[#Headers],[#Data],[Age]],$H$76,Tabella2[[#Headers],[#Data],[Federal taxes]])</f>
        <v>6804.3246087429152</v>
      </c>
      <c r="I74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6" s="240">
        <f ca="1">Tabella8[[#This Row],[Colonna7]]*Tabella8[[#This Row],[Colonna4]]/100</f>
        <v>15151.969192259747</v>
      </c>
    </row>
    <row r="747" spans="2:10">
      <c r="B747" s="92" t="s">
        <v>152</v>
      </c>
      <c r="C747" s="91" t="s">
        <v>1227</v>
      </c>
      <c r="D747" s="93">
        <v>96</v>
      </c>
      <c r="E747" s="93">
        <v>89</v>
      </c>
      <c r="F747" s="103">
        <f>IFERROR(INDEX(Tabella9[PLZ],MATCH(Tabella8[[#This Row],[Colonna2]],Tabella9[Ortschaftsname],0)), "Name not found")</f>
        <v>1719</v>
      </c>
      <c r="G747" s="103"/>
      <c r="H747" s="240">
        <f ca="1">SUMIF(Tabella2[[#Headers],[#Data],[Age]],$H$76,Tabella2[[#Headers],[#Data],[Federal taxes]])</f>
        <v>6804.3246087429152</v>
      </c>
      <c r="I74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7" s="240">
        <f ca="1">Tabella8[[#This Row],[Colonna7]]*Tabella8[[#This Row],[Colonna4]]/100</f>
        <v>14657.883240338233</v>
      </c>
    </row>
    <row r="748" spans="2:10">
      <c r="B748" s="92" t="s">
        <v>152</v>
      </c>
      <c r="C748" s="91" t="s">
        <v>1124</v>
      </c>
      <c r="D748" s="93">
        <v>96</v>
      </c>
      <c r="E748" s="93">
        <v>74.3</v>
      </c>
      <c r="F748" s="103">
        <f>IFERROR(INDEX(Tabella9[PLZ],MATCH(Tabella8[[#This Row],[Colonna2]],Tabella9[Ortschaftsname],0)), "Name not found")</f>
        <v>1630</v>
      </c>
      <c r="G748" s="103"/>
      <c r="H748" s="240">
        <f ca="1">SUMIF(Tabella2[[#Headers],[#Data],[Age]],$H$76,Tabella2[[#Headers],[#Data],[Federal taxes]])</f>
        <v>6804.3246087429152</v>
      </c>
      <c r="I74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8" s="240">
        <f ca="1">Tabella8[[#This Row],[Colonna7]]*Tabella8[[#This Row],[Colonna4]]/100</f>
        <v>12236.862075922818</v>
      </c>
    </row>
    <row r="749" spans="2:10">
      <c r="B749" s="92" t="s">
        <v>152</v>
      </c>
      <c r="C749" s="91" t="s">
        <v>1142</v>
      </c>
      <c r="D749" s="93">
        <v>96</v>
      </c>
      <c r="E749" s="93">
        <v>76</v>
      </c>
      <c r="F749" s="103">
        <f>IFERROR(INDEX(Tabella9[PLZ],MATCH(Tabella8[[#This Row],[Colonna2]],Tabella9[Ortschaftsname],0)), "Name not found")</f>
        <v>3178</v>
      </c>
      <c r="G749" s="103"/>
      <c r="H749" s="240">
        <f ca="1">SUMIF(Tabella2[[#Headers],[#Data],[Age]],$H$76,Tabella2[[#Headers],[#Data],[Federal taxes]])</f>
        <v>6804.3246087429152</v>
      </c>
      <c r="I74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49" s="240">
        <f ca="1">Tabella8[[#This Row],[Colonna7]]*Tabella8[[#This Row],[Colonna4]]/100</f>
        <v>12516.844115345009</v>
      </c>
    </row>
    <row r="750" spans="2:10">
      <c r="B750" s="92" t="s">
        <v>152</v>
      </c>
      <c r="C750" s="91" t="s">
        <v>1252</v>
      </c>
      <c r="D750" s="93">
        <v>96</v>
      </c>
      <c r="E750" s="93">
        <v>85</v>
      </c>
      <c r="F750" s="103">
        <f>IFERROR(INDEX(Tabella9[PLZ],MATCH(Tabella8[[#This Row],[Colonna2]],Tabella9[Ortschaftsname],0)), "Name not found")</f>
        <v>1608</v>
      </c>
      <c r="G750" s="103"/>
      <c r="H750" s="240">
        <f ca="1">SUMIF(Tabella2[[#Headers],[#Data],[Age]],$H$76,Tabella2[[#Headers],[#Data],[Federal taxes]])</f>
        <v>6804.3246087429152</v>
      </c>
      <c r="I75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0" s="240">
        <f ca="1">Tabella8[[#This Row],[Colonna7]]*Tabella8[[#This Row],[Colonna4]]/100</f>
        <v>13999.101971109549</v>
      </c>
    </row>
    <row r="751" spans="2:10">
      <c r="B751" s="92" t="s">
        <v>152</v>
      </c>
      <c r="C751" s="91" t="s">
        <v>1159</v>
      </c>
      <c r="D751" s="93">
        <v>96</v>
      </c>
      <c r="E751" s="93">
        <v>70</v>
      </c>
      <c r="F751" s="103">
        <v>1468</v>
      </c>
      <c r="G751" s="103"/>
      <c r="H751" s="240">
        <f ca="1">SUMIF(Tabella2[[#Headers],[#Data],[Age]],$H$76,Tabella2[[#Headers],[#Data],[Federal taxes]])</f>
        <v>6804.3246087429152</v>
      </c>
      <c r="I75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1" s="240">
        <f ca="1">Tabella8[[#This Row],[Colonna7]]*Tabella8[[#This Row],[Colonna4]]/100</f>
        <v>11528.672211501982</v>
      </c>
    </row>
    <row r="752" spans="2:10">
      <c r="B752" s="92" t="s">
        <v>152</v>
      </c>
      <c r="C752" s="91" t="s">
        <v>1131</v>
      </c>
      <c r="D752" s="93">
        <v>96</v>
      </c>
      <c r="E752" s="93">
        <v>83.6</v>
      </c>
      <c r="F752" s="103">
        <v>1618</v>
      </c>
      <c r="G752" s="103"/>
      <c r="H752" s="240">
        <f ca="1">SUMIF(Tabella2[[#Headers],[#Data],[Age]],$H$76,Tabella2[[#Headers],[#Data],[Federal taxes]])</f>
        <v>6804.3246087429152</v>
      </c>
      <c r="I75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2" s="240">
        <f ca="1">Tabella8[[#This Row],[Colonna7]]*Tabella8[[#This Row],[Colonna4]]/100</f>
        <v>13768.528526879509</v>
      </c>
    </row>
    <row r="753" spans="2:10">
      <c r="B753" s="92" t="s">
        <v>152</v>
      </c>
      <c r="C753" s="91" t="s">
        <v>1250</v>
      </c>
      <c r="D753" s="93">
        <v>96</v>
      </c>
      <c r="E753" s="93">
        <v>79.5</v>
      </c>
      <c r="F753" s="103">
        <f>IFERROR(INDEX(Tabella9[PLZ],MATCH(Tabella8[[#This Row],[Colonna2]],Tabella9[Ortschaftsname],0)), "Name not found")</f>
        <v>1653</v>
      </c>
      <c r="G753" s="103"/>
      <c r="H753" s="240">
        <f ca="1">SUMIF(Tabella2[[#Headers],[#Data],[Age]],$H$76,Tabella2[[#Headers],[#Data],[Federal taxes]])</f>
        <v>6804.3246087429152</v>
      </c>
      <c r="I75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3" s="240">
        <f ca="1">Tabella8[[#This Row],[Colonna7]]*Tabella8[[#This Row],[Colonna4]]/100</f>
        <v>13093.277725920108</v>
      </c>
    </row>
    <row r="754" spans="2:10">
      <c r="B754" s="92" t="s">
        <v>152</v>
      </c>
      <c r="C754" s="91" t="s">
        <v>1236</v>
      </c>
      <c r="D754" s="93">
        <v>96</v>
      </c>
      <c r="E754" s="93">
        <v>65</v>
      </c>
      <c r="F754" s="103">
        <v>1473</v>
      </c>
      <c r="G754" s="103"/>
      <c r="H754" s="240">
        <f ca="1">SUMIF(Tabella2[[#Headers],[#Data],[Age]],$H$76,Tabella2[[#Headers],[#Data],[Federal taxes]])</f>
        <v>6804.3246087429152</v>
      </c>
      <c r="I75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4" s="240">
        <f ca="1">Tabella8[[#This Row],[Colonna7]]*Tabella8[[#This Row],[Colonna4]]/100</f>
        <v>10705.195624966125</v>
      </c>
    </row>
    <row r="755" spans="2:10">
      <c r="B755" s="92" t="s">
        <v>152</v>
      </c>
      <c r="C755" s="91" t="s">
        <v>1218</v>
      </c>
      <c r="D755" s="93">
        <v>96</v>
      </c>
      <c r="E755" s="93">
        <v>85</v>
      </c>
      <c r="F755" s="103">
        <f>IFERROR(INDEX(Tabella9[PLZ],MATCH(Tabella8[[#This Row],[Colonna2]],Tabella9[Ortschaftsname],0)), "Name not found")</f>
        <v>1553</v>
      </c>
      <c r="G755" s="103"/>
      <c r="H755" s="240">
        <f ca="1">SUMIF(Tabella2[[#Headers],[#Data],[Age]],$H$76,Tabella2[[#Headers],[#Data],[Federal taxes]])</f>
        <v>6804.3246087429152</v>
      </c>
      <c r="I75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5" s="240">
        <f ca="1">Tabella8[[#This Row],[Colonna7]]*Tabella8[[#This Row],[Colonna4]]/100</f>
        <v>13999.101971109549</v>
      </c>
    </row>
    <row r="756" spans="2:10">
      <c r="B756" s="92" t="s">
        <v>152</v>
      </c>
      <c r="C756" s="91" t="s">
        <v>1216</v>
      </c>
      <c r="D756" s="93">
        <v>96</v>
      </c>
      <c r="E756" s="93">
        <v>91.7</v>
      </c>
      <c r="F756" s="103">
        <f>IFERROR(INDEX(Tabella9[PLZ],MATCH(Tabella8[[#This Row],[Colonna2]],Tabella9[Ortschaftsname],0)), "Name not found")</f>
        <v>1744</v>
      </c>
      <c r="G756" s="103"/>
      <c r="H756" s="240">
        <f ca="1">SUMIF(Tabella2[[#Headers],[#Data],[Age]],$H$76,Tabella2[[#Headers],[#Data],[Federal taxes]])</f>
        <v>6804.3246087429152</v>
      </c>
      <c r="I75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6" s="240">
        <f ca="1">Tabella8[[#This Row],[Colonna7]]*Tabella8[[#This Row],[Colonna4]]/100</f>
        <v>15102.560597067597</v>
      </c>
    </row>
    <row r="757" spans="2:10">
      <c r="B757" s="92" t="s">
        <v>152</v>
      </c>
      <c r="C757" s="91" t="s">
        <v>1214</v>
      </c>
      <c r="D757" s="93">
        <v>96</v>
      </c>
      <c r="E757" s="93">
        <v>73.5</v>
      </c>
      <c r="F757" s="103">
        <f>IFERROR(INDEX(Tabella9[PLZ],MATCH(Tabella8[[#This Row],[Colonna2]],Tabella9[Ortschaftsname],0)), "Name not found")</f>
        <v>1647</v>
      </c>
      <c r="G757" s="103"/>
      <c r="H757" s="240">
        <f ca="1">SUMIF(Tabella2[[#Headers],[#Data],[Age]],$H$76,Tabella2[[#Headers],[#Data],[Federal taxes]])</f>
        <v>6804.3246087429152</v>
      </c>
      <c r="I75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7" s="240">
        <f ca="1">Tabella8[[#This Row],[Colonna7]]*Tabella8[[#This Row],[Colonna4]]/100</f>
        <v>12105.105822077081</v>
      </c>
    </row>
    <row r="758" spans="2:10">
      <c r="B758" s="92" t="s">
        <v>152</v>
      </c>
      <c r="C758" s="91" t="s">
        <v>1152</v>
      </c>
      <c r="D758" s="93">
        <v>96</v>
      </c>
      <c r="E758" s="93">
        <v>75</v>
      </c>
      <c r="F758" s="103">
        <f>IFERROR(INDEX(Tabella9[PLZ],MATCH(Tabella8[[#This Row],[Colonna2]],Tabella9[Ortschaftsname],0)), "Name not found")</f>
        <v>1720</v>
      </c>
      <c r="G758" s="103"/>
      <c r="H758" s="240">
        <f ca="1">SUMIF(Tabella2[[#Headers],[#Data],[Age]],$H$76,Tabella2[[#Headers],[#Data],[Federal taxes]])</f>
        <v>6804.3246087429152</v>
      </c>
      <c r="I75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8" s="240">
        <f ca="1">Tabella8[[#This Row],[Colonna7]]*Tabella8[[#This Row],[Colonna4]]/100</f>
        <v>12352.148798037837</v>
      </c>
    </row>
    <row r="759" spans="2:10">
      <c r="B759" s="92" t="s">
        <v>152</v>
      </c>
      <c r="C759" s="91" t="s">
        <v>1177</v>
      </c>
      <c r="D759" s="93">
        <v>96</v>
      </c>
      <c r="E759" s="93">
        <v>80</v>
      </c>
      <c r="F759" s="103">
        <v>1741</v>
      </c>
      <c r="G759" s="103"/>
      <c r="H759" s="240">
        <f ca="1">SUMIF(Tabella2[[#Headers],[#Data],[Age]],$H$76,Tabella2[[#Headers],[#Data],[Federal taxes]])</f>
        <v>6804.3246087429152</v>
      </c>
      <c r="I75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59" s="240">
        <f ca="1">Tabella8[[#This Row],[Colonna7]]*Tabella8[[#This Row],[Colonna4]]/100</f>
        <v>13175.625384573694</v>
      </c>
    </row>
    <row r="760" spans="2:10">
      <c r="B760" s="92" t="s">
        <v>152</v>
      </c>
      <c r="C760" s="91" t="s">
        <v>1182</v>
      </c>
      <c r="D760" s="93">
        <v>96</v>
      </c>
      <c r="E760" s="93">
        <v>76</v>
      </c>
      <c r="F760" s="103">
        <f>IFERROR(INDEX(Tabella9[PLZ],MATCH(Tabella8[[#This Row],[Colonna2]],Tabella9[Ortschaftsname],0)), "Name not found")</f>
        <v>1796</v>
      </c>
      <c r="G760" s="103"/>
      <c r="H760" s="240">
        <f ca="1">SUMIF(Tabella2[[#Headers],[#Data],[Age]],$H$76,Tabella2[[#Headers],[#Data],[Federal taxes]])</f>
        <v>6804.3246087429152</v>
      </c>
      <c r="I76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0" s="240">
        <f ca="1">Tabella8[[#This Row],[Colonna7]]*Tabella8[[#This Row],[Colonna4]]/100</f>
        <v>12516.844115345009</v>
      </c>
    </row>
    <row r="761" spans="2:10">
      <c r="B761" s="92" t="s">
        <v>152</v>
      </c>
      <c r="C761" s="91" t="s">
        <v>1134</v>
      </c>
      <c r="D761" s="93">
        <v>96</v>
      </c>
      <c r="E761" s="93">
        <v>85</v>
      </c>
      <c r="F761" s="103">
        <f>IFERROR(INDEX(Tabella9[PLZ],MATCH(Tabella8[[#This Row],[Colonna2]],Tabella9[Ortschaftsname],0)), "Name not found")</f>
        <v>1784</v>
      </c>
      <c r="G761" s="103"/>
      <c r="H761" s="240">
        <f ca="1">SUMIF(Tabella2[[#Headers],[#Data],[Age]],$H$76,Tabella2[[#Headers],[#Data],[Federal taxes]])</f>
        <v>6804.3246087429152</v>
      </c>
      <c r="I76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1" s="240">
        <f ca="1">Tabella8[[#This Row],[Colonna7]]*Tabella8[[#This Row],[Colonna4]]/100</f>
        <v>13999.101971109549</v>
      </c>
    </row>
    <row r="762" spans="2:10">
      <c r="B762" s="92" t="s">
        <v>152</v>
      </c>
      <c r="C762" s="91" t="s">
        <v>1211</v>
      </c>
      <c r="D762" s="93">
        <v>96</v>
      </c>
      <c r="E762" s="93">
        <v>68</v>
      </c>
      <c r="F762" s="103">
        <v>1785</v>
      </c>
      <c r="G762" s="103"/>
      <c r="H762" s="240">
        <f ca="1">SUMIF(Tabella2[[#Headers],[#Data],[Age]],$H$76,Tabella2[[#Headers],[#Data],[Federal taxes]])</f>
        <v>6804.3246087429152</v>
      </c>
      <c r="I76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2" s="240">
        <f ca="1">Tabella8[[#This Row],[Colonna7]]*Tabella8[[#This Row],[Colonna4]]/100</f>
        <v>11199.281576887639</v>
      </c>
    </row>
    <row r="763" spans="2:10">
      <c r="B763" s="92" t="s">
        <v>152</v>
      </c>
      <c r="C763" s="91" t="s">
        <v>1246</v>
      </c>
      <c r="D763" s="93">
        <v>96</v>
      </c>
      <c r="E763" s="93">
        <v>67</v>
      </c>
      <c r="F763" s="103">
        <f>IFERROR(INDEX(Tabella9[PLZ],MATCH(Tabella8[[#This Row],[Colonna2]],Tabella9[Ortschaftsname],0)), "Name not found")</f>
        <v>1653</v>
      </c>
      <c r="G763" s="103"/>
      <c r="H763" s="240">
        <f ca="1">SUMIF(Tabella2[[#Headers],[#Data],[Age]],$H$76,Tabella2[[#Headers],[#Data],[Federal taxes]])</f>
        <v>6804.3246087429152</v>
      </c>
      <c r="I76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3" s="240">
        <f ca="1">Tabella8[[#This Row],[Colonna7]]*Tabella8[[#This Row],[Colonna4]]/100</f>
        <v>11034.586259580468</v>
      </c>
    </row>
    <row r="764" spans="2:10">
      <c r="B764" s="92" t="s">
        <v>152</v>
      </c>
      <c r="C764" s="91" t="s">
        <v>1171</v>
      </c>
      <c r="D764" s="93">
        <v>96</v>
      </c>
      <c r="E764" s="93">
        <v>77</v>
      </c>
      <c r="F764" s="103">
        <v>1482</v>
      </c>
      <c r="G764" s="103"/>
      <c r="H764" s="240">
        <f ca="1">SUMIF(Tabella2[[#Headers],[#Data],[Age]],$H$76,Tabella2[[#Headers],[#Data],[Federal taxes]])</f>
        <v>6804.3246087429152</v>
      </c>
      <c r="I76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4" s="240">
        <f ca="1">Tabella8[[#This Row],[Colonna7]]*Tabella8[[#This Row],[Colonna4]]/100</f>
        <v>12681.53943265218</v>
      </c>
    </row>
    <row r="765" spans="2:10">
      <c r="B765" s="92" t="s">
        <v>152</v>
      </c>
      <c r="C765" s="91" t="s">
        <v>1198</v>
      </c>
      <c r="D765" s="93">
        <v>96</v>
      </c>
      <c r="E765" s="93">
        <v>49.9</v>
      </c>
      <c r="F765" s="103">
        <v>1568</v>
      </c>
      <c r="G765" s="103"/>
      <c r="H765" s="240">
        <f ca="1">SUMIF(Tabella2[[#Headers],[#Data],[Age]],$H$76,Tabella2[[#Headers],[#Data],[Federal taxes]])</f>
        <v>6804.3246087429152</v>
      </c>
      <c r="I76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5" s="240">
        <f ca="1">Tabella8[[#This Row],[Colonna7]]*Tabella8[[#This Row],[Colonna4]]/100</f>
        <v>8218.2963336278408</v>
      </c>
    </row>
    <row r="766" spans="2:10">
      <c r="B766" s="92" t="s">
        <v>152</v>
      </c>
      <c r="C766" s="91" t="s">
        <v>1129</v>
      </c>
      <c r="D766" s="93">
        <v>96</v>
      </c>
      <c r="E766" s="93">
        <v>82</v>
      </c>
      <c r="F766" s="103">
        <f>IFERROR(INDEX(Tabella9[PLZ],MATCH(Tabella8[[#This Row],[Colonna2]],Tabella9[Ortschaftsname],0)), "Name not found")</f>
        <v>3186</v>
      </c>
      <c r="G766" s="103"/>
      <c r="H766" s="240">
        <f ca="1">SUMIF(Tabella2[[#Headers],[#Data],[Age]],$H$76,Tabella2[[#Headers],[#Data],[Federal taxes]])</f>
        <v>6804.3246087429152</v>
      </c>
      <c r="I76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6" s="240">
        <f ca="1">Tabella8[[#This Row],[Colonna7]]*Tabella8[[#This Row],[Colonna4]]/100</f>
        <v>13505.016019188035</v>
      </c>
    </row>
    <row r="767" spans="2:10">
      <c r="B767" s="92" t="s">
        <v>152</v>
      </c>
      <c r="C767" s="91" t="s">
        <v>1219</v>
      </c>
      <c r="D767" s="93">
        <v>96</v>
      </c>
      <c r="E767" s="93">
        <v>70</v>
      </c>
      <c r="F767" s="103">
        <f>IFERROR(INDEX(Tabella9[PLZ],MATCH(Tabella8[[#This Row],[Colonna2]],Tabella9[Ortschaftsname],0)), "Name not found")</f>
        <v>1646</v>
      </c>
      <c r="G767" s="103"/>
      <c r="H767" s="240">
        <f ca="1">SUMIF(Tabella2[[#Headers],[#Data],[Age]],$H$76,Tabella2[[#Headers],[#Data],[Federal taxes]])</f>
        <v>6804.3246087429152</v>
      </c>
      <c r="I76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7" s="240">
        <f ca="1">Tabella8[[#This Row],[Colonna7]]*Tabella8[[#This Row],[Colonna4]]/100</f>
        <v>11528.672211501982</v>
      </c>
    </row>
    <row r="768" spans="2:10">
      <c r="B768" s="92" t="s">
        <v>152</v>
      </c>
      <c r="C768" s="91" t="s">
        <v>1245</v>
      </c>
      <c r="D768" s="93">
        <v>96</v>
      </c>
      <c r="E768" s="93">
        <v>71</v>
      </c>
      <c r="F768" s="103">
        <v>1673</v>
      </c>
      <c r="G768" s="103"/>
      <c r="H768" s="240">
        <f ca="1">SUMIF(Tabella2[[#Headers],[#Data],[Age]],$H$76,Tabella2[[#Headers],[#Data],[Federal taxes]])</f>
        <v>6804.3246087429152</v>
      </c>
      <c r="I76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8" s="240">
        <f ca="1">Tabella8[[#This Row],[Colonna7]]*Tabella8[[#This Row],[Colonna4]]/100</f>
        <v>11693.367528809153</v>
      </c>
    </row>
    <row r="769" spans="2:10">
      <c r="B769" s="92" t="s">
        <v>152</v>
      </c>
      <c r="C769" s="91" t="s">
        <v>1126</v>
      </c>
      <c r="D769" s="93">
        <v>96</v>
      </c>
      <c r="E769" s="93">
        <v>84</v>
      </c>
      <c r="F769" s="103">
        <v>1470</v>
      </c>
      <c r="G769" s="103"/>
      <c r="H769" s="240">
        <f ca="1">SUMIF(Tabella2[[#Headers],[#Data],[Age]],$H$76,Tabella2[[#Headers],[#Data],[Federal taxes]])</f>
        <v>6804.3246087429152</v>
      </c>
      <c r="I76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69" s="240">
        <f ca="1">Tabella8[[#This Row],[Colonna7]]*Tabella8[[#This Row],[Colonna4]]/100</f>
        <v>13834.406653802378</v>
      </c>
    </row>
    <row r="770" spans="2:10">
      <c r="B770" s="92" t="s">
        <v>152</v>
      </c>
      <c r="C770" s="91" t="s">
        <v>1251</v>
      </c>
      <c r="D770" s="93">
        <v>96</v>
      </c>
      <c r="E770" s="93">
        <v>55</v>
      </c>
      <c r="F770" s="103">
        <f>IFERROR(INDEX(Tabella9[PLZ],MATCH(Tabella8[[#This Row],[Colonna2]],Tabella9[Ortschaftsname],0)), "Name not found")</f>
        <v>1724</v>
      </c>
      <c r="G770" s="103"/>
      <c r="H770" s="240">
        <f ca="1">SUMIF(Tabella2[[#Headers],[#Data],[Age]],$H$76,Tabella2[[#Headers],[#Data],[Federal taxes]])</f>
        <v>6804.3246087429152</v>
      </c>
      <c r="I77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0" s="240">
        <f ca="1">Tabella8[[#This Row],[Colonna7]]*Tabella8[[#This Row],[Colonna4]]/100</f>
        <v>9058.2424518944154</v>
      </c>
    </row>
    <row r="771" spans="2:10">
      <c r="B771" s="92" t="s">
        <v>152</v>
      </c>
      <c r="C771" s="91" t="s">
        <v>2626</v>
      </c>
      <c r="D771" s="93">
        <v>96</v>
      </c>
      <c r="E771" s="93">
        <v>80</v>
      </c>
      <c r="F771" s="103">
        <f>IFERROR(INDEX(Tabella9[PLZ],MATCH(Tabella8[[#This Row],[Colonna2]],Tabella9[Ortschaftsname],0)), "Name not found")</f>
        <v>1700</v>
      </c>
      <c r="G771" s="103"/>
      <c r="H771" s="240">
        <f ca="1">SUMIF(Tabella2[[#Headers],[#Data],[Age]],$H$76,Tabella2[[#Headers],[#Data],[Federal taxes]])</f>
        <v>6804.3246087429152</v>
      </c>
      <c r="I77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1" s="240">
        <f ca="1">Tabella8[[#This Row],[Colonna7]]*Tabella8[[#This Row],[Colonna4]]/100</f>
        <v>13175.625384573694</v>
      </c>
    </row>
    <row r="772" spans="2:10">
      <c r="B772" s="92" t="s">
        <v>152</v>
      </c>
      <c r="C772" s="91" t="s">
        <v>1235</v>
      </c>
      <c r="D772" s="93">
        <v>96</v>
      </c>
      <c r="E772" s="93">
        <v>75</v>
      </c>
      <c r="F772" s="103">
        <f>IFERROR(INDEX(Tabella9[PLZ],MATCH(Tabella8[[#This Row],[Colonna2]],Tabella9[Ortschaftsname],0)), "Name not found")</f>
        <v>3284</v>
      </c>
      <c r="G772" s="103"/>
      <c r="H772" s="240">
        <f ca="1">SUMIF(Tabella2[[#Headers],[#Data],[Age]],$H$76,Tabella2[[#Headers],[#Data],[Federal taxes]])</f>
        <v>6804.3246087429152</v>
      </c>
      <c r="I77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2" s="240">
        <f ca="1">Tabella8[[#This Row],[Colonna7]]*Tabella8[[#This Row],[Colonna4]]/100</f>
        <v>12352.148798037837</v>
      </c>
    </row>
    <row r="773" spans="2:10">
      <c r="B773" s="92" t="s">
        <v>152</v>
      </c>
      <c r="C773" s="91" t="s">
        <v>1206</v>
      </c>
      <c r="D773" s="93">
        <v>96</v>
      </c>
      <c r="E773" s="93">
        <v>86</v>
      </c>
      <c r="F773" s="103">
        <f>IFERROR(INDEX(Tabella9[PLZ],MATCH(Tabella8[[#This Row],[Colonna2]],Tabella9[Ortschaftsname],0)), "Name not found")</f>
        <v>1532</v>
      </c>
      <c r="G773" s="103"/>
      <c r="H773" s="240">
        <f ca="1">SUMIF(Tabella2[[#Headers],[#Data],[Age]],$H$76,Tabella2[[#Headers],[#Data],[Federal taxes]])</f>
        <v>6804.3246087429152</v>
      </c>
      <c r="I77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3" s="240">
        <f ca="1">Tabella8[[#This Row],[Colonna7]]*Tabella8[[#This Row],[Colonna4]]/100</f>
        <v>14163.797288416721</v>
      </c>
    </row>
    <row r="774" spans="2:10">
      <c r="B774" s="92" t="s">
        <v>152</v>
      </c>
      <c r="C774" s="91" t="s">
        <v>1130</v>
      </c>
      <c r="D774" s="93">
        <v>96</v>
      </c>
      <c r="E774" s="93">
        <v>82</v>
      </c>
      <c r="F774" s="103">
        <v>1690</v>
      </c>
      <c r="G774" s="103"/>
      <c r="H774" s="240">
        <f ca="1">SUMIF(Tabella2[[#Headers],[#Data],[Age]],$H$76,Tabella2[[#Headers],[#Data],[Federal taxes]])</f>
        <v>6804.3246087429152</v>
      </c>
      <c r="I77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4" s="240">
        <f ca="1">Tabella8[[#This Row],[Colonna7]]*Tabella8[[#This Row],[Colonna4]]/100</f>
        <v>13505.016019188035</v>
      </c>
    </row>
    <row r="775" spans="2:10">
      <c r="B775" s="92" t="s">
        <v>152</v>
      </c>
      <c r="C775" s="91" t="s">
        <v>1173</v>
      </c>
      <c r="D775" s="93">
        <v>96</v>
      </c>
      <c r="E775" s="93">
        <v>85.9</v>
      </c>
      <c r="F775" s="103">
        <f>IFERROR(INDEX(Tabella9[PLZ],MATCH(Tabella8[[#This Row],[Colonna2]],Tabella9[Ortschaftsname],0)), "Name not found")</f>
        <v>1735</v>
      </c>
      <c r="G775" s="103"/>
      <c r="H775" s="240">
        <f ca="1">SUMIF(Tabella2[[#Headers],[#Data],[Age]],$H$76,Tabella2[[#Headers],[#Data],[Federal taxes]])</f>
        <v>6804.3246087429152</v>
      </c>
      <c r="I77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5" s="240">
        <f ca="1">Tabella8[[#This Row],[Colonna7]]*Tabella8[[#This Row],[Colonna4]]/100</f>
        <v>14147.327756686005</v>
      </c>
    </row>
    <row r="776" spans="2:10">
      <c r="B776" s="92" t="s">
        <v>152</v>
      </c>
      <c r="C776" s="91" t="s">
        <v>1146</v>
      </c>
      <c r="D776" s="93">
        <v>96</v>
      </c>
      <c r="E776" s="93">
        <v>70</v>
      </c>
      <c r="F776" s="103">
        <f>IFERROR(INDEX(Tabella9[PLZ],MATCH(Tabella8[[#This Row],[Colonna2]],Tabella9[Ortschaftsname],0)), "Name not found")</f>
        <v>1762</v>
      </c>
      <c r="G776" s="103"/>
      <c r="H776" s="240">
        <f ca="1">SUMIF(Tabella2[[#Headers],[#Data],[Age]],$H$76,Tabella2[[#Headers],[#Data],[Federal taxes]])</f>
        <v>6804.3246087429152</v>
      </c>
      <c r="I77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6" s="240">
        <f ca="1">Tabella8[[#This Row],[Colonna7]]*Tabella8[[#This Row],[Colonna4]]/100</f>
        <v>11528.672211501982</v>
      </c>
    </row>
    <row r="777" spans="2:10">
      <c r="B777" s="92" t="s">
        <v>152</v>
      </c>
      <c r="C777" s="91" t="s">
        <v>1204</v>
      </c>
      <c r="D777" s="93">
        <v>96</v>
      </c>
      <c r="E777" s="93">
        <v>68.900000000000006</v>
      </c>
      <c r="F777" s="103">
        <f>IFERROR(INDEX(Tabella9[PLZ],MATCH(Tabella8[[#This Row],[Colonna2]],Tabella9[Ortschaftsname],0)), "Name not found")</f>
        <v>1544</v>
      </c>
      <c r="G777" s="103"/>
      <c r="H777" s="240">
        <f ca="1">SUMIF(Tabella2[[#Headers],[#Data],[Age]],$H$76,Tabella2[[#Headers],[#Data],[Federal taxes]])</f>
        <v>6804.3246087429152</v>
      </c>
      <c r="I77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7" s="240">
        <f ca="1">Tabella8[[#This Row],[Colonna7]]*Tabella8[[#This Row],[Colonna4]]/100</f>
        <v>11347.507362464094</v>
      </c>
    </row>
    <row r="778" spans="2:10">
      <c r="B778" s="92" t="s">
        <v>152</v>
      </c>
      <c r="C778" s="91" t="s">
        <v>1217</v>
      </c>
      <c r="D778" s="93">
        <v>96</v>
      </c>
      <c r="E778" s="93">
        <v>80</v>
      </c>
      <c r="F778" s="103">
        <f>IFERROR(INDEX(Tabella9[PLZ],MATCH(Tabella8[[#This Row],[Colonna2]],Tabella9[Ortschaftsname],0)), "Name not found")</f>
        <v>1666</v>
      </c>
      <c r="G778" s="103"/>
      <c r="H778" s="240">
        <f ca="1">SUMIF(Tabella2[[#Headers],[#Data],[Age]],$H$76,Tabella2[[#Headers],[#Data],[Federal taxes]])</f>
        <v>6804.3246087429152</v>
      </c>
      <c r="I77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8" s="240">
        <f ca="1">Tabella8[[#This Row],[Colonna7]]*Tabella8[[#This Row],[Colonna4]]/100</f>
        <v>13175.625384573694</v>
      </c>
    </row>
    <row r="779" spans="2:10">
      <c r="B779" s="92" t="s">
        <v>152</v>
      </c>
      <c r="C779" s="91" t="s">
        <v>1215</v>
      </c>
      <c r="D779" s="93">
        <v>96</v>
      </c>
      <c r="E779" s="93">
        <v>89</v>
      </c>
      <c r="F779" s="103">
        <f>IFERROR(INDEX(Tabella9[PLZ],MATCH(Tabella8[[#This Row],[Colonna2]],Tabella9[Ortschaftsname],0)), "Name not found")</f>
        <v>1614</v>
      </c>
      <c r="G779" s="103"/>
      <c r="H779" s="240">
        <f ca="1">SUMIF(Tabella2[[#Headers],[#Data],[Age]],$H$76,Tabella2[[#Headers],[#Data],[Federal taxes]])</f>
        <v>6804.3246087429152</v>
      </c>
      <c r="I77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79" s="240">
        <f ca="1">Tabella8[[#This Row],[Colonna7]]*Tabella8[[#This Row],[Colonna4]]/100</f>
        <v>14657.883240338233</v>
      </c>
    </row>
    <row r="780" spans="2:10">
      <c r="B780" s="92" t="s">
        <v>152</v>
      </c>
      <c r="C780" s="91" t="s">
        <v>1139</v>
      </c>
      <c r="D780" s="93">
        <v>96</v>
      </c>
      <c r="E780" s="93">
        <v>67.8</v>
      </c>
      <c r="F780" s="103">
        <f>IFERROR(INDEX(Tabella9[PLZ],MATCH(Tabella8[[#This Row],[Colonna2]],Tabella9[Ortschaftsname],0)), "Name not found")</f>
        <v>1763</v>
      </c>
      <c r="G780" s="103"/>
      <c r="H780" s="240">
        <f ca="1">SUMIF(Tabella2[[#Headers],[#Data],[Age]],$H$76,Tabella2[[#Headers],[#Data],[Federal taxes]])</f>
        <v>6804.3246087429152</v>
      </c>
      <c r="I78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0" s="240">
        <f ca="1">Tabella8[[#This Row],[Colonna7]]*Tabella8[[#This Row],[Colonna4]]/100</f>
        <v>11166.342513426205</v>
      </c>
    </row>
    <row r="781" spans="2:10">
      <c r="B781" s="92" t="s">
        <v>152</v>
      </c>
      <c r="C781" s="91" t="s">
        <v>1253</v>
      </c>
      <c r="D781" s="93">
        <v>96</v>
      </c>
      <c r="E781" s="93">
        <v>85</v>
      </c>
      <c r="F781" s="103">
        <v>1686</v>
      </c>
      <c r="G781" s="103"/>
      <c r="H781" s="240">
        <f ca="1">SUMIF(Tabella2[[#Headers],[#Data],[Age]],$H$76,Tabella2[[#Headers],[#Data],[Federal taxes]])</f>
        <v>6804.3246087429152</v>
      </c>
      <c r="I78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1" s="240">
        <f ca="1">Tabella8[[#This Row],[Colonna7]]*Tabella8[[#This Row],[Colonna4]]/100</f>
        <v>13999.101971109549</v>
      </c>
    </row>
    <row r="782" spans="2:10">
      <c r="B782" s="92" t="s">
        <v>152</v>
      </c>
      <c r="C782" s="91" t="s">
        <v>1254</v>
      </c>
      <c r="D782" s="93">
        <v>96</v>
      </c>
      <c r="E782" s="93">
        <v>32</v>
      </c>
      <c r="F782" s="103">
        <f>IFERROR(INDEX(Tabella9[PLZ],MATCH(Tabella8[[#This Row],[Colonna2]],Tabella9[Ortschaftsname],0)), "Name not found")</f>
        <v>3280</v>
      </c>
      <c r="G782" s="103"/>
      <c r="H782" s="240">
        <f ca="1">SUMIF(Tabella2[[#Headers],[#Data],[Age]],$H$76,Tabella2[[#Headers],[#Data],[Federal taxes]])</f>
        <v>6804.3246087429152</v>
      </c>
      <c r="I78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2" s="240">
        <f ca="1">Tabella8[[#This Row],[Colonna7]]*Tabella8[[#This Row],[Colonna4]]/100</f>
        <v>5270.2501538294773</v>
      </c>
    </row>
    <row r="783" spans="2:10">
      <c r="B783" s="92" t="s">
        <v>152</v>
      </c>
      <c r="C783" s="91" t="s">
        <v>1166</v>
      </c>
      <c r="D783" s="93">
        <v>96</v>
      </c>
      <c r="E783" s="93">
        <v>79</v>
      </c>
      <c r="F783" s="103">
        <f>IFERROR(INDEX(Tabella9[PLZ],MATCH(Tabella8[[#This Row],[Colonna2]],Tabella9[Ortschaftsname],0)), "Name not found")</f>
        <v>1772</v>
      </c>
      <c r="G783" s="103"/>
      <c r="H783" s="240">
        <f ca="1">SUMIF(Tabella2[[#Headers],[#Data],[Age]],$H$76,Tabella2[[#Headers],[#Data],[Federal taxes]])</f>
        <v>6804.3246087429152</v>
      </c>
      <c r="I78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3" s="240">
        <f ca="1">Tabella8[[#This Row],[Colonna7]]*Tabella8[[#This Row],[Colonna4]]/100</f>
        <v>13010.930067266521</v>
      </c>
    </row>
    <row r="784" spans="2:10">
      <c r="B784" s="92" t="s">
        <v>152</v>
      </c>
      <c r="C784" s="91" t="s">
        <v>1160</v>
      </c>
      <c r="D784" s="93">
        <v>96</v>
      </c>
      <c r="E784" s="93">
        <v>80</v>
      </c>
      <c r="F784" s="103">
        <f>IFERROR(INDEX(Tabella9[PLZ],MATCH(Tabella8[[#This Row],[Colonna2]],Tabella9[Ortschaftsname],0)), "Name not found")</f>
        <v>1663</v>
      </c>
      <c r="G784" s="103"/>
      <c r="H784" s="240">
        <f ca="1">SUMIF(Tabella2[[#Headers],[#Data],[Age]],$H$76,Tabella2[[#Headers],[#Data],[Federal taxes]])</f>
        <v>6804.3246087429152</v>
      </c>
      <c r="I78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4" s="240">
        <f ca="1">Tabella8[[#This Row],[Colonna7]]*Tabella8[[#This Row],[Colonna4]]/100</f>
        <v>13175.625384573694</v>
      </c>
    </row>
    <row r="785" spans="2:10">
      <c r="B785" s="92" t="s">
        <v>152</v>
      </c>
      <c r="C785" s="91" t="s">
        <v>1137</v>
      </c>
      <c r="D785" s="93">
        <v>96</v>
      </c>
      <c r="E785" s="93">
        <v>80</v>
      </c>
      <c r="F785" s="103">
        <f>IFERROR(INDEX(Tabella9[PLZ],MATCH(Tabella8[[#This Row],[Colonna2]],Tabella9[Ortschaftsname],0)), "Name not found")</f>
        <v>3212</v>
      </c>
      <c r="G785" s="103"/>
      <c r="H785" s="240">
        <f ca="1">SUMIF(Tabella2[[#Headers],[#Data],[Age]],$H$76,Tabella2[[#Headers],[#Data],[Federal taxes]])</f>
        <v>6804.3246087429152</v>
      </c>
      <c r="I78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5" s="240">
        <f ca="1">Tabella8[[#This Row],[Colonna7]]*Tabella8[[#This Row],[Colonna4]]/100</f>
        <v>13175.625384573694</v>
      </c>
    </row>
    <row r="786" spans="2:10">
      <c r="B786" s="92" t="s">
        <v>152</v>
      </c>
      <c r="C786" s="91" t="s">
        <v>1174</v>
      </c>
      <c r="D786" s="93">
        <v>96</v>
      </c>
      <c r="E786" s="93">
        <v>97</v>
      </c>
      <c r="F786" s="103">
        <v>1660</v>
      </c>
      <c r="G786" s="103"/>
      <c r="H786" s="240">
        <f ca="1">SUMIF(Tabella2[[#Headers],[#Data],[Age]],$H$76,Tabella2[[#Headers],[#Data],[Federal taxes]])</f>
        <v>6804.3246087429152</v>
      </c>
      <c r="I78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6" s="240">
        <f ca="1">Tabella8[[#This Row],[Colonna7]]*Tabella8[[#This Row],[Colonna4]]/100</f>
        <v>15975.445778795603</v>
      </c>
    </row>
    <row r="787" spans="2:10">
      <c r="B787" s="92" t="s">
        <v>152</v>
      </c>
      <c r="C787" s="91" t="s">
        <v>1154</v>
      </c>
      <c r="D787" s="93">
        <v>96</v>
      </c>
      <c r="E787" s="93">
        <v>74</v>
      </c>
      <c r="F787" s="103">
        <v>1730</v>
      </c>
      <c r="G787" s="103"/>
      <c r="H787" s="240">
        <f ca="1">SUMIF(Tabella2[[#Headers],[#Data],[Age]],$H$76,Tabella2[[#Headers],[#Data],[Federal taxes]])</f>
        <v>6804.3246087429152</v>
      </c>
      <c r="I78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7" s="240">
        <f ca="1">Tabella8[[#This Row],[Colonna7]]*Tabella8[[#This Row],[Colonna4]]/100</f>
        <v>12187.453480730666</v>
      </c>
    </row>
    <row r="788" spans="2:10">
      <c r="B788" s="92" t="s">
        <v>152</v>
      </c>
      <c r="C788" s="91" t="s">
        <v>1229</v>
      </c>
      <c r="D788" s="93">
        <v>96</v>
      </c>
      <c r="E788" s="93">
        <v>77.7</v>
      </c>
      <c r="F788" s="103">
        <f>IFERROR(INDEX(Tabella9[PLZ],MATCH(Tabella8[[#This Row],[Colonna2]],Tabella9[Ortschaftsname],0)), "Name not found")</f>
        <v>1648</v>
      </c>
      <c r="G788" s="103"/>
      <c r="H788" s="240">
        <f ca="1">SUMIF(Tabella2[[#Headers],[#Data],[Age]],$H$76,Tabella2[[#Headers],[#Data],[Federal taxes]])</f>
        <v>6804.3246087429152</v>
      </c>
      <c r="I78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8" s="240">
        <f ca="1">Tabella8[[#This Row],[Colonna7]]*Tabella8[[#This Row],[Colonna4]]/100</f>
        <v>12796.826154767201</v>
      </c>
    </row>
    <row r="789" spans="2:10">
      <c r="B789" s="92" t="s">
        <v>152</v>
      </c>
      <c r="C789" s="91" t="s">
        <v>1186</v>
      </c>
      <c r="D789" s="93">
        <v>96</v>
      </c>
      <c r="E789" s="93">
        <v>78</v>
      </c>
      <c r="F789" s="103">
        <f>IFERROR(INDEX(Tabella9[PLZ],MATCH(Tabella8[[#This Row],[Colonna2]],Tabella9[Ortschaftsname],0)), "Name not found")</f>
        <v>1714</v>
      </c>
      <c r="G789" s="103"/>
      <c r="H789" s="240">
        <f ca="1">SUMIF(Tabella2[[#Headers],[#Data],[Age]],$H$76,Tabella2[[#Headers],[#Data],[Federal taxes]])</f>
        <v>6804.3246087429152</v>
      </c>
      <c r="I78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89" s="240">
        <f ca="1">Tabella8[[#This Row],[Colonna7]]*Tabella8[[#This Row],[Colonna4]]/100</f>
        <v>12846.234749959351</v>
      </c>
    </row>
    <row r="790" spans="2:10">
      <c r="B790" s="92" t="s">
        <v>152</v>
      </c>
      <c r="C790" s="91" t="s">
        <v>1226</v>
      </c>
      <c r="D790" s="93">
        <v>96</v>
      </c>
      <c r="E790" s="93">
        <v>100</v>
      </c>
      <c r="F790" s="103">
        <f>IFERROR(INDEX(Tabella9[PLZ],MATCH(Tabella8[[#This Row],[Colonna2]],Tabella9[Ortschaftsname],0)), "Name not found")</f>
        <v>1656</v>
      </c>
      <c r="G790" s="103"/>
      <c r="H790" s="240">
        <f ca="1">SUMIF(Tabella2[[#Headers],[#Data],[Age]],$H$76,Tabella2[[#Headers],[#Data],[Federal taxes]])</f>
        <v>6804.3246087429152</v>
      </c>
      <c r="I79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0" s="240">
        <f ca="1">Tabella8[[#This Row],[Colonna7]]*Tabella8[[#This Row],[Colonna4]]/100</f>
        <v>16469.531730717117</v>
      </c>
    </row>
    <row r="791" spans="2:10">
      <c r="B791" s="92" t="s">
        <v>152</v>
      </c>
      <c r="C791" s="91" t="s">
        <v>1136</v>
      </c>
      <c r="D791" s="93">
        <v>96</v>
      </c>
      <c r="E791" s="93">
        <v>79</v>
      </c>
      <c r="F791" s="103">
        <f>IFERROR(INDEX(Tabella9[PLZ],MATCH(Tabella8[[#This Row],[Colonna2]],Tabella9[Ortschaftsname],0)), "Name not found")</f>
        <v>3210</v>
      </c>
      <c r="G791" s="103"/>
      <c r="H791" s="240">
        <f ca="1">SUMIF(Tabella2[[#Headers],[#Data],[Age]],$H$76,Tabella2[[#Headers],[#Data],[Federal taxes]])</f>
        <v>6804.3246087429152</v>
      </c>
      <c r="I79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1" s="240">
        <f ca="1">Tabella8[[#This Row],[Colonna7]]*Tabella8[[#This Row],[Colonna4]]/100</f>
        <v>13010.930067266521</v>
      </c>
    </row>
    <row r="792" spans="2:10">
      <c r="B792" s="92" t="s">
        <v>152</v>
      </c>
      <c r="C792" s="91" t="s">
        <v>1228</v>
      </c>
      <c r="D792" s="93">
        <v>96</v>
      </c>
      <c r="E792" s="93">
        <v>60</v>
      </c>
      <c r="F792" s="103">
        <f>IFERROR(INDEX(Tabella9[PLZ],MATCH(Tabella8[[#This Row],[Colonna2]],Tabella9[Ortschaftsname],0)), "Name not found")</f>
        <v>3213</v>
      </c>
      <c r="G792" s="103"/>
      <c r="H792" s="240">
        <f ca="1">SUMIF(Tabella2[[#Headers],[#Data],[Age]],$H$76,Tabella2[[#Headers],[#Data],[Federal taxes]])</f>
        <v>6804.3246087429152</v>
      </c>
      <c r="I79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2" s="240">
        <f ca="1">Tabella8[[#This Row],[Colonna7]]*Tabella8[[#This Row],[Colonna4]]/100</f>
        <v>9881.7190384302703</v>
      </c>
    </row>
    <row r="793" spans="2:10">
      <c r="B793" s="92" t="s">
        <v>152</v>
      </c>
      <c r="C793" s="91" t="s">
        <v>1164</v>
      </c>
      <c r="D793" s="93">
        <v>96</v>
      </c>
      <c r="E793" s="93">
        <v>87</v>
      </c>
      <c r="F793" s="103">
        <v>1721</v>
      </c>
      <c r="G793" s="103"/>
      <c r="H793" s="240">
        <f ca="1">SUMIF(Tabella2[[#Headers],[#Data],[Age]],$H$76,Tabella2[[#Headers],[#Data],[Federal taxes]])</f>
        <v>6804.3246087429152</v>
      </c>
      <c r="I79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3" s="240">
        <f ca="1">Tabella8[[#This Row],[Colonna7]]*Tabella8[[#This Row],[Colonna4]]/100</f>
        <v>14328.492605723892</v>
      </c>
    </row>
    <row r="794" spans="2:10">
      <c r="B794" s="92" t="s">
        <v>152</v>
      </c>
      <c r="C794" s="91" t="s">
        <v>1172</v>
      </c>
      <c r="D794" s="93">
        <v>96</v>
      </c>
      <c r="E794" s="93">
        <v>85</v>
      </c>
      <c r="F794" s="103">
        <v>1634</v>
      </c>
      <c r="G794" s="103"/>
      <c r="H794" s="240">
        <f ca="1">SUMIF(Tabella2[[#Headers],[#Data],[Age]],$H$76,Tabella2[[#Headers],[#Data],[Federal taxes]])</f>
        <v>6804.3246087429152</v>
      </c>
      <c r="I79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4" s="240">
        <f ca="1">Tabella8[[#This Row],[Colonna7]]*Tabella8[[#This Row],[Colonna4]]/100</f>
        <v>13999.101971109549</v>
      </c>
    </row>
    <row r="795" spans="2:10">
      <c r="B795" s="92" t="s">
        <v>152</v>
      </c>
      <c r="C795" s="91" t="s">
        <v>1195</v>
      </c>
      <c r="D795" s="93">
        <v>96</v>
      </c>
      <c r="E795" s="93">
        <v>79</v>
      </c>
      <c r="F795" s="103">
        <v>1782</v>
      </c>
      <c r="G795" s="103"/>
      <c r="H795" s="240">
        <f ca="1">SUMIF(Tabella2[[#Headers],[#Data],[Age]],$H$76,Tabella2[[#Headers],[#Data],[Federal taxes]])</f>
        <v>6804.3246087429152</v>
      </c>
      <c r="I79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5" s="240">
        <f ca="1">Tabella8[[#This Row],[Colonna7]]*Tabella8[[#This Row],[Colonna4]]/100</f>
        <v>13010.930067266521</v>
      </c>
    </row>
    <row r="796" spans="2:10">
      <c r="B796" s="92" t="s">
        <v>152</v>
      </c>
      <c r="C796" s="91" t="s">
        <v>1193</v>
      </c>
      <c r="D796" s="93">
        <v>96</v>
      </c>
      <c r="E796" s="93">
        <v>83</v>
      </c>
      <c r="F796" s="103">
        <f>IFERROR(INDEX(Tabella9[PLZ],MATCH(Tabella8[[#This Row],[Colonna2]],Tabella9[Ortschaftsname],0)), "Name not found")</f>
        <v>1624</v>
      </c>
      <c r="G796" s="103"/>
      <c r="H796" s="240">
        <f ca="1">SUMIF(Tabella2[[#Headers],[#Data],[Age]],$H$76,Tabella2[[#Headers],[#Data],[Federal taxes]])</f>
        <v>6804.3246087429152</v>
      </c>
      <c r="I79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6" s="240">
        <f ca="1">Tabella8[[#This Row],[Colonna7]]*Tabella8[[#This Row],[Colonna4]]/100</f>
        <v>13669.711336495207</v>
      </c>
    </row>
    <row r="797" spans="2:10">
      <c r="B797" s="92" t="s">
        <v>152</v>
      </c>
      <c r="C797" s="91" t="s">
        <v>1244</v>
      </c>
      <c r="D797" s="93">
        <v>96</v>
      </c>
      <c r="E797" s="93">
        <v>90</v>
      </c>
      <c r="F797" s="103">
        <v>1669</v>
      </c>
      <c r="G797" s="103"/>
      <c r="H797" s="240">
        <f ca="1">SUMIF(Tabella2[[#Headers],[#Data],[Age]],$H$76,Tabella2[[#Headers],[#Data],[Federal taxes]])</f>
        <v>6804.3246087429152</v>
      </c>
      <c r="I79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7" s="240">
        <f ca="1">Tabella8[[#This Row],[Colonna7]]*Tabella8[[#This Row],[Colonna4]]/100</f>
        <v>14822.578557645405</v>
      </c>
    </row>
    <row r="798" spans="2:10">
      <c r="B798" s="92" t="s">
        <v>152</v>
      </c>
      <c r="C798" s="91" t="s">
        <v>1191</v>
      </c>
      <c r="D798" s="93">
        <v>96</v>
      </c>
      <c r="E798" s="93">
        <v>93.8</v>
      </c>
      <c r="F798" s="103">
        <v>1699</v>
      </c>
      <c r="G798" s="103"/>
      <c r="H798" s="240">
        <f ca="1">SUMIF(Tabella2[[#Headers],[#Data],[Age]],$H$76,Tabella2[[#Headers],[#Data],[Federal taxes]])</f>
        <v>6804.3246087429152</v>
      </c>
      <c r="I79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8" s="240">
        <f ca="1">Tabella8[[#This Row],[Colonna7]]*Tabella8[[#This Row],[Colonna4]]/100</f>
        <v>15448.420763412656</v>
      </c>
    </row>
    <row r="799" spans="2:10">
      <c r="B799" s="92" t="s">
        <v>152</v>
      </c>
      <c r="C799" s="91" t="s">
        <v>1147</v>
      </c>
      <c r="D799" s="93">
        <v>96</v>
      </c>
      <c r="E799" s="93">
        <v>80</v>
      </c>
      <c r="F799" s="103">
        <f>IFERROR(INDEX(Tabella9[PLZ],MATCH(Tabella8[[#This Row],[Colonna2]],Tabella9[Ortschaftsname],0)), "Name not found")</f>
        <v>1724</v>
      </c>
      <c r="G799" s="103"/>
      <c r="H799" s="240">
        <f ca="1">SUMIF(Tabella2[[#Headers],[#Data],[Age]],$H$76,Tabella2[[#Headers],[#Data],[Federal taxes]])</f>
        <v>6804.3246087429152</v>
      </c>
      <c r="I79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799" s="240">
        <f ca="1">Tabella8[[#This Row],[Colonna7]]*Tabella8[[#This Row],[Colonna4]]/100</f>
        <v>13175.625384573694</v>
      </c>
    </row>
    <row r="800" spans="2:10">
      <c r="B800" s="92" t="s">
        <v>152</v>
      </c>
      <c r="C800" s="91" t="s">
        <v>1190</v>
      </c>
      <c r="D800" s="93">
        <v>96</v>
      </c>
      <c r="E800" s="93">
        <v>83.5</v>
      </c>
      <c r="F800" s="103">
        <v>1661</v>
      </c>
      <c r="G800" s="103"/>
      <c r="H800" s="240">
        <f ca="1">SUMIF(Tabella2[[#Headers],[#Data],[Age]],$H$76,Tabella2[[#Headers],[#Data],[Federal taxes]])</f>
        <v>6804.3246087429152</v>
      </c>
      <c r="I80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0" s="240">
        <f ca="1">Tabella8[[#This Row],[Colonna7]]*Tabella8[[#This Row],[Colonna4]]/100</f>
        <v>13752.058995148793</v>
      </c>
    </row>
    <row r="801" spans="2:10">
      <c r="B801" s="92" t="s">
        <v>152</v>
      </c>
      <c r="C801" s="91" t="s">
        <v>1180</v>
      </c>
      <c r="D801" s="93">
        <v>96</v>
      </c>
      <c r="E801" s="93">
        <v>77.400000000000006</v>
      </c>
      <c r="F801" s="103">
        <v>1483</v>
      </c>
      <c r="G801" s="103"/>
      <c r="H801" s="240">
        <f ca="1">SUMIF(Tabella2[[#Headers],[#Data],[Age]],$H$76,Tabella2[[#Headers],[#Data],[Federal taxes]])</f>
        <v>6804.3246087429152</v>
      </c>
      <c r="I80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1" s="240">
        <f ca="1">Tabella8[[#This Row],[Colonna7]]*Tabella8[[#This Row],[Colonna4]]/100</f>
        <v>12747.417559575049</v>
      </c>
    </row>
    <row r="802" spans="2:10">
      <c r="B802" s="92" t="s">
        <v>152</v>
      </c>
      <c r="C802" s="91" t="s">
        <v>1194</v>
      </c>
      <c r="D802" s="93">
        <v>96</v>
      </c>
      <c r="E802" s="93">
        <v>80</v>
      </c>
      <c r="F802" s="103">
        <v>1475</v>
      </c>
      <c r="G802" s="103"/>
      <c r="H802" s="240">
        <f ca="1">SUMIF(Tabella2[[#Headers],[#Data],[Age]],$H$76,Tabella2[[#Headers],[#Data],[Federal taxes]])</f>
        <v>6804.3246087429152</v>
      </c>
      <c r="I80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2" s="240">
        <f ca="1">Tabella8[[#This Row],[Colonna7]]*Tabella8[[#This Row],[Colonna4]]/100</f>
        <v>13175.625384573694</v>
      </c>
    </row>
    <row r="803" spans="2:10">
      <c r="B803" s="92" t="s">
        <v>152</v>
      </c>
      <c r="C803" s="91" t="s">
        <v>1128</v>
      </c>
      <c r="D803" s="93">
        <v>96</v>
      </c>
      <c r="E803" s="93">
        <v>89</v>
      </c>
      <c r="F803" s="103">
        <f>IFERROR(INDEX(Tabella9[PLZ],MATCH(Tabella8[[#This Row],[Colonna2]],Tabella9[Ortschaftsname],0)), "Name not found")</f>
        <v>1723</v>
      </c>
      <c r="G803" s="103"/>
      <c r="H803" s="240">
        <f ca="1">SUMIF(Tabella2[[#Headers],[#Data],[Age]],$H$76,Tabella2[[#Headers],[#Data],[Federal taxes]])</f>
        <v>6804.3246087429152</v>
      </c>
      <c r="I80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3" s="240">
        <f ca="1">Tabella8[[#This Row],[Colonna7]]*Tabella8[[#This Row],[Colonna4]]/100</f>
        <v>14657.883240338233</v>
      </c>
    </row>
    <row r="804" spans="2:10">
      <c r="B804" s="92" t="s">
        <v>152</v>
      </c>
      <c r="C804" s="91" t="s">
        <v>1167</v>
      </c>
      <c r="D804" s="93">
        <v>96</v>
      </c>
      <c r="E804" s="93">
        <v>75</v>
      </c>
      <c r="F804" s="103">
        <f>IFERROR(INDEX(Tabella9[PLZ],MATCH(Tabella8[[#This Row],[Colonna2]],Tabella9[Ortschaftsname],0)), "Name not found")</f>
        <v>1633</v>
      </c>
      <c r="G804" s="103"/>
      <c r="H804" s="240">
        <f ca="1">SUMIF(Tabella2[[#Headers],[#Data],[Age]],$H$76,Tabella2[[#Headers],[#Data],[Federal taxes]])</f>
        <v>6804.3246087429152</v>
      </c>
      <c r="I80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4" s="240">
        <f ca="1">Tabella8[[#This Row],[Colonna7]]*Tabella8[[#This Row],[Colonna4]]/100</f>
        <v>12352.148798037837</v>
      </c>
    </row>
    <row r="805" spans="2:10">
      <c r="B805" s="92" t="s">
        <v>152</v>
      </c>
      <c r="C805" s="91" t="s">
        <v>1234</v>
      </c>
      <c r="D805" s="93">
        <v>96</v>
      </c>
      <c r="E805" s="93">
        <v>91.2</v>
      </c>
      <c r="F805" s="103">
        <f>IFERROR(INDEX(Tabella9[PLZ],MATCH(Tabella8[[#This Row],[Colonna2]],Tabella9[Ortschaftsname],0)), "Name not found")</f>
        <v>1692</v>
      </c>
      <c r="G805" s="103"/>
      <c r="H805" s="240">
        <f ca="1">SUMIF(Tabella2[[#Headers],[#Data],[Age]],$H$76,Tabella2[[#Headers],[#Data],[Federal taxes]])</f>
        <v>6804.3246087429152</v>
      </c>
      <c r="I80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5" s="240">
        <f ca="1">Tabella8[[#This Row],[Colonna7]]*Tabella8[[#This Row],[Colonna4]]/100</f>
        <v>15020.212938414012</v>
      </c>
    </row>
    <row r="806" spans="2:10">
      <c r="B806" s="92" t="s">
        <v>152</v>
      </c>
      <c r="C806" s="91" t="s">
        <v>1175</v>
      </c>
      <c r="D806" s="93">
        <v>96</v>
      </c>
      <c r="E806" s="93">
        <v>65</v>
      </c>
      <c r="F806" s="103">
        <f>IFERROR(INDEX(Tabella9[PLZ],MATCH(Tabella8[[#This Row],[Colonna2]],Tabella9[Ortschaftsname],0)), "Name not found")</f>
        <v>1753</v>
      </c>
      <c r="G806" s="103"/>
      <c r="H806" s="240">
        <f ca="1">SUMIF(Tabella2[[#Headers],[#Data],[Age]],$H$76,Tabella2[[#Headers],[#Data],[Federal taxes]])</f>
        <v>6804.3246087429152</v>
      </c>
      <c r="I80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6" s="240">
        <f ca="1">Tabella8[[#This Row],[Colonna7]]*Tabella8[[#This Row],[Colonna4]]/100</f>
        <v>10705.195624966125</v>
      </c>
    </row>
    <row r="807" spans="2:10">
      <c r="B807" s="92" t="s">
        <v>152</v>
      </c>
      <c r="C807" s="91" t="s">
        <v>1232</v>
      </c>
      <c r="D807" s="93">
        <v>96</v>
      </c>
      <c r="E807" s="93">
        <v>52.3</v>
      </c>
      <c r="F807" s="103">
        <f>IFERROR(INDEX(Tabella9[PLZ],MATCH(Tabella8[[#This Row],[Colonna2]],Tabella9[Ortschaftsname],0)), "Name not found")</f>
        <v>3280</v>
      </c>
      <c r="G807" s="103"/>
      <c r="H807" s="240">
        <f ca="1">SUMIF(Tabella2[[#Headers],[#Data],[Age]],$H$76,Tabella2[[#Headers],[#Data],[Federal taxes]])</f>
        <v>6804.3246087429152</v>
      </c>
      <c r="I80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7" s="240">
        <f ca="1">Tabella8[[#This Row],[Colonna7]]*Tabella8[[#This Row],[Colonna4]]/100</f>
        <v>8613.5650951650514</v>
      </c>
    </row>
    <row r="808" spans="2:10">
      <c r="B808" s="92" t="s">
        <v>152</v>
      </c>
      <c r="C808" s="91" t="s">
        <v>1165</v>
      </c>
      <c r="D808" s="93">
        <v>96</v>
      </c>
      <c r="E808" s="93">
        <v>88</v>
      </c>
      <c r="F808" s="103">
        <v>1721</v>
      </c>
      <c r="G808" s="103"/>
      <c r="H808" s="240">
        <f ca="1">SUMIF(Tabella2[[#Headers],[#Data],[Age]],$H$76,Tabella2[[#Headers],[#Data],[Federal taxes]])</f>
        <v>6804.3246087429152</v>
      </c>
      <c r="I80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8" s="240">
        <f ca="1">Tabella8[[#This Row],[Colonna7]]*Tabella8[[#This Row],[Colonna4]]/100</f>
        <v>14493.187923031062</v>
      </c>
    </row>
    <row r="809" spans="2:10">
      <c r="B809" s="92" t="s">
        <v>152</v>
      </c>
      <c r="C809" s="91" t="s">
        <v>1141</v>
      </c>
      <c r="D809" s="93">
        <v>96</v>
      </c>
      <c r="E809" s="93">
        <v>58</v>
      </c>
      <c r="F809" s="103">
        <v>1786</v>
      </c>
      <c r="G809" s="103"/>
      <c r="H809" s="240">
        <f ca="1">SUMIF(Tabella2[[#Headers],[#Data],[Age]],$H$76,Tabella2[[#Headers],[#Data],[Federal taxes]])</f>
        <v>6804.3246087429152</v>
      </c>
      <c r="I80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09" s="240">
        <f ca="1">Tabella8[[#This Row],[Colonna7]]*Tabella8[[#This Row],[Colonna4]]/100</f>
        <v>9552.3284038159272</v>
      </c>
    </row>
    <row r="810" spans="2:10">
      <c r="B810" s="92" t="s">
        <v>152</v>
      </c>
      <c r="C810" s="91" t="s">
        <v>1153</v>
      </c>
      <c r="D810" s="93">
        <v>96</v>
      </c>
      <c r="E810" s="93">
        <v>83.6</v>
      </c>
      <c r="F810" s="103">
        <v>1775</v>
      </c>
      <c r="G810" s="103"/>
      <c r="H810" s="240">
        <f ca="1">SUMIF(Tabella2[[#Headers],[#Data],[Age]],$H$76,Tabella2[[#Headers],[#Data],[Federal taxes]])</f>
        <v>6804.3246087429152</v>
      </c>
      <c r="I81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0" s="240">
        <f ca="1">Tabella8[[#This Row],[Colonna7]]*Tabella8[[#This Row],[Colonna4]]/100</f>
        <v>13768.528526879509</v>
      </c>
    </row>
    <row r="811" spans="2:10">
      <c r="B811" s="92" t="s">
        <v>152</v>
      </c>
      <c r="C811" s="91" t="s">
        <v>1243</v>
      </c>
      <c r="D811" s="93">
        <v>96</v>
      </c>
      <c r="E811" s="93">
        <v>80</v>
      </c>
      <c r="F811" s="103">
        <f>IFERROR(INDEX(Tabella9[PLZ],MATCH(Tabella8[[#This Row],[Colonna2]],Tabella9[Ortschaftsname],0)), "Name not found")</f>
        <v>1674</v>
      </c>
      <c r="G811" s="103"/>
      <c r="H811" s="240">
        <f ca="1">SUMIF(Tabella2[[#Headers],[#Data],[Age]],$H$76,Tabella2[[#Headers],[#Data],[Federal taxes]])</f>
        <v>6804.3246087429152</v>
      </c>
      <c r="I81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1" s="240">
        <f ca="1">Tabella8[[#This Row],[Colonna7]]*Tabella8[[#This Row],[Colonna4]]/100</f>
        <v>13175.625384573694</v>
      </c>
    </row>
    <row r="812" spans="2:10">
      <c r="B812" s="92" t="s">
        <v>152</v>
      </c>
      <c r="C812" s="91" t="s">
        <v>1231</v>
      </c>
      <c r="D812" s="93">
        <v>96</v>
      </c>
      <c r="E812" s="93">
        <v>84.3</v>
      </c>
      <c r="F812" s="103">
        <f>IFERROR(INDEX(Tabella9[PLZ],MATCH(Tabella8[[#This Row],[Colonna2]],Tabella9[Ortschaftsname],0)), "Name not found")</f>
        <v>1638</v>
      </c>
      <c r="G812" s="103"/>
      <c r="H812" s="240">
        <f ca="1">SUMIF(Tabella2[[#Headers],[#Data],[Age]],$H$76,Tabella2[[#Headers],[#Data],[Federal taxes]])</f>
        <v>6804.3246087429152</v>
      </c>
      <c r="I81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2" s="240">
        <f ca="1">Tabella8[[#This Row],[Colonna7]]*Tabella8[[#This Row],[Colonna4]]/100</f>
        <v>13883.81524899453</v>
      </c>
    </row>
    <row r="813" spans="2:10">
      <c r="B813" s="92" t="s">
        <v>152</v>
      </c>
      <c r="C813" s="91" t="s">
        <v>1210</v>
      </c>
      <c r="D813" s="93">
        <v>96</v>
      </c>
      <c r="E813" s="93">
        <v>58</v>
      </c>
      <c r="F813" s="103">
        <f>IFERROR(INDEX(Tabella9[PLZ],MATCH(Tabella8[[#This Row],[Colonna2]],Tabella9[Ortschaftsname],0)), "Name not found")</f>
        <v>3286</v>
      </c>
      <c r="G813" s="103"/>
      <c r="H813" s="240">
        <f ca="1">SUMIF(Tabella2[[#Headers],[#Data],[Age]],$H$76,Tabella2[[#Headers],[#Data],[Federal taxes]])</f>
        <v>6804.3246087429152</v>
      </c>
      <c r="I81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3" s="240">
        <f ca="1">Tabella8[[#This Row],[Colonna7]]*Tabella8[[#This Row],[Colonna4]]/100</f>
        <v>9552.3284038159272</v>
      </c>
    </row>
    <row r="814" spans="2:10">
      <c r="B814" s="92" t="s">
        <v>152</v>
      </c>
      <c r="C814" s="91" t="s">
        <v>1127</v>
      </c>
      <c r="D814" s="93">
        <v>96</v>
      </c>
      <c r="E814" s="93">
        <v>62</v>
      </c>
      <c r="F814" s="103">
        <f>IFERROR(INDEX(Tabella9[PLZ],MATCH(Tabella8[[#This Row],[Colonna2]],Tabella9[Ortschaftsname],0)), "Name not found")</f>
        <v>3280</v>
      </c>
      <c r="G814" s="103"/>
      <c r="H814" s="240">
        <f ca="1">SUMIF(Tabella2[[#Headers],[#Data],[Age]],$H$76,Tabella2[[#Headers],[#Data],[Federal taxes]])</f>
        <v>6804.3246087429152</v>
      </c>
      <c r="I81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4" s="240">
        <f ca="1">Tabella8[[#This Row],[Colonna7]]*Tabella8[[#This Row],[Colonna4]]/100</f>
        <v>10211.109673044613</v>
      </c>
    </row>
    <row r="815" spans="2:10">
      <c r="B815" s="92" t="s">
        <v>152</v>
      </c>
      <c r="C815" s="91" t="s">
        <v>1241</v>
      </c>
      <c r="D815" s="93">
        <v>96</v>
      </c>
      <c r="E815" s="93">
        <v>88.1</v>
      </c>
      <c r="F815" s="103">
        <f>IFERROR(INDEX(Tabella9[PLZ],MATCH(Tabella8[[#This Row],[Colonna2]],Tabella9[Ortschaftsname],0)), "Name not found")</f>
        <v>1533</v>
      </c>
      <c r="G815" s="103"/>
      <c r="H815" s="240">
        <f ca="1">SUMIF(Tabella2[[#Headers],[#Data],[Age]],$H$76,Tabella2[[#Headers],[#Data],[Federal taxes]])</f>
        <v>6804.3246087429152</v>
      </c>
      <c r="I81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5" s="240">
        <f ca="1">Tabella8[[#This Row],[Colonna7]]*Tabella8[[#This Row],[Colonna4]]/100</f>
        <v>14509.657454761778</v>
      </c>
    </row>
    <row r="816" spans="2:10">
      <c r="B816" s="92" t="s">
        <v>152</v>
      </c>
      <c r="C816" s="91" t="s">
        <v>1201</v>
      </c>
      <c r="D816" s="93">
        <v>96</v>
      </c>
      <c r="E816" s="93">
        <v>85</v>
      </c>
      <c r="F816" s="103">
        <v>1684</v>
      </c>
      <c r="G816" s="103"/>
      <c r="H816" s="240">
        <f ca="1">SUMIF(Tabella2[[#Headers],[#Data],[Age]],$H$76,Tabella2[[#Headers],[#Data],[Federal taxes]])</f>
        <v>6804.3246087429152</v>
      </c>
      <c r="I81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6" s="240">
        <f ca="1">Tabella8[[#This Row],[Colonna7]]*Tabella8[[#This Row],[Colonna4]]/100</f>
        <v>13999.101971109549</v>
      </c>
    </row>
    <row r="817" spans="2:10">
      <c r="B817" s="92" t="s">
        <v>152</v>
      </c>
      <c r="C817" s="91" t="s">
        <v>1151</v>
      </c>
      <c r="D817" s="93">
        <v>96</v>
      </c>
      <c r="E817" s="93">
        <v>81</v>
      </c>
      <c r="F817" s="103">
        <v>1740</v>
      </c>
      <c r="G817" s="103"/>
      <c r="H817" s="240">
        <f ca="1">SUMIF(Tabella2[[#Headers],[#Data],[Age]],$H$76,Tabella2[[#Headers],[#Data],[Federal taxes]])</f>
        <v>6804.3246087429152</v>
      </c>
      <c r="I81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7" s="240">
        <f ca="1">Tabella8[[#This Row],[Colonna7]]*Tabella8[[#This Row],[Colonna4]]/100</f>
        <v>13340.320701880864</v>
      </c>
    </row>
    <row r="818" spans="2:10">
      <c r="B818" s="92" t="s">
        <v>152</v>
      </c>
      <c r="C818" s="91" t="s">
        <v>1239</v>
      </c>
      <c r="D818" s="93">
        <v>96</v>
      </c>
      <c r="E818" s="93">
        <v>87.9</v>
      </c>
      <c r="F818" s="103">
        <f>IFERROR(INDEX(Tabella9[PLZ],MATCH(Tabella8[[#This Row],[Colonna2]],Tabella9[Ortschaftsname],0)), "Name not found")</f>
        <v>1485</v>
      </c>
      <c r="G818" s="103"/>
      <c r="H818" s="240">
        <f ca="1">SUMIF(Tabella2[[#Headers],[#Data],[Age]],$H$76,Tabella2[[#Headers],[#Data],[Federal taxes]])</f>
        <v>6804.3246087429152</v>
      </c>
      <c r="I81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8" s="240">
        <f ca="1">Tabella8[[#This Row],[Colonna7]]*Tabella8[[#This Row],[Colonna4]]/100</f>
        <v>14476.718391300346</v>
      </c>
    </row>
    <row r="819" spans="2:10">
      <c r="B819" s="92" t="s">
        <v>152</v>
      </c>
      <c r="C819" s="91" t="s">
        <v>1256</v>
      </c>
      <c r="D819" s="93">
        <v>96</v>
      </c>
      <c r="E819" s="93">
        <v>78</v>
      </c>
      <c r="F819" s="103">
        <f>IFERROR(INDEX(Tabella9[PLZ],MATCH(Tabella8[[#This Row],[Colonna2]],Tabella9[Ortschaftsname],0)), "Name not found")</f>
        <v>1723</v>
      </c>
      <c r="G819" s="103"/>
      <c r="H819" s="240">
        <f ca="1">SUMIF(Tabella2[[#Headers],[#Data],[Age]],$H$76,Tabella2[[#Headers],[#Data],[Federal taxes]])</f>
        <v>6804.3246087429152</v>
      </c>
      <c r="I81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19" s="240">
        <f ca="1">Tabella8[[#This Row],[Colonna7]]*Tabella8[[#This Row],[Colonna4]]/100</f>
        <v>12846.234749959351</v>
      </c>
    </row>
    <row r="820" spans="2:10">
      <c r="B820" s="92" t="s">
        <v>152</v>
      </c>
      <c r="C820" s="91" t="s">
        <v>1140</v>
      </c>
      <c r="D820" s="93">
        <v>96</v>
      </c>
      <c r="E820" s="93">
        <v>92</v>
      </c>
      <c r="F820" s="103">
        <f>IFERROR(INDEX(Tabella9[PLZ],MATCH(Tabella8[[#This Row],[Colonna2]],Tabella9[Ortschaftsname],0)), "Name not found")</f>
        <v>1716</v>
      </c>
      <c r="G820" s="103"/>
      <c r="H820" s="240">
        <f ca="1">SUMIF(Tabella2[[#Headers],[#Data],[Age]],$H$76,Tabella2[[#Headers],[#Data],[Federal taxes]])</f>
        <v>6804.3246087429152</v>
      </c>
      <c r="I82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0" s="240">
        <f ca="1">Tabella8[[#This Row],[Colonna7]]*Tabella8[[#This Row],[Colonna4]]/100</f>
        <v>15151.969192259747</v>
      </c>
    </row>
    <row r="821" spans="2:10">
      <c r="B821" s="92" t="s">
        <v>152</v>
      </c>
      <c r="C821" s="91" t="s">
        <v>1205</v>
      </c>
      <c r="D821" s="93">
        <v>96</v>
      </c>
      <c r="E821" s="93">
        <v>95</v>
      </c>
      <c r="F821" s="103">
        <f>IFERROR(INDEX(Tabella9[PLZ],MATCH(Tabella8[[#This Row],[Colonna2]],Tabella9[Ortschaftsname],0)), "Name not found")</f>
        <v>1737</v>
      </c>
      <c r="G821" s="103"/>
      <c r="H821" s="240">
        <f ca="1">SUMIF(Tabella2[[#Headers],[#Data],[Age]],$H$76,Tabella2[[#Headers],[#Data],[Federal taxes]])</f>
        <v>6804.3246087429152</v>
      </c>
      <c r="I82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1" s="240">
        <f ca="1">Tabella8[[#This Row],[Colonna7]]*Tabella8[[#This Row],[Colonna4]]/100</f>
        <v>15646.05514418126</v>
      </c>
    </row>
    <row r="822" spans="2:10">
      <c r="B822" s="92" t="s">
        <v>152</v>
      </c>
      <c r="C822" s="91" t="s">
        <v>1169</v>
      </c>
      <c r="D822" s="93">
        <v>96</v>
      </c>
      <c r="E822" s="93">
        <v>75</v>
      </c>
      <c r="F822" s="103">
        <v>1690</v>
      </c>
      <c r="G822" s="103"/>
      <c r="H822" s="240">
        <f ca="1">SUMIF(Tabella2[[#Headers],[#Data],[Age]],$H$76,Tabella2[[#Headers],[#Data],[Federal taxes]])</f>
        <v>6804.3246087429152</v>
      </c>
      <c r="I82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2" s="240">
        <f ca="1">Tabella8[[#This Row],[Colonna7]]*Tabella8[[#This Row],[Colonna4]]/100</f>
        <v>12352.148798037837</v>
      </c>
    </row>
    <row r="823" spans="2:10">
      <c r="B823" s="92" t="s">
        <v>152</v>
      </c>
      <c r="C823" s="91" t="s">
        <v>1230</v>
      </c>
      <c r="D823" s="93">
        <v>96</v>
      </c>
      <c r="E823" s="93">
        <v>75</v>
      </c>
      <c r="F823" s="103">
        <f>IFERROR(INDEX(Tabella9[PLZ],MATCH(Tabella8[[#This Row],[Colonna2]],Tabella9[Ortschaftsname],0)), "Name not found")</f>
        <v>1649</v>
      </c>
      <c r="G823" s="103"/>
      <c r="H823" s="240">
        <f ca="1">SUMIF(Tabella2[[#Headers],[#Data],[Age]],$H$76,Tabella2[[#Headers],[#Data],[Federal taxes]])</f>
        <v>6804.3246087429152</v>
      </c>
      <c r="I82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3" s="240">
        <f ca="1">Tabella8[[#This Row],[Colonna7]]*Tabella8[[#This Row],[Colonna4]]/100</f>
        <v>12352.148798037837</v>
      </c>
    </row>
    <row r="824" spans="2:10">
      <c r="B824" s="92" t="s">
        <v>152</v>
      </c>
      <c r="C824" s="91" t="s">
        <v>1222</v>
      </c>
      <c r="D824" s="93">
        <v>96</v>
      </c>
      <c r="E824" s="93">
        <v>89</v>
      </c>
      <c r="F824" s="103">
        <f>IFERROR(INDEX(Tabella9[PLZ],MATCH(Tabella8[[#This Row],[Colonna2]],Tabella9[Ortschaftsname],0)), "Name not found")</f>
        <v>1772</v>
      </c>
      <c r="G824" s="103"/>
      <c r="H824" s="240">
        <f ca="1">SUMIF(Tabella2[[#Headers],[#Data],[Age]],$H$76,Tabella2[[#Headers],[#Data],[Federal taxes]])</f>
        <v>6804.3246087429152</v>
      </c>
      <c r="I82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4" s="240">
        <f ca="1">Tabella8[[#This Row],[Colonna7]]*Tabella8[[#This Row],[Colonna4]]/100</f>
        <v>14657.883240338233</v>
      </c>
    </row>
    <row r="825" spans="2:10">
      <c r="B825" s="92" t="s">
        <v>152</v>
      </c>
      <c r="C825" s="91" t="s">
        <v>2627</v>
      </c>
      <c r="D825" s="93">
        <v>96</v>
      </c>
      <c r="E825" s="93">
        <v>80</v>
      </c>
      <c r="F825" s="103">
        <v>1746</v>
      </c>
      <c r="G825" s="103"/>
      <c r="H825" s="240">
        <f ca="1">SUMIF(Tabella2[[#Headers],[#Data],[Age]],$H$76,Tabella2[[#Headers],[#Data],[Federal taxes]])</f>
        <v>6804.3246087429152</v>
      </c>
      <c r="I82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5" s="240">
        <f ca="1">Tabella8[[#This Row],[Colonna7]]*Tabella8[[#This Row],[Colonna4]]/100</f>
        <v>13175.625384573694</v>
      </c>
    </row>
    <row r="826" spans="2:10">
      <c r="B826" s="92" t="s">
        <v>152</v>
      </c>
      <c r="C826" s="91" t="s">
        <v>2627</v>
      </c>
      <c r="D826" s="93">
        <v>96</v>
      </c>
      <c r="E826" s="93">
        <v>80</v>
      </c>
      <c r="F826" s="103">
        <v>1677</v>
      </c>
      <c r="G826" s="103"/>
      <c r="H826" s="240">
        <f ca="1">SUMIF(Tabella2[[#Headers],[#Data],[Age]],$H$76,Tabella2[[#Headers],[#Data],[Federal taxes]])</f>
        <v>6804.3246087429152</v>
      </c>
      <c r="I82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6" s="240">
        <f ca="1">Tabella8[[#This Row],[Colonna7]]*Tabella8[[#This Row],[Colonna4]]/100</f>
        <v>13175.625384573694</v>
      </c>
    </row>
    <row r="827" spans="2:10">
      <c r="B827" s="92" t="s">
        <v>152</v>
      </c>
      <c r="C827" s="91" t="s">
        <v>1258</v>
      </c>
      <c r="D827" s="93">
        <v>96</v>
      </c>
      <c r="E827" s="93">
        <v>90.3</v>
      </c>
      <c r="F827" s="103">
        <f>IFERROR(INDEX(Tabella9[PLZ],MATCH(Tabella8[[#This Row],[Colonna2]],Tabella9[Ortschaftsname],0)), "Name not found")</f>
        <v>1410</v>
      </c>
      <c r="G827" s="103"/>
      <c r="H827" s="240">
        <f ca="1">SUMIF(Tabella2[[#Headers],[#Data],[Age]],$H$76,Tabella2[[#Headers],[#Data],[Federal taxes]])</f>
        <v>6804.3246087429152</v>
      </c>
      <c r="I82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7" s="240">
        <f ca="1">Tabella8[[#This Row],[Colonna7]]*Tabella8[[#This Row],[Colonna4]]/100</f>
        <v>14871.987152837557</v>
      </c>
    </row>
    <row r="828" spans="2:10">
      <c r="B828" s="92" t="s">
        <v>152</v>
      </c>
      <c r="C828" s="91" t="s">
        <v>1200</v>
      </c>
      <c r="D828" s="93">
        <v>96</v>
      </c>
      <c r="E828" s="93">
        <v>86</v>
      </c>
      <c r="F828" s="103">
        <f>IFERROR(INDEX(Tabella9[PLZ],MATCH(Tabella8[[#This Row],[Colonna2]],Tabella9[Ortschaftsname],0)), "Name not found")</f>
        <v>1718</v>
      </c>
      <c r="G828" s="103"/>
      <c r="H828" s="240">
        <f ca="1">SUMIF(Tabella2[[#Headers],[#Data],[Age]],$H$76,Tabella2[[#Headers],[#Data],[Federal taxes]])</f>
        <v>6804.3246087429152</v>
      </c>
      <c r="I82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8" s="240">
        <f ca="1">Tabella8[[#This Row],[Colonna7]]*Tabella8[[#This Row],[Colonna4]]/100</f>
        <v>14163.797288416721</v>
      </c>
    </row>
    <row r="829" spans="2:10">
      <c r="B829" s="92" t="s">
        <v>152</v>
      </c>
      <c r="C829" s="91" t="s">
        <v>1202</v>
      </c>
      <c r="D829" s="93">
        <v>96</v>
      </c>
      <c r="E829" s="93">
        <v>88</v>
      </c>
      <c r="F829" s="103">
        <f>IFERROR(INDEX(Tabella9[PLZ],MATCH(Tabella8[[#This Row],[Colonna2]],Tabella9[Ortschaftsname],0)), "Name not found")</f>
        <v>1617</v>
      </c>
      <c r="G829" s="103"/>
      <c r="H829" s="240">
        <f ca="1">SUMIF(Tabella2[[#Headers],[#Data],[Age]],$H$76,Tabella2[[#Headers],[#Data],[Federal taxes]])</f>
        <v>6804.3246087429152</v>
      </c>
      <c r="I82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29" s="240">
        <f ca="1">Tabella8[[#This Row],[Colonna7]]*Tabella8[[#This Row],[Colonna4]]/100</f>
        <v>14493.187923031062</v>
      </c>
    </row>
    <row r="830" spans="2:10">
      <c r="B830" s="92" t="s">
        <v>152</v>
      </c>
      <c r="C830" s="91" t="s">
        <v>1150</v>
      </c>
      <c r="D830" s="93">
        <v>96</v>
      </c>
      <c r="E830" s="93">
        <v>73</v>
      </c>
      <c r="F830" s="103">
        <f>IFERROR(INDEX(Tabella9[PLZ],MATCH(Tabella8[[#This Row],[Colonna2]],Tabella9[Ortschaftsname],0)), "Name not found")</f>
        <v>1632</v>
      </c>
      <c r="G830" s="103"/>
      <c r="H830" s="240">
        <f ca="1">SUMIF(Tabella2[[#Headers],[#Data],[Age]],$H$76,Tabella2[[#Headers],[#Data],[Federal taxes]])</f>
        <v>6804.3246087429152</v>
      </c>
      <c r="I83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0" s="240">
        <f ca="1">Tabella8[[#This Row],[Colonna7]]*Tabella8[[#This Row],[Colonna4]]/100</f>
        <v>12022.758163423496</v>
      </c>
    </row>
    <row r="831" spans="2:10">
      <c r="B831" s="92" t="s">
        <v>152</v>
      </c>
      <c r="C831" s="91" t="s">
        <v>1192</v>
      </c>
      <c r="D831" s="93">
        <v>96</v>
      </c>
      <c r="E831" s="93">
        <v>72.5</v>
      </c>
      <c r="F831" s="103">
        <v>3216</v>
      </c>
      <c r="G831" s="103"/>
      <c r="H831" s="240">
        <f ca="1">SUMIF(Tabella2[[#Headers],[#Data],[Age]],$H$76,Tabella2[[#Headers],[#Data],[Federal taxes]])</f>
        <v>6804.3246087429152</v>
      </c>
      <c r="I83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1" s="240">
        <f ca="1">Tabella8[[#This Row],[Colonna7]]*Tabella8[[#This Row],[Colonna4]]/100</f>
        <v>11940.41050476991</v>
      </c>
    </row>
    <row r="832" spans="2:10">
      <c r="B832" s="92" t="s">
        <v>152</v>
      </c>
      <c r="C832" s="91" t="s">
        <v>1135</v>
      </c>
      <c r="D832" s="93">
        <v>96</v>
      </c>
      <c r="E832" s="93">
        <v>90</v>
      </c>
      <c r="F832" s="103">
        <v>1680</v>
      </c>
      <c r="G832" s="103"/>
      <c r="H832" s="240">
        <f ca="1">SUMIF(Tabella2[[#Headers],[#Data],[Age]],$H$76,Tabella2[[#Headers],[#Data],[Federal taxes]])</f>
        <v>6804.3246087429152</v>
      </c>
      <c r="I83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2" s="240">
        <f ca="1">Tabella8[[#This Row],[Colonna7]]*Tabella8[[#This Row],[Colonna4]]/100</f>
        <v>14822.578557645405</v>
      </c>
    </row>
    <row r="833" spans="2:10">
      <c r="B833" s="92" t="s">
        <v>152</v>
      </c>
      <c r="C833" s="91" t="s">
        <v>1176</v>
      </c>
      <c r="D833" s="93">
        <v>96</v>
      </c>
      <c r="E833" s="93">
        <v>79</v>
      </c>
      <c r="F833" s="103">
        <f>IFERROR(INDEX(Tabella9[PLZ],MATCH(Tabella8[[#This Row],[Colonna2]],Tabella9[Ortschaftsname],0)), "Name not found")</f>
        <v>1673</v>
      </c>
      <c r="G833" s="103"/>
      <c r="H833" s="240">
        <f ca="1">SUMIF(Tabella2[[#Headers],[#Data],[Age]],$H$76,Tabella2[[#Headers],[#Data],[Federal taxes]])</f>
        <v>6804.3246087429152</v>
      </c>
      <c r="I83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3" s="240">
        <f ca="1">Tabella8[[#This Row],[Colonna7]]*Tabella8[[#This Row],[Colonna4]]/100</f>
        <v>13010.930067266521</v>
      </c>
    </row>
    <row r="834" spans="2:10">
      <c r="B834" s="92" t="s">
        <v>152</v>
      </c>
      <c r="C834" s="91" t="s">
        <v>1170</v>
      </c>
      <c r="D834" s="93">
        <v>96</v>
      </c>
      <c r="E834" s="93">
        <v>80</v>
      </c>
      <c r="F834" s="103">
        <v>1566</v>
      </c>
      <c r="G834" s="103"/>
      <c r="H834" s="240">
        <f ca="1">SUMIF(Tabella2[[#Headers],[#Data],[Age]],$H$76,Tabella2[[#Headers],[#Data],[Federal taxes]])</f>
        <v>6804.3246087429152</v>
      </c>
      <c r="I83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4" s="240">
        <f ca="1">Tabella8[[#This Row],[Colonna7]]*Tabella8[[#This Row],[Colonna4]]/100</f>
        <v>13175.625384573694</v>
      </c>
    </row>
    <row r="835" spans="2:10">
      <c r="B835" s="92" t="s">
        <v>152</v>
      </c>
      <c r="C835" s="91" t="s">
        <v>1207</v>
      </c>
      <c r="D835" s="93">
        <v>96</v>
      </c>
      <c r="E835" s="93">
        <v>87</v>
      </c>
      <c r="F835" s="103">
        <v>1609</v>
      </c>
      <c r="G835" s="103"/>
      <c r="H835" s="240">
        <f ca="1">SUMIF(Tabella2[[#Headers],[#Data],[Age]],$H$76,Tabella2[[#Headers],[#Data],[Federal taxes]])</f>
        <v>6804.3246087429152</v>
      </c>
      <c r="I83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5" s="240">
        <f ca="1">Tabella8[[#This Row],[Colonna7]]*Tabella8[[#This Row],[Colonna4]]/100</f>
        <v>14328.492605723892</v>
      </c>
    </row>
    <row r="836" spans="2:10">
      <c r="B836" s="92" t="s">
        <v>152</v>
      </c>
      <c r="C836" s="91" t="s">
        <v>1138</v>
      </c>
      <c r="D836" s="93">
        <v>96</v>
      </c>
      <c r="E836" s="93">
        <v>77</v>
      </c>
      <c r="F836" s="103">
        <v>3185</v>
      </c>
      <c r="G836" s="103"/>
      <c r="H836" s="240">
        <f ca="1">SUMIF(Tabella2[[#Headers],[#Data],[Age]],$H$76,Tabella2[[#Headers],[#Data],[Federal taxes]])</f>
        <v>6804.3246087429152</v>
      </c>
      <c r="I83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6" s="240">
        <f ca="1">Tabella8[[#This Row],[Colonna7]]*Tabella8[[#This Row],[Colonna4]]/100</f>
        <v>12681.53943265218</v>
      </c>
    </row>
    <row r="837" spans="2:10">
      <c r="B837" s="92" t="s">
        <v>152</v>
      </c>
      <c r="C837" s="91" t="s">
        <v>1181</v>
      </c>
      <c r="D837" s="93">
        <v>96</v>
      </c>
      <c r="E837" s="93">
        <v>83</v>
      </c>
      <c r="F837" s="103">
        <f>IFERROR(INDEX(Tabella9[PLZ],MATCH(Tabella8[[#This Row],[Colonna2]],Tabella9[Ortschaftsname],0)), "Name not found")</f>
        <v>1623</v>
      </c>
      <c r="G837" s="103"/>
      <c r="H837" s="240">
        <f ca="1">SUMIF(Tabella2[[#Headers],[#Data],[Age]],$H$76,Tabella2[[#Headers],[#Data],[Federal taxes]])</f>
        <v>6804.3246087429152</v>
      </c>
      <c r="I83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7" s="240">
        <f ca="1">Tabella8[[#This Row],[Colonna7]]*Tabella8[[#This Row],[Colonna4]]/100</f>
        <v>13669.711336495207</v>
      </c>
    </row>
    <row r="838" spans="2:10">
      <c r="B838" s="92" t="s">
        <v>152</v>
      </c>
      <c r="C838" s="91" t="s">
        <v>1161</v>
      </c>
      <c r="D838" s="93">
        <v>96</v>
      </c>
      <c r="E838" s="93">
        <v>88</v>
      </c>
      <c r="F838" s="103">
        <f>IFERROR(INDEX(Tabella9[PLZ],MATCH(Tabella8[[#This Row],[Colonna2]],Tabella9[Ortschaftsname],0)), "Name not found")</f>
        <v>1678</v>
      </c>
      <c r="G838" s="103"/>
      <c r="H838" s="240">
        <f ca="1">SUMIF(Tabella2[[#Headers],[#Data],[Age]],$H$76,Tabella2[[#Headers],[#Data],[Federal taxes]])</f>
        <v>6804.3246087429152</v>
      </c>
      <c r="I83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8" s="240">
        <f ca="1">Tabella8[[#This Row],[Colonna7]]*Tabella8[[#This Row],[Colonna4]]/100</f>
        <v>14493.187923031062</v>
      </c>
    </row>
    <row r="839" spans="2:10">
      <c r="B839" s="92" t="s">
        <v>152</v>
      </c>
      <c r="C839" s="91" t="s">
        <v>1199</v>
      </c>
      <c r="D839" s="93">
        <v>96</v>
      </c>
      <c r="E839" s="93">
        <v>73</v>
      </c>
      <c r="F839" s="103">
        <f>IFERROR(INDEX(Tabella9[PLZ],MATCH(Tabella8[[#This Row],[Colonna2]],Tabella9[Ortschaftsname],0)), "Name not found")</f>
        <v>1642</v>
      </c>
      <c r="G839" s="103"/>
      <c r="H839" s="240">
        <f ca="1">SUMIF(Tabella2[[#Headers],[#Data],[Age]],$H$76,Tabella2[[#Headers],[#Data],[Federal taxes]])</f>
        <v>6804.3246087429152</v>
      </c>
      <c r="I83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39" s="240">
        <f ca="1">Tabella8[[#This Row],[Colonna7]]*Tabella8[[#This Row],[Colonna4]]/100</f>
        <v>12022.758163423496</v>
      </c>
    </row>
    <row r="840" spans="2:10">
      <c r="B840" s="92" t="s">
        <v>152</v>
      </c>
      <c r="C840" s="91" t="s">
        <v>1209</v>
      </c>
      <c r="D840" s="93">
        <v>96</v>
      </c>
      <c r="E840" s="93">
        <v>95</v>
      </c>
      <c r="F840" s="103">
        <f>IFERROR(INDEX(Tabella9[PLZ],MATCH(Tabella8[[#This Row],[Colonna2]],Tabella9[Ortschaftsname],0)), "Name not found")</f>
        <v>1736</v>
      </c>
      <c r="G840" s="103"/>
      <c r="H840" s="240">
        <f ca="1">SUMIF(Tabella2[[#Headers],[#Data],[Age]],$H$76,Tabella2[[#Headers],[#Data],[Federal taxes]])</f>
        <v>6804.3246087429152</v>
      </c>
      <c r="I84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0" s="240">
        <f ca="1">Tabella8[[#This Row],[Colonna7]]*Tabella8[[#This Row],[Colonna4]]/100</f>
        <v>15646.05514418126</v>
      </c>
    </row>
    <row r="841" spans="2:10">
      <c r="B841" s="92" t="s">
        <v>152</v>
      </c>
      <c r="C841" s="91" t="s">
        <v>1188</v>
      </c>
      <c r="D841" s="93">
        <v>96</v>
      </c>
      <c r="E841" s="93">
        <v>75</v>
      </c>
      <c r="F841" s="103">
        <f>IFERROR(INDEX(Tabella9[PLZ],MATCH(Tabella8[[#This Row],[Colonna2]],Tabella9[Ortschaftsname],0)), "Name not found")</f>
        <v>1717</v>
      </c>
      <c r="G841" s="103"/>
      <c r="H841" s="240">
        <f ca="1">SUMIF(Tabella2[[#Headers],[#Data],[Age]],$H$76,Tabella2[[#Headers],[#Data],[Federal taxes]])</f>
        <v>6804.3246087429152</v>
      </c>
      <c r="I84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1" s="240">
        <f ca="1">Tabella8[[#This Row],[Colonna7]]*Tabella8[[#This Row],[Colonna4]]/100</f>
        <v>12352.148798037837</v>
      </c>
    </row>
    <row r="842" spans="2:10">
      <c r="B842" s="92" t="s">
        <v>152</v>
      </c>
      <c r="C842" s="91" t="s">
        <v>1223</v>
      </c>
      <c r="D842" s="93">
        <v>96</v>
      </c>
      <c r="E842" s="93">
        <v>88.7</v>
      </c>
      <c r="F842" s="103">
        <f>IFERROR(INDEX(Tabella9[PLZ],MATCH(Tabella8[[#This Row],[Colonna2]],Tabella9[Ortschaftsname],0)), "Name not found")</f>
        <v>1528</v>
      </c>
      <c r="G842" s="103"/>
      <c r="H842" s="240">
        <f ca="1">SUMIF(Tabella2[[#Headers],[#Data],[Age]],$H$76,Tabella2[[#Headers],[#Data],[Federal taxes]])</f>
        <v>6804.3246087429152</v>
      </c>
      <c r="I84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2" s="240">
        <f ca="1">Tabella8[[#This Row],[Colonna7]]*Tabella8[[#This Row],[Colonna4]]/100</f>
        <v>14608.474645146083</v>
      </c>
    </row>
    <row r="843" spans="2:10">
      <c r="B843" s="92" t="s">
        <v>152</v>
      </c>
      <c r="C843" s="91" t="s">
        <v>1183</v>
      </c>
      <c r="D843" s="93">
        <v>96</v>
      </c>
      <c r="E843" s="93">
        <v>86</v>
      </c>
      <c r="F843" s="103">
        <v>1625</v>
      </c>
      <c r="G843" s="103"/>
      <c r="H843" s="240">
        <f ca="1">SUMIF(Tabella2[[#Headers],[#Data],[Age]],$H$76,Tabella2[[#Headers],[#Data],[Federal taxes]])</f>
        <v>6804.3246087429152</v>
      </c>
      <c r="I84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3" s="240">
        <f ca="1">Tabella8[[#This Row],[Colonna7]]*Tabella8[[#This Row],[Colonna4]]/100</f>
        <v>14163.797288416721</v>
      </c>
    </row>
    <row r="844" spans="2:10">
      <c r="B844" s="92" t="s">
        <v>152</v>
      </c>
      <c r="C844" s="91" t="s">
        <v>1247</v>
      </c>
      <c r="D844" s="93">
        <v>96</v>
      </c>
      <c r="E844" s="93">
        <v>45</v>
      </c>
      <c r="F844" s="103">
        <f>IFERROR(INDEX(Tabella9[PLZ],MATCH(Tabella8[[#This Row],[Colonna2]],Tabella9[Ortschaftsname],0)), "Name not found")</f>
        <v>1541</v>
      </c>
      <c r="G844" s="103"/>
      <c r="H844" s="240">
        <f ca="1">SUMIF(Tabella2[[#Headers],[#Data],[Age]],$H$76,Tabella2[[#Headers],[#Data],[Federal taxes]])</f>
        <v>6804.3246087429152</v>
      </c>
      <c r="I84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4" s="240">
        <f ca="1">Tabella8[[#This Row],[Colonna7]]*Tabella8[[#This Row],[Colonna4]]/100</f>
        <v>7411.2892788227027</v>
      </c>
    </row>
    <row r="845" spans="2:10">
      <c r="B845" s="92" t="s">
        <v>152</v>
      </c>
      <c r="C845" s="91" t="s">
        <v>1144</v>
      </c>
      <c r="D845" s="93">
        <v>96</v>
      </c>
      <c r="E845" s="93">
        <v>75</v>
      </c>
      <c r="F845" s="103">
        <f>IFERROR(INDEX(Tabella9[PLZ],MATCH(Tabella8[[#This Row],[Colonna2]],Tabella9[Ortschaftsname],0)), "Name not found")</f>
        <v>1712</v>
      </c>
      <c r="G845" s="103"/>
      <c r="H845" s="240">
        <f ca="1">SUMIF(Tabella2[[#Headers],[#Data],[Age]],$H$76,Tabella2[[#Headers],[#Data],[Federal taxes]])</f>
        <v>6804.3246087429152</v>
      </c>
      <c r="I84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5" s="240">
        <f ca="1">Tabella8[[#This Row],[Colonna7]]*Tabella8[[#This Row],[Colonna4]]/100</f>
        <v>12352.148798037837</v>
      </c>
    </row>
    <row r="846" spans="2:10">
      <c r="B846" s="92" t="s">
        <v>152</v>
      </c>
      <c r="C846" s="91" t="s">
        <v>1187</v>
      </c>
      <c r="D846" s="93">
        <v>96</v>
      </c>
      <c r="E846" s="93">
        <v>76.099999999999994</v>
      </c>
      <c r="F846" s="103">
        <f>IFERROR(INDEX(Tabella9[PLZ],MATCH(Tabella8[[#This Row],[Colonna2]],Tabella9[Ortschaftsname],0)), "Name not found")</f>
        <v>1734</v>
      </c>
      <c r="G846" s="103"/>
      <c r="H846" s="240">
        <f ca="1">SUMIF(Tabella2[[#Headers],[#Data],[Age]],$H$76,Tabella2[[#Headers],[#Data],[Federal taxes]])</f>
        <v>6804.3246087429152</v>
      </c>
      <c r="I84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6" s="240">
        <f ca="1">Tabella8[[#This Row],[Colonna7]]*Tabella8[[#This Row],[Colonna4]]/100</f>
        <v>12533.313647075725</v>
      </c>
    </row>
    <row r="847" spans="2:10">
      <c r="B847" s="92" t="s">
        <v>152</v>
      </c>
      <c r="C847" s="91" t="s">
        <v>1212</v>
      </c>
      <c r="D847" s="93">
        <v>96</v>
      </c>
      <c r="E847" s="93">
        <v>85</v>
      </c>
      <c r="F847" s="103">
        <v>1749</v>
      </c>
      <c r="G847" s="103"/>
      <c r="H847" s="240">
        <f ca="1">SUMIF(Tabella2[[#Headers],[#Data],[Age]],$H$76,Tabella2[[#Headers],[#Data],[Federal taxes]])</f>
        <v>6804.3246087429152</v>
      </c>
      <c r="I84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7" s="240">
        <f ca="1">Tabella8[[#This Row],[Colonna7]]*Tabella8[[#This Row],[Colonna4]]/100</f>
        <v>13999.101971109549</v>
      </c>
    </row>
    <row r="848" spans="2:10">
      <c r="B848" s="92" t="s">
        <v>152</v>
      </c>
      <c r="C848" s="91" t="s">
        <v>1179</v>
      </c>
      <c r="D848" s="93">
        <v>96</v>
      </c>
      <c r="E848" s="93">
        <v>80</v>
      </c>
      <c r="F848" s="103">
        <f>IFERROR(INDEX(Tabella9[PLZ],MATCH(Tabella8[[#This Row],[Colonna2]],Tabella9[Ortschaftsname],0)), "Name not found")</f>
        <v>1733</v>
      </c>
      <c r="G848" s="103"/>
      <c r="H848" s="240">
        <f ca="1">SUMIF(Tabella2[[#Headers],[#Data],[Age]],$H$76,Tabella2[[#Headers],[#Data],[Federal taxes]])</f>
        <v>6804.3246087429152</v>
      </c>
      <c r="I84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8" s="240">
        <f ca="1">Tabella8[[#This Row],[Colonna7]]*Tabella8[[#This Row],[Colonna4]]/100</f>
        <v>13175.625384573694</v>
      </c>
    </row>
    <row r="849" spans="2:10">
      <c r="B849" s="92" t="s">
        <v>152</v>
      </c>
      <c r="C849" s="91" t="s">
        <v>1156</v>
      </c>
      <c r="D849" s="93">
        <v>96</v>
      </c>
      <c r="E849" s="93">
        <v>89</v>
      </c>
      <c r="F849" s="103">
        <f>IFERROR(INDEX(Tabella9[PLZ],MATCH(Tabella8[[#This Row],[Colonna2]],Tabella9[Ortschaftsname],0)), "Name not found")</f>
        <v>3182</v>
      </c>
      <c r="G849" s="103"/>
      <c r="H849" s="240">
        <f ca="1">SUMIF(Tabella2[[#Headers],[#Data],[Age]],$H$76,Tabella2[[#Headers],[#Data],[Federal taxes]])</f>
        <v>6804.3246087429152</v>
      </c>
      <c r="I84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49" s="240">
        <f ca="1">Tabella8[[#This Row],[Colonna7]]*Tabella8[[#This Row],[Colonna4]]/100</f>
        <v>14657.883240338233</v>
      </c>
    </row>
    <row r="850" spans="2:10">
      <c r="B850" s="92" t="s">
        <v>152</v>
      </c>
      <c r="C850" s="91" t="s">
        <v>1237</v>
      </c>
      <c r="D850" s="93">
        <v>96</v>
      </c>
      <c r="E850" s="93">
        <v>85</v>
      </c>
      <c r="F850" s="103">
        <f>IFERROR(INDEX(Tabella9[PLZ],MATCH(Tabella8[[#This Row],[Colonna2]],Tabella9[Ortschaftsname],0)), "Name not found")</f>
        <v>3214</v>
      </c>
      <c r="G850" s="103"/>
      <c r="H850" s="240">
        <f ca="1">SUMIF(Tabella2[[#Headers],[#Data],[Age]],$H$76,Tabella2[[#Headers],[#Data],[Federal taxes]])</f>
        <v>6804.3246087429152</v>
      </c>
      <c r="I85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0" s="240">
        <f ca="1">Tabella8[[#This Row],[Colonna7]]*Tabella8[[#This Row],[Colonna4]]/100</f>
        <v>13999.101971109549</v>
      </c>
    </row>
    <row r="851" spans="2:10">
      <c r="B851" s="92" t="s">
        <v>152</v>
      </c>
      <c r="C851" s="91" t="s">
        <v>1148</v>
      </c>
      <c r="D851" s="93">
        <v>96</v>
      </c>
      <c r="E851" s="93">
        <v>77</v>
      </c>
      <c r="F851" s="103">
        <f>IFERROR(INDEX(Tabella9[PLZ],MATCH(Tabella8[[#This Row],[Colonna2]],Tabella9[Ortschaftsname],0)), "Name not found")</f>
        <v>1670</v>
      </c>
      <c r="G851" s="103"/>
      <c r="H851" s="240">
        <f ca="1">SUMIF(Tabella2[[#Headers],[#Data],[Age]],$H$76,Tabella2[[#Headers],[#Data],[Federal taxes]])</f>
        <v>6804.3246087429152</v>
      </c>
      <c r="I85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1" s="240">
        <f ca="1">Tabella8[[#This Row],[Colonna7]]*Tabella8[[#This Row],[Colonna4]]/100</f>
        <v>12681.53943265218</v>
      </c>
    </row>
    <row r="852" spans="2:10">
      <c r="B852" s="92" t="s">
        <v>152</v>
      </c>
      <c r="C852" s="91" t="s">
        <v>1155</v>
      </c>
      <c r="D852" s="93">
        <v>96</v>
      </c>
      <c r="E852" s="93">
        <v>89.8</v>
      </c>
      <c r="F852" s="103">
        <v>1637</v>
      </c>
      <c r="G852" s="103"/>
      <c r="H852" s="240">
        <f ca="1">SUMIF(Tabella2[[#Headers],[#Data],[Age]],$H$76,Tabella2[[#Headers],[#Data],[Federal taxes]])</f>
        <v>6804.3246087429152</v>
      </c>
      <c r="I852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2" s="240">
        <f ca="1">Tabella8[[#This Row],[Colonna7]]*Tabella8[[#This Row],[Colonna4]]/100</f>
        <v>14789.639494183972</v>
      </c>
    </row>
    <row r="853" spans="2:10">
      <c r="B853" s="92" t="s">
        <v>152</v>
      </c>
      <c r="C853" s="91" t="s">
        <v>1238</v>
      </c>
      <c r="D853" s="93">
        <v>96</v>
      </c>
      <c r="E853" s="93">
        <v>78</v>
      </c>
      <c r="F853" s="103">
        <f>IFERROR(INDEX(Tabella9[PLZ],MATCH(Tabella8[[#This Row],[Colonna2]],Tabella9[Ortschaftsname],0)), "Name not found")</f>
        <v>1565</v>
      </c>
      <c r="G853" s="103"/>
      <c r="H853" s="240">
        <f ca="1">SUMIF(Tabella2[[#Headers],[#Data],[Age]],$H$76,Tabella2[[#Headers],[#Data],[Federal taxes]])</f>
        <v>6804.3246087429152</v>
      </c>
      <c r="I853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3" s="240">
        <f ca="1">Tabella8[[#This Row],[Colonna7]]*Tabella8[[#This Row],[Colonna4]]/100</f>
        <v>12846.234749959351</v>
      </c>
    </row>
    <row r="854" spans="2:10">
      <c r="B854" s="92" t="s">
        <v>152</v>
      </c>
      <c r="C854" s="91" t="s">
        <v>1203</v>
      </c>
      <c r="D854" s="93">
        <v>96</v>
      </c>
      <c r="E854" s="93">
        <v>79</v>
      </c>
      <c r="F854" s="103">
        <f>IFERROR(INDEX(Tabella9[PLZ],MATCH(Tabella8[[#This Row],[Colonna2]],Tabella9[Ortschaftsname],0)), "Name not found")</f>
        <v>1627</v>
      </c>
      <c r="G854" s="103"/>
      <c r="H854" s="240">
        <f ca="1">SUMIF(Tabella2[[#Headers],[#Data],[Age]],$H$76,Tabella2[[#Headers],[#Data],[Federal taxes]])</f>
        <v>6804.3246087429152</v>
      </c>
      <c r="I854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4" s="240">
        <f ca="1">Tabella8[[#This Row],[Colonna7]]*Tabella8[[#This Row],[Colonna4]]/100</f>
        <v>13010.930067266521</v>
      </c>
    </row>
    <row r="855" spans="2:10">
      <c r="B855" s="92" t="s">
        <v>152</v>
      </c>
      <c r="C855" s="91" t="s">
        <v>1125</v>
      </c>
      <c r="D855" s="93">
        <v>96</v>
      </c>
      <c r="E855" s="93">
        <v>63.9</v>
      </c>
      <c r="F855" s="103">
        <f>IFERROR(INDEX(Tabella9[PLZ],MATCH(Tabella8[[#This Row],[Colonna2]],Tabella9[Ortschaftsname],0)), "Name not found")</f>
        <v>1752</v>
      </c>
      <c r="G855" s="103"/>
      <c r="H855" s="240">
        <f ca="1">SUMIF(Tabella2[[#Headers],[#Data],[Age]],$H$76,Tabella2[[#Headers],[#Data],[Federal taxes]])</f>
        <v>6804.3246087429152</v>
      </c>
      <c r="I855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5" s="240">
        <f ca="1">Tabella8[[#This Row],[Colonna7]]*Tabella8[[#This Row],[Colonna4]]/100</f>
        <v>10524.030775928237</v>
      </c>
    </row>
    <row r="856" spans="2:10">
      <c r="B856" s="92" t="s">
        <v>152</v>
      </c>
      <c r="C856" s="91" t="s">
        <v>1257</v>
      </c>
      <c r="D856" s="93">
        <v>96</v>
      </c>
      <c r="E856" s="93">
        <v>90</v>
      </c>
      <c r="F856" s="103">
        <f>IFERROR(INDEX(Tabella9[PLZ],MATCH(Tabella8[[#This Row],[Colonna2]],Tabella9[Ortschaftsname],0)), "Name not found")</f>
        <v>1723</v>
      </c>
      <c r="G856" s="103"/>
      <c r="H856" s="240">
        <f ca="1">SUMIF(Tabella2[[#Headers],[#Data],[Age]],$H$76,Tabella2[[#Headers],[#Data],[Federal taxes]])</f>
        <v>6804.3246087429152</v>
      </c>
      <c r="I856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6" s="240">
        <f ca="1">Tabella8[[#This Row],[Colonna7]]*Tabella8[[#This Row],[Colonna4]]/100</f>
        <v>14822.578557645405</v>
      </c>
    </row>
    <row r="857" spans="2:10">
      <c r="B857" s="92" t="s">
        <v>152</v>
      </c>
      <c r="C857" s="91" t="s">
        <v>2628</v>
      </c>
      <c r="D857" s="93">
        <v>96</v>
      </c>
      <c r="E857" s="93">
        <v>85</v>
      </c>
      <c r="F857" s="103">
        <v>1690</v>
      </c>
      <c r="G857" s="103"/>
      <c r="H857" s="240">
        <f ca="1">SUMIF(Tabella2[[#Headers],[#Data],[Age]],$H$76,Tabella2[[#Headers],[#Data],[Federal taxes]])</f>
        <v>6804.3246087429152</v>
      </c>
      <c r="I857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7" s="240">
        <f ca="1">Tabella8[[#This Row],[Colonna7]]*Tabella8[[#This Row],[Colonna4]]/100</f>
        <v>13999.101971109549</v>
      </c>
    </row>
    <row r="858" spans="2:10">
      <c r="B858" s="92" t="s">
        <v>152</v>
      </c>
      <c r="C858" s="91" t="s">
        <v>1185</v>
      </c>
      <c r="D858" s="93">
        <v>96</v>
      </c>
      <c r="E858" s="93">
        <v>80</v>
      </c>
      <c r="F858" s="103">
        <v>1694</v>
      </c>
      <c r="G858" s="103"/>
      <c r="H858" s="240">
        <f ca="1">SUMIF(Tabella2[[#Headers],[#Data],[Age]],$H$76,Tabella2[[#Headers],[#Data],[Federal taxes]])</f>
        <v>6804.3246087429152</v>
      </c>
      <c r="I858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8" s="240">
        <f ca="1">Tabella8[[#This Row],[Colonna7]]*Tabella8[[#This Row],[Colonna4]]/100</f>
        <v>13175.625384573694</v>
      </c>
    </row>
    <row r="859" spans="2:10">
      <c r="B859" s="92" t="s">
        <v>152</v>
      </c>
      <c r="C859" s="91" t="s">
        <v>1157</v>
      </c>
      <c r="D859" s="93">
        <v>96</v>
      </c>
      <c r="E859" s="93">
        <v>82.8</v>
      </c>
      <c r="F859" s="103">
        <f>IFERROR(INDEX(Tabella9[PLZ],MATCH(Tabella8[[#This Row],[Colonna2]],Tabella9[Ortschaftsname],0)), "Name not found")</f>
        <v>1628</v>
      </c>
      <c r="G859" s="103"/>
      <c r="H859" s="240">
        <f ca="1">SUMIF(Tabella2[[#Headers],[#Data],[Age]],$H$76,Tabella2[[#Headers],[#Data],[Federal taxes]])</f>
        <v>6804.3246087429152</v>
      </c>
      <c r="I859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59" s="240">
        <f ca="1">Tabella8[[#This Row],[Colonna7]]*Tabella8[[#This Row],[Colonna4]]/100</f>
        <v>13636.772273033774</v>
      </c>
    </row>
    <row r="860" spans="2:10">
      <c r="B860" s="92" t="s">
        <v>152</v>
      </c>
      <c r="C860" s="91" t="s">
        <v>1158</v>
      </c>
      <c r="D860" s="93">
        <v>96</v>
      </c>
      <c r="E860" s="93">
        <v>88.4</v>
      </c>
      <c r="F860" s="103">
        <f>IFERROR(INDEX(Tabella9[PLZ],MATCH(Tabella8[[#This Row],[Colonna2]],Tabella9[Ortschaftsname],0)), "Name not found")</f>
        <v>1687</v>
      </c>
      <c r="G860" s="103"/>
      <c r="H860" s="240">
        <f ca="1">SUMIF(Tabella2[[#Headers],[#Data],[Age]],$H$76,Tabella2[[#Headers],[#Data],[Federal taxes]])</f>
        <v>6804.3246087429152</v>
      </c>
      <c r="I860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60" s="240">
        <f ca="1">Tabella8[[#This Row],[Colonna7]]*Tabella8[[#This Row],[Colonna4]]/100</f>
        <v>14559.066049953932</v>
      </c>
    </row>
    <row r="861" spans="2:10">
      <c r="B861" s="92" t="s">
        <v>152</v>
      </c>
      <c r="C861" s="91" t="s">
        <v>1132</v>
      </c>
      <c r="D861" s="93">
        <v>96</v>
      </c>
      <c r="E861" s="93">
        <v>82</v>
      </c>
      <c r="F861" s="103">
        <v>3175</v>
      </c>
      <c r="G861" s="103"/>
      <c r="H861" s="240">
        <f ca="1">SUMIF(Tabella2[[#Headers],[#Data],[Age]],$H$76,Tabella2[[#Headers],[#Data],[Federal taxes]])</f>
        <v>6804.3246087429152</v>
      </c>
      <c r="I861" s="240">
        <f ca="1">IFERROR(INDEX(Tabella13[[TI]:[VS commun]], MATCH($H$76, Tabella13[Age], 0), MATCH(Tabella8[[#This Row],[Colonna1]], Tabella13[[#Headers], [TI]:[VS commun]], 0)), "Valore non trovato")*Tabella8[[#This Row],[Colonna3]]/100</f>
        <v>16469.531730717117</v>
      </c>
      <c r="J861" s="240">
        <f ca="1">Tabella8[[#This Row],[Colonna7]]*Tabella8[[#This Row],[Colonna4]]/100</f>
        <v>13505.016019188035</v>
      </c>
    </row>
    <row r="862" spans="2:10">
      <c r="B862" s="92" t="s">
        <v>157</v>
      </c>
      <c r="C862" s="91" t="s">
        <v>2154</v>
      </c>
      <c r="D862" s="93">
        <v>104</v>
      </c>
      <c r="E862" s="93">
        <v>122</v>
      </c>
      <c r="F862" s="103">
        <f>IFERROR(INDEX(Tabella9[PLZ],MATCH(Tabella8[[#This Row],[Colonna2]],Tabella9[Ortschaftsname],0)), "Name not found")</f>
        <v>4714</v>
      </c>
      <c r="G862" s="103"/>
      <c r="H862" s="240">
        <f ca="1">SUMIF(Tabella2[[#Headers],[#Data],[Age]],$H$76,Tabella2[[#Headers],[#Data],[Federal taxes]])</f>
        <v>6804.3246087429152</v>
      </c>
      <c r="I86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2" s="240">
        <f ca="1">Tabella8[[#This Row],[Colonna7]]*Tabella8[[#This Row],[Colonna4]]/100</f>
        <v>17425.351202826329</v>
      </c>
    </row>
    <row r="863" spans="2:10">
      <c r="B863" s="92" t="s">
        <v>157</v>
      </c>
      <c r="C863" s="91" t="s">
        <v>2091</v>
      </c>
      <c r="D863" s="93">
        <v>104</v>
      </c>
      <c r="E863" s="93">
        <v>115</v>
      </c>
      <c r="F863" s="103">
        <v>4556</v>
      </c>
      <c r="G863" s="103"/>
      <c r="H863" s="240">
        <f ca="1">SUMIF(Tabella2[[#Headers],[#Data],[Age]],$H$76,Tabella2[[#Headers],[#Data],[Federal taxes]])</f>
        <v>6804.3246087429152</v>
      </c>
      <c r="I86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3" s="240">
        <f ca="1">Tabella8[[#This Row],[Colonna7]]*Tabella8[[#This Row],[Colonna4]]/100</f>
        <v>16425.535969877277</v>
      </c>
    </row>
    <row r="864" spans="2:10">
      <c r="B864" s="92" t="s">
        <v>157</v>
      </c>
      <c r="C864" s="91" t="s">
        <v>2176</v>
      </c>
      <c r="D864" s="93">
        <v>104</v>
      </c>
      <c r="E864" s="93">
        <v>100</v>
      </c>
      <c r="F864" s="103">
        <v>4525</v>
      </c>
      <c r="G864" s="103"/>
      <c r="H864" s="240">
        <f ca="1">SUMIF(Tabella2[[#Headers],[#Data],[Age]],$H$76,Tabella2[[#Headers],[#Data],[Federal taxes]])</f>
        <v>6804.3246087429152</v>
      </c>
      <c r="I86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4" s="240">
        <f ca="1">Tabella8[[#This Row],[Colonna7]]*Tabella8[[#This Row],[Colonna4]]/100</f>
        <v>14283.074756415022</v>
      </c>
    </row>
    <row r="865" spans="2:10">
      <c r="B865" s="92" t="s">
        <v>157</v>
      </c>
      <c r="C865" s="91" t="s">
        <v>2033</v>
      </c>
      <c r="D865" s="93">
        <v>104</v>
      </c>
      <c r="E865" s="93">
        <v>125</v>
      </c>
      <c r="F865" s="103">
        <f>IFERROR(INDEX(Tabella9[PLZ],MATCH(Tabella8[[#This Row],[Colonna2]],Tabella9[Ortschaftsname],0)), "Name not found")</f>
        <v>4710</v>
      </c>
      <c r="G865" s="103"/>
      <c r="H865" s="240">
        <f ca="1">SUMIF(Tabella2[[#Headers],[#Data],[Age]],$H$76,Tabella2[[#Headers],[#Data],[Federal taxes]])</f>
        <v>6804.3246087429152</v>
      </c>
      <c r="I86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5" s="240">
        <f ca="1">Tabella8[[#This Row],[Colonna7]]*Tabella8[[#This Row],[Colonna4]]/100</f>
        <v>17853.843445518778</v>
      </c>
    </row>
    <row r="866" spans="2:10">
      <c r="B866" s="92" t="s">
        <v>157</v>
      </c>
      <c r="C866" s="91" t="s">
        <v>2172</v>
      </c>
      <c r="D866" s="93">
        <v>104</v>
      </c>
      <c r="E866" s="93">
        <v>125</v>
      </c>
      <c r="F866" s="103">
        <v>4229</v>
      </c>
      <c r="G866" s="103"/>
      <c r="H866" s="240">
        <f ca="1">SUMIF(Tabella2[[#Headers],[#Data],[Age]],$H$76,Tabella2[[#Headers],[#Data],[Federal taxes]])</f>
        <v>6804.3246087429152</v>
      </c>
      <c r="I86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6" s="240">
        <f ca="1">Tabella8[[#This Row],[Colonna7]]*Tabella8[[#This Row],[Colonna4]]/100</f>
        <v>17853.843445518778</v>
      </c>
    </row>
    <row r="867" spans="2:10">
      <c r="B867" s="92" t="s">
        <v>157</v>
      </c>
      <c r="C867" s="91" t="s">
        <v>2034</v>
      </c>
      <c r="D867" s="93">
        <v>104</v>
      </c>
      <c r="E867" s="93">
        <v>125</v>
      </c>
      <c r="F867" s="103">
        <f>IFERROR(INDEX(Tabella9[PLZ],MATCH(Tabella8[[#This Row],[Colonna2]],Tabella9[Ortschaftsname],0)), "Name not found")</f>
        <v>4512</v>
      </c>
      <c r="G867" s="103"/>
      <c r="H867" s="240">
        <f ca="1">SUMIF(Tabella2[[#Headers],[#Data],[Age]],$H$76,Tabella2[[#Headers],[#Data],[Federal taxes]])</f>
        <v>6804.3246087429152</v>
      </c>
      <c r="I86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7" s="240">
        <f ca="1">Tabella8[[#This Row],[Colonna7]]*Tabella8[[#This Row],[Colonna4]]/100</f>
        <v>17853.843445518778</v>
      </c>
    </row>
    <row r="868" spans="2:10">
      <c r="B868" s="92" t="s">
        <v>157</v>
      </c>
      <c r="C868" s="91" t="s">
        <v>2039</v>
      </c>
      <c r="D868" s="93">
        <v>104</v>
      </c>
      <c r="E868" s="93">
        <v>99</v>
      </c>
      <c r="F868" s="103">
        <f>IFERROR(INDEX(Tabella9[PLZ],MATCH(Tabella8[[#This Row],[Colonna2]],Tabella9[Ortschaftsname],0)), "Name not found")</f>
        <v>2544</v>
      </c>
      <c r="G868" s="103"/>
      <c r="H868" s="240">
        <f ca="1">SUMIF(Tabella2[[#Headers],[#Data],[Age]],$H$76,Tabella2[[#Headers],[#Data],[Federal taxes]])</f>
        <v>6804.3246087429152</v>
      </c>
      <c r="I86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8" s="240">
        <f ca="1">Tabella8[[#This Row],[Colonna7]]*Tabella8[[#This Row],[Colonna4]]/100</f>
        <v>14140.244008850872</v>
      </c>
    </row>
    <row r="869" spans="2:10">
      <c r="B869" s="92" t="s">
        <v>157</v>
      </c>
      <c r="C869" s="91" t="s">
        <v>2028</v>
      </c>
      <c r="D869" s="93">
        <v>104</v>
      </c>
      <c r="E869" s="93">
        <v>125</v>
      </c>
      <c r="F869" s="103">
        <f>IFERROR(INDEX(Tabella9[PLZ],MATCH(Tabella8[[#This Row],[Colonna2]],Tabella9[Ortschaftsname],0)), "Name not found")</f>
        <v>4562</v>
      </c>
      <c r="G869" s="103"/>
      <c r="H869" s="240">
        <f ca="1">SUMIF(Tabella2[[#Headers],[#Data],[Age]],$H$76,Tabella2[[#Headers],[#Data],[Federal taxes]])</f>
        <v>6804.3246087429152</v>
      </c>
      <c r="I86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69" s="240">
        <f ca="1">Tabella8[[#This Row],[Colonna7]]*Tabella8[[#This Row],[Colonna4]]/100</f>
        <v>17853.843445518778</v>
      </c>
    </row>
    <row r="870" spans="2:10">
      <c r="B870" s="92" t="s">
        <v>157</v>
      </c>
      <c r="C870" s="91" t="s">
        <v>2168</v>
      </c>
      <c r="D870" s="93">
        <v>104</v>
      </c>
      <c r="E870" s="93">
        <v>125</v>
      </c>
      <c r="F870" s="103">
        <f>IFERROR(INDEX(Tabella9[PLZ],MATCH(Tabella8[[#This Row],[Colonna2]],Tabella9[Ortschaftsname],0)), "Name not found")</f>
        <v>4585</v>
      </c>
      <c r="G870" s="103"/>
      <c r="H870" s="240">
        <f ca="1">SUMIF(Tabella2[[#Headers],[#Data],[Age]],$H$76,Tabella2[[#Headers],[#Data],[Federal taxes]])</f>
        <v>6804.3246087429152</v>
      </c>
      <c r="I87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0" s="240">
        <f ca="1">Tabella8[[#This Row],[Colonna7]]*Tabella8[[#This Row],[Colonna4]]/100</f>
        <v>17853.843445518778</v>
      </c>
    </row>
    <row r="871" spans="2:10">
      <c r="B871" s="92" t="s">
        <v>157</v>
      </c>
      <c r="C871" s="91" t="s">
        <v>2151</v>
      </c>
      <c r="D871" s="93">
        <v>104</v>
      </c>
      <c r="E871" s="93">
        <v>145</v>
      </c>
      <c r="F871" s="103">
        <f>IFERROR(INDEX(Tabella9[PLZ],MATCH(Tabella8[[#This Row],[Colonna2]],Tabella9[Ortschaftsname],0)), "Name not found")</f>
        <v>4556</v>
      </c>
      <c r="G871" s="103"/>
      <c r="H871" s="240">
        <f ca="1">SUMIF(Tabella2[[#Headers],[#Data],[Age]],$H$76,Tabella2[[#Headers],[#Data],[Federal taxes]])</f>
        <v>6804.3246087429152</v>
      </c>
      <c r="I87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1" s="240">
        <f ca="1">Tabella8[[#This Row],[Colonna7]]*Tabella8[[#This Row],[Colonna4]]/100</f>
        <v>20710.458396801783</v>
      </c>
    </row>
    <row r="872" spans="2:10">
      <c r="B872" s="92" t="s">
        <v>157</v>
      </c>
      <c r="C872" s="91" t="s">
        <v>2137</v>
      </c>
      <c r="D872" s="93">
        <v>104</v>
      </c>
      <c r="E872" s="93">
        <v>125</v>
      </c>
      <c r="F872" s="103">
        <f>IFERROR(INDEX(Tabella9[PLZ],MATCH(Tabella8[[#This Row],[Colonna2]],Tabella9[Ortschaftsname],0)), "Name not found")</f>
        <v>4618</v>
      </c>
      <c r="G872" s="103"/>
      <c r="H872" s="240">
        <f ca="1">SUMIF(Tabella2[[#Headers],[#Data],[Age]],$H$76,Tabella2[[#Headers],[#Data],[Federal taxes]])</f>
        <v>6804.3246087429152</v>
      </c>
      <c r="I87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2" s="240">
        <f ca="1">Tabella8[[#This Row],[Colonna7]]*Tabella8[[#This Row],[Colonna4]]/100</f>
        <v>17853.843445518778</v>
      </c>
    </row>
    <row r="873" spans="2:10">
      <c r="B873" s="92" t="s">
        <v>157</v>
      </c>
      <c r="C873" s="91" t="s">
        <v>2043</v>
      </c>
      <c r="D873" s="93">
        <v>104</v>
      </c>
      <c r="E873" s="93">
        <v>113</v>
      </c>
      <c r="F873" s="103">
        <f>IFERROR(INDEX(Tabella9[PLZ],MATCH(Tabella8[[#This Row],[Colonna2]],Tabella9[Ortschaftsname],0)), "Name not found")</f>
        <v>4226</v>
      </c>
      <c r="G873" s="103"/>
      <c r="H873" s="240">
        <f ca="1">SUMIF(Tabella2[[#Headers],[#Data],[Age]],$H$76,Tabella2[[#Headers],[#Data],[Federal taxes]])</f>
        <v>6804.3246087429152</v>
      </c>
      <c r="I87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3" s="240">
        <f ca="1">Tabella8[[#This Row],[Colonna7]]*Tabella8[[#This Row],[Colonna4]]/100</f>
        <v>16139.874474748976</v>
      </c>
    </row>
    <row r="874" spans="2:10">
      <c r="B874" s="92" t="s">
        <v>157</v>
      </c>
      <c r="C874" s="91" t="s">
        <v>2055</v>
      </c>
      <c r="D874" s="93">
        <v>104</v>
      </c>
      <c r="E874" s="93">
        <v>110</v>
      </c>
      <c r="F874" s="103">
        <v>4586</v>
      </c>
      <c r="G874" s="103"/>
      <c r="H874" s="240">
        <f ca="1">SUMIF(Tabella2[[#Headers],[#Data],[Age]],$H$76,Tabella2[[#Headers],[#Data],[Federal taxes]])</f>
        <v>6804.3246087429152</v>
      </c>
      <c r="I87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4" s="240">
        <f ca="1">Tabella8[[#This Row],[Colonna7]]*Tabella8[[#This Row],[Colonna4]]/100</f>
        <v>15711.382232056525</v>
      </c>
    </row>
    <row r="875" spans="2:10">
      <c r="B875" s="92" t="s">
        <v>157</v>
      </c>
      <c r="C875" s="91" t="s">
        <v>2134</v>
      </c>
      <c r="D875" s="93">
        <v>104</v>
      </c>
      <c r="E875" s="93">
        <v>125</v>
      </c>
      <c r="F875" s="103">
        <f>IFERROR(INDEX(Tabella9[PLZ],MATCH(Tabella8[[#This Row],[Colonna2]],Tabella9[Ortschaftsname],0)), "Name not found")</f>
        <v>4252</v>
      </c>
      <c r="G875" s="103"/>
      <c r="H875" s="240">
        <f ca="1">SUMIF(Tabella2[[#Headers],[#Data],[Age]],$H$76,Tabella2[[#Headers],[#Data],[Federal taxes]])</f>
        <v>6804.3246087429152</v>
      </c>
      <c r="I87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5" s="240">
        <f ca="1">Tabella8[[#This Row],[Colonna7]]*Tabella8[[#This Row],[Colonna4]]/100</f>
        <v>17853.843445518778</v>
      </c>
    </row>
    <row r="876" spans="2:10">
      <c r="B876" s="92" t="s">
        <v>157</v>
      </c>
      <c r="C876" s="91" t="s">
        <v>2093</v>
      </c>
      <c r="D876" s="93">
        <v>104</v>
      </c>
      <c r="E876" s="93">
        <v>122</v>
      </c>
      <c r="F876" s="103">
        <f>IFERROR(INDEX(Tabella9[PLZ],MATCH(Tabella8[[#This Row],[Colonna2]],Tabella9[Ortschaftsname],0)), "Name not found")</f>
        <v>4112</v>
      </c>
      <c r="G876" s="103"/>
      <c r="H876" s="240">
        <f ca="1">SUMIF(Tabella2[[#Headers],[#Data],[Age]],$H$76,Tabella2[[#Headers],[#Data],[Federal taxes]])</f>
        <v>6804.3246087429152</v>
      </c>
      <c r="I87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6" s="240">
        <f ca="1">Tabella8[[#This Row],[Colonna7]]*Tabella8[[#This Row],[Colonna4]]/100</f>
        <v>17425.351202826329</v>
      </c>
    </row>
    <row r="877" spans="2:10">
      <c r="B877" s="92" t="s">
        <v>157</v>
      </c>
      <c r="C877" s="91" t="s">
        <v>2109</v>
      </c>
      <c r="D877" s="93">
        <v>104</v>
      </c>
      <c r="E877" s="93">
        <v>125</v>
      </c>
      <c r="F877" s="103">
        <v>4413</v>
      </c>
      <c r="G877" s="103"/>
      <c r="H877" s="240">
        <f ca="1">SUMIF(Tabella2[[#Headers],[#Data],[Age]],$H$76,Tabella2[[#Headers],[#Data],[Federal taxes]])</f>
        <v>6804.3246087429152</v>
      </c>
      <c r="I87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7" s="240">
        <f ca="1">Tabella8[[#This Row],[Colonna7]]*Tabella8[[#This Row],[Colonna4]]/100</f>
        <v>17853.843445518778</v>
      </c>
    </row>
    <row r="878" spans="2:10">
      <c r="B878" s="92" t="s">
        <v>157</v>
      </c>
      <c r="C878" s="91" t="s">
        <v>2058</v>
      </c>
      <c r="D878" s="93">
        <v>104</v>
      </c>
      <c r="E878" s="93">
        <v>111</v>
      </c>
      <c r="F878" s="103">
        <f>IFERROR(INDEX(Tabella9[PLZ],MATCH(Tabella8[[#This Row],[Colonna2]],Tabella9[Ortschaftsname],0)), "Name not found")</f>
        <v>4227</v>
      </c>
      <c r="G878" s="103"/>
      <c r="H878" s="240">
        <f ca="1">SUMIF(Tabella2[[#Headers],[#Data],[Age]],$H$76,Tabella2[[#Headers],[#Data],[Federal taxes]])</f>
        <v>6804.3246087429152</v>
      </c>
      <c r="I87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8" s="240">
        <f ca="1">Tabella8[[#This Row],[Colonna7]]*Tabella8[[#This Row],[Colonna4]]/100</f>
        <v>15854.212979620674</v>
      </c>
    </row>
    <row r="879" spans="2:10">
      <c r="B879" s="92" t="s">
        <v>157</v>
      </c>
      <c r="C879" s="91" t="s">
        <v>2060</v>
      </c>
      <c r="D879" s="93">
        <v>104</v>
      </c>
      <c r="E879" s="93">
        <v>122</v>
      </c>
      <c r="F879" s="103">
        <f>IFERROR(INDEX(Tabella9[PLZ],MATCH(Tabella8[[#This Row],[Colonna2]],Tabella9[Ortschaftsname],0)), "Name not found")</f>
        <v>4543</v>
      </c>
      <c r="G879" s="103"/>
      <c r="H879" s="240">
        <f ca="1">SUMIF(Tabella2[[#Headers],[#Data],[Age]],$H$76,Tabella2[[#Headers],[#Data],[Federal taxes]])</f>
        <v>6804.3246087429152</v>
      </c>
      <c r="I87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79" s="240">
        <f ca="1">Tabella8[[#This Row],[Colonna7]]*Tabella8[[#This Row],[Colonna4]]/100</f>
        <v>17425.351202826329</v>
      </c>
    </row>
    <row r="880" spans="2:10">
      <c r="B880" s="92" t="s">
        <v>157</v>
      </c>
      <c r="C880" s="91" t="s">
        <v>2031</v>
      </c>
      <c r="D880" s="93">
        <v>104</v>
      </c>
      <c r="E880" s="93">
        <v>128</v>
      </c>
      <c r="F880" s="103">
        <f>IFERROR(INDEX(Tabella9[PLZ],MATCH(Tabella8[[#This Row],[Colonna2]],Tabella9[Ortschaftsname],0)), "Name not found")</f>
        <v>4552</v>
      </c>
      <c r="G880" s="103"/>
      <c r="H880" s="240">
        <f ca="1">SUMIF(Tabella2[[#Headers],[#Data],[Age]],$H$76,Tabella2[[#Headers],[#Data],[Federal taxes]])</f>
        <v>6804.3246087429152</v>
      </c>
      <c r="I88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0" s="240">
        <f ca="1">Tabella8[[#This Row],[Colonna7]]*Tabella8[[#This Row],[Colonna4]]/100</f>
        <v>18282.335688211228</v>
      </c>
    </row>
    <row r="881" spans="2:10">
      <c r="B881" s="92" t="s">
        <v>157</v>
      </c>
      <c r="C881" s="91" t="s">
        <v>2029</v>
      </c>
      <c r="D881" s="93">
        <v>104</v>
      </c>
      <c r="E881" s="93">
        <v>88</v>
      </c>
      <c r="F881" s="103">
        <f>IFERROR(INDEX(Tabella9[PLZ],MATCH(Tabella8[[#This Row],[Colonna2]],Tabella9[Ortschaftsname],0)), "Name not found")</f>
        <v>4143</v>
      </c>
      <c r="G881" s="103"/>
      <c r="H881" s="240">
        <f ca="1">SUMIF(Tabella2[[#Headers],[#Data],[Age]],$H$76,Tabella2[[#Headers],[#Data],[Federal taxes]])</f>
        <v>6804.3246087429152</v>
      </c>
      <c r="I88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1" s="240">
        <f ca="1">Tabella8[[#This Row],[Colonna7]]*Tabella8[[#This Row],[Colonna4]]/100</f>
        <v>12569.105785645219</v>
      </c>
    </row>
    <row r="882" spans="2:10">
      <c r="B882" s="92" t="s">
        <v>157</v>
      </c>
      <c r="C882" s="91" t="s">
        <v>2141</v>
      </c>
      <c r="D882" s="93">
        <v>104</v>
      </c>
      <c r="E882" s="93">
        <v>115</v>
      </c>
      <c r="F882" s="103">
        <v>4558</v>
      </c>
      <c r="G882" s="103"/>
      <c r="H882" s="240">
        <f ca="1">SUMIF(Tabella2[[#Headers],[#Data],[Age]],$H$76,Tabella2[[#Headers],[#Data],[Federal taxes]])</f>
        <v>6804.3246087429152</v>
      </c>
      <c r="I88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2" s="240">
        <f ca="1">Tabella8[[#This Row],[Colonna7]]*Tabella8[[#This Row],[Colonna4]]/100</f>
        <v>16425.535969877277</v>
      </c>
    </row>
    <row r="883" spans="2:10">
      <c r="B883" s="92" t="s">
        <v>157</v>
      </c>
      <c r="C883" s="91" t="s">
        <v>2038</v>
      </c>
      <c r="D883" s="93">
        <v>104</v>
      </c>
      <c r="E883" s="93">
        <v>119</v>
      </c>
      <c r="F883" s="103">
        <f>IFERROR(INDEX(Tabella9[PLZ],MATCH(Tabella8[[#This Row],[Colonna2]],Tabella9[Ortschaftsname],0)), "Name not found")</f>
        <v>4657</v>
      </c>
      <c r="G883" s="103"/>
      <c r="H883" s="240">
        <f ca="1">SUMIF(Tabella2[[#Headers],[#Data],[Age]],$H$76,Tabella2[[#Headers],[#Data],[Federal taxes]])</f>
        <v>6804.3246087429152</v>
      </c>
      <c r="I88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3" s="240">
        <f ca="1">Tabella8[[#This Row],[Colonna7]]*Tabella8[[#This Row],[Colonna4]]/100</f>
        <v>16996.858960133875</v>
      </c>
    </row>
    <row r="884" spans="2:10">
      <c r="B884" s="92" t="s">
        <v>157</v>
      </c>
      <c r="C884" s="91" t="s">
        <v>2053</v>
      </c>
      <c r="D884" s="93">
        <v>104</v>
      </c>
      <c r="E884" s="93">
        <v>80</v>
      </c>
      <c r="F884" s="103">
        <v>4658</v>
      </c>
      <c r="G884" s="103"/>
      <c r="H884" s="240">
        <f ca="1">SUMIF(Tabella2[[#Headers],[#Data],[Age]],$H$76,Tabella2[[#Headers],[#Data],[Federal taxes]])</f>
        <v>6804.3246087429152</v>
      </c>
      <c r="I88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4" s="240">
        <f ca="1">Tabella8[[#This Row],[Colonna7]]*Tabella8[[#This Row],[Colonna4]]/100</f>
        <v>11426.459805132017</v>
      </c>
    </row>
    <row r="885" spans="2:10">
      <c r="B885" s="92" t="s">
        <v>157</v>
      </c>
      <c r="C885" s="91" t="s">
        <v>2046</v>
      </c>
      <c r="D885" s="93">
        <v>104</v>
      </c>
      <c r="E885" s="93">
        <v>112</v>
      </c>
      <c r="F885" s="103">
        <f>IFERROR(INDEX(Tabella9[PLZ],MATCH(Tabella8[[#This Row],[Colonna2]],Tabella9[Ortschaftsname],0)), "Name not found")</f>
        <v>4622</v>
      </c>
      <c r="G885" s="103"/>
      <c r="H885" s="240">
        <f ca="1">SUMIF(Tabella2[[#Headers],[#Data],[Age]],$H$76,Tabella2[[#Headers],[#Data],[Federal taxes]])</f>
        <v>6804.3246087429152</v>
      </c>
      <c r="I88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5" s="240">
        <f ca="1">Tabella8[[#This Row],[Colonna7]]*Tabella8[[#This Row],[Colonna4]]/100</f>
        <v>15997.043727184826</v>
      </c>
    </row>
    <row r="886" spans="2:10">
      <c r="B886" s="92" t="s">
        <v>157</v>
      </c>
      <c r="C886" s="91" t="s">
        <v>2164</v>
      </c>
      <c r="D886" s="93">
        <v>104</v>
      </c>
      <c r="E886" s="93">
        <v>99</v>
      </c>
      <c r="F886" s="103">
        <v>5012</v>
      </c>
      <c r="G886" s="103"/>
      <c r="H886" s="240">
        <f ca="1">SUMIF(Tabella2[[#Headers],[#Data],[Age]],$H$76,Tabella2[[#Headers],[#Data],[Federal taxes]])</f>
        <v>6804.3246087429152</v>
      </c>
      <c r="I88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6" s="240">
        <f ca="1">Tabella8[[#This Row],[Colonna7]]*Tabella8[[#This Row],[Colonna4]]/100</f>
        <v>14140.244008850872</v>
      </c>
    </row>
    <row r="887" spans="2:10">
      <c r="B887" s="92" t="s">
        <v>157</v>
      </c>
      <c r="C887" s="91" t="s">
        <v>2045</v>
      </c>
      <c r="D887" s="93">
        <v>104</v>
      </c>
      <c r="E887" s="93">
        <v>102</v>
      </c>
      <c r="F887" s="103">
        <v>5015</v>
      </c>
      <c r="G887" s="103"/>
      <c r="H887" s="240">
        <f ca="1">SUMIF(Tabella2[[#Headers],[#Data],[Age]],$H$76,Tabella2[[#Headers],[#Data],[Federal taxes]])</f>
        <v>6804.3246087429152</v>
      </c>
      <c r="I88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7" s="240">
        <f ca="1">Tabella8[[#This Row],[Colonna7]]*Tabella8[[#This Row],[Colonna4]]/100</f>
        <v>14568.736251543323</v>
      </c>
    </row>
    <row r="888" spans="2:10">
      <c r="B888" s="92" t="s">
        <v>157</v>
      </c>
      <c r="C888" s="91" t="s">
        <v>2123</v>
      </c>
      <c r="D888" s="93">
        <v>104</v>
      </c>
      <c r="E888" s="93">
        <v>128</v>
      </c>
      <c r="F888" s="103">
        <f>IFERROR(INDEX(Tabella9[PLZ],MATCH(Tabella8[[#This Row],[Colonna2]],Tabella9[Ortschaftsname],0)), "Name not found")</f>
        <v>4228</v>
      </c>
      <c r="G888" s="103"/>
      <c r="H888" s="240">
        <f ca="1">SUMIF(Tabella2[[#Headers],[#Data],[Age]],$H$76,Tabella2[[#Headers],[#Data],[Federal taxes]])</f>
        <v>6804.3246087429152</v>
      </c>
      <c r="I88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8" s="240">
        <f ca="1">Tabella8[[#This Row],[Colonna7]]*Tabella8[[#This Row],[Colonna4]]/100</f>
        <v>18282.335688211228</v>
      </c>
    </row>
    <row r="889" spans="2:10">
      <c r="B889" s="92" t="s">
        <v>157</v>
      </c>
      <c r="C889" s="91" t="s">
        <v>2130</v>
      </c>
      <c r="D889" s="93">
        <v>104</v>
      </c>
      <c r="E889" s="93">
        <v>130</v>
      </c>
      <c r="F889" s="103">
        <f>IFERROR(INDEX(Tabella9[PLZ],MATCH(Tabella8[[#This Row],[Colonna2]],Tabella9[Ortschaftsname],0)), "Name not found")</f>
        <v>4554</v>
      </c>
      <c r="G889" s="103"/>
      <c r="H889" s="240">
        <f ca="1">SUMIF(Tabella2[[#Headers],[#Data],[Age]],$H$76,Tabella2[[#Headers],[#Data],[Federal taxes]])</f>
        <v>6804.3246087429152</v>
      </c>
      <c r="I88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89" s="240">
        <f ca="1">Tabella8[[#This Row],[Colonna7]]*Tabella8[[#This Row],[Colonna4]]/100</f>
        <v>18567.997183339528</v>
      </c>
    </row>
    <row r="890" spans="2:10">
      <c r="B890" s="92" t="s">
        <v>157</v>
      </c>
      <c r="C890" s="91" t="s">
        <v>2152</v>
      </c>
      <c r="D890" s="93">
        <v>104</v>
      </c>
      <c r="E890" s="93">
        <v>130</v>
      </c>
      <c r="F890" s="103">
        <f>IFERROR(INDEX(Tabella9[PLZ],MATCH(Tabella8[[#This Row],[Colonna2]],Tabella9[Ortschaftsname],0)), "Name not found")</f>
        <v>4232</v>
      </c>
      <c r="G890" s="103"/>
      <c r="H890" s="240">
        <f ca="1">SUMIF(Tabella2[[#Headers],[#Data],[Age]],$H$76,Tabella2[[#Headers],[#Data],[Federal taxes]])</f>
        <v>6804.3246087429152</v>
      </c>
      <c r="I89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0" s="240">
        <f ca="1">Tabella8[[#This Row],[Colonna7]]*Tabella8[[#This Row],[Colonna4]]/100</f>
        <v>18567.997183339528</v>
      </c>
    </row>
    <row r="891" spans="2:10">
      <c r="B891" s="92" t="s">
        <v>157</v>
      </c>
      <c r="C891" s="91" t="s">
        <v>2113</v>
      </c>
      <c r="D891" s="93">
        <v>104</v>
      </c>
      <c r="E891" s="93">
        <v>72</v>
      </c>
      <c r="F891" s="103">
        <v>4532</v>
      </c>
      <c r="G891" s="103"/>
      <c r="H891" s="240">
        <f ca="1">SUMIF(Tabella2[[#Headers],[#Data],[Age]],$H$76,Tabella2[[#Headers],[#Data],[Federal taxes]])</f>
        <v>6804.3246087429152</v>
      </c>
      <c r="I89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1" s="240">
        <f ca="1">Tabella8[[#This Row],[Colonna7]]*Tabella8[[#This Row],[Colonna4]]/100</f>
        <v>10283.813824618815</v>
      </c>
    </row>
    <row r="892" spans="2:10">
      <c r="B892" s="92" t="s">
        <v>157</v>
      </c>
      <c r="C892" s="91" t="s">
        <v>2117</v>
      </c>
      <c r="D892" s="93">
        <v>104</v>
      </c>
      <c r="E892" s="93">
        <v>125</v>
      </c>
      <c r="F892" s="103">
        <f>IFERROR(INDEX(Tabella9[PLZ],MATCH(Tabella8[[#This Row],[Colonna2]],Tabella9[Ortschaftsname],0)), "Name not found")</f>
        <v>4534</v>
      </c>
      <c r="G892" s="103"/>
      <c r="H892" s="240">
        <f ca="1">SUMIF(Tabella2[[#Headers],[#Data],[Age]],$H$76,Tabella2[[#Headers],[#Data],[Federal taxes]])</f>
        <v>6804.3246087429152</v>
      </c>
      <c r="I89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2" s="240">
        <f ca="1">Tabella8[[#This Row],[Colonna7]]*Tabella8[[#This Row],[Colonna4]]/100</f>
        <v>17853.843445518778</v>
      </c>
    </row>
    <row r="893" spans="2:10">
      <c r="B893" s="92" t="s">
        <v>157</v>
      </c>
      <c r="C893" s="91" t="s">
        <v>2068</v>
      </c>
      <c r="D893" s="93">
        <v>104</v>
      </c>
      <c r="E893" s="93">
        <v>110</v>
      </c>
      <c r="F893" s="103">
        <f>IFERROR(INDEX(Tabella9[PLZ],MATCH(Tabella8[[#This Row],[Colonna2]],Tabella9[Ortschaftsname],0)), "Name not found")</f>
        <v>4629</v>
      </c>
      <c r="G893" s="103"/>
      <c r="H893" s="240">
        <f ca="1">SUMIF(Tabella2[[#Headers],[#Data],[Age]],$H$76,Tabella2[[#Headers],[#Data],[Federal taxes]])</f>
        <v>6804.3246087429152</v>
      </c>
      <c r="I89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3" s="240">
        <f ca="1">Tabella8[[#This Row],[Colonna7]]*Tabella8[[#This Row],[Colonna4]]/100</f>
        <v>15711.382232056525</v>
      </c>
    </row>
    <row r="894" spans="2:10">
      <c r="B894" s="92" t="s">
        <v>157</v>
      </c>
      <c r="C894" s="91" t="s">
        <v>2125</v>
      </c>
      <c r="D894" s="93">
        <v>104</v>
      </c>
      <c r="E894" s="93">
        <v>117</v>
      </c>
      <c r="F894" s="103">
        <f>IFERROR(INDEX(Tabella9[PLZ],MATCH(Tabella8[[#This Row],[Colonna2]],Tabella9[Ortschaftsname],0)), "Name not found")</f>
        <v>4145</v>
      </c>
      <c r="G894" s="103"/>
      <c r="H894" s="240">
        <f ca="1">SUMIF(Tabella2[[#Headers],[#Data],[Age]],$H$76,Tabella2[[#Headers],[#Data],[Federal taxes]])</f>
        <v>6804.3246087429152</v>
      </c>
      <c r="I89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4" s="240">
        <f ca="1">Tabella8[[#This Row],[Colonna7]]*Tabella8[[#This Row],[Colonna4]]/100</f>
        <v>16711.197465005574</v>
      </c>
    </row>
    <row r="895" spans="2:10">
      <c r="B895" s="92" t="s">
        <v>157</v>
      </c>
      <c r="C895" s="91" t="s">
        <v>2035</v>
      </c>
      <c r="D895" s="93">
        <v>104</v>
      </c>
      <c r="E895" s="93">
        <v>125</v>
      </c>
      <c r="F895" s="103">
        <f>IFERROR(INDEX(Tabella9[PLZ],MATCH(Tabella8[[#This Row],[Colonna2]],Tabella9[Ortschaftsname],0)), "Name not found")</f>
        <v>4563</v>
      </c>
      <c r="G895" s="103"/>
      <c r="H895" s="240">
        <f ca="1">SUMIF(Tabella2[[#Headers],[#Data],[Age]],$H$76,Tabella2[[#Headers],[#Data],[Federal taxes]])</f>
        <v>6804.3246087429152</v>
      </c>
      <c r="I89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5" s="240">
        <f ca="1">Tabella8[[#This Row],[Colonna7]]*Tabella8[[#This Row],[Colonna4]]/100</f>
        <v>17853.843445518778</v>
      </c>
    </row>
    <row r="896" spans="2:10">
      <c r="B896" s="92" t="s">
        <v>157</v>
      </c>
      <c r="C896" s="91" t="s">
        <v>2026</v>
      </c>
      <c r="D896" s="93">
        <v>104</v>
      </c>
      <c r="E896" s="93">
        <v>117</v>
      </c>
      <c r="F896" s="103">
        <f>IFERROR(INDEX(Tabella9[PLZ],MATCH(Tabella8[[#This Row],[Colonna2]],Tabella9[Ortschaftsname],0)), "Name not found")</f>
        <v>2540</v>
      </c>
      <c r="G896" s="103"/>
      <c r="H896" s="240">
        <f ca="1">SUMIF(Tabella2[[#Headers],[#Data],[Age]],$H$76,Tabella2[[#Headers],[#Data],[Federal taxes]])</f>
        <v>6804.3246087429152</v>
      </c>
      <c r="I89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6" s="240">
        <f ca="1">Tabella8[[#This Row],[Colonna7]]*Tabella8[[#This Row],[Colonna4]]/100</f>
        <v>16711.197465005574</v>
      </c>
    </row>
    <row r="897" spans="2:10">
      <c r="B897" s="92" t="s">
        <v>157</v>
      </c>
      <c r="C897" s="91" t="s">
        <v>2054</v>
      </c>
      <c r="D897" s="93">
        <v>104</v>
      </c>
      <c r="E897" s="93">
        <v>118</v>
      </c>
      <c r="F897" s="103">
        <f>IFERROR(INDEX(Tabella9[PLZ],MATCH(Tabella8[[#This Row],[Colonna2]],Tabella9[Ortschaftsname],0)), "Name not found")</f>
        <v>5014</v>
      </c>
      <c r="G897" s="103"/>
      <c r="H897" s="240">
        <f ca="1">SUMIF(Tabella2[[#Headers],[#Data],[Age]],$H$76,Tabella2[[#Headers],[#Data],[Federal taxes]])</f>
        <v>6804.3246087429152</v>
      </c>
      <c r="I89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7" s="240">
        <f ca="1">Tabella8[[#This Row],[Colonna7]]*Tabella8[[#This Row],[Colonna4]]/100</f>
        <v>16854.028212569727</v>
      </c>
    </row>
    <row r="898" spans="2:10">
      <c r="B898" s="92" t="s">
        <v>157</v>
      </c>
      <c r="C898" s="91" t="s">
        <v>2160</v>
      </c>
      <c r="D898" s="93">
        <v>104</v>
      </c>
      <c r="E898" s="93">
        <v>130</v>
      </c>
      <c r="F898" s="103">
        <f>IFERROR(INDEX(Tabella9[PLZ],MATCH(Tabella8[[#This Row],[Colonna2]],Tabella9[Ortschaftsname],0)), "Name not found")</f>
        <v>4247</v>
      </c>
      <c r="G898" s="103"/>
      <c r="H898" s="240">
        <f ca="1">SUMIF(Tabella2[[#Headers],[#Data],[Age]],$H$76,Tabella2[[#Headers],[#Data],[Federal taxes]])</f>
        <v>6804.3246087429152</v>
      </c>
      <c r="I89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8" s="240">
        <f ca="1">Tabella8[[#This Row],[Colonna7]]*Tabella8[[#This Row],[Colonna4]]/100</f>
        <v>18567.997183339528</v>
      </c>
    </row>
    <row r="899" spans="2:10">
      <c r="B899" s="92" t="s">
        <v>157</v>
      </c>
      <c r="C899" s="91" t="s">
        <v>2072</v>
      </c>
      <c r="D899" s="93">
        <v>104</v>
      </c>
      <c r="E899" s="93">
        <v>108</v>
      </c>
      <c r="F899" s="103">
        <f>IFERROR(INDEX(Tabella9[PLZ],MATCH(Tabella8[[#This Row],[Colonna2]],Tabella9[Ortschaftsname],0)), "Name not found")</f>
        <v>4617</v>
      </c>
      <c r="G899" s="103"/>
      <c r="H899" s="240">
        <f ca="1">SUMIF(Tabella2[[#Headers],[#Data],[Age]],$H$76,Tabella2[[#Headers],[#Data],[Federal taxes]])</f>
        <v>6804.3246087429152</v>
      </c>
      <c r="I89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899" s="240">
        <f ca="1">Tabella8[[#This Row],[Colonna7]]*Tabella8[[#This Row],[Colonna4]]/100</f>
        <v>15425.720736928224</v>
      </c>
    </row>
    <row r="900" spans="2:10">
      <c r="B900" s="92" t="s">
        <v>157</v>
      </c>
      <c r="C900" s="91" t="s">
        <v>2097</v>
      </c>
      <c r="D900" s="93">
        <v>104</v>
      </c>
      <c r="E900" s="93">
        <v>120</v>
      </c>
      <c r="F900" s="103">
        <f>IFERROR(INDEX(Tabella9[PLZ],MATCH(Tabella8[[#This Row],[Colonna2]],Tabella9[Ortschaftsname],0)), "Name not found")</f>
        <v>4524</v>
      </c>
      <c r="G900" s="103"/>
      <c r="H900" s="240">
        <f ca="1">SUMIF(Tabella2[[#Headers],[#Data],[Age]],$H$76,Tabella2[[#Headers],[#Data],[Federal taxes]])</f>
        <v>6804.3246087429152</v>
      </c>
      <c r="I90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0" s="240">
        <f ca="1">Tabella8[[#This Row],[Colonna7]]*Tabella8[[#This Row],[Colonna4]]/100</f>
        <v>17139.689707698024</v>
      </c>
    </row>
    <row r="901" spans="2:10">
      <c r="B901" s="92" t="s">
        <v>157</v>
      </c>
      <c r="C901" s="91" t="s">
        <v>2127</v>
      </c>
      <c r="D901" s="93">
        <v>104</v>
      </c>
      <c r="E901" s="93">
        <v>120</v>
      </c>
      <c r="F901" s="103">
        <f>IFERROR(INDEX(Tabella9[PLZ],MATCH(Tabella8[[#This Row],[Colonna2]],Tabella9[Ortschaftsname],0)), "Name not found")</f>
        <v>4566</v>
      </c>
      <c r="G901" s="103"/>
      <c r="H901" s="240">
        <f ca="1">SUMIF(Tabella2[[#Headers],[#Data],[Age]],$H$76,Tabella2[[#Headers],[#Data],[Federal taxes]])</f>
        <v>6804.3246087429152</v>
      </c>
      <c r="I90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1" s="240">
        <f ca="1">Tabella8[[#This Row],[Colonna7]]*Tabella8[[#This Row],[Colonna4]]/100</f>
        <v>17139.689707698024</v>
      </c>
    </row>
    <row r="902" spans="2:10">
      <c r="B902" s="92" t="s">
        <v>157</v>
      </c>
      <c r="C902" s="91" t="s">
        <v>2170</v>
      </c>
      <c r="D902" s="93">
        <v>104</v>
      </c>
      <c r="E902" s="93">
        <v>125</v>
      </c>
      <c r="F902" s="103">
        <v>4633</v>
      </c>
      <c r="G902" s="103"/>
      <c r="H902" s="240">
        <f ca="1">SUMIF(Tabella2[[#Headers],[#Data],[Age]],$H$76,Tabella2[[#Headers],[#Data],[Federal taxes]])</f>
        <v>6804.3246087429152</v>
      </c>
      <c r="I90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2" s="240">
        <f ca="1">Tabella8[[#This Row],[Colonna7]]*Tabella8[[#This Row],[Colonna4]]/100</f>
        <v>17853.843445518778</v>
      </c>
    </row>
    <row r="903" spans="2:10">
      <c r="B903" s="92" t="s">
        <v>157</v>
      </c>
      <c r="C903" s="91" t="s">
        <v>2156</v>
      </c>
      <c r="D903" s="93">
        <v>104</v>
      </c>
      <c r="E903" s="93">
        <v>129</v>
      </c>
      <c r="F903" s="103">
        <f>IFERROR(INDEX(Tabella9[PLZ],MATCH(Tabella8[[#This Row],[Colonna2]],Tabella9[Ortschaftsname],0)), "Name not found")</f>
        <v>4715</v>
      </c>
      <c r="G903" s="103"/>
      <c r="H903" s="240">
        <f ca="1">SUMIF(Tabella2[[#Headers],[#Data],[Age]],$H$76,Tabella2[[#Headers],[#Data],[Federal taxes]])</f>
        <v>6804.3246087429152</v>
      </c>
      <c r="I90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3" s="240">
        <f ca="1">Tabella8[[#This Row],[Colonna7]]*Tabella8[[#This Row],[Colonna4]]/100</f>
        <v>18425.16643577538</v>
      </c>
    </row>
    <row r="904" spans="2:10">
      <c r="B904" s="92" t="s">
        <v>157</v>
      </c>
      <c r="C904" s="91" t="s">
        <v>2121</v>
      </c>
      <c r="D904" s="93">
        <v>104</v>
      </c>
      <c r="E904" s="93">
        <v>124</v>
      </c>
      <c r="F904" s="103">
        <f>IFERROR(INDEX(Tabella9[PLZ],MATCH(Tabella8[[#This Row],[Colonna2]],Tabella9[Ortschaftsname],0)), "Name not found")</f>
        <v>4204</v>
      </c>
      <c r="G904" s="103"/>
      <c r="H904" s="240">
        <f ca="1">SUMIF(Tabella2[[#Headers],[#Data],[Age]],$H$76,Tabella2[[#Headers],[#Data],[Federal taxes]])</f>
        <v>6804.3246087429152</v>
      </c>
      <c r="I90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4" s="240">
        <f ca="1">Tabella8[[#This Row],[Colonna7]]*Tabella8[[#This Row],[Colonna4]]/100</f>
        <v>17711.012697954626</v>
      </c>
    </row>
    <row r="905" spans="2:10">
      <c r="B905" s="92" t="s">
        <v>157</v>
      </c>
      <c r="C905" s="91" t="s">
        <v>2087</v>
      </c>
      <c r="D905" s="93">
        <v>104</v>
      </c>
      <c r="E905" s="93">
        <v>116</v>
      </c>
      <c r="F905" s="103">
        <f>IFERROR(INDEX(Tabella9[PLZ],MATCH(Tabella8[[#This Row],[Colonna2]],Tabella9[Ortschaftsname],0)), "Name not found")</f>
        <v>4146</v>
      </c>
      <c r="G905" s="103"/>
      <c r="H905" s="240">
        <f ca="1">SUMIF(Tabella2[[#Headers],[#Data],[Age]],$H$76,Tabella2[[#Headers],[#Data],[Federal taxes]])</f>
        <v>6804.3246087429152</v>
      </c>
      <c r="I90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5" s="240">
        <f ca="1">Tabella8[[#This Row],[Colonna7]]*Tabella8[[#This Row],[Colonna4]]/100</f>
        <v>16568.366717441426</v>
      </c>
    </row>
    <row r="906" spans="2:10">
      <c r="B906" s="92" t="s">
        <v>157</v>
      </c>
      <c r="C906" s="91" t="s">
        <v>2051</v>
      </c>
      <c r="D906" s="93">
        <v>104</v>
      </c>
      <c r="E906" s="93">
        <v>113</v>
      </c>
      <c r="F906" s="103">
        <v>4114</v>
      </c>
      <c r="G906" s="103"/>
      <c r="H906" s="240">
        <f ca="1">SUMIF(Tabella2[[#Headers],[#Data],[Age]],$H$76,Tabella2[[#Headers],[#Data],[Federal taxes]])</f>
        <v>6804.3246087429152</v>
      </c>
      <c r="I90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6" s="240">
        <f ca="1">Tabella8[[#This Row],[Colonna7]]*Tabella8[[#This Row],[Colonna4]]/100</f>
        <v>16139.874474748976</v>
      </c>
    </row>
    <row r="907" spans="2:10">
      <c r="B907" s="92" t="s">
        <v>157</v>
      </c>
      <c r="C907" s="91" t="s">
        <v>2145</v>
      </c>
      <c r="D907" s="93">
        <v>104</v>
      </c>
      <c r="E907" s="93">
        <v>132</v>
      </c>
      <c r="F907" s="103">
        <v>4718</v>
      </c>
      <c r="G907" s="103"/>
      <c r="H907" s="240">
        <f ca="1">SUMIF(Tabella2[[#Headers],[#Data],[Age]],$H$76,Tabella2[[#Headers],[#Data],[Federal taxes]])</f>
        <v>6804.3246087429152</v>
      </c>
      <c r="I90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7" s="240">
        <f ca="1">Tabella8[[#This Row],[Colonna7]]*Tabella8[[#This Row],[Colonna4]]/100</f>
        <v>18853.658678467829</v>
      </c>
    </row>
    <row r="908" spans="2:10">
      <c r="B908" s="92" t="s">
        <v>157</v>
      </c>
      <c r="C908" s="91" t="s">
        <v>2129</v>
      </c>
      <c r="D908" s="93">
        <v>104</v>
      </c>
      <c r="E908" s="93">
        <v>120</v>
      </c>
      <c r="F908" s="103">
        <f>IFERROR(INDEX(Tabella9[PLZ],MATCH(Tabella8[[#This Row],[Colonna2]],Tabella9[Ortschaftsname],0)), "Name not found")</f>
        <v>4557</v>
      </c>
      <c r="G908" s="103"/>
      <c r="H908" s="240">
        <f ca="1">SUMIF(Tabella2[[#Headers],[#Data],[Age]],$H$76,Tabella2[[#Headers],[#Data],[Federal taxes]])</f>
        <v>6804.3246087429152</v>
      </c>
      <c r="I90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8" s="240">
        <f ca="1">Tabella8[[#This Row],[Colonna7]]*Tabella8[[#This Row],[Colonna4]]/100</f>
        <v>17139.689707698024</v>
      </c>
    </row>
    <row r="909" spans="2:10">
      <c r="B909" s="92" t="s">
        <v>157</v>
      </c>
      <c r="C909" s="91" t="s">
        <v>2139</v>
      </c>
      <c r="D909" s="93">
        <v>104</v>
      </c>
      <c r="E909" s="93">
        <v>127</v>
      </c>
      <c r="F909" s="103">
        <f>IFERROR(INDEX(Tabella9[PLZ],MATCH(Tabella8[[#This Row],[Colonna2]],Tabella9[Ortschaftsname],0)), "Name not found")</f>
        <v>4535</v>
      </c>
      <c r="G909" s="103"/>
      <c r="H909" s="240">
        <f ca="1">SUMIF(Tabella2[[#Headers],[#Data],[Age]],$H$76,Tabella2[[#Headers],[#Data],[Federal taxes]])</f>
        <v>6804.3246087429152</v>
      </c>
      <c r="I90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09" s="240">
        <f ca="1">Tabella8[[#This Row],[Colonna7]]*Tabella8[[#This Row],[Colonna4]]/100</f>
        <v>18139.504940647079</v>
      </c>
    </row>
    <row r="910" spans="2:10">
      <c r="B910" s="92" t="s">
        <v>157</v>
      </c>
      <c r="C910" s="91" t="s">
        <v>2037</v>
      </c>
      <c r="D910" s="93">
        <v>104</v>
      </c>
      <c r="E910" s="93">
        <v>107</v>
      </c>
      <c r="F910" s="103">
        <f>IFERROR(INDEX(Tabella9[PLZ],MATCH(Tabella8[[#This Row],[Colonna2]],Tabella9[Ortschaftsname],0)), "Name not found")</f>
        <v>4614</v>
      </c>
      <c r="G910" s="103"/>
      <c r="H910" s="240">
        <f ca="1">SUMIF(Tabella2[[#Headers],[#Data],[Age]],$H$76,Tabella2[[#Headers],[#Data],[Federal taxes]])</f>
        <v>6804.3246087429152</v>
      </c>
      <c r="I91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0" s="240">
        <f ca="1">Tabella8[[#This Row],[Colonna7]]*Tabella8[[#This Row],[Colonna4]]/100</f>
        <v>15282.889989364076</v>
      </c>
    </row>
    <row r="911" spans="2:10">
      <c r="B911" s="92" t="s">
        <v>157</v>
      </c>
      <c r="C911" s="91" t="s">
        <v>2073</v>
      </c>
      <c r="D911" s="93">
        <v>104</v>
      </c>
      <c r="E911" s="93">
        <v>89</v>
      </c>
      <c r="F911" s="103">
        <f>IFERROR(INDEX(Tabella9[PLZ],MATCH(Tabella8[[#This Row],[Colonna2]],Tabella9[Ortschaftsname],0)), "Name not found")</f>
        <v>4624</v>
      </c>
      <c r="G911" s="103"/>
      <c r="H911" s="240">
        <f ca="1">SUMIF(Tabella2[[#Headers],[#Data],[Age]],$H$76,Tabella2[[#Headers],[#Data],[Federal taxes]])</f>
        <v>6804.3246087429152</v>
      </c>
      <c r="I91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1" s="240">
        <f ca="1">Tabella8[[#This Row],[Colonna7]]*Tabella8[[#This Row],[Colonna4]]/100</f>
        <v>12711.936533209369</v>
      </c>
    </row>
    <row r="912" spans="2:10">
      <c r="B912" s="92" t="s">
        <v>157</v>
      </c>
      <c r="C912" s="91" t="s">
        <v>2178</v>
      </c>
      <c r="D912" s="93">
        <v>104</v>
      </c>
      <c r="E912" s="93">
        <v>120</v>
      </c>
      <c r="F912" s="103">
        <f>IFERROR(INDEX(Tabella9[PLZ],MATCH(Tabella8[[#This Row],[Colonna2]],Tabella9[Ortschaftsname],0)), "Name not found")</f>
        <v>4554</v>
      </c>
      <c r="G912" s="103"/>
      <c r="H912" s="240">
        <f ca="1">SUMIF(Tabella2[[#Headers],[#Data],[Age]],$H$76,Tabella2[[#Headers],[#Data],[Federal taxes]])</f>
        <v>6804.3246087429152</v>
      </c>
      <c r="I91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2" s="240">
        <f ca="1">Tabella8[[#This Row],[Colonna7]]*Tabella8[[#This Row],[Colonna4]]/100</f>
        <v>17139.689707698024</v>
      </c>
    </row>
    <row r="913" spans="2:10">
      <c r="B913" s="92" t="s">
        <v>157</v>
      </c>
      <c r="C913" s="91" t="s">
        <v>2184</v>
      </c>
      <c r="D913" s="93">
        <v>104</v>
      </c>
      <c r="E913" s="93">
        <v>65</v>
      </c>
      <c r="F913" s="103">
        <f>IFERROR(INDEX(Tabella9[PLZ],MATCH(Tabella8[[#This Row],[Colonna2]],Tabella9[Ortschaftsname],0)), "Name not found")</f>
        <v>4535</v>
      </c>
      <c r="G913" s="103"/>
      <c r="H913" s="240">
        <f ca="1">SUMIF(Tabella2[[#Headers],[#Data],[Age]],$H$76,Tabella2[[#Headers],[#Data],[Federal taxes]])</f>
        <v>6804.3246087429152</v>
      </c>
      <c r="I91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3" s="240">
        <f ca="1">Tabella8[[#This Row],[Colonna7]]*Tabella8[[#This Row],[Colonna4]]/100</f>
        <v>9283.9985916697642</v>
      </c>
    </row>
    <row r="914" spans="2:10">
      <c r="B914" s="92" t="s">
        <v>157</v>
      </c>
      <c r="C914" s="91" t="s">
        <v>2049</v>
      </c>
      <c r="D914" s="93">
        <v>104</v>
      </c>
      <c r="E914" s="93">
        <v>122</v>
      </c>
      <c r="F914" s="103">
        <v>4616</v>
      </c>
      <c r="G914" s="103"/>
      <c r="H914" s="240">
        <f ca="1">SUMIF(Tabella2[[#Headers],[#Data],[Age]],$H$76,Tabella2[[#Headers],[#Data],[Federal taxes]])</f>
        <v>6804.3246087429152</v>
      </c>
      <c r="I91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4" s="240">
        <f ca="1">Tabella8[[#This Row],[Colonna7]]*Tabella8[[#This Row],[Colonna4]]/100</f>
        <v>17425.351202826329</v>
      </c>
    </row>
    <row r="915" spans="2:10">
      <c r="B915" s="92" t="s">
        <v>157</v>
      </c>
      <c r="C915" s="91" t="s">
        <v>2067</v>
      </c>
      <c r="D915" s="93">
        <v>104</v>
      </c>
      <c r="E915" s="93">
        <v>117</v>
      </c>
      <c r="F915" s="103">
        <f>IFERROR(INDEX(Tabella9[PLZ],MATCH(Tabella8[[#This Row],[Colonna2]],Tabella9[Ortschaftsname],0)), "Name not found")</f>
        <v>4703</v>
      </c>
      <c r="G915" s="103"/>
      <c r="H915" s="240">
        <f ca="1">SUMIF(Tabella2[[#Headers],[#Data],[Age]],$H$76,Tabella2[[#Headers],[#Data],[Federal taxes]])</f>
        <v>6804.3246087429152</v>
      </c>
      <c r="I91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5" s="240">
        <f ca="1">Tabella8[[#This Row],[Colonna7]]*Tabella8[[#This Row],[Colonna4]]/100</f>
        <v>16711.197465005574</v>
      </c>
    </row>
    <row r="916" spans="2:10">
      <c r="B916" s="92" t="s">
        <v>157</v>
      </c>
      <c r="C916" s="91" t="s">
        <v>2158</v>
      </c>
      <c r="D916" s="93">
        <v>104</v>
      </c>
      <c r="E916" s="93">
        <v>129</v>
      </c>
      <c r="F916" s="103">
        <f>IFERROR(INDEX(Tabella9[PLZ],MATCH(Tabella8[[#This Row],[Colonna2]],Tabella9[Ortschaftsname],0)), "Name not found")</f>
        <v>4468</v>
      </c>
      <c r="G916" s="103"/>
      <c r="H916" s="240">
        <f ca="1">SUMIF(Tabella2[[#Headers],[#Data],[Age]],$H$76,Tabella2[[#Headers],[#Data],[Federal taxes]])</f>
        <v>6804.3246087429152</v>
      </c>
      <c r="I91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6" s="240">
        <f ca="1">Tabella8[[#This Row],[Colonna7]]*Tabella8[[#This Row],[Colonna4]]/100</f>
        <v>18425.16643577538</v>
      </c>
    </row>
    <row r="917" spans="2:10">
      <c r="B917" s="92" t="s">
        <v>157</v>
      </c>
      <c r="C917" s="91" t="s">
        <v>2089</v>
      </c>
      <c r="D917" s="93">
        <v>104</v>
      </c>
      <c r="E917" s="93">
        <v>129</v>
      </c>
      <c r="F917" s="103">
        <f>IFERROR(INDEX(Tabella9[PLZ],MATCH(Tabella8[[#This Row],[Colonna2]],Tabella9[Ortschaftsname],0)), "Name not found")</f>
        <v>4245</v>
      </c>
      <c r="G917" s="103"/>
      <c r="H917" s="240">
        <f ca="1">SUMIF(Tabella2[[#Headers],[#Data],[Age]],$H$76,Tabella2[[#Headers],[#Data],[Federal taxes]])</f>
        <v>6804.3246087429152</v>
      </c>
      <c r="I91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7" s="240">
        <f ca="1">Tabella8[[#This Row],[Colonna7]]*Tabella8[[#This Row],[Colonna4]]/100</f>
        <v>18425.16643577538</v>
      </c>
    </row>
    <row r="918" spans="2:10">
      <c r="B918" s="92" t="s">
        <v>157</v>
      </c>
      <c r="C918" s="91" t="s">
        <v>2085</v>
      </c>
      <c r="D918" s="93">
        <v>104</v>
      </c>
      <c r="E918" s="93">
        <v>119</v>
      </c>
      <c r="F918" s="103">
        <f>IFERROR(INDEX(Tabella9[PLZ],MATCH(Tabella8[[#This Row],[Colonna2]],Tabella9[Ortschaftsname],0)), "Name not found")</f>
        <v>4566</v>
      </c>
      <c r="G918" s="103"/>
      <c r="H918" s="240">
        <f ca="1">SUMIF(Tabella2[[#Headers],[#Data],[Age]],$H$76,Tabella2[[#Headers],[#Data],[Federal taxes]])</f>
        <v>6804.3246087429152</v>
      </c>
      <c r="I91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8" s="240">
        <f ca="1">Tabella8[[#This Row],[Colonna7]]*Tabella8[[#This Row],[Colonna4]]/100</f>
        <v>16996.858960133875</v>
      </c>
    </row>
    <row r="919" spans="2:10">
      <c r="B919" s="92" t="s">
        <v>157</v>
      </c>
      <c r="C919" s="91" t="s">
        <v>2044</v>
      </c>
      <c r="D919" s="93">
        <v>104</v>
      </c>
      <c r="E919" s="93">
        <v>119</v>
      </c>
      <c r="F919" s="103">
        <f>IFERROR(INDEX(Tabella9[PLZ],MATCH(Tabella8[[#This Row],[Colonna2]],Tabella9[Ortschaftsname],0)), "Name not found")</f>
        <v>4513</v>
      </c>
      <c r="G919" s="103"/>
      <c r="H919" s="240">
        <f ca="1">SUMIF(Tabella2[[#Headers],[#Data],[Age]],$H$76,Tabella2[[#Headers],[#Data],[Federal taxes]])</f>
        <v>6804.3246087429152</v>
      </c>
      <c r="I91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19" s="240">
        <f ca="1">Tabella8[[#This Row],[Colonna7]]*Tabella8[[#This Row],[Colonna4]]/100</f>
        <v>16996.858960133875</v>
      </c>
    </row>
    <row r="920" spans="2:10">
      <c r="B920" s="92" t="s">
        <v>157</v>
      </c>
      <c r="C920" s="91" t="s">
        <v>2069</v>
      </c>
      <c r="D920" s="93">
        <v>104</v>
      </c>
      <c r="E920" s="93">
        <v>123</v>
      </c>
      <c r="F920" s="103">
        <f>IFERROR(INDEX(Tabella9[PLZ],MATCH(Tabella8[[#This Row],[Colonna2]],Tabella9[Ortschaftsname],0)), "Name not found")</f>
        <v>4712</v>
      </c>
      <c r="G920" s="103"/>
      <c r="H920" s="240">
        <f ca="1">SUMIF(Tabella2[[#Headers],[#Data],[Age]],$H$76,Tabella2[[#Headers],[#Data],[Federal taxes]])</f>
        <v>6804.3246087429152</v>
      </c>
      <c r="I92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0" s="240">
        <f ca="1">Tabella8[[#This Row],[Colonna7]]*Tabella8[[#This Row],[Colonna4]]/100</f>
        <v>17568.181950390477</v>
      </c>
    </row>
    <row r="921" spans="2:10">
      <c r="B921" s="92" t="s">
        <v>157</v>
      </c>
      <c r="C921" s="91" t="s">
        <v>2052</v>
      </c>
      <c r="D921" s="93">
        <v>104</v>
      </c>
      <c r="E921" s="93">
        <v>100</v>
      </c>
      <c r="F921" s="103">
        <f>IFERROR(INDEX(Tabella9[PLZ],MATCH(Tabella8[[#This Row],[Colonna2]],Tabella9[Ortschaftsname],0)), "Name not found")</f>
        <v>4573</v>
      </c>
      <c r="G921" s="103"/>
      <c r="H921" s="240">
        <f ca="1">SUMIF(Tabella2[[#Headers],[#Data],[Age]],$H$76,Tabella2[[#Headers],[#Data],[Federal taxes]])</f>
        <v>6804.3246087429152</v>
      </c>
      <c r="I92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1" s="240">
        <f ca="1">Tabella8[[#This Row],[Colonna7]]*Tabella8[[#This Row],[Colonna4]]/100</f>
        <v>14283.074756415022</v>
      </c>
    </row>
    <row r="922" spans="2:10">
      <c r="B922" s="92" t="s">
        <v>157</v>
      </c>
      <c r="C922" s="91" t="s">
        <v>2074</v>
      </c>
      <c r="D922" s="93">
        <v>104</v>
      </c>
      <c r="E922" s="93">
        <v>127</v>
      </c>
      <c r="F922" s="103">
        <f>IFERROR(INDEX(Tabella9[PLZ],MATCH(Tabella8[[#This Row],[Colonna2]],Tabella9[Ortschaftsname],0)), "Name not found")</f>
        <v>4514</v>
      </c>
      <c r="G922" s="103"/>
      <c r="H922" s="240">
        <f ca="1">SUMIF(Tabella2[[#Headers],[#Data],[Age]],$H$76,Tabella2[[#Headers],[#Data],[Federal taxes]])</f>
        <v>6804.3246087429152</v>
      </c>
      <c r="I92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2" s="240">
        <f ca="1">Tabella8[[#This Row],[Colonna7]]*Tabella8[[#This Row],[Colonna4]]/100</f>
        <v>18139.504940647079</v>
      </c>
    </row>
    <row r="923" spans="2:10">
      <c r="B923" s="92" t="s">
        <v>157</v>
      </c>
      <c r="C923" s="91" t="s">
        <v>2041</v>
      </c>
      <c r="D923" s="93">
        <v>104</v>
      </c>
      <c r="E923" s="93">
        <v>113</v>
      </c>
      <c r="F923" s="103">
        <f>IFERROR(INDEX(Tabella9[PLZ],MATCH(Tabella8[[#This Row],[Colonna2]],Tabella9[Ortschaftsname],0)), "Name not found")</f>
        <v>4654</v>
      </c>
      <c r="G923" s="103"/>
      <c r="H923" s="240">
        <f ca="1">SUMIF(Tabella2[[#Headers],[#Data],[Age]],$H$76,Tabella2[[#Headers],[#Data],[Federal taxes]])</f>
        <v>6804.3246087429152</v>
      </c>
      <c r="I92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3" s="240">
        <f ca="1">Tabella8[[#This Row],[Colonna7]]*Tabella8[[#This Row],[Colonna4]]/100</f>
        <v>16139.874474748976</v>
      </c>
    </row>
    <row r="924" spans="2:10">
      <c r="B924" s="92" t="s">
        <v>157</v>
      </c>
      <c r="C924" s="91" t="s">
        <v>2047</v>
      </c>
      <c r="D924" s="93">
        <v>104</v>
      </c>
      <c r="E924" s="93">
        <v>123</v>
      </c>
      <c r="F924" s="103">
        <f>IFERROR(INDEX(Tabella9[PLZ],MATCH(Tabella8[[#This Row],[Colonna2]],Tabella9[Ortschaftsname],0)), "Name not found")</f>
        <v>4542</v>
      </c>
      <c r="G924" s="103"/>
      <c r="H924" s="240">
        <f ca="1">SUMIF(Tabella2[[#Headers],[#Data],[Age]],$H$76,Tabella2[[#Headers],[#Data],[Federal taxes]])</f>
        <v>6804.3246087429152</v>
      </c>
      <c r="I92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4" s="240">
        <f ca="1">Tabella8[[#This Row],[Colonna7]]*Tabella8[[#This Row],[Colonna4]]/100</f>
        <v>17568.181950390477</v>
      </c>
    </row>
    <row r="925" spans="2:10">
      <c r="B925" s="92" t="s">
        <v>157</v>
      </c>
      <c r="C925" s="91" t="s">
        <v>2107</v>
      </c>
      <c r="D925" s="93">
        <v>104</v>
      </c>
      <c r="E925" s="93">
        <v>125</v>
      </c>
      <c r="F925" s="103">
        <v>4574</v>
      </c>
      <c r="G925" s="103"/>
      <c r="H925" s="240">
        <f ca="1">SUMIF(Tabella2[[#Headers],[#Data],[Age]],$H$76,Tabella2[[#Headers],[#Data],[Federal taxes]])</f>
        <v>6804.3246087429152</v>
      </c>
      <c r="I92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5" s="240">
        <f ca="1">Tabella8[[#This Row],[Colonna7]]*Tabella8[[#This Row],[Colonna4]]/100</f>
        <v>17853.843445518778</v>
      </c>
    </row>
    <row r="926" spans="2:10">
      <c r="B926" s="92" t="s">
        <v>157</v>
      </c>
      <c r="C926" s="91" t="s">
        <v>2136</v>
      </c>
      <c r="D926" s="93">
        <v>104</v>
      </c>
      <c r="E926" s="93">
        <v>110</v>
      </c>
      <c r="F926" s="103">
        <v>4571</v>
      </c>
      <c r="G926" s="103"/>
      <c r="H926" s="240">
        <f ca="1">SUMIF(Tabella2[[#Headers],[#Data],[Age]],$H$76,Tabella2[[#Headers],[#Data],[Federal taxes]])</f>
        <v>6804.3246087429152</v>
      </c>
      <c r="I92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6" s="240">
        <f ca="1">Tabella8[[#This Row],[Colonna7]]*Tabella8[[#This Row],[Colonna4]]/100</f>
        <v>15711.382232056525</v>
      </c>
    </row>
    <row r="927" spans="2:10">
      <c r="B927" s="92" t="s">
        <v>157</v>
      </c>
      <c r="C927" s="91" t="s">
        <v>2081</v>
      </c>
      <c r="D927" s="93">
        <v>104</v>
      </c>
      <c r="E927" s="93">
        <v>130</v>
      </c>
      <c r="F927" s="103">
        <f>IFERROR(INDEX(Tabella9[PLZ],MATCH(Tabella8[[#This Row],[Colonna2]],Tabella9[Ortschaftsname],0)), "Name not found")</f>
        <v>4713</v>
      </c>
      <c r="G927" s="103"/>
      <c r="H927" s="240">
        <f ca="1">SUMIF(Tabella2[[#Headers],[#Data],[Age]],$H$76,Tabella2[[#Headers],[#Data],[Federal taxes]])</f>
        <v>6804.3246087429152</v>
      </c>
      <c r="I92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7" s="240">
        <f ca="1">Tabella8[[#This Row],[Colonna7]]*Tabella8[[#This Row],[Colonna4]]/100</f>
        <v>18567.997183339528</v>
      </c>
    </row>
    <row r="928" spans="2:10">
      <c r="B928" s="92" t="s">
        <v>157</v>
      </c>
      <c r="C928" s="91" t="s">
        <v>2149</v>
      </c>
      <c r="D928" s="93">
        <v>104</v>
      </c>
      <c r="E928" s="93">
        <v>123</v>
      </c>
      <c r="F928" s="103">
        <f>IFERROR(INDEX(Tabella9[PLZ],MATCH(Tabella8[[#This Row],[Colonna2]],Tabella9[Ortschaftsname],0)), "Name not found")</f>
        <v>4233</v>
      </c>
      <c r="G928" s="103"/>
      <c r="H928" s="240">
        <f ca="1">SUMIF(Tabella2[[#Headers],[#Data],[Age]],$H$76,Tabella2[[#Headers],[#Data],[Federal taxes]])</f>
        <v>6804.3246087429152</v>
      </c>
      <c r="I92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8" s="240">
        <f ca="1">Tabella8[[#This Row],[Colonna7]]*Tabella8[[#This Row],[Colonna4]]/100</f>
        <v>17568.181950390477</v>
      </c>
    </row>
    <row r="929" spans="2:10">
      <c r="B929" s="92" t="s">
        <v>157</v>
      </c>
      <c r="C929" s="91" t="s">
        <v>2077</v>
      </c>
      <c r="D929" s="93">
        <v>104</v>
      </c>
      <c r="E929" s="93">
        <v>113</v>
      </c>
      <c r="F929" s="103">
        <f>IFERROR(INDEX(Tabella9[PLZ],MATCH(Tabella8[[#This Row],[Colonna2]],Tabella9[Ortschaftsname],0)), "Name not found")</f>
        <v>3254</v>
      </c>
      <c r="G929" s="103"/>
      <c r="H929" s="240">
        <f ca="1">SUMIF(Tabella2[[#Headers],[#Data],[Age]],$H$76,Tabella2[[#Headers],[#Data],[Federal taxes]])</f>
        <v>6804.3246087429152</v>
      </c>
      <c r="I92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29" s="240">
        <f ca="1">Tabella8[[#This Row],[Colonna7]]*Tabella8[[#This Row],[Colonna4]]/100</f>
        <v>16139.874474748976</v>
      </c>
    </row>
    <row r="930" spans="2:10">
      <c r="B930" s="92" t="s">
        <v>157</v>
      </c>
      <c r="C930" s="91" t="s">
        <v>2119</v>
      </c>
      <c r="D930" s="93">
        <v>104</v>
      </c>
      <c r="E930" s="93">
        <v>124</v>
      </c>
      <c r="F930" s="103">
        <v>4116</v>
      </c>
      <c r="G930" s="103"/>
      <c r="H930" s="240">
        <f ca="1">SUMIF(Tabella2[[#Headers],[#Data],[Age]],$H$76,Tabella2[[#Headers],[#Data],[Federal taxes]])</f>
        <v>6804.3246087429152</v>
      </c>
      <c r="I93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0" s="240">
        <f ca="1">Tabella8[[#This Row],[Colonna7]]*Tabella8[[#This Row],[Colonna4]]/100</f>
        <v>17711.012697954626</v>
      </c>
    </row>
    <row r="931" spans="2:10">
      <c r="B931" s="92" t="s">
        <v>157</v>
      </c>
      <c r="C931" s="91" t="s">
        <v>2056</v>
      </c>
      <c r="D931" s="93">
        <v>104</v>
      </c>
      <c r="E931" s="93">
        <v>123</v>
      </c>
      <c r="F931" s="103">
        <v>4717</v>
      </c>
      <c r="G931" s="103"/>
      <c r="H931" s="240">
        <f ca="1">SUMIF(Tabella2[[#Headers],[#Data],[Age]],$H$76,Tabella2[[#Headers],[#Data],[Federal taxes]])</f>
        <v>6804.3246087429152</v>
      </c>
      <c r="I93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1" s="240">
        <f ca="1">Tabella8[[#This Row],[Colonna7]]*Tabella8[[#This Row],[Colonna4]]/100</f>
        <v>17568.181950390477</v>
      </c>
    </row>
    <row r="932" spans="2:10">
      <c r="B932" s="92" t="s">
        <v>157</v>
      </c>
      <c r="C932" s="91" t="s">
        <v>2063</v>
      </c>
      <c r="D932" s="93">
        <v>104</v>
      </c>
      <c r="E932" s="93">
        <v>118</v>
      </c>
      <c r="F932" s="103">
        <f>IFERROR(INDEX(Tabella9[PLZ],MATCH(Tabella8[[#This Row],[Colonna2]],Tabella9[Ortschaftsname],0)), "Name not found")</f>
        <v>4623</v>
      </c>
      <c r="G932" s="103"/>
      <c r="H932" s="240">
        <f ca="1">SUMIF(Tabella2[[#Headers],[#Data],[Age]],$H$76,Tabella2[[#Headers],[#Data],[Federal taxes]])</f>
        <v>6804.3246087429152</v>
      </c>
      <c r="I93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2" s="240">
        <f ca="1">Tabella8[[#This Row],[Colonna7]]*Tabella8[[#This Row],[Colonna4]]/100</f>
        <v>16854.028212569727</v>
      </c>
    </row>
    <row r="933" spans="2:10">
      <c r="B933" s="92" t="s">
        <v>157</v>
      </c>
      <c r="C933" s="91" t="s">
        <v>2095</v>
      </c>
      <c r="D933" s="93">
        <v>104</v>
      </c>
      <c r="E933" s="93">
        <v>107</v>
      </c>
      <c r="F933" s="103">
        <f>IFERROR(INDEX(Tabella9[PLZ],MATCH(Tabella8[[#This Row],[Colonna2]],Tabella9[Ortschaftsname],0)), "Name not found")</f>
        <v>4626</v>
      </c>
      <c r="G933" s="103"/>
      <c r="H933" s="240">
        <f ca="1">SUMIF(Tabella2[[#Headers],[#Data],[Age]],$H$76,Tabella2[[#Headers],[#Data],[Federal taxes]])</f>
        <v>6804.3246087429152</v>
      </c>
      <c r="I93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3" s="240">
        <f ca="1">Tabella8[[#This Row],[Colonna7]]*Tabella8[[#This Row],[Colonna4]]/100</f>
        <v>15282.889989364076</v>
      </c>
    </row>
    <row r="934" spans="2:10">
      <c r="B934" s="92" t="s">
        <v>157</v>
      </c>
      <c r="C934" s="91" t="s">
        <v>2042</v>
      </c>
      <c r="D934" s="93">
        <v>104</v>
      </c>
      <c r="E934" s="93">
        <v>105</v>
      </c>
      <c r="F934" s="103">
        <f>IFERROR(INDEX(Tabella9[PLZ],MATCH(Tabella8[[#This Row],[Colonna2]],Tabella9[Ortschaftsname],0)), "Name not found")</f>
        <v>5013</v>
      </c>
      <c r="G934" s="103"/>
      <c r="H934" s="240">
        <f ca="1">SUMIF(Tabella2[[#Headers],[#Data],[Age]],$H$76,Tabella2[[#Headers],[#Data],[Federal taxes]])</f>
        <v>6804.3246087429152</v>
      </c>
      <c r="I93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4" s="240">
        <f ca="1">Tabella8[[#This Row],[Colonna7]]*Tabella8[[#This Row],[Colonna4]]/100</f>
        <v>14997.228494235773</v>
      </c>
    </row>
    <row r="935" spans="2:10">
      <c r="B935" s="92" t="s">
        <v>157</v>
      </c>
      <c r="C935" s="91" t="s">
        <v>2079</v>
      </c>
      <c r="D935" s="93">
        <v>104</v>
      </c>
      <c r="E935" s="93">
        <v>121</v>
      </c>
      <c r="F935" s="103">
        <v>4412</v>
      </c>
      <c r="G935" s="103"/>
      <c r="H935" s="240">
        <f ca="1">SUMIF(Tabella2[[#Headers],[#Data],[Age]],$H$76,Tabella2[[#Headers],[#Data],[Federal taxes]])</f>
        <v>6804.3246087429152</v>
      </c>
      <c r="I93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5" s="240">
        <f ca="1">Tabella8[[#This Row],[Colonna7]]*Tabella8[[#This Row],[Colonna4]]/100</f>
        <v>17282.520455262176</v>
      </c>
    </row>
    <row r="936" spans="2:10">
      <c r="B936" s="92" t="s">
        <v>157</v>
      </c>
      <c r="C936" s="91" t="s">
        <v>2065</v>
      </c>
      <c r="D936" s="93">
        <v>104</v>
      </c>
      <c r="E936" s="93">
        <v>124</v>
      </c>
      <c r="F936" s="103">
        <f>IFERROR(INDEX(Tabella9[PLZ],MATCH(Tabella8[[#This Row],[Colonna2]],Tabella9[Ortschaftsname],0)), "Name not found")</f>
        <v>4208</v>
      </c>
      <c r="G936" s="103"/>
      <c r="H936" s="240">
        <f ca="1">SUMIF(Tabella2[[#Headers],[#Data],[Age]],$H$76,Tabella2[[#Headers],[#Data],[Federal taxes]])</f>
        <v>6804.3246087429152</v>
      </c>
      <c r="I93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6" s="240">
        <f ca="1">Tabella8[[#This Row],[Colonna7]]*Tabella8[[#This Row],[Colonna4]]/100</f>
        <v>17711.012697954626</v>
      </c>
    </row>
    <row r="937" spans="2:10">
      <c r="B937" s="92" t="s">
        <v>157</v>
      </c>
      <c r="C937" s="91" t="s">
        <v>2059</v>
      </c>
      <c r="D937" s="93">
        <v>104</v>
      </c>
      <c r="E937" s="93">
        <v>107</v>
      </c>
      <c r="F937" s="103">
        <f>IFERROR(INDEX(Tabella9[PLZ],MATCH(Tabella8[[#This Row],[Colonna2]],Tabella9[Ortschaftsname],0)), "Name not found")</f>
        <v>4625</v>
      </c>
      <c r="G937" s="103"/>
      <c r="H937" s="240">
        <f ca="1">SUMIF(Tabella2[[#Headers],[#Data],[Age]],$H$76,Tabella2[[#Headers],[#Data],[Federal taxes]])</f>
        <v>6804.3246087429152</v>
      </c>
      <c r="I93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7" s="240">
        <f ca="1">Tabella8[[#This Row],[Colonna7]]*Tabella8[[#This Row],[Colonna4]]/100</f>
        <v>15282.889989364076</v>
      </c>
    </row>
    <row r="938" spans="2:10">
      <c r="B938" s="92" t="s">
        <v>157</v>
      </c>
      <c r="C938" s="91" t="s">
        <v>2070</v>
      </c>
      <c r="D938" s="93">
        <v>104</v>
      </c>
      <c r="E938" s="93">
        <v>120</v>
      </c>
      <c r="F938" s="103">
        <v>4515</v>
      </c>
      <c r="G938" s="103"/>
      <c r="H938" s="240">
        <f ca="1">SUMIF(Tabella2[[#Headers],[#Data],[Age]],$H$76,Tabella2[[#Headers],[#Data],[Federal taxes]])</f>
        <v>6804.3246087429152</v>
      </c>
      <c r="I93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8" s="240">
        <f ca="1">Tabella8[[#This Row],[Colonna7]]*Tabella8[[#This Row],[Colonna4]]/100</f>
        <v>17139.689707698024</v>
      </c>
    </row>
    <row r="939" spans="2:10">
      <c r="B939" s="92" t="s">
        <v>157</v>
      </c>
      <c r="C939" s="91" t="s">
        <v>2099</v>
      </c>
      <c r="D939" s="93">
        <v>104</v>
      </c>
      <c r="E939" s="93">
        <v>110</v>
      </c>
      <c r="F939" s="103">
        <f>IFERROR(INDEX(Tabella9[PLZ],MATCH(Tabella8[[#This Row],[Colonna2]],Tabella9[Ortschaftsname],0)), "Name not found")</f>
        <v>4564</v>
      </c>
      <c r="G939" s="103"/>
      <c r="H939" s="240">
        <f ca="1">SUMIF(Tabella2[[#Headers],[#Data],[Age]],$H$76,Tabella2[[#Headers],[#Data],[Federal taxes]])</f>
        <v>6804.3246087429152</v>
      </c>
      <c r="I93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39" s="240">
        <f ca="1">Tabella8[[#This Row],[Colonna7]]*Tabella8[[#This Row],[Colonna4]]/100</f>
        <v>15711.382232056525</v>
      </c>
    </row>
    <row r="940" spans="2:10">
      <c r="B940" s="92" t="s">
        <v>157</v>
      </c>
      <c r="C940" s="91" t="s">
        <v>2061</v>
      </c>
      <c r="D940" s="93">
        <v>104</v>
      </c>
      <c r="E940" s="93">
        <v>122</v>
      </c>
      <c r="F940" s="103">
        <f>IFERROR(INDEX(Tabella9[PLZ],MATCH(Tabella8[[#This Row],[Colonna2]],Tabella9[Ortschaftsname],0)), "Name not found")</f>
        <v>4653</v>
      </c>
      <c r="G940" s="103"/>
      <c r="H940" s="240">
        <f ca="1">SUMIF(Tabella2[[#Headers],[#Data],[Age]],$H$76,Tabella2[[#Headers],[#Data],[Federal taxes]])</f>
        <v>6804.3246087429152</v>
      </c>
      <c r="I94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0" s="240">
        <f ca="1">Tabella8[[#This Row],[Colonna7]]*Tabella8[[#This Row],[Colonna4]]/100</f>
        <v>17425.351202826329</v>
      </c>
    </row>
    <row r="941" spans="2:10">
      <c r="B941" s="92" t="s">
        <v>157</v>
      </c>
      <c r="C941" s="91" t="s">
        <v>2132</v>
      </c>
      <c r="D941" s="93">
        <v>104</v>
      </c>
      <c r="E941" s="93">
        <v>122</v>
      </c>
      <c r="F941" s="103">
        <f>IFERROR(INDEX(Tabella9[PLZ],MATCH(Tabella8[[#This Row],[Colonna2]],Tabella9[Ortschaftsname],0)), "Name not found")</f>
        <v>4566</v>
      </c>
      <c r="G941" s="103"/>
      <c r="H941" s="240">
        <f ca="1">SUMIF(Tabella2[[#Headers],[#Data],[Age]],$H$76,Tabella2[[#Headers],[#Data],[Federal taxes]])</f>
        <v>6804.3246087429152</v>
      </c>
      <c r="I94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1" s="240">
        <f ca="1">Tabella8[[#This Row],[Colonna7]]*Tabella8[[#This Row],[Colonna4]]/100</f>
        <v>17425.351202826329</v>
      </c>
    </row>
    <row r="942" spans="2:10">
      <c r="B942" s="92" t="s">
        <v>157</v>
      </c>
      <c r="C942" s="91" t="s">
        <v>2032</v>
      </c>
      <c r="D942" s="93">
        <v>104</v>
      </c>
      <c r="E942" s="93">
        <v>111</v>
      </c>
      <c r="F942" s="103">
        <f>IFERROR(INDEX(Tabella9[PLZ],MATCH(Tabella8[[#This Row],[Colonna2]],Tabella9[Ortschaftsname],0)), "Name not found")</f>
        <v>4702</v>
      </c>
      <c r="G942" s="103"/>
      <c r="H942" s="240">
        <f ca="1">SUMIF(Tabella2[[#Headers],[#Data],[Age]],$H$76,Tabella2[[#Headers],[#Data],[Federal taxes]])</f>
        <v>6804.3246087429152</v>
      </c>
      <c r="I94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2" s="240">
        <f ca="1">Tabella8[[#This Row],[Colonna7]]*Tabella8[[#This Row],[Colonna4]]/100</f>
        <v>15854.212979620674</v>
      </c>
    </row>
    <row r="943" spans="2:10">
      <c r="B943" s="92" t="s">
        <v>157</v>
      </c>
      <c r="C943" s="91" t="s">
        <v>2024</v>
      </c>
      <c r="D943" s="93">
        <v>104</v>
      </c>
      <c r="E943" s="93">
        <v>108</v>
      </c>
      <c r="F943" s="103">
        <f>IFERROR(INDEX(Tabella9[PLZ],MATCH(Tabella8[[#This Row],[Colonna2]],Tabella9[Ortschaftsname],0)), "Name not found")</f>
        <v>4600</v>
      </c>
      <c r="G943" s="103"/>
      <c r="H943" s="240">
        <f ca="1">SUMIF(Tabella2[[#Headers],[#Data],[Age]],$H$76,Tabella2[[#Headers],[#Data],[Federal taxes]])</f>
        <v>6804.3246087429152</v>
      </c>
      <c r="I94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3" s="240">
        <f ca="1">Tabella8[[#This Row],[Colonna7]]*Tabella8[[#This Row],[Colonna4]]/100</f>
        <v>15425.720736928224</v>
      </c>
    </row>
    <row r="944" spans="2:10">
      <c r="B944" s="92" t="s">
        <v>157</v>
      </c>
      <c r="C944" s="91" t="s">
        <v>2064</v>
      </c>
      <c r="D944" s="93">
        <v>104</v>
      </c>
      <c r="E944" s="93">
        <v>120</v>
      </c>
      <c r="F944" s="103">
        <f>IFERROR(INDEX(Tabella9[PLZ],MATCH(Tabella8[[#This Row],[Colonna2]],Tabella9[Ortschaftsname],0)), "Name not found")</f>
        <v>4565</v>
      </c>
      <c r="G944" s="103"/>
      <c r="H944" s="240">
        <f ca="1">SUMIF(Tabella2[[#Headers],[#Data],[Age]],$H$76,Tabella2[[#Headers],[#Data],[Federal taxes]])</f>
        <v>6804.3246087429152</v>
      </c>
      <c r="I94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4" s="240">
        <f ca="1">Tabella8[[#This Row],[Colonna7]]*Tabella8[[#This Row],[Colonna4]]/100</f>
        <v>17139.689707698024</v>
      </c>
    </row>
    <row r="945" spans="2:10">
      <c r="B945" s="92" t="s">
        <v>157</v>
      </c>
      <c r="C945" s="91" t="s">
        <v>2115</v>
      </c>
      <c r="D945" s="93">
        <v>104</v>
      </c>
      <c r="E945" s="93">
        <v>95</v>
      </c>
      <c r="F945" s="103">
        <v>4613</v>
      </c>
      <c r="G945" s="103"/>
      <c r="H945" s="240">
        <f ca="1">SUMIF(Tabella2[[#Headers],[#Data],[Age]],$H$76,Tabella2[[#Headers],[#Data],[Federal taxes]])</f>
        <v>6804.3246087429152</v>
      </c>
      <c r="I94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5" s="240">
        <f ca="1">Tabella8[[#This Row],[Colonna7]]*Tabella8[[#This Row],[Colonna4]]/100</f>
        <v>13568.92101859427</v>
      </c>
    </row>
    <row r="946" spans="2:10">
      <c r="B946" s="92" t="s">
        <v>157</v>
      </c>
      <c r="C946" s="91" t="s">
        <v>2057</v>
      </c>
      <c r="D946" s="93">
        <v>104</v>
      </c>
      <c r="E946" s="93">
        <v>115</v>
      </c>
      <c r="F946" s="103">
        <f>IFERROR(INDEX(Tabella9[PLZ],MATCH(Tabella8[[#This Row],[Colonna2]],Tabella9[Ortschaftsname],0)), "Name not found")</f>
        <v>4533</v>
      </c>
      <c r="G946" s="103"/>
      <c r="H946" s="240">
        <f ca="1">SUMIF(Tabella2[[#Headers],[#Data],[Age]],$H$76,Tabella2[[#Headers],[#Data],[Federal taxes]])</f>
        <v>6804.3246087429152</v>
      </c>
      <c r="I94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6" s="240">
        <f ca="1">Tabella8[[#This Row],[Colonna7]]*Tabella8[[#This Row],[Colonna4]]/100</f>
        <v>16425.535969877277</v>
      </c>
    </row>
    <row r="947" spans="2:10">
      <c r="B947" s="92" t="s">
        <v>157</v>
      </c>
      <c r="C947" s="91" t="s">
        <v>2083</v>
      </c>
      <c r="D947" s="93">
        <v>104</v>
      </c>
      <c r="E947" s="93">
        <v>120</v>
      </c>
      <c r="F947" s="103">
        <f>IFERROR(INDEX(Tabella9[PLZ],MATCH(Tabella8[[#This Row],[Colonna2]],Tabella9[Ortschaftsname],0)), "Name not found")</f>
        <v>4118</v>
      </c>
      <c r="G947" s="103"/>
      <c r="H947" s="240">
        <f ca="1">SUMIF(Tabella2[[#Headers],[#Data],[Age]],$H$76,Tabella2[[#Headers],[#Data],[Federal taxes]])</f>
        <v>6804.3246087429152</v>
      </c>
      <c r="I94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7" s="240">
        <f ca="1">Tabella8[[#This Row],[Colonna7]]*Tabella8[[#This Row],[Colonna4]]/100</f>
        <v>17139.689707698024</v>
      </c>
    </row>
    <row r="948" spans="2:10">
      <c r="B948" s="92" t="s">
        <v>157</v>
      </c>
      <c r="C948" s="91" t="s">
        <v>2076</v>
      </c>
      <c r="D948" s="93">
        <v>104</v>
      </c>
      <c r="E948" s="93">
        <v>118</v>
      </c>
      <c r="F948" s="103">
        <f>IFERROR(INDEX(Tabella9[PLZ],MATCH(Tabella8[[#This Row],[Colonna2]],Tabella9[Ortschaftsname],0)), "Name not found")</f>
        <v>4522</v>
      </c>
      <c r="G948" s="103"/>
      <c r="H948" s="240">
        <f ca="1">SUMIF(Tabella2[[#Headers],[#Data],[Age]],$H$76,Tabella2[[#Headers],[#Data],[Federal taxes]])</f>
        <v>6804.3246087429152</v>
      </c>
      <c r="I94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8" s="240">
        <f ca="1">Tabella8[[#This Row],[Colonna7]]*Tabella8[[#This Row],[Colonna4]]/100</f>
        <v>16854.028212569727</v>
      </c>
    </row>
    <row r="949" spans="2:10">
      <c r="B949" s="92" t="s">
        <v>157</v>
      </c>
      <c r="C949" s="91" t="s">
        <v>2101</v>
      </c>
      <c r="D949" s="93">
        <v>104</v>
      </c>
      <c r="E949" s="93">
        <v>124</v>
      </c>
      <c r="F949" s="103">
        <f>IFERROR(INDEX(Tabella9[PLZ],MATCH(Tabella8[[#This Row],[Colonna2]],Tabella9[Ortschaftsname],0)), "Name not found")</f>
        <v>3253</v>
      </c>
      <c r="G949" s="103"/>
      <c r="H949" s="240">
        <f ca="1">SUMIF(Tabella2[[#Headers],[#Data],[Age]],$H$76,Tabella2[[#Headers],[#Data],[Federal taxes]])</f>
        <v>6804.3246087429152</v>
      </c>
      <c r="I94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49" s="240">
        <f ca="1">Tabella8[[#This Row],[Colonna7]]*Tabella8[[#This Row],[Colonna4]]/100</f>
        <v>17711.012697954626</v>
      </c>
    </row>
    <row r="950" spans="2:10">
      <c r="B950" s="92" t="s">
        <v>157</v>
      </c>
      <c r="C950" s="91" t="s">
        <v>2040</v>
      </c>
      <c r="D950" s="93">
        <v>104</v>
      </c>
      <c r="E950" s="93">
        <v>115</v>
      </c>
      <c r="F950" s="103">
        <f>IFERROR(INDEX(Tabella9[PLZ],MATCH(Tabella8[[#This Row],[Colonna2]],Tabella9[Ortschaftsname],0)), "Name not found")</f>
        <v>5012</v>
      </c>
      <c r="G950" s="103"/>
      <c r="H950" s="240">
        <f ca="1">SUMIF(Tabella2[[#Headers],[#Data],[Age]],$H$76,Tabella2[[#Headers],[#Data],[Federal taxes]])</f>
        <v>6804.3246087429152</v>
      </c>
      <c r="I95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0" s="240">
        <f ca="1">Tabella8[[#This Row],[Colonna7]]*Tabella8[[#This Row],[Colonna4]]/100</f>
        <v>16425.535969877277</v>
      </c>
    </row>
    <row r="951" spans="2:10">
      <c r="B951" s="92" t="s">
        <v>157</v>
      </c>
      <c r="C951" s="91" t="s">
        <v>2111</v>
      </c>
      <c r="D951" s="93">
        <v>104</v>
      </c>
      <c r="E951" s="93">
        <v>125</v>
      </c>
      <c r="F951" s="103">
        <v>4207</v>
      </c>
      <c r="G951" s="103"/>
      <c r="H951" s="240">
        <f ca="1">SUMIF(Tabella2[[#Headers],[#Data],[Age]],$H$76,Tabella2[[#Headers],[#Data],[Federal taxes]])</f>
        <v>6804.3246087429152</v>
      </c>
      <c r="I95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1" s="240">
        <f ca="1">Tabella8[[#This Row],[Colonna7]]*Tabella8[[#This Row],[Colonna4]]/100</f>
        <v>17853.843445518778</v>
      </c>
    </row>
    <row r="952" spans="2:10">
      <c r="B952" s="92" t="s">
        <v>157</v>
      </c>
      <c r="C952" s="91" t="s">
        <v>2048</v>
      </c>
      <c r="D952" s="93">
        <v>104</v>
      </c>
      <c r="E952" s="93">
        <v>108</v>
      </c>
      <c r="F952" s="103">
        <f>IFERROR(INDEX(Tabella9[PLZ],MATCH(Tabella8[[#This Row],[Colonna2]],Tabella9[Ortschaftsname],0)), "Name not found")</f>
        <v>2545</v>
      </c>
      <c r="G952" s="103"/>
      <c r="H952" s="240">
        <f ca="1">SUMIF(Tabella2[[#Headers],[#Data],[Age]],$H$76,Tabella2[[#Headers],[#Data],[Federal taxes]])</f>
        <v>6804.3246087429152</v>
      </c>
      <c r="I95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2" s="240">
        <f ca="1">Tabella8[[#This Row],[Colonna7]]*Tabella8[[#This Row],[Colonna4]]/100</f>
        <v>15425.720736928224</v>
      </c>
    </row>
    <row r="953" spans="2:10">
      <c r="B953" s="92" t="s">
        <v>157</v>
      </c>
      <c r="C953" s="91" t="s">
        <v>169</v>
      </c>
      <c r="D953" s="93">
        <v>104</v>
      </c>
      <c r="E953" s="93">
        <v>107</v>
      </c>
      <c r="F953" s="103">
        <f>IFERROR(INDEX(Tabella9[PLZ],MATCH(Tabella8[[#This Row],[Colonna2]],Tabella9[Ortschaftsname],0)), "Name not found")</f>
        <v>4500</v>
      </c>
      <c r="G953" s="103"/>
      <c r="H953" s="240">
        <f ca="1">SUMIF(Tabella2[[#Headers],[#Data],[Age]],$H$76,Tabella2[[#Headers],[#Data],[Federal taxes]])</f>
        <v>6804.3246087429152</v>
      </c>
      <c r="I95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3" s="240">
        <f ca="1">Tabella8[[#This Row],[Colonna7]]*Tabella8[[#This Row],[Colonna4]]/100</f>
        <v>15282.889989364076</v>
      </c>
    </row>
    <row r="954" spans="2:10">
      <c r="B954" s="92" t="s">
        <v>157</v>
      </c>
      <c r="C954" s="91" t="s">
        <v>2071</v>
      </c>
      <c r="D954" s="93">
        <v>104</v>
      </c>
      <c r="E954" s="93">
        <v>110</v>
      </c>
      <c r="F954" s="103">
        <f>IFERROR(INDEX(Tabella9[PLZ],MATCH(Tabella8[[#This Row],[Colonna2]],Tabella9[Ortschaftsname],0)), "Name not found")</f>
        <v>4656</v>
      </c>
      <c r="G954" s="103"/>
      <c r="H954" s="240">
        <f ca="1">SUMIF(Tabella2[[#Headers],[#Data],[Age]],$H$76,Tabella2[[#Headers],[#Data],[Federal taxes]])</f>
        <v>6804.3246087429152</v>
      </c>
      <c r="I95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4" s="240">
        <f ca="1">Tabella8[[#This Row],[Colonna7]]*Tabella8[[#This Row],[Colonna4]]/100</f>
        <v>15711.382232056525</v>
      </c>
    </row>
    <row r="955" spans="2:10">
      <c r="B955" s="92" t="s">
        <v>157</v>
      </c>
      <c r="C955" s="91" t="s">
        <v>2105</v>
      </c>
      <c r="D955" s="93">
        <v>104</v>
      </c>
      <c r="E955" s="93">
        <v>125</v>
      </c>
      <c r="F955" s="103">
        <f>IFERROR(INDEX(Tabella9[PLZ],MATCH(Tabella8[[#This Row],[Colonna2]],Tabella9[Ortschaftsname],0)), "Name not found")</f>
        <v>4655</v>
      </c>
      <c r="G955" s="103"/>
      <c r="H955" s="240">
        <f ca="1">SUMIF(Tabella2[[#Headers],[#Data],[Age]],$H$76,Tabella2[[#Headers],[#Data],[Federal taxes]])</f>
        <v>6804.3246087429152</v>
      </c>
      <c r="I95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5" s="240">
        <f ca="1">Tabella8[[#This Row],[Colonna7]]*Tabella8[[#This Row],[Colonna4]]/100</f>
        <v>17853.843445518778</v>
      </c>
    </row>
    <row r="956" spans="2:10">
      <c r="B956" s="92" t="s">
        <v>157</v>
      </c>
      <c r="C956" s="91" t="s">
        <v>2050</v>
      </c>
      <c r="D956" s="93">
        <v>104</v>
      </c>
      <c r="E956" s="93">
        <v>125</v>
      </c>
      <c r="F956" s="103">
        <f>IFERROR(INDEX(Tabella9[PLZ],MATCH(Tabella8[[#This Row],[Colonna2]],Tabella9[Ortschaftsname],0)), "Name not found")</f>
        <v>4553</v>
      </c>
      <c r="G956" s="103"/>
      <c r="H956" s="240">
        <f ca="1">SUMIF(Tabella2[[#Headers],[#Data],[Age]],$H$76,Tabella2[[#Headers],[#Data],[Federal taxes]])</f>
        <v>6804.3246087429152</v>
      </c>
      <c r="I95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6" s="240">
        <f ca="1">Tabella8[[#This Row],[Colonna7]]*Tabella8[[#This Row],[Colonna4]]/100</f>
        <v>17853.843445518778</v>
      </c>
    </row>
    <row r="957" spans="2:10">
      <c r="B957" s="92" t="s">
        <v>157</v>
      </c>
      <c r="C957" s="91" t="s">
        <v>2030</v>
      </c>
      <c r="D957" s="93">
        <v>104</v>
      </c>
      <c r="E957" s="93">
        <v>125</v>
      </c>
      <c r="F957" s="103">
        <f>IFERROR(INDEX(Tabella9[PLZ],MATCH(Tabella8[[#This Row],[Colonna2]],Tabella9[Ortschaftsname],0)), "Name not found")</f>
        <v>4632</v>
      </c>
      <c r="G957" s="103"/>
      <c r="H957" s="240">
        <f ca="1">SUMIF(Tabella2[[#Headers],[#Data],[Age]],$H$76,Tabella2[[#Headers],[#Data],[Federal taxes]])</f>
        <v>6804.3246087429152</v>
      </c>
      <c r="I95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7" s="240">
        <f ca="1">Tabella8[[#This Row],[Colonna7]]*Tabella8[[#This Row],[Colonna4]]/100</f>
        <v>17853.843445518778</v>
      </c>
    </row>
    <row r="958" spans="2:10">
      <c r="B958" s="92" t="s">
        <v>157</v>
      </c>
      <c r="C958" s="91" t="s">
        <v>2174</v>
      </c>
      <c r="D958" s="93">
        <v>104</v>
      </c>
      <c r="E958" s="93">
        <v>105</v>
      </c>
      <c r="F958" s="103">
        <f>IFERROR(INDEX(Tabella9[PLZ],MATCH(Tabella8[[#This Row],[Colonna2]],Tabella9[Ortschaftsname],0)), "Name not found")</f>
        <v>4588</v>
      </c>
      <c r="G958" s="103"/>
      <c r="H958" s="240">
        <f ca="1">SUMIF(Tabella2[[#Headers],[#Data],[Age]],$H$76,Tabella2[[#Headers],[#Data],[Federal taxes]])</f>
        <v>6804.3246087429152</v>
      </c>
      <c r="I958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8" s="240">
        <f ca="1">Tabella8[[#This Row],[Colonna7]]*Tabella8[[#This Row],[Colonna4]]/100</f>
        <v>14997.228494235773</v>
      </c>
    </row>
    <row r="959" spans="2:10">
      <c r="B959" s="92" t="s">
        <v>157</v>
      </c>
      <c r="C959" s="91" t="s">
        <v>2143</v>
      </c>
      <c r="D959" s="93">
        <v>104</v>
      </c>
      <c r="E959" s="93">
        <v>125</v>
      </c>
      <c r="F959" s="103">
        <v>5746</v>
      </c>
      <c r="G959" s="103"/>
      <c r="H959" s="240">
        <f ca="1">SUMIF(Tabella2[[#Headers],[#Data],[Age]],$H$76,Tabella2[[#Headers],[#Data],[Federal taxes]])</f>
        <v>6804.3246087429152</v>
      </c>
      <c r="I959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59" s="240">
        <f ca="1">Tabella8[[#This Row],[Colonna7]]*Tabella8[[#This Row],[Colonna4]]/100</f>
        <v>17853.843445518778</v>
      </c>
    </row>
    <row r="960" spans="2:10">
      <c r="B960" s="92" t="s">
        <v>157</v>
      </c>
      <c r="C960" s="91" t="s">
        <v>2036</v>
      </c>
      <c r="D960" s="93">
        <v>104</v>
      </c>
      <c r="E960" s="93">
        <v>119</v>
      </c>
      <c r="F960" s="103">
        <v>4612</v>
      </c>
      <c r="G960" s="103"/>
      <c r="H960" s="240">
        <f ca="1">SUMIF(Tabella2[[#Headers],[#Data],[Age]],$H$76,Tabella2[[#Headers],[#Data],[Federal taxes]])</f>
        <v>6804.3246087429152</v>
      </c>
      <c r="I960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0" s="240">
        <f ca="1">Tabella8[[#This Row],[Colonna7]]*Tabella8[[#This Row],[Colonna4]]/100</f>
        <v>16996.858960133875</v>
      </c>
    </row>
    <row r="961" spans="2:10">
      <c r="B961" s="92" t="s">
        <v>157</v>
      </c>
      <c r="C961" s="91" t="s">
        <v>2629</v>
      </c>
      <c r="D961" s="93">
        <v>104</v>
      </c>
      <c r="E961" s="93">
        <v>124</v>
      </c>
      <c r="F961" s="103">
        <v>4716</v>
      </c>
      <c r="G961" s="103"/>
      <c r="H961" s="240">
        <f ca="1">SUMIF(Tabella2[[#Headers],[#Data],[Age]],$H$76,Tabella2[[#Headers],[#Data],[Federal taxes]])</f>
        <v>6804.3246087429152</v>
      </c>
      <c r="I961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1" s="240">
        <f ca="1">Tabella8[[#This Row],[Colonna7]]*Tabella8[[#This Row],[Colonna4]]/100</f>
        <v>17711.012697954626</v>
      </c>
    </row>
    <row r="962" spans="2:10">
      <c r="B962" s="92" t="s">
        <v>157</v>
      </c>
      <c r="C962" s="91" t="s">
        <v>2066</v>
      </c>
      <c r="D962" s="93">
        <v>104</v>
      </c>
      <c r="E962" s="93">
        <v>121</v>
      </c>
      <c r="F962" s="103">
        <f>IFERROR(INDEX(Tabella9[PLZ],MATCH(Tabella8[[#This Row],[Colonna2]],Tabella9[Ortschaftsname],0)), "Name not found")</f>
        <v>4652</v>
      </c>
      <c r="G962" s="103"/>
      <c r="H962" s="240">
        <f ca="1">SUMIF(Tabella2[[#Headers],[#Data],[Age]],$H$76,Tabella2[[#Headers],[#Data],[Federal taxes]])</f>
        <v>6804.3246087429152</v>
      </c>
      <c r="I962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2" s="240">
        <f ca="1">Tabella8[[#This Row],[Colonna7]]*Tabella8[[#This Row],[Colonna4]]/100</f>
        <v>17282.520455262176</v>
      </c>
    </row>
    <row r="963" spans="2:10">
      <c r="B963" s="92" t="s">
        <v>157</v>
      </c>
      <c r="C963" s="91" t="s">
        <v>2162</v>
      </c>
      <c r="D963" s="93">
        <v>104</v>
      </c>
      <c r="E963" s="93">
        <v>125</v>
      </c>
      <c r="F963" s="103">
        <v>4634</v>
      </c>
      <c r="G963" s="103"/>
      <c r="H963" s="240">
        <f ca="1">SUMIF(Tabella2[[#Headers],[#Data],[Age]],$H$76,Tabella2[[#Headers],[#Data],[Federal taxes]])</f>
        <v>6804.3246087429152</v>
      </c>
      <c r="I963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3" s="240">
        <f ca="1">Tabella8[[#This Row],[Colonna7]]*Tabella8[[#This Row],[Colonna4]]/100</f>
        <v>17853.843445518778</v>
      </c>
    </row>
    <row r="964" spans="2:10">
      <c r="B964" s="92" t="s">
        <v>157</v>
      </c>
      <c r="C964" s="91" t="s">
        <v>2075</v>
      </c>
      <c r="D964" s="93">
        <v>104</v>
      </c>
      <c r="E964" s="93">
        <v>110</v>
      </c>
      <c r="F964" s="103">
        <f>IFERROR(INDEX(Tabella9[PLZ],MATCH(Tabella8[[#This Row],[Colonna2]],Tabella9[Ortschaftsname],0)), "Name not found")</f>
        <v>4108</v>
      </c>
      <c r="G964" s="103"/>
      <c r="H964" s="240">
        <f ca="1">SUMIF(Tabella2[[#Headers],[#Data],[Age]],$H$76,Tabella2[[#Headers],[#Data],[Federal taxes]])</f>
        <v>6804.3246087429152</v>
      </c>
      <c r="I964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4" s="240">
        <f ca="1">Tabella8[[#This Row],[Colonna7]]*Tabella8[[#This Row],[Colonna4]]/100</f>
        <v>15711.382232056525</v>
      </c>
    </row>
    <row r="965" spans="2:10">
      <c r="B965" s="92" t="s">
        <v>157</v>
      </c>
      <c r="C965" s="91" t="s">
        <v>2062</v>
      </c>
      <c r="D965" s="93">
        <v>104</v>
      </c>
      <c r="E965" s="93">
        <v>117</v>
      </c>
      <c r="F965" s="103">
        <f>IFERROR(INDEX(Tabella9[PLZ],MATCH(Tabella8[[#This Row],[Colonna2]],Tabella9[Ortschaftsname],0)), "Name not found")</f>
        <v>4628</v>
      </c>
      <c r="G965" s="103"/>
      <c r="H965" s="240">
        <f ca="1">SUMIF(Tabella2[[#Headers],[#Data],[Age]],$H$76,Tabella2[[#Headers],[#Data],[Federal taxes]])</f>
        <v>6804.3246087429152</v>
      </c>
      <c r="I965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5" s="240">
        <f ca="1">Tabella8[[#This Row],[Colonna7]]*Tabella8[[#This Row],[Colonna4]]/100</f>
        <v>16711.197465005574</v>
      </c>
    </row>
    <row r="966" spans="2:10">
      <c r="B966" s="92" t="s">
        <v>157</v>
      </c>
      <c r="C966" s="91" t="s">
        <v>2027</v>
      </c>
      <c r="D966" s="93">
        <v>104</v>
      </c>
      <c r="E966" s="93">
        <v>118</v>
      </c>
      <c r="F966" s="103">
        <f>IFERROR(INDEX(Tabella9[PLZ],MATCH(Tabella8[[#This Row],[Colonna2]],Tabella9[Ortschaftsname],0)), "Name not found")</f>
        <v>4528</v>
      </c>
      <c r="G966" s="103"/>
      <c r="H966" s="240">
        <f ca="1">SUMIF(Tabella2[[#Headers],[#Data],[Age]],$H$76,Tabella2[[#Headers],[#Data],[Federal taxes]])</f>
        <v>6804.3246087429152</v>
      </c>
      <c r="I966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6" s="240">
        <f ca="1">Tabella8[[#This Row],[Colonna7]]*Tabella8[[#This Row],[Colonna4]]/100</f>
        <v>16854.028212569727</v>
      </c>
    </row>
    <row r="967" spans="2:10">
      <c r="B967" s="92" t="s">
        <v>157</v>
      </c>
      <c r="C967" s="91" t="s">
        <v>2147</v>
      </c>
      <c r="D967" s="93">
        <v>104</v>
      </c>
      <c r="E967" s="93">
        <v>139</v>
      </c>
      <c r="F967" s="103">
        <f>IFERROR(INDEX(Tabella9[PLZ],MATCH(Tabella8[[#This Row],[Colonna2]],Tabella9[Ortschaftsname],0)), "Name not found")</f>
        <v>4234</v>
      </c>
      <c r="G967" s="103"/>
      <c r="H967" s="240">
        <f ca="1">SUMIF(Tabella2[[#Headers],[#Data],[Age]],$H$76,Tabella2[[#Headers],[#Data],[Federal taxes]])</f>
        <v>6804.3246087429152</v>
      </c>
      <c r="I967" s="240">
        <f ca="1">IFERROR(INDEX(Tabella13[[TI]:[VS commun]], MATCH($H$76, Tabella13[Age], 0), MATCH(Tabella8[[#This Row],[Colonna1]], Tabella13[[#Headers], [TI]:[VS commun]], 0)), "Valore non trovato")*Tabella8[[#This Row],[Colonna3]]/100</f>
        <v>14283.074756415022</v>
      </c>
      <c r="J967" s="240">
        <f ca="1">Tabella8[[#This Row],[Colonna7]]*Tabella8[[#This Row],[Colonna4]]/100</f>
        <v>19853.473911416881</v>
      </c>
    </row>
    <row r="968" spans="2:10">
      <c r="B968" s="92" t="s">
        <v>144</v>
      </c>
      <c r="C968" s="91" t="s">
        <v>1121</v>
      </c>
      <c r="D968" s="93">
        <v>50</v>
      </c>
      <c r="E968" s="93">
        <v>50</v>
      </c>
      <c r="F968" s="103">
        <f>IFERROR(INDEX(Tabella9[PLZ],MATCH(Tabella8[[#This Row],[Colonna2]],Tabella9[Ortschaftsname],0)), "Name not found")</f>
        <v>4001</v>
      </c>
      <c r="G968" s="103"/>
      <c r="H968" s="240">
        <f ca="1">SUMIF(Tabella2[[#Headers],[#Data],[Age]],$H$76,Tabella2[[#Headers],[#Data],[Federal taxes]])</f>
        <v>6804.3246087429152</v>
      </c>
      <c r="I968" s="240">
        <f ca="1">IFERROR(INDEX(Tabella13[[TI]:[VS commun]], MATCH($H$76, Tabella13[Age], 0), MATCH(Tabella8[[#This Row],[Colonna1]], Tabella13[[#Headers], [TI]:[VS commun]], 0)), "Valore non trovato")*Tabella8[[#This Row],[Colonna3]]/100</f>
        <v>15369.92349016369</v>
      </c>
      <c r="J968" s="240">
        <f ca="1">Tabella8[[#This Row],[Colonna7]]*Tabella8[[#This Row],[Colonna4]]/100</f>
        <v>7684.961745081845</v>
      </c>
    </row>
    <row r="969" spans="2:10">
      <c r="B969" s="92" t="s">
        <v>144</v>
      </c>
      <c r="C969" s="91" t="s">
        <v>1123</v>
      </c>
      <c r="D969" s="93">
        <v>50</v>
      </c>
      <c r="E969" s="93">
        <v>37.5</v>
      </c>
      <c r="F969" s="103">
        <f>IFERROR(INDEX(Tabella9[PLZ],MATCH(Tabella8[[#This Row],[Colonna2]],Tabella9[Ortschaftsname],0)), "Name not found")</f>
        <v>4126</v>
      </c>
      <c r="G969" s="103"/>
      <c r="H969" s="240">
        <f ca="1">SUMIF(Tabella2[[#Headers],[#Data],[Age]],$H$76,Tabella2[[#Headers],[#Data],[Federal taxes]])</f>
        <v>6804.3246087429152</v>
      </c>
      <c r="I969" s="240">
        <f ca="1">IFERROR(INDEX(Tabella13[[TI]:[VS commun]], MATCH($H$76, Tabella13[Age], 0), MATCH(Tabella8[[#This Row],[Colonna1]], Tabella13[[#Headers], [TI]:[VS commun]], 0)), "Valore non trovato")*Tabella8[[#This Row],[Colonna3]]/100</f>
        <v>15369.92349016369</v>
      </c>
      <c r="J969" s="240">
        <f ca="1">Tabella8[[#This Row],[Colonna7]]*Tabella8[[#This Row],[Colonna4]]/100</f>
        <v>5763.721308811384</v>
      </c>
    </row>
    <row r="970" spans="2:10">
      <c r="B970" s="92" t="s">
        <v>144</v>
      </c>
      <c r="C970" s="91" t="s">
        <v>1122</v>
      </c>
      <c r="D970" s="93">
        <v>50</v>
      </c>
      <c r="E970" s="93">
        <v>40</v>
      </c>
      <c r="F970" s="103">
        <f>IFERROR(INDEX(Tabella9[PLZ],MATCH(Tabella8[[#This Row],[Colonna2]],Tabella9[Ortschaftsname],0)), "Name not found")</f>
        <v>4125</v>
      </c>
      <c r="G970" s="103"/>
      <c r="H970" s="240">
        <f ca="1">SUMIF(Tabella2[[#Headers],[#Data],[Age]],$H$76,Tabella2[[#Headers],[#Data],[Federal taxes]])</f>
        <v>6804.3246087429152</v>
      </c>
      <c r="I970" s="240">
        <f ca="1">IFERROR(INDEX(Tabella13[[TI]:[VS commun]], MATCH($H$76, Tabella13[Age], 0), MATCH(Tabella8[[#This Row],[Colonna1]], Tabella13[[#Headers], [TI]:[VS commun]], 0)), "Valore non trovato")*Tabella8[[#This Row],[Colonna3]]/100</f>
        <v>15369.92349016369</v>
      </c>
      <c r="J970" s="240">
        <f ca="1">Tabella8[[#This Row],[Colonna7]]*Tabella8[[#This Row],[Colonna4]]/100</f>
        <v>6147.9693960654758</v>
      </c>
    </row>
    <row r="971" spans="2:10">
      <c r="B971" s="92" t="s">
        <v>160</v>
      </c>
      <c r="C971" s="91" t="s">
        <v>1044</v>
      </c>
      <c r="D971" s="93">
        <v>100</v>
      </c>
      <c r="E971" s="93">
        <v>56</v>
      </c>
      <c r="F971" s="103">
        <v>4147</v>
      </c>
      <c r="G971" s="103"/>
      <c r="H971" s="240">
        <f ca="1">SUMIF(Tabella2[[#Headers],[#Data],[Age]],$H$76,Tabella2[[#Headers],[#Data],[Federal taxes]])</f>
        <v>6804.3246087429152</v>
      </c>
      <c r="I97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1" s="240">
        <f ca="1">Tabella8[[#This Row],[Colonna7]]*Tabella8[[#This Row],[Colonna4]]/100</f>
        <v>5067.897446908346</v>
      </c>
    </row>
    <row r="972" spans="2:10">
      <c r="B972" s="92" t="s">
        <v>160</v>
      </c>
      <c r="C972" s="91" t="s">
        <v>1034</v>
      </c>
      <c r="D972" s="93">
        <v>100</v>
      </c>
      <c r="E972" s="93">
        <v>58</v>
      </c>
      <c r="F972" s="103">
        <f>IFERROR(INDEX(Tabella9[PLZ],MATCH(Tabella8[[#This Row],[Colonna2]],Tabella9[Ortschaftsname],0)), "Name not found")</f>
        <v>4123</v>
      </c>
      <c r="G972" s="103"/>
      <c r="H972" s="240">
        <f ca="1">SUMIF(Tabella2[[#Headers],[#Data],[Age]],$H$76,Tabella2[[#Headers],[#Data],[Federal taxes]])</f>
        <v>6804.3246087429152</v>
      </c>
      <c r="I97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2" s="240">
        <f ca="1">Tabella8[[#This Row],[Colonna7]]*Tabella8[[#This Row],[Colonna4]]/100</f>
        <v>5248.8937842979294</v>
      </c>
    </row>
    <row r="973" spans="2:10">
      <c r="B973" s="92" t="s">
        <v>160</v>
      </c>
      <c r="C973" s="91" t="s">
        <v>1101</v>
      </c>
      <c r="D973" s="93">
        <v>100</v>
      </c>
      <c r="E973" s="93">
        <v>60</v>
      </c>
      <c r="F973" s="103">
        <f>IFERROR(INDEX(Tabella9[PLZ],MATCH(Tabella8[[#This Row],[Colonna2]],Tabella9[Ortschaftsname],0)), "Name not found")</f>
        <v>4469</v>
      </c>
      <c r="G973" s="103"/>
      <c r="H973" s="240">
        <f ca="1">SUMIF(Tabella2[[#Headers],[#Data],[Age]],$H$76,Tabella2[[#Headers],[#Data],[Federal taxes]])</f>
        <v>6804.3246087429152</v>
      </c>
      <c r="I97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3" s="240">
        <f ca="1">Tabella8[[#This Row],[Colonna7]]*Tabella8[[#This Row],[Colonna4]]/100</f>
        <v>5429.8901216875129</v>
      </c>
    </row>
    <row r="974" spans="2:10">
      <c r="B974" s="92" t="s">
        <v>160</v>
      </c>
      <c r="C974" s="91" t="s">
        <v>1102</v>
      </c>
      <c r="D974" s="93">
        <v>100</v>
      </c>
      <c r="E974" s="93">
        <v>60</v>
      </c>
      <c r="F974" s="103">
        <f>IFERROR(INDEX(Tabella9[PLZ],MATCH(Tabella8[[#This Row],[Colonna2]],Tabella9[Ortschaftsname],0)), "Name not found")</f>
        <v>4424</v>
      </c>
      <c r="G974" s="103"/>
      <c r="H974" s="240">
        <f ca="1">SUMIF(Tabella2[[#Headers],[#Data],[Age]],$H$76,Tabella2[[#Headers],[#Data],[Federal taxes]])</f>
        <v>6804.3246087429152</v>
      </c>
      <c r="I97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4" s="240">
        <f ca="1">Tabella8[[#This Row],[Colonna7]]*Tabella8[[#This Row],[Colonna4]]/100</f>
        <v>5429.8901216875129</v>
      </c>
    </row>
    <row r="975" spans="2:10">
      <c r="B975" s="92" t="s">
        <v>160</v>
      </c>
      <c r="C975" s="91" t="s">
        <v>1069</v>
      </c>
      <c r="D975" s="93">
        <v>100</v>
      </c>
      <c r="E975" s="93">
        <v>59</v>
      </c>
      <c r="F975" s="103">
        <f>IFERROR(INDEX(Tabella9[PLZ],MATCH(Tabella8[[#This Row],[Colonna2]],Tabella9[Ortschaftsname],0)), "Name not found")</f>
        <v>4422</v>
      </c>
      <c r="G975" s="103"/>
      <c r="H975" s="240">
        <f ca="1">SUMIF(Tabella2[[#Headers],[#Data],[Age]],$H$76,Tabella2[[#Headers],[#Data],[Federal taxes]])</f>
        <v>6804.3246087429152</v>
      </c>
      <c r="I97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5" s="240">
        <f ca="1">Tabella8[[#This Row],[Colonna7]]*Tabella8[[#This Row],[Colonna4]]/100</f>
        <v>5339.3919529927216</v>
      </c>
    </row>
    <row r="976" spans="2:10">
      <c r="B976" s="92" t="s">
        <v>160</v>
      </c>
      <c r="C976" s="91" t="s">
        <v>1046</v>
      </c>
      <c r="D976" s="93">
        <v>100</v>
      </c>
      <c r="E976" s="93">
        <v>47</v>
      </c>
      <c r="F976" s="103">
        <f>IFERROR(INDEX(Tabella9[PLZ],MATCH(Tabella8[[#This Row],[Colonna2]],Tabella9[Ortschaftsname],0)), "Name not found")</f>
        <v>4144</v>
      </c>
      <c r="G976" s="103"/>
      <c r="H976" s="240">
        <f ca="1">SUMIF(Tabella2[[#Headers],[#Data],[Age]],$H$76,Tabella2[[#Headers],[#Data],[Federal taxes]])</f>
        <v>6804.3246087429152</v>
      </c>
      <c r="I97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6" s="240">
        <f ca="1">Tabella8[[#This Row],[Colonna7]]*Tabella8[[#This Row],[Colonna4]]/100</f>
        <v>4253.413928655219</v>
      </c>
    </row>
    <row r="977" spans="2:10">
      <c r="B977" s="92" t="s">
        <v>160</v>
      </c>
      <c r="C977" s="91" t="s">
        <v>1083</v>
      </c>
      <c r="D977" s="93">
        <v>100</v>
      </c>
      <c r="E977" s="93">
        <v>53</v>
      </c>
      <c r="F977" s="103">
        <v>4302</v>
      </c>
      <c r="G977" s="103"/>
      <c r="H977" s="240">
        <f ca="1">SUMIF(Tabella2[[#Headers],[#Data],[Age]],$H$76,Tabella2[[#Headers],[#Data],[Federal taxes]])</f>
        <v>6804.3246087429152</v>
      </c>
      <c r="I97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7" s="240">
        <f ca="1">Tabella8[[#This Row],[Colonna7]]*Tabella8[[#This Row],[Colonna4]]/100</f>
        <v>4796.4029408239703</v>
      </c>
    </row>
    <row r="978" spans="2:10">
      <c r="B978" s="92" t="s">
        <v>160</v>
      </c>
      <c r="C978" s="91" t="s">
        <v>1098</v>
      </c>
      <c r="D978" s="93">
        <v>100</v>
      </c>
      <c r="E978" s="93">
        <v>64</v>
      </c>
      <c r="F978" s="103">
        <f>IFERROR(INDEX(Tabella9[PLZ],MATCH(Tabella8[[#This Row],[Colonna2]],Tabella9[Ortschaftsname],0)), "Name not found")</f>
        <v>4431</v>
      </c>
      <c r="G978" s="103"/>
      <c r="H978" s="240">
        <f ca="1">SUMIF(Tabella2[[#Headers],[#Data],[Age]],$H$76,Tabella2[[#Headers],[#Data],[Federal taxes]])</f>
        <v>6804.3246087429152</v>
      </c>
      <c r="I97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8" s="240">
        <f ca="1">Tabella8[[#This Row],[Colonna7]]*Tabella8[[#This Row],[Colonna4]]/100</f>
        <v>5791.8827964666816</v>
      </c>
    </row>
    <row r="979" spans="2:10">
      <c r="B979" s="92" t="s">
        <v>160</v>
      </c>
      <c r="C979" s="91" t="s">
        <v>1056</v>
      </c>
      <c r="D979" s="93">
        <v>100</v>
      </c>
      <c r="E979" s="93">
        <v>46</v>
      </c>
      <c r="F979" s="103">
        <v>4105</v>
      </c>
      <c r="G979" s="103"/>
      <c r="H979" s="240">
        <f ca="1">SUMIF(Tabella2[[#Headers],[#Data],[Age]],$H$76,Tabella2[[#Headers],[#Data],[Federal taxes]])</f>
        <v>6804.3246087429152</v>
      </c>
      <c r="I97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79" s="240">
        <f ca="1">Tabella8[[#This Row],[Colonna7]]*Tabella8[[#This Row],[Colonna4]]/100</f>
        <v>4162.9157599604268</v>
      </c>
    </row>
    <row r="980" spans="2:10">
      <c r="B980" s="92" t="s">
        <v>160</v>
      </c>
      <c r="C980" s="91" t="s">
        <v>1039</v>
      </c>
      <c r="D980" s="93">
        <v>100</v>
      </c>
      <c r="E980" s="93">
        <v>49</v>
      </c>
      <c r="F980" s="103">
        <f>IFERROR(INDEX(Tabella9[PLZ],MATCH(Tabella8[[#This Row],[Colonna2]],Tabella9[Ortschaftsname],0)), "Name not found")</f>
        <v>4102</v>
      </c>
      <c r="G980" s="103"/>
      <c r="H980" s="240">
        <f ca="1">SUMIF(Tabella2[[#Headers],[#Data],[Age]],$H$76,Tabella2[[#Headers],[#Data],[Federal taxes]])</f>
        <v>6804.3246087429152</v>
      </c>
      <c r="I98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0" s="240">
        <f ca="1">Tabella8[[#This Row],[Colonna7]]*Tabella8[[#This Row],[Colonna4]]/100</f>
        <v>4434.4102660448025</v>
      </c>
    </row>
    <row r="981" spans="2:10">
      <c r="B981" s="92" t="s">
        <v>160</v>
      </c>
      <c r="C981" s="91" t="s">
        <v>1043</v>
      </c>
      <c r="D981" s="93">
        <v>100</v>
      </c>
      <c r="E981" s="93">
        <v>62</v>
      </c>
      <c r="F981" s="103">
        <f>IFERROR(INDEX(Tabella9[PLZ],MATCH(Tabella8[[#This Row],[Colonna2]],Tabella9[Ortschaftsname],0)), "Name not found")</f>
        <v>4127</v>
      </c>
      <c r="G981" s="103"/>
      <c r="H981" s="240">
        <f ca="1">SUMIF(Tabella2[[#Headers],[#Data],[Age]],$H$76,Tabella2[[#Headers],[#Data],[Federal taxes]])</f>
        <v>6804.3246087429152</v>
      </c>
      <c r="I98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1" s="240">
        <f ca="1">Tabella8[[#This Row],[Colonna7]]*Tabella8[[#This Row],[Colonna4]]/100</f>
        <v>5610.8864590770972</v>
      </c>
    </row>
    <row r="982" spans="2:10">
      <c r="B982" s="92" t="s">
        <v>160</v>
      </c>
      <c r="C982" s="91" t="s">
        <v>1097</v>
      </c>
      <c r="D982" s="93">
        <v>100</v>
      </c>
      <c r="E982" s="93">
        <v>59.5</v>
      </c>
      <c r="F982" s="103">
        <f>IFERROR(INDEX(Tabella9[PLZ],MATCH(Tabella8[[#This Row],[Colonna2]],Tabella9[Ortschaftsname],0)), "Name not found")</f>
        <v>4223</v>
      </c>
      <c r="G982" s="103"/>
      <c r="H982" s="240">
        <f ca="1">SUMIF(Tabella2[[#Headers],[#Data],[Age]],$H$76,Tabella2[[#Headers],[#Data],[Federal taxes]])</f>
        <v>6804.3246087429152</v>
      </c>
      <c r="I98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2" s="240">
        <f ca="1">Tabella8[[#This Row],[Colonna7]]*Tabella8[[#This Row],[Colonna4]]/100</f>
        <v>5384.6410373401177</v>
      </c>
    </row>
    <row r="983" spans="2:10">
      <c r="B983" s="92" t="s">
        <v>160</v>
      </c>
      <c r="C983" s="91" t="s">
        <v>1048</v>
      </c>
      <c r="D983" s="93">
        <v>100</v>
      </c>
      <c r="E983" s="93">
        <v>45</v>
      </c>
      <c r="F983" s="103">
        <f>IFERROR(INDEX(Tabella9[PLZ],MATCH(Tabella8[[#This Row],[Colonna2]],Tabella9[Ortschaftsname],0)), "Name not found")</f>
        <v>4103</v>
      </c>
      <c r="G983" s="103"/>
      <c r="H983" s="240">
        <f ca="1">SUMIF(Tabella2[[#Headers],[#Data],[Age]],$H$76,Tabella2[[#Headers],[#Data],[Federal taxes]])</f>
        <v>6804.3246087429152</v>
      </c>
      <c r="I98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3" s="240">
        <f ca="1">Tabella8[[#This Row],[Colonna7]]*Tabella8[[#This Row],[Colonna4]]/100</f>
        <v>4072.4175912656351</v>
      </c>
    </row>
    <row r="984" spans="2:10">
      <c r="B984" s="92" t="s">
        <v>160</v>
      </c>
      <c r="C984" s="91" t="s">
        <v>1090</v>
      </c>
      <c r="D984" s="93">
        <v>100</v>
      </c>
      <c r="E984" s="93">
        <v>58</v>
      </c>
      <c r="F984" s="103">
        <f>IFERROR(INDEX(Tabella9[PLZ],MATCH(Tabella8[[#This Row],[Colonna2]],Tabella9[Ortschaftsname],0)), "Name not found")</f>
        <v>4207</v>
      </c>
      <c r="G984" s="103"/>
      <c r="H984" s="240">
        <f ca="1">SUMIF(Tabella2[[#Headers],[#Data],[Age]],$H$76,Tabella2[[#Headers],[#Data],[Federal taxes]])</f>
        <v>6804.3246087429152</v>
      </c>
      <c r="I98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4" s="240">
        <f ca="1">Tabella8[[#This Row],[Colonna7]]*Tabella8[[#This Row],[Colonna4]]/100</f>
        <v>5248.8937842979294</v>
      </c>
    </row>
    <row r="985" spans="2:10">
      <c r="B985" s="92" t="s">
        <v>160</v>
      </c>
      <c r="C985" s="91" t="s">
        <v>1068</v>
      </c>
      <c r="D985" s="93">
        <v>100</v>
      </c>
      <c r="E985" s="93">
        <v>57</v>
      </c>
      <c r="F985" s="103">
        <f>IFERROR(INDEX(Tabella9[PLZ],MATCH(Tabella8[[#This Row],[Colonna2]],Tabella9[Ortschaftsname],0)), "Name not found")</f>
        <v>4225</v>
      </c>
      <c r="G985" s="103"/>
      <c r="H985" s="240">
        <f ca="1">SUMIF(Tabella2[[#Headers],[#Data],[Age]],$H$76,Tabella2[[#Headers],[#Data],[Federal taxes]])</f>
        <v>6804.3246087429152</v>
      </c>
      <c r="I98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5" s="240">
        <f ca="1">Tabella8[[#This Row],[Colonna7]]*Tabella8[[#This Row],[Colonna4]]/100</f>
        <v>5158.3956156031381</v>
      </c>
    </row>
    <row r="986" spans="2:10">
      <c r="B986" s="92" t="s">
        <v>160</v>
      </c>
      <c r="C986" s="91" t="s">
        <v>1055</v>
      </c>
      <c r="D986" s="93">
        <v>100</v>
      </c>
      <c r="E986" s="93">
        <v>60</v>
      </c>
      <c r="F986" s="103">
        <f>IFERROR(INDEX(Tabella9[PLZ],MATCH(Tabella8[[#This Row],[Colonna2]],Tabella9[Ortschaftsname],0)), "Name not found")</f>
        <v>4416</v>
      </c>
      <c r="G986" s="103"/>
      <c r="H986" s="240">
        <f ca="1">SUMIF(Tabella2[[#Headers],[#Data],[Age]],$H$76,Tabella2[[#Headers],[#Data],[Federal taxes]])</f>
        <v>6804.3246087429152</v>
      </c>
      <c r="I98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6" s="240">
        <f ca="1">Tabella8[[#This Row],[Colonna7]]*Tabella8[[#This Row],[Colonna4]]/100</f>
        <v>5429.8901216875129</v>
      </c>
    </row>
    <row r="987" spans="2:10">
      <c r="B987" s="92" t="s">
        <v>160</v>
      </c>
      <c r="C987" s="91" t="s">
        <v>1096</v>
      </c>
      <c r="D987" s="93">
        <v>100</v>
      </c>
      <c r="E987" s="93">
        <v>64</v>
      </c>
      <c r="F987" s="103">
        <f>IFERROR(INDEX(Tabella9[PLZ],MATCH(Tabella8[[#This Row],[Colonna2]],Tabella9[Ortschaftsname],0)), "Name not found")</f>
        <v>4446</v>
      </c>
      <c r="G987" s="103"/>
      <c r="H987" s="240">
        <f ca="1">SUMIF(Tabella2[[#Headers],[#Data],[Age]],$H$76,Tabella2[[#Headers],[#Data],[Federal taxes]])</f>
        <v>6804.3246087429152</v>
      </c>
      <c r="I98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7" s="240">
        <f ca="1">Tabella8[[#This Row],[Colonna7]]*Tabella8[[#This Row],[Colonna4]]/100</f>
        <v>5791.8827964666816</v>
      </c>
    </row>
    <row r="988" spans="2:10">
      <c r="B988" s="92" t="s">
        <v>160</v>
      </c>
      <c r="C988" s="91" t="s">
        <v>1116</v>
      </c>
      <c r="D988" s="93">
        <v>100</v>
      </c>
      <c r="E988" s="93">
        <v>68</v>
      </c>
      <c r="F988" s="103">
        <f>IFERROR(INDEX(Tabella9[PLZ],MATCH(Tabella8[[#This Row],[Colonna2]],Tabella9[Ortschaftsname],0)), "Name not found")</f>
        <v>4117</v>
      </c>
      <c r="G988" s="103"/>
      <c r="H988" s="240">
        <f ca="1">SUMIF(Tabella2[[#Headers],[#Data],[Age]],$H$76,Tabella2[[#Headers],[#Data],[Federal taxes]])</f>
        <v>6804.3246087429152</v>
      </c>
      <c r="I98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8" s="240">
        <f ca="1">Tabella8[[#This Row],[Colonna7]]*Tabella8[[#This Row],[Colonna4]]/100</f>
        <v>6153.8754712458494</v>
      </c>
    </row>
    <row r="989" spans="2:10">
      <c r="B989" s="92" t="s">
        <v>160</v>
      </c>
      <c r="C989" s="91" t="s">
        <v>1081</v>
      </c>
      <c r="D989" s="93">
        <v>100</v>
      </c>
      <c r="E989" s="93">
        <v>58</v>
      </c>
      <c r="F989" s="103">
        <f>IFERROR(INDEX(Tabella9[PLZ],MATCH(Tabella8[[#This Row],[Colonna2]],Tabella9[Ortschaftsname],0)), "Name not found")</f>
        <v>4463</v>
      </c>
      <c r="G989" s="103"/>
      <c r="H989" s="240">
        <f ca="1">SUMIF(Tabella2[[#Headers],[#Data],[Age]],$H$76,Tabella2[[#Headers],[#Data],[Federal taxes]])</f>
        <v>6804.3246087429152</v>
      </c>
      <c r="I98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89" s="240">
        <f ca="1">Tabella8[[#This Row],[Colonna7]]*Tabella8[[#This Row],[Colonna4]]/100</f>
        <v>5248.8937842979294</v>
      </c>
    </row>
    <row r="990" spans="2:10">
      <c r="B990" s="92" t="s">
        <v>160</v>
      </c>
      <c r="C990" s="91" t="s">
        <v>1088</v>
      </c>
      <c r="D990" s="93">
        <v>100</v>
      </c>
      <c r="E990" s="93">
        <v>59</v>
      </c>
      <c r="F990" s="103">
        <f>IFERROR(INDEX(Tabella9[PLZ],MATCH(Tabella8[[#This Row],[Colonna2]],Tabella9[Ortschaftsname],0)), "Name not found")</f>
        <v>4461</v>
      </c>
      <c r="G990" s="103"/>
      <c r="H990" s="240">
        <f ca="1">SUMIF(Tabella2[[#Headers],[#Data],[Age]],$H$76,Tabella2[[#Headers],[#Data],[Federal taxes]])</f>
        <v>6804.3246087429152</v>
      </c>
      <c r="I99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0" s="240">
        <f ca="1">Tabella8[[#This Row],[Colonna7]]*Tabella8[[#This Row],[Colonna4]]/100</f>
        <v>5339.3919529927216</v>
      </c>
    </row>
    <row r="991" spans="2:10">
      <c r="B991" s="92" t="s">
        <v>160</v>
      </c>
      <c r="C991" s="91" t="s">
        <v>1067</v>
      </c>
      <c r="D991" s="93">
        <v>100</v>
      </c>
      <c r="E991" s="93">
        <v>56</v>
      </c>
      <c r="F991" s="103">
        <f>IFERROR(INDEX(Tabella9[PLZ],MATCH(Tabella8[[#This Row],[Colonna2]],Tabella9[Ortschaftsname],0)), "Name not found")</f>
        <v>4457</v>
      </c>
      <c r="G991" s="103"/>
      <c r="H991" s="240">
        <f ca="1">SUMIF(Tabella2[[#Headers],[#Data],[Age]],$H$76,Tabella2[[#Headers],[#Data],[Federal taxes]])</f>
        <v>6804.3246087429152</v>
      </c>
      <c r="I99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1" s="240">
        <f ca="1">Tabella8[[#This Row],[Colonna7]]*Tabella8[[#This Row],[Colonna4]]/100</f>
        <v>5067.897446908346</v>
      </c>
    </row>
    <row r="992" spans="2:10">
      <c r="B992" s="92" t="s">
        <v>160</v>
      </c>
      <c r="C992" s="91" t="s">
        <v>1093</v>
      </c>
      <c r="D992" s="93">
        <v>100</v>
      </c>
      <c r="E992" s="93">
        <v>65</v>
      </c>
      <c r="F992" s="103">
        <f>IFERROR(INDEX(Tabella9[PLZ],MATCH(Tabella8[[#This Row],[Colonna2]],Tabella9[Ortschaftsname],0)), "Name not found")</f>
        <v>4442</v>
      </c>
      <c r="G992" s="103"/>
      <c r="H992" s="240">
        <f ca="1">SUMIF(Tabella2[[#Headers],[#Data],[Age]],$H$76,Tabella2[[#Headers],[#Data],[Federal taxes]])</f>
        <v>6804.3246087429152</v>
      </c>
      <c r="I99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2" s="240">
        <f ca="1">Tabella8[[#This Row],[Colonna7]]*Tabella8[[#This Row],[Colonna4]]/100</f>
        <v>5882.3809651614729</v>
      </c>
    </row>
    <row r="993" spans="2:10">
      <c r="B993" s="92" t="s">
        <v>160</v>
      </c>
      <c r="C993" s="91" t="s">
        <v>1094</v>
      </c>
      <c r="D993" s="93">
        <v>100</v>
      </c>
      <c r="E993" s="93">
        <v>64</v>
      </c>
      <c r="F993" s="103">
        <f>IFERROR(INDEX(Tabella9[PLZ],MATCH(Tabella8[[#This Row],[Colonna2]],Tabella9[Ortschaftsname],0)), "Name not found")</f>
        <v>4243</v>
      </c>
      <c r="G993" s="103"/>
      <c r="H993" s="240">
        <f ca="1">SUMIF(Tabella2[[#Headers],[#Data],[Age]],$H$76,Tabella2[[#Headers],[#Data],[Federal taxes]])</f>
        <v>6804.3246087429152</v>
      </c>
      <c r="I99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3" s="240">
        <f ca="1">Tabella8[[#This Row],[Colonna7]]*Tabella8[[#This Row],[Colonna4]]/100</f>
        <v>5791.8827964666816</v>
      </c>
    </row>
    <row r="994" spans="2:10">
      <c r="B994" s="92" t="s">
        <v>160</v>
      </c>
      <c r="C994" s="91" t="s">
        <v>1072</v>
      </c>
      <c r="D994" s="93">
        <v>100</v>
      </c>
      <c r="E994" s="93">
        <v>54</v>
      </c>
      <c r="F994" s="103">
        <f>IFERROR(INDEX(Tabella9[PLZ],MATCH(Tabella8[[#This Row],[Colonna2]],Tabella9[Ortschaftsname],0)), "Name not found")</f>
        <v>4202</v>
      </c>
      <c r="G994" s="103"/>
      <c r="H994" s="240">
        <f ca="1">SUMIF(Tabella2[[#Headers],[#Data],[Age]],$H$76,Tabella2[[#Headers],[#Data],[Federal taxes]])</f>
        <v>6804.3246087429152</v>
      </c>
      <c r="I99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4" s="240">
        <f ca="1">Tabella8[[#This Row],[Colonna7]]*Tabella8[[#This Row],[Colonna4]]/100</f>
        <v>4886.9011095187625</v>
      </c>
    </row>
    <row r="995" spans="2:10">
      <c r="B995" s="92" t="s">
        <v>160</v>
      </c>
      <c r="C995" s="91" t="s">
        <v>1103</v>
      </c>
      <c r="D995" s="93">
        <v>100</v>
      </c>
      <c r="E995" s="93">
        <v>65</v>
      </c>
      <c r="F995" s="103">
        <f>IFERROR(INDEX(Tabella9[PLZ],MATCH(Tabella8[[#This Row],[Colonna2]],Tabella9[Ortschaftsname],0)), "Name not found")</f>
        <v>4458</v>
      </c>
      <c r="G995" s="103"/>
      <c r="H995" s="240">
        <f ca="1">SUMIF(Tabella2[[#Headers],[#Data],[Age]],$H$76,Tabella2[[#Headers],[#Data],[Federal taxes]])</f>
        <v>6804.3246087429152</v>
      </c>
      <c r="I99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5" s="240">
        <f ca="1">Tabella8[[#This Row],[Colonna7]]*Tabella8[[#This Row],[Colonna4]]/100</f>
        <v>5882.3809651614729</v>
      </c>
    </row>
    <row r="996" spans="2:10">
      <c r="B996" s="92" t="s">
        <v>160</v>
      </c>
      <c r="C996" s="91" t="s">
        <v>1052</v>
      </c>
      <c r="D996" s="93">
        <v>100</v>
      </c>
      <c r="E996" s="93">
        <v>61</v>
      </c>
      <c r="F996" s="103">
        <f>IFERROR(INDEX(Tabella9[PLZ],MATCH(Tabella8[[#This Row],[Colonna2]],Tabella9[Ortschaftsname],0)), "Name not found")</f>
        <v>4107</v>
      </c>
      <c r="G996" s="103"/>
      <c r="H996" s="240">
        <f ca="1">SUMIF(Tabella2[[#Headers],[#Data],[Age]],$H$76,Tabella2[[#Headers],[#Data],[Federal taxes]])</f>
        <v>6804.3246087429152</v>
      </c>
      <c r="I99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6" s="240">
        <f ca="1">Tabella8[[#This Row],[Colonna7]]*Tabella8[[#This Row],[Colonna4]]/100</f>
        <v>5520.388290382306</v>
      </c>
    </row>
    <row r="997" spans="2:10">
      <c r="B997" s="92" t="s">
        <v>160</v>
      </c>
      <c r="C997" s="91" t="s">
        <v>1049</v>
      </c>
      <c r="D997" s="93">
        <v>100</v>
      </c>
      <c r="E997" s="93">
        <v>57</v>
      </c>
      <c r="F997" s="103">
        <f>IFERROR(INDEX(Tabella9[PLZ],MATCH(Tabella8[[#This Row],[Colonna2]],Tabella9[Ortschaftsname],0)), "Name not found")</f>
        <v>4402</v>
      </c>
      <c r="G997" s="103"/>
      <c r="H997" s="240">
        <f ca="1">SUMIF(Tabella2[[#Headers],[#Data],[Age]],$H$76,Tabella2[[#Headers],[#Data],[Federal taxes]])</f>
        <v>6804.3246087429152</v>
      </c>
      <c r="I99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7" s="240">
        <f ca="1">Tabella8[[#This Row],[Colonna7]]*Tabella8[[#This Row],[Colonna4]]/100</f>
        <v>5158.3956156031381</v>
      </c>
    </row>
    <row r="998" spans="2:10">
      <c r="B998" s="92" t="s">
        <v>160</v>
      </c>
      <c r="C998" s="91" t="s">
        <v>1054</v>
      </c>
      <c r="D998" s="93">
        <v>100</v>
      </c>
      <c r="E998" s="93">
        <v>60</v>
      </c>
      <c r="F998" s="103">
        <f>IFERROR(INDEX(Tabella9[PLZ],MATCH(Tabella8[[#This Row],[Colonna2]],Tabella9[Ortschaftsname],0)), "Name not found")</f>
        <v>4414</v>
      </c>
      <c r="G998" s="103"/>
      <c r="H998" s="240">
        <f ca="1">SUMIF(Tabella2[[#Headers],[#Data],[Age]],$H$76,Tabella2[[#Headers],[#Data],[Federal taxes]])</f>
        <v>6804.3246087429152</v>
      </c>
      <c r="I99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8" s="240">
        <f ca="1">Tabella8[[#This Row],[Colonna7]]*Tabella8[[#This Row],[Colonna4]]/100</f>
        <v>5429.8901216875129</v>
      </c>
    </row>
    <row r="999" spans="2:10">
      <c r="B999" s="92" t="s">
        <v>160</v>
      </c>
      <c r="C999" s="91" t="s">
        <v>1050</v>
      </c>
      <c r="D999" s="93">
        <v>100</v>
      </c>
      <c r="E999" s="93">
        <v>59</v>
      </c>
      <c r="F999" s="103">
        <f>IFERROR(INDEX(Tabella9[PLZ],MATCH(Tabella8[[#This Row],[Colonna2]],Tabella9[Ortschaftsname],0)), "Name not found")</f>
        <v>4460</v>
      </c>
      <c r="G999" s="103"/>
      <c r="H999" s="240">
        <f ca="1">SUMIF(Tabella2[[#Headers],[#Data],[Age]],$H$76,Tabella2[[#Headers],[#Data],[Federal taxes]])</f>
        <v>6804.3246087429152</v>
      </c>
      <c r="I99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999" s="240">
        <f ca="1">Tabella8[[#This Row],[Colonna7]]*Tabella8[[#This Row],[Colonna4]]/100</f>
        <v>5339.3919529927216</v>
      </c>
    </row>
    <row r="1000" spans="2:10">
      <c r="B1000" s="92" t="s">
        <v>160</v>
      </c>
      <c r="C1000" s="91" t="s">
        <v>1082</v>
      </c>
      <c r="D1000" s="93">
        <v>100</v>
      </c>
      <c r="E1000" s="93">
        <v>55</v>
      </c>
      <c r="F1000" s="103">
        <f>IFERROR(INDEX(Tabella9[PLZ],MATCH(Tabella8[[#This Row],[Colonna2]],Tabella9[Ortschaftsname],0)), "Name not found")</f>
        <v>4304</v>
      </c>
      <c r="G1000" s="103"/>
      <c r="H1000" s="240">
        <f ca="1">SUMIF(Tabella2[[#Headers],[#Data],[Age]],$H$76,Tabella2[[#Headers],[#Data],[Federal taxes]])</f>
        <v>6804.3246087429152</v>
      </c>
      <c r="I100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0" s="240">
        <f ca="1">Tabella8[[#This Row],[Colonna7]]*Tabella8[[#This Row],[Colonna4]]/100</f>
        <v>4977.3992782135538</v>
      </c>
    </row>
    <row r="1001" spans="2:10">
      <c r="B1001" s="92" t="s">
        <v>160</v>
      </c>
      <c r="C1001" s="91" t="s">
        <v>1065</v>
      </c>
      <c r="D1001" s="93">
        <v>100</v>
      </c>
      <c r="E1001" s="93">
        <v>62</v>
      </c>
      <c r="F1001" s="103">
        <f>IFERROR(INDEX(Tabella9[PLZ],MATCH(Tabella8[[#This Row],[Colonna2]],Tabella9[Ortschaftsname],0)), "Name not found")</f>
        <v>4203</v>
      </c>
      <c r="G1001" s="103"/>
      <c r="H1001" s="240">
        <f ca="1">SUMIF(Tabella2[[#Headers],[#Data],[Age]],$H$76,Tabella2[[#Headers],[#Data],[Federal taxes]])</f>
        <v>6804.3246087429152</v>
      </c>
      <c r="I100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1" s="240">
        <f ca="1">Tabella8[[#This Row],[Colonna7]]*Tabella8[[#This Row],[Colonna4]]/100</f>
        <v>5610.8864590770972</v>
      </c>
    </row>
    <row r="1002" spans="2:10">
      <c r="B1002" s="92" t="s">
        <v>160</v>
      </c>
      <c r="C1002" s="91" t="s">
        <v>1118</v>
      </c>
      <c r="D1002" s="93">
        <v>100</v>
      </c>
      <c r="E1002" s="93">
        <v>67</v>
      </c>
      <c r="F1002" s="103">
        <f>IFERROR(INDEX(Tabella9[PLZ],MATCH(Tabella8[[#This Row],[Colonna2]],Tabella9[Ortschaftsname],0)), "Name not found")</f>
        <v>4465</v>
      </c>
      <c r="G1002" s="103"/>
      <c r="H1002" s="240">
        <f ca="1">SUMIF(Tabella2[[#Headers],[#Data],[Age]],$H$76,Tabella2[[#Headers],[#Data],[Federal taxes]])</f>
        <v>6804.3246087429152</v>
      </c>
      <c r="I100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2" s="240">
        <f ca="1">Tabella8[[#This Row],[Colonna7]]*Tabella8[[#This Row],[Colonna4]]/100</f>
        <v>6063.3773025510563</v>
      </c>
    </row>
    <row r="1003" spans="2:10">
      <c r="B1003" s="92" t="s">
        <v>160</v>
      </c>
      <c r="C1003" s="91" t="s">
        <v>1113</v>
      </c>
      <c r="D1003" s="93">
        <v>100</v>
      </c>
      <c r="E1003" s="93">
        <v>59</v>
      </c>
      <c r="F1003" s="103">
        <f>IFERROR(INDEX(Tabella9[PLZ],MATCH(Tabella8[[#This Row],[Colonna2]],Tabella9[Ortschaftsname],0)), "Name not found")</f>
        <v>4423</v>
      </c>
      <c r="G1003" s="103"/>
      <c r="H1003" s="240">
        <f ca="1">SUMIF(Tabella2[[#Headers],[#Data],[Age]],$H$76,Tabella2[[#Headers],[#Data],[Federal taxes]])</f>
        <v>6804.3246087429152</v>
      </c>
      <c r="I100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3" s="240">
        <f ca="1">Tabella8[[#This Row],[Colonna7]]*Tabella8[[#This Row],[Colonna4]]/100</f>
        <v>5339.3919529927216</v>
      </c>
    </row>
    <row r="1004" spans="2:10">
      <c r="B1004" s="92" t="s">
        <v>160</v>
      </c>
      <c r="C1004" s="91" t="s">
        <v>1114</v>
      </c>
      <c r="D1004" s="93">
        <v>100</v>
      </c>
      <c r="E1004" s="93">
        <v>61</v>
      </c>
      <c r="F1004" s="103">
        <f>IFERROR(INDEX(Tabella9[PLZ],MATCH(Tabella8[[#This Row],[Colonna2]],Tabella9[Ortschaftsname],0)), "Name not found")</f>
        <v>4445</v>
      </c>
      <c r="G1004" s="103"/>
      <c r="H1004" s="240">
        <f ca="1">SUMIF(Tabella2[[#Headers],[#Data],[Age]],$H$76,Tabella2[[#Headers],[#Data],[Federal taxes]])</f>
        <v>6804.3246087429152</v>
      </c>
      <c r="I100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4" s="240">
        <f ca="1">Tabella8[[#This Row],[Colonna7]]*Tabella8[[#This Row],[Colonna4]]/100</f>
        <v>5520.388290382306</v>
      </c>
    </row>
    <row r="1005" spans="2:10">
      <c r="B1005" s="92" t="s">
        <v>160</v>
      </c>
      <c r="C1005" s="91" t="s">
        <v>1058</v>
      </c>
      <c r="D1005" s="93">
        <v>100</v>
      </c>
      <c r="E1005" s="93">
        <v>63</v>
      </c>
      <c r="F1005" s="103">
        <f>IFERROR(INDEX(Tabella9[PLZ],MATCH(Tabella8[[#This Row],[Colonna2]],Tabella9[Ortschaftsname],0)), "Name not found")</f>
        <v>4434</v>
      </c>
      <c r="G1005" s="103"/>
      <c r="H1005" s="240">
        <f ca="1">SUMIF(Tabella2[[#Headers],[#Data],[Age]],$H$76,Tabella2[[#Headers],[#Data],[Federal taxes]])</f>
        <v>6804.3246087429152</v>
      </c>
      <c r="I100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5" s="240">
        <f ca="1">Tabella8[[#This Row],[Colonna7]]*Tabella8[[#This Row],[Colonna4]]/100</f>
        <v>5701.3846277718894</v>
      </c>
    </row>
    <row r="1006" spans="2:10">
      <c r="B1006" s="92" t="s">
        <v>160</v>
      </c>
      <c r="C1006" s="91" t="s">
        <v>1063</v>
      </c>
      <c r="D1006" s="93">
        <v>100</v>
      </c>
      <c r="E1006" s="93">
        <v>63</v>
      </c>
      <c r="F1006" s="103">
        <f>IFERROR(INDEX(Tabella9[PLZ],MATCH(Tabella8[[#This Row],[Colonna2]],Tabella9[Ortschaftsname],0)), "Name not found")</f>
        <v>4452</v>
      </c>
      <c r="G1006" s="103"/>
      <c r="H1006" s="240">
        <f ca="1">SUMIF(Tabella2[[#Headers],[#Data],[Age]],$H$76,Tabella2[[#Headers],[#Data],[Federal taxes]])</f>
        <v>6804.3246087429152</v>
      </c>
      <c r="I100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6" s="240">
        <f ca="1">Tabella8[[#This Row],[Colonna7]]*Tabella8[[#This Row],[Colonna4]]/100</f>
        <v>5701.3846277718894</v>
      </c>
    </row>
    <row r="1007" spans="2:10">
      <c r="B1007" s="92" t="s">
        <v>160</v>
      </c>
      <c r="C1007" s="91" t="s">
        <v>1120</v>
      </c>
      <c r="D1007" s="93">
        <v>100</v>
      </c>
      <c r="E1007" s="93">
        <v>64</v>
      </c>
      <c r="F1007" s="103">
        <v>4496</v>
      </c>
      <c r="G1007" s="103"/>
      <c r="H1007" s="240">
        <f ca="1">SUMIF(Tabella2[[#Headers],[#Data],[Age]],$H$76,Tabella2[[#Headers],[#Data],[Federal taxes]])</f>
        <v>6804.3246087429152</v>
      </c>
      <c r="I100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7" s="240">
        <f ca="1">Tabella8[[#This Row],[Colonna7]]*Tabella8[[#This Row],[Colonna4]]/100</f>
        <v>5791.8827964666816</v>
      </c>
    </row>
    <row r="1008" spans="2:10">
      <c r="B1008" s="92" t="s">
        <v>160</v>
      </c>
      <c r="C1008" s="91" t="s">
        <v>1104</v>
      </c>
      <c r="D1008" s="93">
        <v>100</v>
      </c>
      <c r="E1008" s="93">
        <v>63</v>
      </c>
      <c r="F1008" s="103">
        <f>IFERROR(INDEX(Tabella9[PLZ],MATCH(Tabella8[[#This Row],[Colonna2]],Tabella9[Ortschaftsname],0)), "Name not found")</f>
        <v>4447</v>
      </c>
      <c r="G1008" s="103"/>
      <c r="H1008" s="240">
        <f ca="1">SUMIF(Tabella2[[#Headers],[#Data],[Age]],$H$76,Tabella2[[#Headers],[#Data],[Federal taxes]])</f>
        <v>6804.3246087429152</v>
      </c>
      <c r="I100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8" s="240">
        <f ca="1">Tabella8[[#This Row],[Colonna7]]*Tabella8[[#This Row],[Colonna4]]/100</f>
        <v>5701.3846277718894</v>
      </c>
    </row>
    <row r="1009" spans="2:10">
      <c r="B1009" s="92" t="s">
        <v>160</v>
      </c>
      <c r="C1009" s="91" t="s">
        <v>1105</v>
      </c>
      <c r="D1009" s="93">
        <v>100</v>
      </c>
      <c r="E1009" s="93">
        <v>62</v>
      </c>
      <c r="F1009" s="103">
        <f>IFERROR(INDEX(Tabella9[PLZ],MATCH(Tabella8[[#This Row],[Colonna2]],Tabella9[Ortschaftsname],0)), "Name not found")</f>
        <v>4432</v>
      </c>
      <c r="G1009" s="103"/>
      <c r="H1009" s="240">
        <f ca="1">SUMIF(Tabella2[[#Headers],[#Data],[Age]],$H$76,Tabella2[[#Headers],[#Data],[Federal taxes]])</f>
        <v>6804.3246087429152</v>
      </c>
      <c r="I100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09" s="240">
        <f ca="1">Tabella8[[#This Row],[Colonna7]]*Tabella8[[#This Row],[Colonna4]]/100</f>
        <v>5610.8864590770972</v>
      </c>
    </row>
    <row r="1010" spans="2:10">
      <c r="B1010" s="92" t="s">
        <v>160</v>
      </c>
      <c r="C1010" s="91" t="s">
        <v>1084</v>
      </c>
      <c r="D1010" s="93">
        <v>100</v>
      </c>
      <c r="E1010" s="93">
        <v>56</v>
      </c>
      <c r="F1010" s="103">
        <f>IFERROR(INDEX(Tabella9[PLZ],MATCH(Tabella8[[#This Row],[Colonna2]],Tabella9[Ortschaftsname],0)), "Name not found")</f>
        <v>4438</v>
      </c>
      <c r="G1010" s="103"/>
      <c r="H1010" s="240">
        <f ca="1">SUMIF(Tabella2[[#Headers],[#Data],[Age]],$H$76,Tabella2[[#Headers],[#Data],[Federal taxes]])</f>
        <v>6804.3246087429152</v>
      </c>
      <c r="I101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0" s="240">
        <f ca="1">Tabella8[[#This Row],[Colonna7]]*Tabella8[[#This Row],[Colonna4]]/100</f>
        <v>5067.897446908346</v>
      </c>
    </row>
    <row r="1011" spans="2:10">
      <c r="B1011" s="92" t="s">
        <v>160</v>
      </c>
      <c r="C1011" s="91" t="s">
        <v>1051</v>
      </c>
      <c r="D1011" s="93">
        <v>100</v>
      </c>
      <c r="E1011" s="93">
        <v>59</v>
      </c>
      <c r="F1011" s="103">
        <f>IFERROR(INDEX(Tabella9[PLZ],MATCH(Tabella8[[#This Row],[Colonna2]],Tabella9[Ortschaftsname],0)), "Name not found")</f>
        <v>4242</v>
      </c>
      <c r="G1011" s="103"/>
      <c r="H1011" s="240">
        <f ca="1">SUMIF(Tabella2[[#Headers],[#Data],[Age]],$H$76,Tabella2[[#Headers],[#Data],[Federal taxes]])</f>
        <v>6804.3246087429152</v>
      </c>
      <c r="I101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1" s="240">
        <f ca="1">Tabella8[[#This Row],[Colonna7]]*Tabella8[[#This Row],[Colonna4]]/100</f>
        <v>5339.3919529927216</v>
      </c>
    </row>
    <row r="1012" spans="2:10">
      <c r="B1012" s="92" t="s">
        <v>160</v>
      </c>
      <c r="C1012" s="91" t="s">
        <v>1053</v>
      </c>
      <c r="D1012" s="93">
        <v>100</v>
      </c>
      <c r="E1012" s="93">
        <v>55</v>
      </c>
      <c r="F1012" s="103">
        <f>IFERROR(INDEX(Tabella9[PLZ],MATCH(Tabella8[[#This Row],[Colonna2]],Tabella9[Ortschaftsname],0)), "Name not found")</f>
        <v>4415</v>
      </c>
      <c r="G1012" s="103"/>
      <c r="H1012" s="240">
        <f ca="1">SUMIF(Tabella2[[#Headers],[#Data],[Age]],$H$76,Tabella2[[#Headers],[#Data],[Federal taxes]])</f>
        <v>6804.3246087429152</v>
      </c>
      <c r="I101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2" s="240">
        <f ca="1">Tabella8[[#This Row],[Colonna7]]*Tabella8[[#This Row],[Colonna4]]/100</f>
        <v>4977.3992782135538</v>
      </c>
    </row>
    <row r="1013" spans="2:10">
      <c r="B1013" s="92" t="s">
        <v>160</v>
      </c>
      <c r="C1013" s="91" t="s">
        <v>1112</v>
      </c>
      <c r="D1013" s="93">
        <v>100</v>
      </c>
      <c r="E1013" s="93">
        <v>60</v>
      </c>
      <c r="F1013" s="103">
        <f>IFERROR(INDEX(Tabella9[PLZ],MATCH(Tabella8[[#This Row],[Colonna2]],Tabella9[Ortschaftsname],0)), "Name not found")</f>
        <v>4426</v>
      </c>
      <c r="G1013" s="103"/>
      <c r="H1013" s="240">
        <f ca="1">SUMIF(Tabella2[[#Headers],[#Data],[Age]],$H$76,Tabella2[[#Headers],[#Data],[Federal taxes]])</f>
        <v>6804.3246087429152</v>
      </c>
      <c r="I101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3" s="240">
        <f ca="1">Tabella8[[#This Row],[Colonna7]]*Tabella8[[#This Row],[Colonna4]]/100</f>
        <v>5429.8901216875129</v>
      </c>
    </row>
    <row r="1014" spans="2:10">
      <c r="B1014" s="92" t="s">
        <v>160</v>
      </c>
      <c r="C1014" s="91" t="s">
        <v>1119</v>
      </c>
      <c r="D1014" s="93">
        <v>100</v>
      </c>
      <c r="E1014" s="93">
        <v>55</v>
      </c>
      <c r="F1014" s="103">
        <f>IFERROR(INDEX(Tabella9[PLZ],MATCH(Tabella8[[#This Row],[Colonna2]],Tabella9[Ortschaftsname],0)), "Name not found")</f>
        <v>4436</v>
      </c>
      <c r="G1014" s="103"/>
      <c r="H1014" s="240">
        <f ca="1">SUMIF(Tabella2[[#Headers],[#Data],[Age]],$H$76,Tabella2[[#Headers],[#Data],[Federal taxes]])</f>
        <v>6804.3246087429152</v>
      </c>
      <c r="I101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4" s="240">
        <f ca="1">Tabella8[[#This Row],[Colonna7]]*Tabella8[[#This Row],[Colonna4]]/100</f>
        <v>4977.3992782135538</v>
      </c>
    </row>
    <row r="1015" spans="2:10">
      <c r="B1015" s="92" t="s">
        <v>160</v>
      </c>
      <c r="C1015" s="91" t="s">
        <v>1079</v>
      </c>
      <c r="D1015" s="93">
        <v>100</v>
      </c>
      <c r="E1015" s="93">
        <v>61</v>
      </c>
      <c r="F1015" s="103">
        <f>IFERROR(INDEX(Tabella9[PLZ],MATCH(Tabella8[[#This Row],[Colonna2]],Tabella9[Ortschaftsname],0)), "Name not found")</f>
        <v>4253</v>
      </c>
      <c r="G1015" s="103"/>
      <c r="H1015" s="240">
        <f ca="1">SUMIF(Tabella2[[#Headers],[#Data],[Age]],$H$76,Tabella2[[#Headers],[#Data],[Federal taxes]])</f>
        <v>6804.3246087429152</v>
      </c>
      <c r="I101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5" s="240">
        <f ca="1">Tabella8[[#This Row],[Colonna7]]*Tabella8[[#This Row],[Colonna4]]/100</f>
        <v>5520.388290382306</v>
      </c>
    </row>
    <row r="1016" spans="2:10">
      <c r="B1016" s="92" t="s">
        <v>160</v>
      </c>
      <c r="C1016" s="91" t="s">
        <v>1040</v>
      </c>
      <c r="D1016" s="93">
        <v>100</v>
      </c>
      <c r="E1016" s="93">
        <v>65</v>
      </c>
      <c r="F1016" s="103">
        <f>IFERROR(INDEX(Tabella9[PLZ],MATCH(Tabella8[[#This Row],[Colonna2]],Tabella9[Ortschaftsname],0)), "Name not found")</f>
        <v>4410</v>
      </c>
      <c r="G1016" s="103"/>
      <c r="H1016" s="240">
        <f ca="1">SUMIF(Tabella2[[#Headers],[#Data],[Age]],$H$76,Tabella2[[#Headers],[#Data],[Federal taxes]])</f>
        <v>6804.3246087429152</v>
      </c>
      <c r="I101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6" s="240">
        <f ca="1">Tabella8[[#This Row],[Colonna7]]*Tabella8[[#This Row],[Colonna4]]/100</f>
        <v>5882.3809651614729</v>
      </c>
    </row>
    <row r="1017" spans="2:10">
      <c r="B1017" s="92" t="s">
        <v>160</v>
      </c>
      <c r="C1017" s="91" t="s">
        <v>1073</v>
      </c>
      <c r="D1017" s="93">
        <v>100</v>
      </c>
      <c r="E1017" s="93">
        <v>58</v>
      </c>
      <c r="F1017" s="103">
        <f>IFERROR(INDEX(Tabella9[PLZ],MATCH(Tabella8[[#This Row],[Colonna2]],Tabella9[Ortschaftsname],0)), "Name not found")</f>
        <v>4419</v>
      </c>
      <c r="G1017" s="103"/>
      <c r="H1017" s="240">
        <f ca="1">SUMIF(Tabella2[[#Headers],[#Data],[Age]],$H$76,Tabella2[[#Headers],[#Data],[Federal taxes]])</f>
        <v>6804.3246087429152</v>
      </c>
      <c r="I101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7" s="240">
        <f ca="1">Tabella8[[#This Row],[Colonna7]]*Tabella8[[#This Row],[Colonna4]]/100</f>
        <v>5248.8937842979294</v>
      </c>
    </row>
    <row r="1018" spans="2:10">
      <c r="B1018" s="92" t="s">
        <v>160</v>
      </c>
      <c r="C1018" s="91" t="s">
        <v>1077</v>
      </c>
      <c r="D1018" s="93">
        <v>100</v>
      </c>
      <c r="E1018" s="93">
        <v>64.2</v>
      </c>
      <c r="F1018" s="103">
        <f>IFERROR(INDEX(Tabella9[PLZ],MATCH(Tabella8[[#This Row],[Colonna2]],Tabella9[Ortschaftsname],0)), "Name not found")</f>
        <v>4448</v>
      </c>
      <c r="G1018" s="103"/>
      <c r="H1018" s="240">
        <f ca="1">SUMIF(Tabella2[[#Headers],[#Data],[Age]],$H$76,Tabella2[[#Headers],[#Data],[Federal taxes]])</f>
        <v>6804.3246087429152</v>
      </c>
      <c r="I101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8" s="240">
        <f ca="1">Tabella8[[#This Row],[Colonna7]]*Tabella8[[#This Row],[Colonna4]]/100</f>
        <v>5809.9824302056395</v>
      </c>
    </row>
    <row r="1019" spans="2:10">
      <c r="B1019" s="92" t="s">
        <v>160</v>
      </c>
      <c r="C1019" s="91" t="s">
        <v>1085</v>
      </c>
      <c r="D1019" s="93">
        <v>100</v>
      </c>
      <c r="E1019" s="93">
        <v>56</v>
      </c>
      <c r="F1019" s="103">
        <f>IFERROR(INDEX(Tabella9[PLZ],MATCH(Tabella8[[#This Row],[Colonna2]],Tabella9[Ortschaftsname],0)), "Name not found")</f>
        <v>4464</v>
      </c>
      <c r="G1019" s="103"/>
      <c r="H1019" s="240">
        <f ca="1">SUMIF(Tabella2[[#Headers],[#Data],[Age]],$H$76,Tabella2[[#Headers],[#Data],[Federal taxes]])</f>
        <v>6804.3246087429152</v>
      </c>
      <c r="I101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19" s="240">
        <f ca="1">Tabella8[[#This Row],[Colonna7]]*Tabella8[[#This Row],[Colonna4]]/100</f>
        <v>5067.897446908346</v>
      </c>
    </row>
    <row r="1020" spans="2:10">
      <c r="B1020" s="92" t="s">
        <v>160</v>
      </c>
      <c r="C1020" s="91" t="s">
        <v>1037</v>
      </c>
      <c r="D1020" s="93">
        <v>100</v>
      </c>
      <c r="E1020" s="93">
        <v>56</v>
      </c>
      <c r="F1020" s="103">
        <f>IFERROR(INDEX(Tabella9[PLZ],MATCH(Tabella8[[#This Row],[Colonna2]],Tabella9[Ortschaftsname],0)), "Name not found")</f>
        <v>4132</v>
      </c>
      <c r="G1020" s="103"/>
      <c r="H1020" s="240">
        <f ca="1">SUMIF(Tabella2[[#Headers],[#Data],[Age]],$H$76,Tabella2[[#Headers],[#Data],[Federal taxes]])</f>
        <v>6804.3246087429152</v>
      </c>
      <c r="I102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0" s="240">
        <f ca="1">Tabella8[[#This Row],[Colonna7]]*Tabella8[[#This Row],[Colonna4]]/100</f>
        <v>5067.897446908346</v>
      </c>
    </row>
    <row r="1021" spans="2:10">
      <c r="B1021" s="92" t="s">
        <v>160</v>
      </c>
      <c r="C1021" s="91" t="s">
        <v>1041</v>
      </c>
      <c r="D1021" s="93">
        <v>100</v>
      </c>
      <c r="E1021" s="93">
        <v>60</v>
      </c>
      <c r="F1021" s="103">
        <f>IFERROR(INDEX(Tabella9[PLZ],MATCH(Tabella8[[#This Row],[Colonna2]],Tabella9[Ortschaftsname],0)), "Name not found")</f>
        <v>4142</v>
      </c>
      <c r="G1021" s="103"/>
      <c r="H1021" s="240">
        <f ca="1">SUMIF(Tabella2[[#Headers],[#Data],[Age]],$H$76,Tabella2[[#Headers],[#Data],[Federal taxes]])</f>
        <v>6804.3246087429152</v>
      </c>
      <c r="I102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1" s="240">
        <f ca="1">Tabella8[[#This Row],[Colonna7]]*Tabella8[[#This Row],[Colonna4]]/100</f>
        <v>5429.8901216875129</v>
      </c>
    </row>
    <row r="1022" spans="2:10">
      <c r="B1022" s="92" t="s">
        <v>160</v>
      </c>
      <c r="C1022" s="91" t="s">
        <v>1109</v>
      </c>
      <c r="D1022" s="93">
        <v>100</v>
      </c>
      <c r="E1022" s="93">
        <v>62.5</v>
      </c>
      <c r="F1022" s="103">
        <f>IFERROR(INDEX(Tabella9[PLZ],MATCH(Tabella8[[#This Row],[Colonna2]],Tabella9[Ortschaftsname],0)), "Name not found")</f>
        <v>4224</v>
      </c>
      <c r="G1022" s="103"/>
      <c r="H1022" s="240">
        <f ca="1">SUMIF(Tabella2[[#Headers],[#Data],[Age]],$H$76,Tabella2[[#Headers],[#Data],[Federal taxes]])</f>
        <v>6804.3246087429152</v>
      </c>
      <c r="I102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2" s="240">
        <f ca="1">Tabella8[[#This Row],[Colonna7]]*Tabella8[[#This Row],[Colonna4]]/100</f>
        <v>5656.1355434244933</v>
      </c>
    </row>
    <row r="1023" spans="2:10">
      <c r="B1023" s="92" t="s">
        <v>160</v>
      </c>
      <c r="C1023" s="91" t="s">
        <v>1066</v>
      </c>
      <c r="D1023" s="93">
        <v>100</v>
      </c>
      <c r="E1023" s="93">
        <v>64</v>
      </c>
      <c r="F1023" s="103">
        <f>IFERROR(INDEX(Tabella9[PLZ],MATCH(Tabella8[[#This Row],[Colonna2]],Tabella9[Ortschaftsname],0)), "Name not found")</f>
        <v>4435</v>
      </c>
      <c r="G1023" s="103"/>
      <c r="H1023" s="240">
        <f ca="1">SUMIF(Tabella2[[#Headers],[#Data],[Age]],$H$76,Tabella2[[#Headers],[#Data],[Federal taxes]])</f>
        <v>6804.3246087429152</v>
      </c>
      <c r="I102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3" s="240">
        <f ca="1">Tabella8[[#This Row],[Colonna7]]*Tabella8[[#This Row],[Colonna4]]/100</f>
        <v>5791.8827964666816</v>
      </c>
    </row>
    <row r="1024" spans="2:10">
      <c r="B1024" s="92" t="s">
        <v>160</v>
      </c>
      <c r="C1024" s="91" t="s">
        <v>1117</v>
      </c>
      <c r="D1024" s="93">
        <v>100</v>
      </c>
      <c r="E1024" s="93">
        <v>59</v>
      </c>
      <c r="F1024" s="103">
        <f>IFERROR(INDEX(Tabella9[PLZ],MATCH(Tabella8[[#This Row],[Colonna2]],Tabella9[Ortschaftsname],0)), "Name not found")</f>
        <v>4453</v>
      </c>
      <c r="G1024" s="103"/>
      <c r="H1024" s="240">
        <f ca="1">SUMIF(Tabella2[[#Headers],[#Data],[Age]],$H$76,Tabella2[[#Headers],[#Data],[Federal taxes]])</f>
        <v>6804.3246087429152</v>
      </c>
      <c r="I102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4" s="240">
        <f ca="1">Tabella8[[#This Row],[Colonna7]]*Tabella8[[#This Row],[Colonna4]]/100</f>
        <v>5339.3919529927216</v>
      </c>
    </row>
    <row r="1025" spans="2:10">
      <c r="B1025" s="92" t="s">
        <v>160</v>
      </c>
      <c r="C1025" s="91" t="s">
        <v>1059</v>
      </c>
      <c r="D1025" s="93">
        <v>100</v>
      </c>
      <c r="E1025" s="93">
        <v>65</v>
      </c>
      <c r="F1025" s="103">
        <v>4436</v>
      </c>
      <c r="G1025" s="103"/>
      <c r="H1025" s="240">
        <f ca="1">SUMIF(Tabella2[[#Headers],[#Data],[Age]],$H$76,Tabella2[[#Headers],[#Data],[Federal taxes]])</f>
        <v>6804.3246087429152</v>
      </c>
      <c r="I102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5" s="240">
        <f ca="1">Tabella8[[#This Row],[Colonna7]]*Tabella8[[#This Row],[Colonna4]]/100</f>
        <v>5882.3809651614729</v>
      </c>
    </row>
    <row r="1026" spans="2:10">
      <c r="B1026" s="92" t="s">
        <v>160</v>
      </c>
      <c r="C1026" s="91" t="s">
        <v>1042</v>
      </c>
      <c r="D1026" s="93">
        <v>100</v>
      </c>
      <c r="E1026" s="93">
        <v>50</v>
      </c>
      <c r="F1026" s="103">
        <v>4104</v>
      </c>
      <c r="G1026" s="103"/>
      <c r="H1026" s="240">
        <f ca="1">SUMIF(Tabella2[[#Headers],[#Data],[Age]],$H$76,Tabella2[[#Headers],[#Data],[Federal taxes]])</f>
        <v>6804.3246087429152</v>
      </c>
      <c r="I102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6" s="240">
        <f ca="1">Tabella8[[#This Row],[Colonna7]]*Tabella8[[#This Row],[Colonna4]]/100</f>
        <v>4524.9084347395947</v>
      </c>
    </row>
    <row r="1027" spans="2:10">
      <c r="B1027" s="92" t="s">
        <v>160</v>
      </c>
      <c r="C1027" s="91" t="s">
        <v>1107</v>
      </c>
      <c r="D1027" s="93">
        <v>100</v>
      </c>
      <c r="E1027" s="93">
        <v>64</v>
      </c>
      <c r="F1027" s="103">
        <f>IFERROR(INDEX(Tabella9[PLZ],MATCH(Tabella8[[#This Row],[Colonna2]],Tabella9[Ortschaftsname],0)), "Name not found")</f>
        <v>4494</v>
      </c>
      <c r="G1027" s="103"/>
      <c r="H1027" s="240">
        <f ca="1">SUMIF(Tabella2[[#Headers],[#Data],[Age]],$H$76,Tabella2[[#Headers],[#Data],[Federal taxes]])</f>
        <v>6804.3246087429152</v>
      </c>
      <c r="I102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7" s="240">
        <f ca="1">Tabella8[[#This Row],[Colonna7]]*Tabella8[[#This Row],[Colonna4]]/100</f>
        <v>5791.8827964666816</v>
      </c>
    </row>
    <row r="1028" spans="2:10">
      <c r="B1028" s="92" t="s">
        <v>160</v>
      </c>
      <c r="C1028" s="91" t="s">
        <v>1062</v>
      </c>
      <c r="D1028" s="93">
        <v>100</v>
      </c>
      <c r="E1028" s="93">
        <v>59</v>
      </c>
      <c r="F1028" s="103">
        <f>IFERROR(INDEX(Tabella9[PLZ],MATCH(Tabella8[[#This Row],[Colonna2]],Tabella9[Ortschaftsname],0)), "Name not found")</f>
        <v>4466</v>
      </c>
      <c r="G1028" s="103"/>
      <c r="H1028" s="240">
        <f ca="1">SUMIF(Tabella2[[#Headers],[#Data],[Age]],$H$76,Tabella2[[#Headers],[#Data],[Federal taxes]])</f>
        <v>6804.3246087429152</v>
      </c>
      <c r="I102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8" s="240">
        <f ca="1">Tabella8[[#This Row],[Colonna7]]*Tabella8[[#This Row],[Colonna4]]/100</f>
        <v>5339.3919529927216</v>
      </c>
    </row>
    <row r="1029" spans="2:10">
      <c r="B1029" s="92" t="s">
        <v>160</v>
      </c>
      <c r="C1029" s="91" t="s">
        <v>1060</v>
      </c>
      <c r="D1029" s="93">
        <v>100</v>
      </c>
      <c r="E1029" s="93">
        <v>45</v>
      </c>
      <c r="F1029" s="103">
        <f>IFERROR(INDEX(Tabella9[PLZ],MATCH(Tabella8[[#This Row],[Colonna2]],Tabella9[Ortschaftsname],0)), "Name not found")</f>
        <v>4148</v>
      </c>
      <c r="G1029" s="103"/>
      <c r="H1029" s="240">
        <f ca="1">SUMIF(Tabella2[[#Headers],[#Data],[Age]],$H$76,Tabella2[[#Headers],[#Data],[Federal taxes]])</f>
        <v>6804.3246087429152</v>
      </c>
      <c r="I102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29" s="240">
        <f ca="1">Tabella8[[#This Row],[Colonna7]]*Tabella8[[#This Row],[Colonna4]]/100</f>
        <v>4072.4175912656351</v>
      </c>
    </row>
    <row r="1030" spans="2:10">
      <c r="B1030" s="92" t="s">
        <v>160</v>
      </c>
      <c r="C1030" s="91" t="s">
        <v>1038</v>
      </c>
      <c r="D1030" s="93">
        <v>100</v>
      </c>
      <c r="E1030" s="93">
        <v>58.5</v>
      </c>
      <c r="F1030" s="103">
        <f>IFERROR(INDEX(Tabella9[PLZ],MATCH(Tabella8[[#This Row],[Colonna2]],Tabella9[Ortschaftsname],0)), "Name not found")</f>
        <v>4133</v>
      </c>
      <c r="G1030" s="103"/>
      <c r="H1030" s="240">
        <f ca="1">SUMIF(Tabella2[[#Headers],[#Data],[Age]],$H$76,Tabella2[[#Headers],[#Data],[Federal taxes]])</f>
        <v>6804.3246087429152</v>
      </c>
      <c r="I103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0" s="240">
        <f ca="1">Tabella8[[#This Row],[Colonna7]]*Tabella8[[#This Row],[Colonna4]]/100</f>
        <v>5294.1428686453264</v>
      </c>
    </row>
    <row r="1031" spans="2:10">
      <c r="B1031" s="92" t="s">
        <v>160</v>
      </c>
      <c r="C1031" s="91" t="s">
        <v>1092</v>
      </c>
      <c r="D1031" s="93">
        <v>100</v>
      </c>
      <c r="E1031" s="93">
        <v>52</v>
      </c>
      <c r="F1031" s="103">
        <f>IFERROR(INDEX(Tabella9[PLZ],MATCH(Tabella8[[#This Row],[Colonna2]],Tabella9[Ortschaftsname],0)), "Name not found")</f>
        <v>4433</v>
      </c>
      <c r="G1031" s="103"/>
      <c r="H1031" s="240">
        <f ca="1">SUMIF(Tabella2[[#Headers],[#Data],[Age]],$H$76,Tabella2[[#Headers],[#Data],[Federal taxes]])</f>
        <v>6804.3246087429152</v>
      </c>
      <c r="I103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1" s="240">
        <f ca="1">Tabella8[[#This Row],[Colonna7]]*Tabella8[[#This Row],[Colonna4]]/100</f>
        <v>4705.904772129179</v>
      </c>
    </row>
    <row r="1032" spans="2:10">
      <c r="B1032" s="92" t="s">
        <v>160</v>
      </c>
      <c r="C1032" s="91" t="s">
        <v>1070</v>
      </c>
      <c r="D1032" s="93">
        <v>100</v>
      </c>
      <c r="E1032" s="93">
        <v>66</v>
      </c>
      <c r="F1032" s="103">
        <f>IFERROR(INDEX(Tabella9[PLZ],MATCH(Tabella8[[#This Row],[Colonna2]],Tabella9[Ortschaftsname],0)), "Name not found")</f>
        <v>4418</v>
      </c>
      <c r="G1032" s="103"/>
      <c r="H1032" s="240">
        <f ca="1">SUMIF(Tabella2[[#Headers],[#Data],[Age]],$H$76,Tabella2[[#Headers],[#Data],[Federal taxes]])</f>
        <v>6804.3246087429152</v>
      </c>
      <c r="I103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2" s="240">
        <f ca="1">Tabella8[[#This Row],[Colonna7]]*Tabella8[[#This Row],[Colonna4]]/100</f>
        <v>5972.8791338562651</v>
      </c>
    </row>
    <row r="1033" spans="2:10">
      <c r="B1033" s="92" t="s">
        <v>160</v>
      </c>
      <c r="C1033" s="91" t="s">
        <v>1036</v>
      </c>
      <c r="D1033" s="93">
        <v>100</v>
      </c>
      <c r="E1033" s="93">
        <v>54.5</v>
      </c>
      <c r="F1033" s="103">
        <v>4153</v>
      </c>
      <c r="G1033" s="103"/>
      <c r="H1033" s="240">
        <f ca="1">SUMIF(Tabella2[[#Headers],[#Data],[Age]],$H$76,Tabella2[[#Headers],[#Data],[Federal taxes]])</f>
        <v>6804.3246087429152</v>
      </c>
      <c r="I103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3" s="240">
        <f ca="1">Tabella8[[#This Row],[Colonna7]]*Tabella8[[#This Row],[Colonna4]]/100</f>
        <v>4932.1501938661586</v>
      </c>
    </row>
    <row r="1034" spans="2:10">
      <c r="B1034" s="92" t="s">
        <v>160</v>
      </c>
      <c r="C1034" s="91" t="s">
        <v>2630</v>
      </c>
      <c r="D1034" s="93">
        <v>100</v>
      </c>
      <c r="E1034" s="93">
        <v>62</v>
      </c>
      <c r="F1034" s="103">
        <v>4462</v>
      </c>
      <c r="G1034" s="103"/>
      <c r="H1034" s="240">
        <f ca="1">SUMIF(Tabella2[[#Headers],[#Data],[Age]],$H$76,Tabella2[[#Headers],[#Data],[Federal taxes]])</f>
        <v>6804.3246087429152</v>
      </c>
      <c r="I103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4" s="240">
        <f ca="1">Tabella8[[#This Row],[Colonna7]]*Tabella8[[#This Row],[Colonna4]]/100</f>
        <v>5610.8864590770972</v>
      </c>
    </row>
    <row r="1035" spans="2:10">
      <c r="B1035" s="92" t="s">
        <v>160</v>
      </c>
      <c r="C1035" s="91" t="s">
        <v>1115</v>
      </c>
      <c r="D1035" s="93">
        <v>100</v>
      </c>
      <c r="E1035" s="93">
        <v>62</v>
      </c>
      <c r="F1035" s="103">
        <f>IFERROR(INDEX(Tabella9[PLZ],MATCH(Tabella8[[#This Row],[Colonna2]],Tabella9[Ortschaftsname],0)), "Name not found")</f>
        <v>2814</v>
      </c>
      <c r="G1035" s="103"/>
      <c r="H1035" s="240">
        <f ca="1">SUMIF(Tabella2[[#Headers],[#Data],[Age]],$H$76,Tabella2[[#Headers],[#Data],[Federal taxes]])</f>
        <v>6804.3246087429152</v>
      </c>
      <c r="I103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5" s="240">
        <f ca="1">Tabella8[[#This Row],[Colonna7]]*Tabella8[[#This Row],[Colonna4]]/100</f>
        <v>5610.8864590770972</v>
      </c>
    </row>
    <row r="1036" spans="2:10">
      <c r="B1036" s="92" t="s">
        <v>160</v>
      </c>
      <c r="C1036" s="91" t="s">
        <v>1089</v>
      </c>
      <c r="D1036" s="93">
        <v>100</v>
      </c>
      <c r="E1036" s="93">
        <v>62</v>
      </c>
      <c r="F1036" s="103">
        <f>IFERROR(INDEX(Tabella9[PLZ],MATCH(Tabella8[[#This Row],[Colonna2]],Tabella9[Ortschaftsname],0)), "Name not found")</f>
        <v>4467</v>
      </c>
      <c r="G1036" s="103"/>
      <c r="H1036" s="240">
        <f ca="1">SUMIF(Tabella2[[#Headers],[#Data],[Age]],$H$76,Tabella2[[#Headers],[#Data],[Federal taxes]])</f>
        <v>6804.3246087429152</v>
      </c>
      <c r="I103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6" s="240">
        <f ca="1">Tabella8[[#This Row],[Colonna7]]*Tabella8[[#This Row],[Colonna4]]/100</f>
        <v>5610.8864590770972</v>
      </c>
    </row>
    <row r="1037" spans="2:10">
      <c r="B1037" s="92" t="s">
        <v>160</v>
      </c>
      <c r="C1037" s="91" t="s">
        <v>1064</v>
      </c>
      <c r="D1037" s="93">
        <v>100</v>
      </c>
      <c r="E1037" s="93">
        <v>58</v>
      </c>
      <c r="F1037" s="103">
        <f>IFERROR(INDEX(Tabella9[PLZ],MATCH(Tabella8[[#This Row],[Colonna2]],Tabella9[Ortschaftsname],0)), "Name not found")</f>
        <v>4244</v>
      </c>
      <c r="G1037" s="103"/>
      <c r="H1037" s="240">
        <f ca="1">SUMIF(Tabella2[[#Headers],[#Data],[Age]],$H$76,Tabella2[[#Headers],[#Data],[Federal taxes]])</f>
        <v>6804.3246087429152</v>
      </c>
      <c r="I103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7" s="240">
        <f ca="1">Tabella8[[#This Row],[Colonna7]]*Tabella8[[#This Row],[Colonna4]]/100</f>
        <v>5248.8937842979294</v>
      </c>
    </row>
    <row r="1038" spans="2:10">
      <c r="B1038" s="92" t="s">
        <v>160</v>
      </c>
      <c r="C1038" s="91" t="s">
        <v>1111</v>
      </c>
      <c r="D1038" s="93">
        <v>100</v>
      </c>
      <c r="E1038" s="93">
        <v>63</v>
      </c>
      <c r="F1038" s="103">
        <f>IFERROR(INDEX(Tabella9[PLZ],MATCH(Tabella8[[#This Row],[Colonna2]],Tabella9[Ortschaftsname],0)), "Name not found")</f>
        <v>4444</v>
      </c>
      <c r="G1038" s="103"/>
      <c r="H1038" s="240">
        <f ca="1">SUMIF(Tabella2[[#Headers],[#Data],[Age]],$H$76,Tabella2[[#Headers],[#Data],[Federal taxes]])</f>
        <v>6804.3246087429152</v>
      </c>
      <c r="I103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8" s="240">
        <f ca="1">Tabella8[[#This Row],[Colonna7]]*Tabella8[[#This Row],[Colonna4]]/100</f>
        <v>5701.3846277718894</v>
      </c>
    </row>
    <row r="1039" spans="2:10">
      <c r="B1039" s="92" t="s">
        <v>160</v>
      </c>
      <c r="C1039" s="91" t="s">
        <v>1091</v>
      </c>
      <c r="D1039" s="93">
        <v>100</v>
      </c>
      <c r="E1039" s="93">
        <v>62</v>
      </c>
      <c r="F1039" s="103">
        <f>IFERROR(INDEX(Tabella9[PLZ],MATCH(Tabella8[[#This Row],[Colonna2]],Tabella9[Ortschaftsname],0)), "Name not found")</f>
        <v>4497</v>
      </c>
      <c r="G1039" s="103"/>
      <c r="H1039" s="240">
        <f ca="1">SUMIF(Tabella2[[#Headers],[#Data],[Age]],$H$76,Tabella2[[#Headers],[#Data],[Federal taxes]])</f>
        <v>6804.3246087429152</v>
      </c>
      <c r="I103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39" s="240">
        <f ca="1">Tabella8[[#This Row],[Colonna7]]*Tabella8[[#This Row],[Colonna4]]/100</f>
        <v>5610.8864590770972</v>
      </c>
    </row>
    <row r="1040" spans="2:10">
      <c r="B1040" s="92" t="s">
        <v>160</v>
      </c>
      <c r="C1040" s="91" t="s">
        <v>1076</v>
      </c>
      <c r="D1040" s="93">
        <v>100</v>
      </c>
      <c r="E1040" s="93">
        <v>52</v>
      </c>
      <c r="F1040" s="103">
        <f>IFERROR(INDEX(Tabella9[PLZ],MATCH(Tabella8[[#This Row],[Colonna2]],Tabella9[Ortschaftsname],0)), "Name not found")</f>
        <v>4124</v>
      </c>
      <c r="G1040" s="103"/>
      <c r="H1040" s="240">
        <f ca="1">SUMIF(Tabella2[[#Headers],[#Data],[Age]],$H$76,Tabella2[[#Headers],[#Data],[Federal taxes]])</f>
        <v>6804.3246087429152</v>
      </c>
      <c r="I104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0" s="240">
        <f ca="1">Tabella8[[#This Row],[Colonna7]]*Tabella8[[#This Row],[Colonna4]]/100</f>
        <v>4705.904772129179</v>
      </c>
    </row>
    <row r="1041" spans="2:10">
      <c r="B1041" s="92" t="s">
        <v>160</v>
      </c>
      <c r="C1041" s="91" t="s">
        <v>1078</v>
      </c>
      <c r="D1041" s="93">
        <v>100</v>
      </c>
      <c r="E1041" s="93">
        <v>59</v>
      </c>
      <c r="F1041" s="103">
        <f>IFERROR(INDEX(Tabella9[PLZ],MATCH(Tabella8[[#This Row],[Colonna2]],Tabella9[Ortschaftsname],0)), "Name not found")</f>
        <v>4411</v>
      </c>
      <c r="G1041" s="103"/>
      <c r="H1041" s="240">
        <f ca="1">SUMIF(Tabella2[[#Headers],[#Data],[Age]],$H$76,Tabella2[[#Headers],[#Data],[Federal taxes]])</f>
        <v>6804.3246087429152</v>
      </c>
      <c r="I104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1" s="240">
        <f ca="1">Tabella8[[#This Row],[Colonna7]]*Tabella8[[#This Row],[Colonna4]]/100</f>
        <v>5339.3919529927216</v>
      </c>
    </row>
    <row r="1042" spans="2:10">
      <c r="B1042" s="92" t="s">
        <v>160</v>
      </c>
      <c r="C1042" s="91" t="s">
        <v>1047</v>
      </c>
      <c r="D1042" s="93">
        <v>100</v>
      </c>
      <c r="E1042" s="93">
        <v>57</v>
      </c>
      <c r="F1042" s="103">
        <f>IFERROR(INDEX(Tabella9[PLZ],MATCH(Tabella8[[#This Row],[Colonna2]],Tabella9[Ortschaftsname],0)), "Name not found")</f>
        <v>4450</v>
      </c>
      <c r="G1042" s="103"/>
      <c r="H1042" s="240">
        <f ca="1">SUMIF(Tabella2[[#Headers],[#Data],[Age]],$H$76,Tabella2[[#Headers],[#Data],[Federal taxes]])</f>
        <v>6804.3246087429152</v>
      </c>
      <c r="I104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2" s="240">
        <f ca="1">Tabella8[[#This Row],[Colonna7]]*Tabella8[[#This Row],[Colonna4]]/100</f>
        <v>5158.3956156031381</v>
      </c>
    </row>
    <row r="1043" spans="2:10">
      <c r="B1043" s="92" t="s">
        <v>160</v>
      </c>
      <c r="C1043" s="91" t="s">
        <v>1087</v>
      </c>
      <c r="D1043" s="93">
        <v>100</v>
      </c>
      <c r="E1043" s="93">
        <v>60</v>
      </c>
      <c r="F1043" s="103">
        <f>IFERROR(INDEX(Tabella9[PLZ],MATCH(Tabella8[[#This Row],[Colonna2]],Tabella9[Ortschaftsname],0)), "Name not found")</f>
        <v>4492</v>
      </c>
      <c r="G1043" s="103"/>
      <c r="H1043" s="240">
        <f ca="1">SUMIF(Tabella2[[#Headers],[#Data],[Age]],$H$76,Tabella2[[#Headers],[#Data],[Federal taxes]])</f>
        <v>6804.3246087429152</v>
      </c>
      <c r="I104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3" s="240">
        <f ca="1">Tabella8[[#This Row],[Colonna7]]*Tabella8[[#This Row],[Colonna4]]/100</f>
        <v>5429.8901216875129</v>
      </c>
    </row>
    <row r="1044" spans="2:10">
      <c r="B1044" s="92" t="s">
        <v>160</v>
      </c>
      <c r="C1044" s="91" t="s">
        <v>1086</v>
      </c>
      <c r="D1044" s="93">
        <v>100</v>
      </c>
      <c r="E1044" s="93">
        <v>60</v>
      </c>
      <c r="F1044" s="103">
        <f>IFERROR(INDEX(Tabella9[PLZ],MATCH(Tabella8[[#This Row],[Colonna2]],Tabella9[Ortschaftsname],0)), "Name not found")</f>
        <v>4456</v>
      </c>
      <c r="G1044" s="103"/>
      <c r="H1044" s="240">
        <f ca="1">SUMIF(Tabella2[[#Headers],[#Data],[Age]],$H$76,Tabella2[[#Headers],[#Data],[Federal taxes]])</f>
        <v>6804.3246087429152</v>
      </c>
      <c r="I104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4" s="240">
        <f ca="1">Tabella8[[#This Row],[Colonna7]]*Tabella8[[#This Row],[Colonna4]]/100</f>
        <v>5429.8901216875129</v>
      </c>
    </row>
    <row r="1045" spans="2:10">
      <c r="B1045" s="92" t="s">
        <v>160</v>
      </c>
      <c r="C1045" s="91" t="s">
        <v>1045</v>
      </c>
      <c r="D1045" s="93">
        <v>100</v>
      </c>
      <c r="E1045" s="93">
        <v>52</v>
      </c>
      <c r="F1045" s="103">
        <f>IFERROR(INDEX(Tabella9[PLZ],MATCH(Tabella8[[#This Row],[Colonna2]],Tabella9[Ortschaftsname],0)), "Name not found")</f>
        <v>4106</v>
      </c>
      <c r="G1045" s="103"/>
      <c r="H1045" s="240">
        <f ca="1">SUMIF(Tabella2[[#Headers],[#Data],[Age]],$H$76,Tabella2[[#Headers],[#Data],[Federal taxes]])</f>
        <v>6804.3246087429152</v>
      </c>
      <c r="I104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5" s="240">
        <f ca="1">Tabella8[[#This Row],[Colonna7]]*Tabella8[[#This Row],[Colonna4]]/100</f>
        <v>4705.904772129179</v>
      </c>
    </row>
    <row r="1046" spans="2:10">
      <c r="B1046" s="92" t="s">
        <v>160</v>
      </c>
      <c r="C1046" s="91" t="s">
        <v>1075</v>
      </c>
      <c r="D1046" s="93">
        <v>100</v>
      </c>
      <c r="E1046" s="93">
        <v>56</v>
      </c>
      <c r="F1046" s="103">
        <f>IFERROR(INDEX(Tabella9[PLZ],MATCH(Tabella8[[#This Row],[Colonna2]],Tabella9[Ortschaftsname],0)), "Name not found")</f>
        <v>4441</v>
      </c>
      <c r="G1046" s="103"/>
      <c r="H1046" s="240">
        <f ca="1">SUMIF(Tabella2[[#Headers],[#Data],[Age]],$H$76,Tabella2[[#Headers],[#Data],[Federal taxes]])</f>
        <v>6804.3246087429152</v>
      </c>
      <c r="I104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6" s="240">
        <f ca="1">Tabella8[[#This Row],[Colonna7]]*Tabella8[[#This Row],[Colonna4]]/100</f>
        <v>5067.897446908346</v>
      </c>
    </row>
    <row r="1047" spans="2:10">
      <c r="B1047" s="92" t="s">
        <v>160</v>
      </c>
      <c r="C1047" s="91" t="s">
        <v>1110</v>
      </c>
      <c r="D1047" s="93">
        <v>100</v>
      </c>
      <c r="E1047" s="93">
        <v>65</v>
      </c>
      <c r="F1047" s="103">
        <f>IFERROR(INDEX(Tabella9[PLZ],MATCH(Tabella8[[#This Row],[Colonna2]],Tabella9[Ortschaftsname],0)), "Name not found")</f>
        <v>4425</v>
      </c>
      <c r="G1047" s="103"/>
      <c r="H1047" s="240">
        <f ca="1">SUMIF(Tabella2[[#Headers],[#Data],[Age]],$H$76,Tabella2[[#Headers],[#Data],[Federal taxes]])</f>
        <v>6804.3246087429152</v>
      </c>
      <c r="I1047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7" s="240">
        <f ca="1">Tabella8[[#This Row],[Colonna7]]*Tabella8[[#This Row],[Colonna4]]/100</f>
        <v>5882.3809651614729</v>
      </c>
    </row>
    <row r="1048" spans="2:10">
      <c r="B1048" s="92" t="s">
        <v>160</v>
      </c>
      <c r="C1048" s="91" t="s">
        <v>1074</v>
      </c>
      <c r="D1048" s="93">
        <v>100</v>
      </c>
      <c r="E1048" s="93">
        <v>60</v>
      </c>
      <c r="F1048" s="103">
        <v>4246</v>
      </c>
      <c r="G1048" s="103"/>
      <c r="H1048" s="240">
        <f ca="1">SUMIF(Tabella2[[#Headers],[#Data],[Age]],$H$76,Tabella2[[#Headers],[#Data],[Federal taxes]])</f>
        <v>6804.3246087429152</v>
      </c>
      <c r="I1048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8" s="240">
        <f ca="1">Tabella8[[#This Row],[Colonna7]]*Tabella8[[#This Row],[Colonna4]]/100</f>
        <v>5429.8901216875129</v>
      </c>
    </row>
    <row r="1049" spans="2:10">
      <c r="B1049" s="92" t="s">
        <v>160</v>
      </c>
      <c r="C1049" s="91" t="s">
        <v>1080</v>
      </c>
      <c r="D1049" s="93">
        <v>100</v>
      </c>
      <c r="E1049" s="93">
        <v>69.5</v>
      </c>
      <c r="F1049" s="103">
        <f>IFERROR(INDEX(Tabella9[PLZ],MATCH(Tabella8[[#This Row],[Colonna2]],Tabella9[Ortschaftsname],0)), "Name not found")</f>
        <v>4437</v>
      </c>
      <c r="G1049" s="103"/>
      <c r="H1049" s="240">
        <f ca="1">SUMIF(Tabella2[[#Headers],[#Data],[Age]],$H$76,Tabella2[[#Headers],[#Data],[Federal taxes]])</f>
        <v>6804.3246087429152</v>
      </c>
      <c r="I1049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49" s="240">
        <f ca="1">Tabella8[[#This Row],[Colonna7]]*Tabella8[[#This Row],[Colonna4]]/100</f>
        <v>6289.6227242880359</v>
      </c>
    </row>
    <row r="1050" spans="2:10">
      <c r="B1050" s="92" t="s">
        <v>160</v>
      </c>
      <c r="C1050" s="91" t="s">
        <v>1095</v>
      </c>
      <c r="D1050" s="93">
        <v>100</v>
      </c>
      <c r="E1050" s="93">
        <v>58</v>
      </c>
      <c r="F1050" s="103">
        <f>IFERROR(INDEX(Tabella9[PLZ],MATCH(Tabella8[[#This Row],[Colonna2]],Tabella9[Ortschaftsname],0)), "Name not found")</f>
        <v>4493</v>
      </c>
      <c r="G1050" s="103"/>
      <c r="H1050" s="240">
        <f ca="1">SUMIF(Tabella2[[#Headers],[#Data],[Age]],$H$76,Tabella2[[#Headers],[#Data],[Federal taxes]])</f>
        <v>6804.3246087429152</v>
      </c>
      <c r="I1050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0" s="240">
        <f ca="1">Tabella8[[#This Row],[Colonna7]]*Tabella8[[#This Row],[Colonna4]]/100</f>
        <v>5248.8937842979294</v>
      </c>
    </row>
    <row r="1051" spans="2:10">
      <c r="B1051" s="92" t="s">
        <v>160</v>
      </c>
      <c r="C1051" s="91" t="s">
        <v>1099</v>
      </c>
      <c r="D1051" s="93">
        <v>100</v>
      </c>
      <c r="E1051" s="93">
        <v>56</v>
      </c>
      <c r="F1051" s="103">
        <f>IFERROR(INDEX(Tabella9[PLZ],MATCH(Tabella8[[#This Row],[Colonna2]],Tabella9[Ortschaftsname],0)), "Name not found")</f>
        <v>4451</v>
      </c>
      <c r="G1051" s="103"/>
      <c r="H1051" s="240">
        <f ca="1">SUMIF(Tabella2[[#Headers],[#Data],[Age]],$H$76,Tabella2[[#Headers],[#Data],[Federal taxes]])</f>
        <v>6804.3246087429152</v>
      </c>
      <c r="I1051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1" s="240">
        <f ca="1">Tabella8[[#This Row],[Colonna7]]*Tabella8[[#This Row],[Colonna4]]/100</f>
        <v>5067.897446908346</v>
      </c>
    </row>
    <row r="1052" spans="2:10">
      <c r="B1052" s="92" t="s">
        <v>160</v>
      </c>
      <c r="C1052" s="91" t="s">
        <v>1108</v>
      </c>
      <c r="D1052" s="93">
        <v>100</v>
      </c>
      <c r="E1052" s="93">
        <v>63</v>
      </c>
      <c r="F1052" s="103">
        <f>IFERROR(INDEX(Tabella9[PLZ],MATCH(Tabella8[[#This Row],[Colonna2]],Tabella9[Ortschaftsname],0)), "Name not found")</f>
        <v>4443</v>
      </c>
      <c r="G1052" s="103"/>
      <c r="H1052" s="240">
        <f ca="1">SUMIF(Tabella2[[#Headers],[#Data],[Age]],$H$76,Tabella2[[#Headers],[#Data],[Federal taxes]])</f>
        <v>6804.3246087429152</v>
      </c>
      <c r="I1052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2" s="240">
        <f ca="1">Tabella8[[#This Row],[Colonna7]]*Tabella8[[#This Row],[Colonna4]]/100</f>
        <v>5701.3846277718894</v>
      </c>
    </row>
    <row r="1053" spans="2:10">
      <c r="B1053" s="92" t="s">
        <v>160</v>
      </c>
      <c r="C1053" s="91" t="s">
        <v>1106</v>
      </c>
      <c r="D1053" s="93">
        <v>100</v>
      </c>
      <c r="E1053" s="93">
        <v>64</v>
      </c>
      <c r="F1053" s="103">
        <f>IFERROR(INDEX(Tabella9[PLZ],MATCH(Tabella8[[#This Row],[Colonna2]],Tabella9[Ortschaftsname],0)), "Name not found")</f>
        <v>4495</v>
      </c>
      <c r="G1053" s="103"/>
      <c r="H1053" s="240">
        <f ca="1">SUMIF(Tabella2[[#Headers],[#Data],[Age]],$H$76,Tabella2[[#Headers],[#Data],[Federal taxes]])</f>
        <v>6804.3246087429152</v>
      </c>
      <c r="I1053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3" s="240">
        <f ca="1">Tabella8[[#This Row],[Colonna7]]*Tabella8[[#This Row],[Colonna4]]/100</f>
        <v>5791.8827964666816</v>
      </c>
    </row>
    <row r="1054" spans="2:10">
      <c r="B1054" s="92" t="s">
        <v>160</v>
      </c>
      <c r="C1054" s="91" t="s">
        <v>1071</v>
      </c>
      <c r="D1054" s="93">
        <v>100</v>
      </c>
      <c r="E1054" s="93">
        <v>63</v>
      </c>
      <c r="F1054" s="103">
        <f>IFERROR(INDEX(Tabella9[PLZ],MATCH(Tabella8[[#This Row],[Colonna2]],Tabella9[Ortschaftsname],0)), "Name not found")</f>
        <v>4417</v>
      </c>
      <c r="G1054" s="103"/>
      <c r="H1054" s="240">
        <f ca="1">SUMIF(Tabella2[[#Headers],[#Data],[Age]],$H$76,Tabella2[[#Headers],[#Data],[Federal taxes]])</f>
        <v>6804.3246087429152</v>
      </c>
      <c r="I1054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4" s="240">
        <f ca="1">Tabella8[[#This Row],[Colonna7]]*Tabella8[[#This Row],[Colonna4]]/100</f>
        <v>5701.3846277718894</v>
      </c>
    </row>
    <row r="1055" spans="2:10">
      <c r="B1055" s="92" t="s">
        <v>160</v>
      </c>
      <c r="C1055" s="91" t="s">
        <v>1057</v>
      </c>
      <c r="D1055" s="93">
        <v>100</v>
      </c>
      <c r="E1055" s="93">
        <v>56</v>
      </c>
      <c r="F1055" s="103">
        <f>IFERROR(INDEX(Tabella9[PLZ],MATCH(Tabella8[[#This Row],[Colonna2]],Tabella9[Ortschaftsname],0)), "Name not found")</f>
        <v>4455</v>
      </c>
      <c r="G1055" s="103"/>
      <c r="H1055" s="240">
        <f ca="1">SUMIF(Tabella2[[#Headers],[#Data],[Age]],$H$76,Tabella2[[#Headers],[#Data],[Federal taxes]])</f>
        <v>6804.3246087429152</v>
      </c>
      <c r="I1055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5" s="240">
        <f ca="1">Tabella8[[#This Row],[Colonna7]]*Tabella8[[#This Row],[Colonna4]]/100</f>
        <v>5067.897446908346</v>
      </c>
    </row>
    <row r="1056" spans="2:10">
      <c r="B1056" s="92" t="s">
        <v>160</v>
      </c>
      <c r="C1056" s="91" t="s">
        <v>1061</v>
      </c>
      <c r="D1056" s="93">
        <v>100</v>
      </c>
      <c r="E1056" s="93">
        <v>59</v>
      </c>
      <c r="F1056" s="103">
        <f>IFERROR(INDEX(Tabella9[PLZ],MATCH(Tabella8[[#This Row],[Colonna2]],Tabella9[Ortschaftsname],0)), "Name not found")</f>
        <v>4222</v>
      </c>
      <c r="G1056" s="103"/>
      <c r="H1056" s="240">
        <f ca="1">SUMIF(Tabella2[[#Headers],[#Data],[Age]],$H$76,Tabella2[[#Headers],[#Data],[Federal taxes]])</f>
        <v>6804.3246087429152</v>
      </c>
      <c r="I1056" s="240">
        <f ca="1">IFERROR(INDEX(Tabella13[[TI]:[VS commun]], MATCH($H$76, Tabella13[Age], 0), MATCH(Tabella8[[#This Row],[Colonna1]], Tabella13[[#Headers], [TI]:[VS commun]], 0)), "Valore non trovato")*Tabella8[[#This Row],[Colonna3]]/100</f>
        <v>9049.8168694791893</v>
      </c>
      <c r="J1056" s="240">
        <f ca="1">Tabella8[[#This Row],[Colonna7]]*Tabella8[[#This Row],[Colonna4]]/100</f>
        <v>5339.3919529927216</v>
      </c>
    </row>
    <row r="1057" spans="2:10">
      <c r="B1057" s="92" t="s">
        <v>146</v>
      </c>
      <c r="C1057" s="91" t="s">
        <v>1399</v>
      </c>
      <c r="D1057" s="93">
        <v>81</v>
      </c>
      <c r="E1057" s="93">
        <v>102</v>
      </c>
      <c r="F1057" s="103">
        <v>8238</v>
      </c>
      <c r="G1057" s="103"/>
      <c r="H1057" s="240">
        <f ca="1">SUMIF(Tabella2[[#Headers],[#Data],[Age]],$H$76,Tabella2[[#Headers],[#Data],[Federal taxes]])</f>
        <v>6804.3246087429152</v>
      </c>
      <c r="I1057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57" s="240">
        <f ca="1">Tabella8[[#This Row],[Colonna7]]*Tabella8[[#This Row],[Colonna4]]/100</f>
        <v>10865.047900083706</v>
      </c>
    </row>
    <row r="1058" spans="2:10">
      <c r="B1058" s="92" t="s">
        <v>146</v>
      </c>
      <c r="C1058" s="91" t="s">
        <v>1394</v>
      </c>
      <c r="D1058" s="93">
        <v>81</v>
      </c>
      <c r="E1058" s="93">
        <v>117</v>
      </c>
      <c r="F1058" s="103">
        <f>IFERROR(INDEX(Tabella9[PLZ],MATCH(Tabella8[[#This Row],[Colonna2]],Tabella9[Ortschaftsname],0)), "Name not found")</f>
        <v>8228</v>
      </c>
      <c r="G1058" s="103"/>
      <c r="H1058" s="240">
        <f ca="1">SUMIF(Tabella2[[#Headers],[#Data],[Age]],$H$76,Tabella2[[#Headers],[#Data],[Federal taxes]])</f>
        <v>6804.3246087429152</v>
      </c>
      <c r="I1058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58" s="240">
        <f ca="1">Tabella8[[#This Row],[Colonna7]]*Tabella8[[#This Row],[Colonna4]]/100</f>
        <v>12462.849061860719</v>
      </c>
    </row>
    <row r="1059" spans="2:10">
      <c r="B1059" s="92" t="s">
        <v>146</v>
      </c>
      <c r="C1059" s="91" t="s">
        <v>1377</v>
      </c>
      <c r="D1059" s="93">
        <v>81</v>
      </c>
      <c r="E1059" s="93">
        <v>91</v>
      </c>
      <c r="F1059" s="103">
        <f>IFERROR(INDEX(Tabella9[PLZ],MATCH(Tabella8[[#This Row],[Colonna2]],Tabella9[Ortschaftsname],0)), "Name not found")</f>
        <v>8222</v>
      </c>
      <c r="G1059" s="103"/>
      <c r="H1059" s="240">
        <f ca="1">SUMIF(Tabella2[[#Headers],[#Data],[Age]],$H$76,Tabella2[[#Headers],[#Data],[Federal taxes]])</f>
        <v>6804.3246087429152</v>
      </c>
      <c r="I1059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59" s="240">
        <f ca="1">Tabella8[[#This Row],[Colonna7]]*Tabella8[[#This Row],[Colonna4]]/100</f>
        <v>9693.3270481138934</v>
      </c>
    </row>
    <row r="1060" spans="2:10">
      <c r="B1060" s="92" t="s">
        <v>146</v>
      </c>
      <c r="C1060" s="91" t="s">
        <v>1398</v>
      </c>
      <c r="D1060" s="93">
        <v>81</v>
      </c>
      <c r="E1060" s="93">
        <v>96</v>
      </c>
      <c r="F1060" s="103">
        <v>8236</v>
      </c>
      <c r="G1060" s="103"/>
      <c r="H1060" s="240">
        <f ca="1">SUMIF(Tabella2[[#Headers],[#Data],[Age]],$H$76,Tabella2[[#Headers],[#Data],[Federal taxes]])</f>
        <v>6804.3246087429152</v>
      </c>
      <c r="I1060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0" s="240">
        <f ca="1">Tabella8[[#This Row],[Colonna7]]*Tabella8[[#This Row],[Colonna4]]/100</f>
        <v>10225.927435372898</v>
      </c>
    </row>
    <row r="1061" spans="2:10">
      <c r="B1061" s="92" t="s">
        <v>146</v>
      </c>
      <c r="C1061" s="91" t="s">
        <v>1387</v>
      </c>
      <c r="D1061" s="93">
        <v>81</v>
      </c>
      <c r="E1061" s="93">
        <v>62</v>
      </c>
      <c r="F1061" s="103">
        <f>IFERROR(INDEX(Tabella9[PLZ],MATCH(Tabella8[[#This Row],[Colonna2]],Tabella9[Ortschaftsname],0)), "Name not found")</f>
        <v>8454</v>
      </c>
      <c r="G1061" s="103"/>
      <c r="H1061" s="240">
        <f ca="1">SUMIF(Tabella2[[#Headers],[#Data],[Age]],$H$76,Tabella2[[#Headers],[#Data],[Federal taxes]])</f>
        <v>6804.3246087429152</v>
      </c>
      <c r="I1061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1" s="240">
        <f ca="1">Tabella8[[#This Row],[Colonna7]]*Tabella8[[#This Row],[Colonna4]]/100</f>
        <v>6604.2448020116635</v>
      </c>
    </row>
    <row r="1062" spans="2:10">
      <c r="B1062" s="92" t="s">
        <v>146</v>
      </c>
      <c r="C1062" s="91" t="s">
        <v>1397</v>
      </c>
      <c r="D1062" s="93">
        <v>81</v>
      </c>
      <c r="E1062" s="93">
        <v>85</v>
      </c>
      <c r="F1062" s="103">
        <f>IFERROR(INDEX(Tabella9[PLZ],MATCH(Tabella8[[#This Row],[Colonna2]],Tabella9[Ortschaftsname],0)), "Name not found")</f>
        <v>8236</v>
      </c>
      <c r="G1062" s="103"/>
      <c r="H1062" s="240">
        <f ca="1">SUMIF(Tabella2[[#Headers],[#Data],[Age]],$H$76,Tabella2[[#Headers],[#Data],[Federal taxes]])</f>
        <v>6804.3246087429152</v>
      </c>
      <c r="I1062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2" s="240">
        <f ca="1">Tabella8[[#This Row],[Colonna7]]*Tabella8[[#This Row],[Colonna4]]/100</f>
        <v>9054.2065834030873</v>
      </c>
    </row>
    <row r="1063" spans="2:10">
      <c r="B1063" s="92" t="s">
        <v>146</v>
      </c>
      <c r="C1063" s="91" t="s">
        <v>1386</v>
      </c>
      <c r="D1063" s="93">
        <v>81</v>
      </c>
      <c r="E1063" s="93">
        <v>88</v>
      </c>
      <c r="F1063" s="103">
        <f>IFERROR(INDEX(Tabella9[PLZ],MATCH(Tabella8[[#This Row],[Colonna2]],Tabella9[Ortschaftsname],0)), "Name not found")</f>
        <v>8239</v>
      </c>
      <c r="G1063" s="103"/>
      <c r="H1063" s="240">
        <f ca="1">SUMIF(Tabella2[[#Headers],[#Data],[Age]],$H$76,Tabella2[[#Headers],[#Data],[Federal taxes]])</f>
        <v>6804.3246087429152</v>
      </c>
      <c r="I1063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3" s="240">
        <f ca="1">Tabella8[[#This Row],[Colonna7]]*Tabella8[[#This Row],[Colonna4]]/100</f>
        <v>9373.7668157584903</v>
      </c>
    </row>
    <row r="1064" spans="2:10">
      <c r="B1064" s="92" t="s">
        <v>146</v>
      </c>
      <c r="C1064" s="91" t="s">
        <v>1388</v>
      </c>
      <c r="D1064" s="93">
        <v>81</v>
      </c>
      <c r="E1064" s="93">
        <v>107</v>
      </c>
      <c r="F1064" s="103">
        <f>IFERROR(INDEX(Tabella9[PLZ],MATCH(Tabella8[[#This Row],[Colonna2]],Tabella9[Ortschaftsname],0)), "Name not found")</f>
        <v>8214</v>
      </c>
      <c r="G1064" s="103"/>
      <c r="H1064" s="240">
        <f ca="1">SUMIF(Tabella2[[#Headers],[#Data],[Age]],$H$76,Tabella2[[#Headers],[#Data],[Federal taxes]])</f>
        <v>6804.3246087429152</v>
      </c>
      <c r="I1064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4" s="240">
        <f ca="1">Tabella8[[#This Row],[Colonna7]]*Tabella8[[#This Row],[Colonna4]]/100</f>
        <v>11397.64828734271</v>
      </c>
    </row>
    <row r="1065" spans="2:10">
      <c r="B1065" s="92" t="s">
        <v>146</v>
      </c>
      <c r="C1065" s="91" t="s">
        <v>1380</v>
      </c>
      <c r="D1065" s="93">
        <v>81</v>
      </c>
      <c r="E1065" s="93">
        <v>112</v>
      </c>
      <c r="F1065" s="103">
        <f>IFERROR(INDEX(Tabella9[PLZ],MATCH(Tabella8[[#This Row],[Colonna2]],Tabella9[Ortschaftsname],0)), "Name not found")</f>
        <v>8215</v>
      </c>
      <c r="G1065" s="103"/>
      <c r="H1065" s="240">
        <f ca="1">SUMIF(Tabella2[[#Headers],[#Data],[Age]],$H$76,Tabella2[[#Headers],[#Data],[Federal taxes]])</f>
        <v>6804.3246087429152</v>
      </c>
      <c r="I1065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5" s="240">
        <f ca="1">Tabella8[[#This Row],[Colonna7]]*Tabella8[[#This Row],[Colonna4]]/100</f>
        <v>11930.248674601715</v>
      </c>
    </row>
    <row r="1066" spans="2:10">
      <c r="B1066" s="92" t="s">
        <v>146</v>
      </c>
      <c r="C1066" s="91" t="s">
        <v>1395</v>
      </c>
      <c r="D1066" s="93">
        <v>81</v>
      </c>
      <c r="E1066" s="93">
        <v>96</v>
      </c>
      <c r="F1066" s="103">
        <f>IFERROR(INDEX(Tabella9[PLZ],MATCH(Tabella8[[#This Row],[Colonna2]],Tabella9[Ortschaftsname],0)), "Name not found")</f>
        <v>8261</v>
      </c>
      <c r="G1066" s="103"/>
      <c r="H1066" s="240">
        <f ca="1">SUMIF(Tabella2[[#Headers],[#Data],[Age]],$H$76,Tabella2[[#Headers],[#Data],[Federal taxes]])</f>
        <v>6804.3246087429152</v>
      </c>
      <c r="I1066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6" s="240">
        <f ca="1">Tabella8[[#This Row],[Colonna7]]*Tabella8[[#This Row],[Colonna4]]/100</f>
        <v>10225.927435372898</v>
      </c>
    </row>
    <row r="1067" spans="2:10">
      <c r="B1067" s="92" t="s">
        <v>146</v>
      </c>
      <c r="C1067" s="91" t="s">
        <v>1391</v>
      </c>
      <c r="D1067" s="93">
        <v>81</v>
      </c>
      <c r="E1067" s="93">
        <v>98</v>
      </c>
      <c r="F1067" s="103">
        <v>8235</v>
      </c>
      <c r="G1067" s="103"/>
      <c r="H1067" s="240">
        <f ca="1">SUMIF(Tabella2[[#Headers],[#Data],[Age]],$H$76,Tabella2[[#Headers],[#Data],[Federal taxes]])</f>
        <v>6804.3246087429152</v>
      </c>
      <c r="I1067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7" s="240">
        <f ca="1">Tabella8[[#This Row],[Colonna7]]*Tabella8[[#This Row],[Colonna4]]/100</f>
        <v>10438.967590276499</v>
      </c>
    </row>
    <row r="1068" spans="2:10">
      <c r="B1068" s="92" t="s">
        <v>146</v>
      </c>
      <c r="C1068" s="91" t="s">
        <v>1384</v>
      </c>
      <c r="D1068" s="93">
        <v>81</v>
      </c>
      <c r="E1068" s="93">
        <v>89</v>
      </c>
      <c r="F1068" s="103">
        <f>IFERROR(INDEX(Tabella9[PLZ],MATCH(Tabella8[[#This Row],[Colonna2]],Tabella9[Ortschaftsname],0)), "Name not found")</f>
        <v>8224</v>
      </c>
      <c r="G1068" s="103"/>
      <c r="H1068" s="240">
        <f ca="1">SUMIF(Tabella2[[#Headers],[#Data],[Age]],$H$76,Tabella2[[#Headers],[#Data],[Federal taxes]])</f>
        <v>6804.3246087429152</v>
      </c>
      <c r="I1068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8" s="240">
        <f ca="1">Tabella8[[#This Row],[Colonna7]]*Tabella8[[#This Row],[Colonna4]]/100</f>
        <v>9480.286893210292</v>
      </c>
    </row>
    <row r="1069" spans="2:10">
      <c r="B1069" s="92" t="s">
        <v>146</v>
      </c>
      <c r="C1069" s="91" t="s">
        <v>1390</v>
      </c>
      <c r="D1069" s="93">
        <v>81</v>
      </c>
      <c r="E1069" s="93">
        <v>110</v>
      </c>
      <c r="F1069" s="103">
        <f>IFERROR(INDEX(Tabella9[PLZ],MATCH(Tabella8[[#This Row],[Colonna2]],Tabella9[Ortschaftsname],0)), "Name not found")</f>
        <v>8232</v>
      </c>
      <c r="G1069" s="103"/>
      <c r="H1069" s="240">
        <f ca="1">SUMIF(Tabella2[[#Headers],[#Data],[Age]],$H$76,Tabella2[[#Headers],[#Data],[Federal taxes]])</f>
        <v>6804.3246087429152</v>
      </c>
      <c r="I1069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69" s="240">
        <f ca="1">Tabella8[[#This Row],[Colonna7]]*Tabella8[[#This Row],[Colonna4]]/100</f>
        <v>11717.208519698113</v>
      </c>
    </row>
    <row r="1070" spans="2:10">
      <c r="B1070" s="92" t="s">
        <v>146</v>
      </c>
      <c r="C1070" s="91" t="s">
        <v>1375</v>
      </c>
      <c r="D1070" s="93">
        <v>81</v>
      </c>
      <c r="E1070" s="93">
        <v>93</v>
      </c>
      <c r="F1070" s="103">
        <f>IFERROR(INDEX(Tabella9[PLZ],MATCH(Tabella8[[#This Row],[Colonna2]],Tabella9[Ortschaftsname],0)), "Name not found")</f>
        <v>8212</v>
      </c>
      <c r="G1070" s="103"/>
      <c r="H1070" s="240">
        <f ca="1">SUMIF(Tabella2[[#Headers],[#Data],[Age]],$H$76,Tabella2[[#Headers],[#Data],[Federal taxes]])</f>
        <v>6804.3246087429152</v>
      </c>
      <c r="I1070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0" s="240">
        <f ca="1">Tabella8[[#This Row],[Colonna7]]*Tabella8[[#This Row],[Colonna4]]/100</f>
        <v>9906.3672030174948</v>
      </c>
    </row>
    <row r="1071" spans="2:10">
      <c r="B1071" s="92" t="s">
        <v>146</v>
      </c>
      <c r="C1071" s="91" t="s">
        <v>1379</v>
      </c>
      <c r="D1071" s="93">
        <v>81</v>
      </c>
      <c r="E1071" s="93">
        <v>99</v>
      </c>
      <c r="F1071" s="103">
        <f>IFERROR(INDEX(Tabella9[PLZ],MATCH(Tabella8[[#This Row],[Colonna2]],Tabella9[Ortschaftsname],0)), "Name not found")</f>
        <v>8213</v>
      </c>
      <c r="G1071" s="103"/>
      <c r="H1071" s="240">
        <f ca="1">SUMIF(Tabella2[[#Headers],[#Data],[Age]],$H$76,Tabella2[[#Headers],[#Data],[Federal taxes]])</f>
        <v>6804.3246087429152</v>
      </c>
      <c r="I1071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1" s="240">
        <f ca="1">Tabella8[[#This Row],[Colonna7]]*Tabella8[[#This Row],[Colonna4]]/100</f>
        <v>10545.487667728301</v>
      </c>
    </row>
    <row r="1072" spans="2:10">
      <c r="B1072" s="92" t="s">
        <v>146</v>
      </c>
      <c r="C1072" s="91" t="s">
        <v>1396</v>
      </c>
      <c r="D1072" s="93">
        <v>81</v>
      </c>
      <c r="E1072" s="93">
        <v>117</v>
      </c>
      <c r="F1072" s="103">
        <f>IFERROR(INDEX(Tabella9[PLZ],MATCH(Tabella8[[#This Row],[Colonna2]],Tabella9[Ortschaftsname],0)), "Name not found")</f>
        <v>8216</v>
      </c>
      <c r="G1072" s="103"/>
      <c r="H1072" s="240">
        <f ca="1">SUMIF(Tabella2[[#Headers],[#Data],[Age]],$H$76,Tabella2[[#Headers],[#Data],[Federal taxes]])</f>
        <v>6804.3246087429152</v>
      </c>
      <c r="I1072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2" s="240">
        <f ca="1">Tabella8[[#This Row],[Colonna7]]*Tabella8[[#This Row],[Colonna4]]/100</f>
        <v>12462.849061860719</v>
      </c>
    </row>
    <row r="1073" spans="2:10">
      <c r="B1073" s="92" t="s">
        <v>146</v>
      </c>
      <c r="C1073" s="91" t="s">
        <v>1383</v>
      </c>
      <c r="D1073" s="93">
        <v>81</v>
      </c>
      <c r="E1073" s="93">
        <v>95</v>
      </c>
      <c r="F1073" s="103">
        <f>IFERROR(INDEX(Tabella9[PLZ],MATCH(Tabella8[[#This Row],[Colonna2]],Tabella9[Ortschaftsname],0)), "Name not found")</f>
        <v>8262</v>
      </c>
      <c r="G1073" s="103"/>
      <c r="H1073" s="240">
        <f ca="1">SUMIF(Tabella2[[#Headers],[#Data],[Age]],$H$76,Tabella2[[#Headers],[#Data],[Federal taxes]])</f>
        <v>6804.3246087429152</v>
      </c>
      <c r="I1073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3" s="240">
        <f ca="1">Tabella8[[#This Row],[Colonna7]]*Tabella8[[#This Row],[Colonna4]]/100</f>
        <v>10119.407357921098</v>
      </c>
    </row>
    <row r="1074" spans="2:10">
      <c r="B1074" s="92" t="s">
        <v>146</v>
      </c>
      <c r="C1074" s="91" t="s">
        <v>1392</v>
      </c>
      <c r="D1074" s="93">
        <v>81</v>
      </c>
      <c r="E1074" s="93">
        <v>75</v>
      </c>
      <c r="F1074" s="103">
        <f>IFERROR(INDEX(Tabella9[PLZ],MATCH(Tabella8[[#This Row],[Colonna2]],Tabella9[Ortschaftsname],0)), "Name not found")</f>
        <v>8455</v>
      </c>
      <c r="G1074" s="103"/>
      <c r="H1074" s="240">
        <f ca="1">SUMIF(Tabella2[[#Headers],[#Data],[Age]],$H$76,Tabella2[[#Headers],[#Data],[Federal taxes]])</f>
        <v>6804.3246087429152</v>
      </c>
      <c r="I1074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4" s="240">
        <f ca="1">Tabella8[[#This Row],[Colonna7]]*Tabella8[[#This Row],[Colonna4]]/100</f>
        <v>7989.0058088850765</v>
      </c>
    </row>
    <row r="1075" spans="2:10">
      <c r="B1075" s="92" t="s">
        <v>146</v>
      </c>
      <c r="C1075" s="91" t="s">
        <v>175</v>
      </c>
      <c r="D1075" s="93">
        <v>81</v>
      </c>
      <c r="E1075" s="93">
        <v>90</v>
      </c>
      <c r="F1075" s="103">
        <f>IFERROR(INDEX(Tabella9[PLZ],MATCH(Tabella8[[#This Row],[Colonna2]],Tabella9[Ortschaftsname],0)), "Name not found")</f>
        <v>8200</v>
      </c>
      <c r="G1075" s="103"/>
      <c r="H1075" s="240">
        <f ca="1">SUMIF(Tabella2[[#Headers],[#Data],[Age]],$H$76,Tabella2[[#Headers],[#Data],[Federal taxes]])</f>
        <v>6804.3246087429152</v>
      </c>
      <c r="I1075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5" s="240">
        <f ca="1">Tabella8[[#This Row],[Colonna7]]*Tabella8[[#This Row],[Colonna4]]/100</f>
        <v>9586.8069706620936</v>
      </c>
    </row>
    <row r="1076" spans="2:10">
      <c r="B1076" s="92" t="s">
        <v>146</v>
      </c>
      <c r="C1076" s="91" t="s">
        <v>1382</v>
      </c>
      <c r="D1076" s="93">
        <v>81</v>
      </c>
      <c r="E1076" s="93">
        <v>115</v>
      </c>
      <c r="F1076" s="103">
        <f>IFERROR(INDEX(Tabella9[PLZ],MATCH(Tabella8[[#This Row],[Colonna2]],Tabella9[Ortschaftsname],0)), "Name not found")</f>
        <v>8226</v>
      </c>
      <c r="G1076" s="103"/>
      <c r="H1076" s="240">
        <f ca="1">SUMIF(Tabella2[[#Headers],[#Data],[Age]],$H$76,Tabella2[[#Headers],[#Data],[Federal taxes]])</f>
        <v>6804.3246087429152</v>
      </c>
      <c r="I1076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6" s="240">
        <f ca="1">Tabella8[[#This Row],[Colonna7]]*Tabella8[[#This Row],[Colonna4]]/100</f>
        <v>12249.808906957118</v>
      </c>
    </row>
    <row r="1077" spans="2:10">
      <c r="B1077" s="92" t="s">
        <v>146</v>
      </c>
      <c r="C1077" s="91" t="s">
        <v>1389</v>
      </c>
      <c r="D1077" s="93">
        <v>81</v>
      </c>
      <c r="E1077" s="93">
        <v>105</v>
      </c>
      <c r="F1077" s="103">
        <f>IFERROR(INDEX(Tabella9[PLZ],MATCH(Tabella8[[#This Row],[Colonna2]],Tabella9[Ortschaftsname],0)), "Name not found")</f>
        <v>8225</v>
      </c>
      <c r="G1077" s="103"/>
      <c r="H1077" s="240">
        <f ca="1">SUMIF(Tabella2[[#Headers],[#Data],[Age]],$H$76,Tabella2[[#Headers],[#Data],[Federal taxes]])</f>
        <v>6804.3246087429152</v>
      </c>
      <c r="I1077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7" s="240">
        <f ca="1">Tabella8[[#This Row],[Colonna7]]*Tabella8[[#This Row],[Colonna4]]/100</f>
        <v>11184.608132439107</v>
      </c>
    </row>
    <row r="1078" spans="2:10">
      <c r="B1078" s="92" t="s">
        <v>146</v>
      </c>
      <c r="C1078" s="91" t="s">
        <v>1378</v>
      </c>
      <c r="D1078" s="93">
        <v>81</v>
      </c>
      <c r="E1078" s="93">
        <v>95</v>
      </c>
      <c r="F1078" s="103">
        <f>IFERROR(INDEX(Tabella9[PLZ],MATCH(Tabella8[[#This Row],[Colonna2]],Tabella9[Ortschaftsname],0)), "Name not found")</f>
        <v>8260</v>
      </c>
      <c r="G1078" s="103"/>
      <c r="H1078" s="240">
        <f ca="1">SUMIF(Tabella2[[#Headers],[#Data],[Age]],$H$76,Tabella2[[#Headers],[#Data],[Federal taxes]])</f>
        <v>6804.3246087429152</v>
      </c>
      <c r="I1078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8" s="240">
        <f ca="1">Tabella8[[#This Row],[Colonna7]]*Tabella8[[#This Row],[Colonna4]]/100</f>
        <v>10119.407357921098</v>
      </c>
    </row>
    <row r="1079" spans="2:10">
      <c r="B1079" s="92" t="s">
        <v>146</v>
      </c>
      <c r="C1079" s="91" t="s">
        <v>1385</v>
      </c>
      <c r="D1079" s="93">
        <v>81</v>
      </c>
      <c r="E1079" s="93">
        <v>61</v>
      </c>
      <c r="F1079" s="103">
        <v>8234</v>
      </c>
      <c r="G1079" s="103"/>
      <c r="H1079" s="240">
        <f ca="1">SUMIF(Tabella2[[#Headers],[#Data],[Age]],$H$76,Tabella2[[#Headers],[#Data],[Federal taxes]])</f>
        <v>6804.3246087429152</v>
      </c>
      <c r="I1079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79" s="240">
        <f ca="1">Tabella8[[#This Row],[Colonna7]]*Tabella8[[#This Row],[Colonna4]]/100</f>
        <v>6497.7247245598628</v>
      </c>
    </row>
    <row r="1080" spans="2:10">
      <c r="B1080" s="92" t="s">
        <v>146</v>
      </c>
      <c r="C1080" s="91" t="s">
        <v>1376</v>
      </c>
      <c r="D1080" s="93">
        <v>81</v>
      </c>
      <c r="E1080" s="93">
        <v>92</v>
      </c>
      <c r="F1080" s="103">
        <f>IFERROR(INDEX(Tabella9[PLZ],MATCH(Tabella8[[#This Row],[Colonna2]],Tabella9[Ortschaftsname],0)), "Name not found")</f>
        <v>8240</v>
      </c>
      <c r="G1080" s="103"/>
      <c r="H1080" s="240">
        <f ca="1">SUMIF(Tabella2[[#Headers],[#Data],[Age]],$H$76,Tabella2[[#Headers],[#Data],[Federal taxes]])</f>
        <v>6804.3246087429152</v>
      </c>
      <c r="I1080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80" s="240">
        <f ca="1">Tabella8[[#This Row],[Colonna7]]*Tabella8[[#This Row],[Colonna4]]/100</f>
        <v>9799.847125565695</v>
      </c>
    </row>
    <row r="1081" spans="2:10">
      <c r="B1081" s="92" t="s">
        <v>146</v>
      </c>
      <c r="C1081" s="91" t="s">
        <v>1393</v>
      </c>
      <c r="D1081" s="93">
        <v>81</v>
      </c>
      <c r="E1081" s="93">
        <v>112</v>
      </c>
      <c r="F1081" s="103">
        <f>IFERROR(INDEX(Tabella9[PLZ],MATCH(Tabella8[[#This Row],[Colonna2]],Tabella9[Ortschaftsname],0)), "Name not found")</f>
        <v>8219</v>
      </c>
      <c r="G1081" s="103"/>
      <c r="H1081" s="240">
        <f ca="1">SUMIF(Tabella2[[#Headers],[#Data],[Age]],$H$76,Tabella2[[#Headers],[#Data],[Federal taxes]])</f>
        <v>6804.3246087429152</v>
      </c>
      <c r="I1081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81" s="240">
        <f ca="1">Tabella8[[#This Row],[Colonna7]]*Tabella8[[#This Row],[Colonna4]]/100</f>
        <v>11930.248674601715</v>
      </c>
    </row>
    <row r="1082" spans="2:10">
      <c r="B1082" s="92" t="s">
        <v>146</v>
      </c>
      <c r="C1082" s="91" t="s">
        <v>1381</v>
      </c>
      <c r="D1082" s="93">
        <v>81</v>
      </c>
      <c r="E1082" s="93">
        <v>112</v>
      </c>
      <c r="F1082" s="103">
        <f>IFERROR(INDEX(Tabella9[PLZ],MATCH(Tabella8[[#This Row],[Colonna2]],Tabella9[Ortschaftsname],0)), "Name not found")</f>
        <v>8217</v>
      </c>
      <c r="G1082" s="103"/>
      <c r="H1082" s="240">
        <f ca="1">SUMIF(Tabella2[[#Headers],[#Data],[Age]],$H$76,Tabella2[[#Headers],[#Data],[Federal taxes]])</f>
        <v>6804.3246087429152</v>
      </c>
      <c r="I1082" s="240">
        <f ca="1">IFERROR(INDEX(Tabella13[[TI]:[VS commun]], MATCH($H$76, Tabella13[Age], 0), MATCH(Tabella8[[#This Row],[Colonna1]], Tabella13[[#Headers], [TI]:[VS commun]], 0)), "Valore non trovato")*Tabella8[[#This Row],[Colonna3]]/100</f>
        <v>10652.007745180103</v>
      </c>
      <c r="J1082" s="240">
        <f ca="1">Tabella8[[#This Row],[Colonna7]]*Tabella8[[#This Row],[Colonna4]]/100</f>
        <v>11930.248674601715</v>
      </c>
    </row>
    <row r="1083" spans="2:10">
      <c r="B1083" s="92" t="s">
        <v>154</v>
      </c>
      <c r="C1083" s="91" t="s">
        <v>1887</v>
      </c>
      <c r="D1083" s="93">
        <v>330</v>
      </c>
      <c r="E1083" s="93">
        <v>390</v>
      </c>
      <c r="F1083" s="103">
        <f>IFERROR(INDEX(Tabella9[PLZ],MATCH(Tabella8[[#This Row],[Colonna2]],Tabella9[Ortschaftsname],0)), "Name not found")</f>
        <v>9055</v>
      </c>
      <c r="G1083" s="103"/>
      <c r="H1083" s="240">
        <f ca="1">SUMIF(Tabella2[[#Headers],[#Data],[Age]],$H$76,Tabella2[[#Headers],[#Data],[Federal taxes]])</f>
        <v>6804.3246087429152</v>
      </c>
      <c r="I1083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3" s="240">
        <f ca="1">Tabella8[[#This Row],[Colonna7]]*Tabella8[[#This Row],[Colonna4]]/100</f>
        <v>54633.490897464711</v>
      </c>
    </row>
    <row r="1084" spans="2:10">
      <c r="B1084" s="92" t="s">
        <v>154</v>
      </c>
      <c r="C1084" s="91" t="s">
        <v>1882</v>
      </c>
      <c r="D1084" s="93">
        <v>330</v>
      </c>
      <c r="E1084" s="93">
        <v>335</v>
      </c>
      <c r="F1084" s="103">
        <f>IFERROR(INDEX(Tabella9[PLZ],MATCH(Tabella8[[#This Row],[Colonna2]],Tabella9[Ortschaftsname],0)), "Name not found")</f>
        <v>9056</v>
      </c>
      <c r="G1084" s="103"/>
      <c r="H1084" s="240">
        <f ca="1">SUMIF(Tabella2[[#Headers],[#Data],[Age]],$H$76,Tabella2[[#Headers],[#Data],[Federal taxes]])</f>
        <v>6804.3246087429152</v>
      </c>
      <c r="I1084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4" s="240">
        <f ca="1">Tabella8[[#This Row],[Colonna7]]*Tabella8[[#This Row],[Colonna4]]/100</f>
        <v>46928.767822181231</v>
      </c>
    </row>
    <row r="1085" spans="2:10">
      <c r="B1085" s="92" t="s">
        <v>154</v>
      </c>
      <c r="C1085" s="91" t="s">
        <v>1893</v>
      </c>
      <c r="D1085" s="93">
        <v>330</v>
      </c>
      <c r="E1085" s="93">
        <v>400</v>
      </c>
      <c r="F1085" s="103">
        <v>9035</v>
      </c>
      <c r="G1085" s="103"/>
      <c r="H1085" s="240">
        <f ca="1">SUMIF(Tabella2[[#Headers],[#Data],[Age]],$H$76,Tabella2[[#Headers],[#Data],[Federal taxes]])</f>
        <v>6804.3246087429152</v>
      </c>
      <c r="I1085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5" s="240">
        <f ca="1">Tabella8[[#This Row],[Colonna7]]*Tabella8[[#This Row],[Colonna4]]/100</f>
        <v>56034.349638425352</v>
      </c>
    </row>
    <row r="1086" spans="2:10">
      <c r="B1086" s="92" t="s">
        <v>154</v>
      </c>
      <c r="C1086" s="91" t="s">
        <v>1881</v>
      </c>
      <c r="D1086" s="93">
        <v>330</v>
      </c>
      <c r="E1086" s="93">
        <v>370</v>
      </c>
      <c r="F1086" s="103">
        <f>IFERROR(INDEX(Tabella9[PLZ],MATCH(Tabella8[[#This Row],[Colonna2]],Tabella9[Ortschaftsname],0)), "Name not found")</f>
        <v>9410</v>
      </c>
      <c r="G1086" s="103"/>
      <c r="H1086" s="240">
        <f ca="1">SUMIF(Tabella2[[#Headers],[#Data],[Age]],$H$76,Tabella2[[#Headers],[#Data],[Federal taxes]])</f>
        <v>6804.3246087429152</v>
      </c>
      <c r="I1086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6" s="240">
        <f ca="1">Tabella8[[#This Row],[Colonna7]]*Tabella8[[#This Row],[Colonna4]]/100</f>
        <v>51831.773415543445</v>
      </c>
    </row>
    <row r="1087" spans="2:10">
      <c r="B1087" s="92" t="s">
        <v>154</v>
      </c>
      <c r="C1087" s="91" t="s">
        <v>1877</v>
      </c>
      <c r="D1087" s="93">
        <v>330</v>
      </c>
      <c r="E1087" s="93">
        <v>409.99999999999994</v>
      </c>
      <c r="F1087" s="103">
        <f>IFERROR(INDEX(Tabella9[PLZ],MATCH(Tabella8[[#This Row],[Colonna2]],Tabella9[Ortschaftsname],0)), "Name not found")</f>
        <v>9100</v>
      </c>
      <c r="G1087" s="103"/>
      <c r="H1087" s="240">
        <f ca="1">SUMIF(Tabella2[[#Headers],[#Data],[Age]],$H$76,Tabella2[[#Headers],[#Data],[Federal taxes]])</f>
        <v>6804.3246087429152</v>
      </c>
      <c r="I1087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7" s="240">
        <f ca="1">Tabella8[[#This Row],[Colonna7]]*Tabella8[[#This Row],[Colonna4]]/100</f>
        <v>57435.208379385971</v>
      </c>
    </row>
    <row r="1088" spans="2:10">
      <c r="B1088" s="92" t="s">
        <v>154</v>
      </c>
      <c r="C1088" s="91" t="s">
        <v>1894</v>
      </c>
      <c r="D1088" s="93">
        <v>330</v>
      </c>
      <c r="E1088" s="93">
        <v>470</v>
      </c>
      <c r="F1088" s="103">
        <f>IFERROR(INDEX(Tabella9[PLZ],MATCH(Tabella8[[#This Row],[Colonna2]],Tabella9[Ortschaftsname],0)), "Name not found")</f>
        <v>9064</v>
      </c>
      <c r="G1088" s="103"/>
      <c r="H1088" s="240">
        <f ca="1">SUMIF(Tabella2[[#Headers],[#Data],[Age]],$H$76,Tabella2[[#Headers],[#Data],[Federal taxes]])</f>
        <v>6804.3246087429152</v>
      </c>
      <c r="I1088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8" s="240">
        <f ca="1">Tabella8[[#This Row],[Colonna7]]*Tabella8[[#This Row],[Colonna4]]/100</f>
        <v>65840.360825149794</v>
      </c>
    </row>
    <row r="1089" spans="2:10">
      <c r="B1089" s="92" t="s">
        <v>154</v>
      </c>
      <c r="C1089" s="91" t="s">
        <v>1892</v>
      </c>
      <c r="D1089" s="93">
        <v>330</v>
      </c>
      <c r="E1089" s="93">
        <v>350</v>
      </c>
      <c r="F1089" s="103">
        <f>IFERROR(INDEX(Tabella9[PLZ],MATCH(Tabella8[[#This Row],[Colonna2]],Tabella9[Ortschaftsname],0)), "Name not found")</f>
        <v>9426</v>
      </c>
      <c r="G1089" s="103"/>
      <c r="H1089" s="240">
        <f ca="1">SUMIF(Tabella2[[#Headers],[#Data],[Age]],$H$76,Tabella2[[#Headers],[#Data],[Federal taxes]])</f>
        <v>6804.3246087429152</v>
      </c>
      <c r="I1089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89" s="240">
        <f ca="1">Tabella8[[#This Row],[Colonna7]]*Tabella8[[#This Row],[Colonna4]]/100</f>
        <v>49030.055933622185</v>
      </c>
    </row>
    <row r="1090" spans="2:10">
      <c r="B1090" s="92" t="s">
        <v>154</v>
      </c>
      <c r="C1090" s="91" t="s">
        <v>1888</v>
      </c>
      <c r="D1090" s="93">
        <v>330</v>
      </c>
      <c r="E1090" s="93">
        <v>420</v>
      </c>
      <c r="F1090" s="103">
        <f>IFERROR(INDEX(Tabella9[PLZ],MATCH(Tabella8[[#This Row],[Colonna2]],Tabella9[Ortschaftsname],0)), "Name not found")</f>
        <v>9038</v>
      </c>
      <c r="G1090" s="103"/>
      <c r="H1090" s="240">
        <f ca="1">SUMIF(Tabella2[[#Headers],[#Data],[Age]],$H$76,Tabella2[[#Headers],[#Data],[Federal taxes]])</f>
        <v>6804.3246087429152</v>
      </c>
      <c r="I1090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0" s="240">
        <f ca="1">Tabella8[[#This Row],[Colonna7]]*Tabella8[[#This Row],[Colonna4]]/100</f>
        <v>58836.067120346619</v>
      </c>
    </row>
    <row r="1091" spans="2:10">
      <c r="B1091" s="92" t="s">
        <v>154</v>
      </c>
      <c r="C1091" s="91" t="s">
        <v>1896</v>
      </c>
      <c r="D1091" s="93">
        <v>330</v>
      </c>
      <c r="E1091" s="93">
        <v>370</v>
      </c>
      <c r="F1091" s="103">
        <v>9411</v>
      </c>
      <c r="G1091" s="103"/>
      <c r="H1091" s="240">
        <f ca="1">SUMIF(Tabella2[[#Headers],[#Data],[Age]],$H$76,Tabella2[[#Headers],[#Data],[Federal taxes]])</f>
        <v>6804.3246087429152</v>
      </c>
      <c r="I1091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1" s="240">
        <f ca="1">Tabella8[[#This Row],[Colonna7]]*Tabella8[[#This Row],[Colonna4]]/100</f>
        <v>51831.773415543445</v>
      </c>
    </row>
    <row r="1092" spans="2:10">
      <c r="B1092" s="92" t="s">
        <v>154</v>
      </c>
      <c r="C1092" s="91" t="s">
        <v>1890</v>
      </c>
      <c r="D1092" s="93">
        <v>330</v>
      </c>
      <c r="E1092" s="93">
        <v>420</v>
      </c>
      <c r="F1092" s="103">
        <f>IFERROR(INDEX(Tabella9[PLZ],MATCH(Tabella8[[#This Row],[Colonna2]],Tabella9[Ortschaftsname],0)), "Name not found")</f>
        <v>9103</v>
      </c>
      <c r="G1092" s="103"/>
      <c r="H1092" s="240">
        <f ca="1">SUMIF(Tabella2[[#Headers],[#Data],[Age]],$H$76,Tabella2[[#Headers],[#Data],[Federal taxes]])</f>
        <v>6804.3246087429152</v>
      </c>
      <c r="I1092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2" s="240">
        <f ca="1">Tabella8[[#This Row],[Colonna7]]*Tabella8[[#This Row],[Colonna4]]/100</f>
        <v>58836.067120346619</v>
      </c>
    </row>
    <row r="1093" spans="2:10">
      <c r="B1093" s="92" t="s">
        <v>154</v>
      </c>
      <c r="C1093" s="91" t="s">
        <v>1897</v>
      </c>
      <c r="D1093" s="93">
        <v>330</v>
      </c>
      <c r="E1093" s="93">
        <v>420</v>
      </c>
      <c r="F1093" s="103">
        <f>IFERROR(INDEX(Tabella9[PLZ],MATCH(Tabella8[[#This Row],[Colonna2]],Tabella9[Ortschaftsname],0)), "Name not found")</f>
        <v>9105</v>
      </c>
      <c r="G1093" s="103"/>
      <c r="H1093" s="240">
        <f ca="1">SUMIF(Tabella2[[#Headers],[#Data],[Age]],$H$76,Tabella2[[#Headers],[#Data],[Federal taxes]])</f>
        <v>6804.3246087429152</v>
      </c>
      <c r="I1093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3" s="240">
        <f ca="1">Tabella8[[#This Row],[Colonna7]]*Tabella8[[#This Row],[Colonna4]]/100</f>
        <v>58836.067120346619</v>
      </c>
    </row>
    <row r="1094" spans="2:10">
      <c r="B1094" s="92" t="s">
        <v>154</v>
      </c>
      <c r="C1094" s="91" t="s">
        <v>1880</v>
      </c>
      <c r="D1094" s="93">
        <v>330</v>
      </c>
      <c r="E1094" s="93">
        <v>360</v>
      </c>
      <c r="F1094" s="103">
        <f>IFERROR(INDEX(Tabella9[PLZ],MATCH(Tabella8[[#This Row],[Colonna2]],Tabella9[Ortschaftsname],0)), "Name not found")</f>
        <v>9042</v>
      </c>
      <c r="G1094" s="103"/>
      <c r="H1094" s="240">
        <f ca="1">SUMIF(Tabella2[[#Headers],[#Data],[Age]],$H$76,Tabella2[[#Headers],[#Data],[Federal taxes]])</f>
        <v>6804.3246087429152</v>
      </c>
      <c r="I1094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4" s="240">
        <f ca="1">Tabella8[[#This Row],[Colonna7]]*Tabella8[[#This Row],[Colonna4]]/100</f>
        <v>50430.914674582818</v>
      </c>
    </row>
    <row r="1095" spans="2:10">
      <c r="B1095" s="92" t="s">
        <v>154</v>
      </c>
      <c r="C1095" s="91" t="s">
        <v>1891</v>
      </c>
      <c r="D1095" s="93">
        <v>330</v>
      </c>
      <c r="E1095" s="93">
        <v>370</v>
      </c>
      <c r="F1095" s="103">
        <v>9063</v>
      </c>
      <c r="G1095" s="103"/>
      <c r="H1095" s="240">
        <f ca="1">SUMIF(Tabella2[[#Headers],[#Data],[Age]],$H$76,Tabella2[[#Headers],[#Data],[Federal taxes]])</f>
        <v>6804.3246087429152</v>
      </c>
      <c r="I1095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5" s="240">
        <f ca="1">Tabella8[[#This Row],[Colonna7]]*Tabella8[[#This Row],[Colonna4]]/100</f>
        <v>51831.773415543445</v>
      </c>
    </row>
    <row r="1096" spans="2:10">
      <c r="B1096" s="92" t="s">
        <v>154</v>
      </c>
      <c r="C1096" s="91" t="s">
        <v>1879</v>
      </c>
      <c r="D1096" s="93">
        <v>330</v>
      </c>
      <c r="E1096" s="93">
        <v>260</v>
      </c>
      <c r="F1096" s="103">
        <v>9053</v>
      </c>
      <c r="G1096" s="103"/>
      <c r="H1096" s="240">
        <f ca="1">SUMIF(Tabella2[[#Headers],[#Data],[Age]],$H$76,Tabella2[[#Headers],[#Data],[Federal taxes]])</f>
        <v>6804.3246087429152</v>
      </c>
      <c r="I1096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6" s="240">
        <f ca="1">Tabella8[[#This Row],[Colonna7]]*Tabella8[[#This Row],[Colonna4]]/100</f>
        <v>36422.327264976477</v>
      </c>
    </row>
    <row r="1097" spans="2:10">
      <c r="B1097" s="92" t="s">
        <v>154</v>
      </c>
      <c r="C1097" s="91" t="s">
        <v>1889</v>
      </c>
      <c r="D1097" s="93">
        <v>330</v>
      </c>
      <c r="E1097" s="93">
        <v>450</v>
      </c>
      <c r="F1097" s="103">
        <f>IFERROR(INDEX(Tabella9[PLZ],MATCH(Tabella8[[#This Row],[Colonna2]],Tabella9[Ortschaftsname],0)), "Name not found")</f>
        <v>9043</v>
      </c>
      <c r="G1097" s="103"/>
      <c r="H1097" s="240">
        <f ca="1">SUMIF(Tabella2[[#Headers],[#Data],[Age]],$H$76,Tabella2[[#Headers],[#Data],[Federal taxes]])</f>
        <v>6804.3246087429152</v>
      </c>
      <c r="I1097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7" s="240">
        <f ca="1">Tabella8[[#This Row],[Colonna7]]*Tabella8[[#This Row],[Colonna4]]/100</f>
        <v>63038.643343228519</v>
      </c>
    </row>
    <row r="1098" spans="2:10">
      <c r="B1098" s="92" t="s">
        <v>154</v>
      </c>
      <c r="C1098" s="91" t="s">
        <v>1883</v>
      </c>
      <c r="D1098" s="93">
        <v>330</v>
      </c>
      <c r="E1098" s="93">
        <v>420</v>
      </c>
      <c r="F1098" s="103">
        <f>IFERROR(INDEX(Tabella9[PLZ],MATCH(Tabella8[[#This Row],[Colonna2]],Tabella9[Ortschaftsname],0)), "Name not found")</f>
        <v>9107</v>
      </c>
      <c r="G1098" s="103"/>
      <c r="H1098" s="240">
        <f ca="1">SUMIF(Tabella2[[#Headers],[#Data],[Age]],$H$76,Tabella2[[#Headers],[#Data],[Federal taxes]])</f>
        <v>6804.3246087429152</v>
      </c>
      <c r="I1098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8" s="240">
        <f ca="1">Tabella8[[#This Row],[Colonna7]]*Tabella8[[#This Row],[Colonna4]]/100</f>
        <v>58836.067120346619</v>
      </c>
    </row>
    <row r="1099" spans="2:10">
      <c r="B1099" s="92" t="s">
        <v>154</v>
      </c>
      <c r="C1099" s="91" t="s">
        <v>1895</v>
      </c>
      <c r="D1099" s="93">
        <v>330</v>
      </c>
      <c r="E1099" s="93">
        <v>409.99999999999994</v>
      </c>
      <c r="F1099" s="103">
        <v>9044</v>
      </c>
      <c r="G1099" s="103"/>
      <c r="H1099" s="240">
        <f ca="1">SUMIF(Tabella2[[#Headers],[#Data],[Age]],$H$76,Tabella2[[#Headers],[#Data],[Federal taxes]])</f>
        <v>6804.3246087429152</v>
      </c>
      <c r="I1099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099" s="240">
        <f ca="1">Tabella8[[#This Row],[Colonna7]]*Tabella8[[#This Row],[Colonna4]]/100</f>
        <v>57435.208379385971</v>
      </c>
    </row>
    <row r="1100" spans="2:10">
      <c r="B1100" s="92" t="s">
        <v>154</v>
      </c>
      <c r="C1100" s="91" t="s">
        <v>1885</v>
      </c>
      <c r="D1100" s="93">
        <v>330</v>
      </c>
      <c r="E1100" s="93">
        <v>390</v>
      </c>
      <c r="F1100" s="103">
        <f>IFERROR(INDEX(Tabella9[PLZ],MATCH(Tabella8[[#This Row],[Colonna2]],Tabella9[Ortschaftsname],0)), "Name not found")</f>
        <v>9104</v>
      </c>
      <c r="G1100" s="103"/>
      <c r="H1100" s="240">
        <f ca="1">SUMIF(Tabella2[[#Headers],[#Data],[Age]],$H$76,Tabella2[[#Headers],[#Data],[Federal taxes]])</f>
        <v>6804.3246087429152</v>
      </c>
      <c r="I1100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100" s="240">
        <f ca="1">Tabella8[[#This Row],[Colonna7]]*Tabella8[[#This Row],[Colonna4]]/100</f>
        <v>54633.490897464711</v>
      </c>
    </row>
    <row r="1101" spans="2:10">
      <c r="B1101" s="92" t="s">
        <v>154</v>
      </c>
      <c r="C1101" s="91" t="s">
        <v>1884</v>
      </c>
      <c r="D1101" s="93">
        <v>330</v>
      </c>
      <c r="E1101" s="93">
        <v>320</v>
      </c>
      <c r="F1101" s="103">
        <f>IFERROR(INDEX(Tabella9[PLZ],MATCH(Tabella8[[#This Row],[Colonna2]],Tabella9[Ortschaftsname],0)), "Name not found")</f>
        <v>9428</v>
      </c>
      <c r="G1101" s="103"/>
      <c r="H1101" s="240">
        <f ca="1">SUMIF(Tabella2[[#Headers],[#Data],[Age]],$H$76,Tabella2[[#Headers],[#Data],[Federal taxes]])</f>
        <v>6804.3246087429152</v>
      </c>
      <c r="I1101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101" s="240">
        <f ca="1">Tabella8[[#This Row],[Colonna7]]*Tabella8[[#This Row],[Colonna4]]/100</f>
        <v>44827.479710740277</v>
      </c>
    </row>
    <row r="1102" spans="2:10">
      <c r="B1102" s="92" t="s">
        <v>154</v>
      </c>
      <c r="C1102" s="91" t="s">
        <v>1886</v>
      </c>
      <c r="D1102" s="93">
        <v>330</v>
      </c>
      <c r="E1102" s="93">
        <v>390</v>
      </c>
      <c r="F1102" s="103">
        <f>IFERROR(INDEX(Tabella9[PLZ],MATCH(Tabella8[[#This Row],[Colonna2]],Tabella9[Ortschaftsname],0)), "Name not found")</f>
        <v>9427</v>
      </c>
      <c r="G1102" s="103"/>
      <c r="H1102" s="240">
        <f ca="1">SUMIF(Tabella2[[#Headers],[#Data],[Age]],$H$76,Tabella2[[#Headers],[#Data],[Federal taxes]])</f>
        <v>6804.3246087429152</v>
      </c>
      <c r="I1102" s="240">
        <f ca="1">IFERROR(INDEX(Tabella13[[TI]:[VS commun]], MATCH($H$76, Tabella13[Age], 0), MATCH(Tabella8[[#This Row],[Colonna1]], Tabella13[[#Headers], [TI]:[VS commun]], 0)), "Valore non trovato")*Tabella8[[#This Row],[Colonna3]]/100</f>
        <v>14008.587409606338</v>
      </c>
      <c r="J1102" s="240">
        <f ca="1">Tabella8[[#This Row],[Colonna7]]*Tabella8[[#This Row],[Colonna4]]/100</f>
        <v>54633.490897464711</v>
      </c>
    </row>
    <row r="1103" spans="2:10">
      <c r="B1103" s="92" t="s">
        <v>155</v>
      </c>
      <c r="C1103" s="91" t="s">
        <v>1898</v>
      </c>
      <c r="D1103" s="93">
        <v>96</v>
      </c>
      <c r="E1103" s="93">
        <v>56</v>
      </c>
      <c r="F1103" s="103">
        <f>IFERROR(INDEX(Tabella9[PLZ],MATCH(Tabella8[[#This Row],[Colonna2]],Tabella9[Ortschaftsname],0)), "Name not found")</f>
        <v>9050</v>
      </c>
      <c r="G1103" s="103"/>
      <c r="H1103" s="240">
        <f ca="1">SUMIF(Tabella2[[#Headers],[#Data],[Age]],$H$76,Tabella2[[#Headers],[#Data],[Federal taxes]])</f>
        <v>6804.3246087429152</v>
      </c>
      <c r="I1103" s="240">
        <f ca="1">IFERROR(INDEX(Tabella13[[TI]:[VS commun]], MATCH($H$76, Tabella13[Age], 0), MATCH(Tabella8[[#This Row],[Colonna1]], Tabella13[[#Headers], [TI]:[VS commun]], 0)), "Valore non trovato")*Tabella8[[#This Row],[Colonna3]]/100</f>
        <v>11944.626255212926</v>
      </c>
      <c r="J1103" s="240">
        <f ca="1">Tabella8[[#This Row],[Colonna7]]*Tabella8[[#This Row],[Colonna4]]/100</f>
        <v>6688.9907029192382</v>
      </c>
    </row>
    <row r="1104" spans="2:10">
      <c r="B1104" s="92" t="s">
        <v>155</v>
      </c>
      <c r="C1104" s="91" t="s">
        <v>2631</v>
      </c>
      <c r="D1104" s="93">
        <v>96</v>
      </c>
      <c r="E1104" s="93">
        <v>79</v>
      </c>
      <c r="F1104" s="103">
        <f>IFERROR(INDEX(Tabella9[PLZ],MATCH(Tabella8[[#This Row],[Colonna2]],Tabella9[Ortschaftsname],0)), "Name not found")</f>
        <v>9108</v>
      </c>
      <c r="G1104" s="103"/>
      <c r="H1104" s="240">
        <f ca="1">SUMIF(Tabella2[[#Headers],[#Data],[Age]],$H$76,Tabella2[[#Headers],[#Data],[Federal taxes]])</f>
        <v>6804.3246087429152</v>
      </c>
      <c r="I1104" s="240">
        <f ca="1">IFERROR(INDEX(Tabella13[[TI]:[VS commun]], MATCH($H$76, Tabella13[Age], 0), MATCH(Tabella8[[#This Row],[Colonna1]], Tabella13[[#Headers], [TI]:[VS commun]], 0)), "Valore non trovato")*Tabella8[[#This Row],[Colonna3]]/100</f>
        <v>11944.626255212926</v>
      </c>
      <c r="J1104" s="240">
        <f ca="1">Tabella8[[#This Row],[Colonna7]]*Tabella8[[#This Row],[Colonna4]]/100</f>
        <v>9436.2547416182115</v>
      </c>
    </row>
    <row r="1105" spans="2:10">
      <c r="B1105" s="92" t="s">
        <v>155</v>
      </c>
      <c r="C1105" s="91" t="s">
        <v>2632</v>
      </c>
      <c r="D1105" s="93">
        <v>96</v>
      </c>
      <c r="E1105" s="93">
        <v>96</v>
      </c>
      <c r="F1105" s="103">
        <f>IFERROR(INDEX(Tabella9[PLZ],MATCH(Tabella8[[#This Row],[Colonna2]],Tabella9[Ortschaftsname],0)), "Name not found")</f>
        <v>9413</v>
      </c>
      <c r="G1105" s="103"/>
      <c r="H1105" s="240">
        <f ca="1">SUMIF(Tabella2[[#Headers],[#Data],[Age]],$H$76,Tabella2[[#Headers],[#Data],[Federal taxes]])</f>
        <v>6804.3246087429152</v>
      </c>
      <c r="I1105" s="240">
        <f ca="1">IFERROR(INDEX(Tabella13[[TI]:[VS commun]], MATCH($H$76, Tabella13[Age], 0), MATCH(Tabella8[[#This Row],[Colonna1]], Tabella13[[#Headers], [TI]:[VS commun]], 0)), "Valore non trovato")*Tabella8[[#This Row],[Colonna3]]/100</f>
        <v>11944.626255212926</v>
      </c>
      <c r="J1105" s="240">
        <f ca="1">Tabella8[[#This Row],[Colonna7]]*Tabella8[[#This Row],[Colonna4]]/100</f>
        <v>11466.84120500441</v>
      </c>
    </row>
    <row r="1106" spans="2:10">
      <c r="B1106" s="92" t="s">
        <v>155</v>
      </c>
      <c r="C1106" s="91" t="s">
        <v>2633</v>
      </c>
      <c r="D1106" s="93">
        <v>96</v>
      </c>
      <c r="E1106" s="93">
        <v>87</v>
      </c>
      <c r="F1106" s="103">
        <v>9054</v>
      </c>
      <c r="G1106" s="103"/>
      <c r="H1106" s="240">
        <f ca="1">SUMIF(Tabella2[[#Headers],[#Data],[Age]],$H$76,Tabella2[[#Headers],[#Data],[Federal taxes]])</f>
        <v>6804.3246087429152</v>
      </c>
      <c r="I1106" s="240">
        <f ca="1">IFERROR(INDEX(Tabella13[[TI]:[VS commun]], MATCH($H$76, Tabella13[Age], 0), MATCH(Tabella8[[#This Row],[Colonna1]], Tabella13[[#Headers], [TI]:[VS commun]], 0)), "Valore non trovato")*Tabella8[[#This Row],[Colonna3]]/100</f>
        <v>11944.626255212926</v>
      </c>
      <c r="J1106" s="240">
        <f ca="1">Tabella8[[#This Row],[Colonna7]]*Tabella8[[#This Row],[Colonna4]]/100</f>
        <v>10391.824842035247</v>
      </c>
    </row>
    <row r="1107" spans="2:10">
      <c r="B1107" s="92" t="s">
        <v>155</v>
      </c>
      <c r="C1107" s="91" t="s">
        <v>2634</v>
      </c>
      <c r="D1107" s="93">
        <v>96</v>
      </c>
      <c r="E1107" s="93">
        <v>83</v>
      </c>
      <c r="F1107" s="103">
        <v>9050</v>
      </c>
      <c r="G1107" s="103"/>
      <c r="H1107" s="240">
        <f ca="1">SUMIF(Tabella2[[#Headers],[#Data],[Age]],$H$76,Tabella2[[#Headers],[#Data],[Federal taxes]])</f>
        <v>6804.3246087429152</v>
      </c>
      <c r="I1107" s="240">
        <f ca="1">IFERROR(INDEX(Tabella13[[TI]:[VS commun]], MATCH($H$76, Tabella13[Age], 0), MATCH(Tabella8[[#This Row],[Colonna1]], Tabella13[[#Headers], [TI]:[VS commun]], 0)), "Valore non trovato")*Tabella8[[#This Row],[Colonna3]]/100</f>
        <v>11944.626255212926</v>
      </c>
      <c r="J1107" s="240">
        <f ca="1">Tabella8[[#This Row],[Colonna7]]*Tabella8[[#This Row],[Colonna4]]/100</f>
        <v>9914.0397918267299</v>
      </c>
    </row>
    <row r="1108" spans="2:10">
      <c r="B1108" s="92" t="s">
        <v>142</v>
      </c>
      <c r="C1108" s="91" t="s">
        <v>1826</v>
      </c>
      <c r="D1108" s="93">
        <v>105</v>
      </c>
      <c r="E1108" s="93">
        <v>113</v>
      </c>
      <c r="F1108" s="103">
        <v>9450</v>
      </c>
      <c r="G1108" s="103"/>
      <c r="H1108" s="240">
        <f ca="1">SUMIF(Tabella2[[#Headers],[#Data],[Age]],$H$76,Tabella2[[#Headers],[#Data],[Federal taxes]])</f>
        <v>6804.3246087429152</v>
      </c>
      <c r="I110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08" s="240">
        <f ca="1">Tabella8[[#This Row],[Colonna7]]*Tabella8[[#This Row],[Colonna4]]/100</f>
        <v>16325.932731251873</v>
      </c>
    </row>
    <row r="1109" spans="2:10">
      <c r="B1109" s="92" t="s">
        <v>142</v>
      </c>
      <c r="C1109" s="91" t="s">
        <v>1864</v>
      </c>
      <c r="D1109" s="93">
        <v>105</v>
      </c>
      <c r="E1109" s="93">
        <v>107</v>
      </c>
      <c r="F1109" s="103">
        <f>IFERROR(INDEX(Tabella9[PLZ],MATCH(Tabella8[[#This Row],[Colonna2]],Tabella9[Ortschaftsname],0)), "Name not found")</f>
        <v>8873</v>
      </c>
      <c r="G1109" s="103"/>
      <c r="H1109" s="240">
        <f ca="1">SUMIF(Tabella2[[#Headers],[#Data],[Age]],$H$76,Tabella2[[#Headers],[#Data],[Federal taxes]])</f>
        <v>6804.3246087429152</v>
      </c>
      <c r="I110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09" s="240">
        <f ca="1">Tabella8[[#This Row],[Colonna7]]*Tabella8[[#This Row],[Colonna4]]/100</f>
        <v>15459.069046406641</v>
      </c>
    </row>
    <row r="1110" spans="2:10">
      <c r="B1110" s="92" t="s">
        <v>142</v>
      </c>
      <c r="C1110" s="91" t="s">
        <v>1862</v>
      </c>
      <c r="D1110" s="93">
        <v>105</v>
      </c>
      <c r="E1110" s="93">
        <v>113</v>
      </c>
      <c r="F1110" s="103">
        <v>9204</v>
      </c>
      <c r="G1110" s="103"/>
      <c r="H1110" s="240">
        <f ca="1">SUMIF(Tabella2[[#Headers],[#Data],[Age]],$H$76,Tabella2[[#Headers],[#Data],[Federal taxes]])</f>
        <v>6804.3246087429152</v>
      </c>
      <c r="I111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0" s="240">
        <f ca="1">Tabella8[[#This Row],[Colonna7]]*Tabella8[[#This Row],[Colonna4]]/100</f>
        <v>16325.932731251873</v>
      </c>
    </row>
    <row r="1111" spans="2:10">
      <c r="B1111" s="92" t="s">
        <v>142</v>
      </c>
      <c r="C1111" s="91" t="s">
        <v>2635</v>
      </c>
      <c r="D1111" s="93">
        <v>105</v>
      </c>
      <c r="E1111" s="93">
        <v>89</v>
      </c>
      <c r="F1111" s="103">
        <v>9434</v>
      </c>
      <c r="G1111" s="103"/>
      <c r="H1111" s="240">
        <f ca="1">SUMIF(Tabella2[[#Headers],[#Data],[Age]],$H$76,Tabella2[[#Headers],[#Data],[Federal taxes]])</f>
        <v>6804.3246087429152</v>
      </c>
      <c r="I111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1" s="240">
        <f ca="1">Tabella8[[#This Row],[Colonna7]]*Tabella8[[#This Row],[Colonna4]]/100</f>
        <v>12858.477991870945</v>
      </c>
    </row>
    <row r="1112" spans="2:10">
      <c r="B1112" s="92" t="s">
        <v>142</v>
      </c>
      <c r="C1112" s="91" t="s">
        <v>2636</v>
      </c>
      <c r="D1112" s="93">
        <v>105</v>
      </c>
      <c r="E1112" s="93">
        <v>92</v>
      </c>
      <c r="F1112" s="103">
        <f>IFERROR(INDEX(Tabella9[PLZ],MATCH(Tabella8[[#This Row],[Colonna2]],Tabella9[Ortschaftsname],0)), "Name not found")</f>
        <v>7310</v>
      </c>
      <c r="G1112" s="103"/>
      <c r="H1112" s="240">
        <f ca="1">SUMIF(Tabella2[[#Headers],[#Data],[Age]],$H$76,Tabella2[[#Headers],[#Data],[Federal taxes]])</f>
        <v>6804.3246087429152</v>
      </c>
      <c r="I111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2" s="240">
        <f ca="1">Tabella8[[#This Row],[Colonna7]]*Tabella8[[#This Row],[Colonna4]]/100</f>
        <v>13291.909834293559</v>
      </c>
    </row>
    <row r="1113" spans="2:10">
      <c r="B1113" s="92" t="s">
        <v>142</v>
      </c>
      <c r="C1113" s="91" t="s">
        <v>1840</v>
      </c>
      <c r="D1113" s="93">
        <v>105</v>
      </c>
      <c r="E1113" s="93">
        <v>61</v>
      </c>
      <c r="F1113" s="103">
        <f>IFERROR(INDEX(Tabella9[PLZ],MATCH(Tabella8[[#This Row],[Colonna2]],Tabella9[Ortschaftsname],0)), "Name not found")</f>
        <v>9436</v>
      </c>
      <c r="G1113" s="103"/>
      <c r="H1113" s="240">
        <f ca="1">SUMIF(Tabella2[[#Headers],[#Data],[Age]],$H$76,Tabella2[[#Headers],[#Data],[Federal taxes]])</f>
        <v>6804.3246087429152</v>
      </c>
      <c r="I111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3" s="240">
        <f ca="1">Tabella8[[#This Row],[Colonna7]]*Tabella8[[#This Row],[Colonna4]]/100</f>
        <v>8813.1141292598604</v>
      </c>
    </row>
    <row r="1114" spans="2:10">
      <c r="B1114" s="92" t="s">
        <v>142</v>
      </c>
      <c r="C1114" s="91" t="s">
        <v>1856</v>
      </c>
      <c r="D1114" s="93">
        <v>105</v>
      </c>
      <c r="E1114" s="93">
        <v>117</v>
      </c>
      <c r="F1114" s="103">
        <v>8717</v>
      </c>
      <c r="G1114" s="103"/>
      <c r="H1114" s="240">
        <f ca="1">SUMIF(Tabella2[[#Headers],[#Data],[Age]],$H$76,Tabella2[[#Headers],[#Data],[Federal taxes]])</f>
        <v>6804.3246087429152</v>
      </c>
      <c r="I111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4" s="240">
        <f ca="1">Tabella8[[#This Row],[Colonna7]]*Tabella8[[#This Row],[Colonna4]]/100</f>
        <v>16903.841854482027</v>
      </c>
    </row>
    <row r="1115" spans="2:10">
      <c r="B1115" s="92" t="s">
        <v>142</v>
      </c>
      <c r="C1115" s="91" t="s">
        <v>1876</v>
      </c>
      <c r="D1115" s="93">
        <v>105</v>
      </c>
      <c r="E1115" s="93">
        <v>123</v>
      </c>
      <c r="F1115" s="103">
        <v>9305</v>
      </c>
      <c r="G1115" s="103"/>
      <c r="H1115" s="240">
        <f ca="1">SUMIF(Tabella2[[#Headers],[#Data],[Age]],$H$76,Tabella2[[#Headers],[#Data],[Federal taxes]])</f>
        <v>6804.3246087429152</v>
      </c>
      <c r="I111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5" s="240">
        <f ca="1">Tabella8[[#This Row],[Colonna7]]*Tabella8[[#This Row],[Colonna4]]/100</f>
        <v>17770.70553932726</v>
      </c>
    </row>
    <row r="1116" spans="2:10">
      <c r="B1116" s="92" t="s">
        <v>142</v>
      </c>
      <c r="C1116" s="91" t="s">
        <v>1845</v>
      </c>
      <c r="D1116" s="93">
        <v>105</v>
      </c>
      <c r="E1116" s="93">
        <v>92</v>
      </c>
      <c r="F1116" s="103">
        <f>IFERROR(INDEX(Tabella9[PLZ],MATCH(Tabella8[[#This Row],[Colonna2]],Tabella9[Ortschaftsname],0)), "Name not found")</f>
        <v>9442</v>
      </c>
      <c r="G1116" s="103"/>
      <c r="H1116" s="240">
        <f ca="1">SUMIF(Tabella2[[#Headers],[#Data],[Age]],$H$76,Tabella2[[#Headers],[#Data],[Federal taxes]])</f>
        <v>6804.3246087429152</v>
      </c>
      <c r="I111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6" s="240">
        <f ca="1">Tabella8[[#This Row],[Colonna7]]*Tabella8[[#This Row],[Colonna4]]/100</f>
        <v>13291.909834293559</v>
      </c>
    </row>
    <row r="1117" spans="2:10">
      <c r="B1117" s="92" t="s">
        <v>142</v>
      </c>
      <c r="C1117" s="91" t="s">
        <v>2637</v>
      </c>
      <c r="D1117" s="93">
        <v>105</v>
      </c>
      <c r="E1117" s="93">
        <v>118</v>
      </c>
      <c r="F1117" s="103">
        <v>9470</v>
      </c>
      <c r="G1117" s="103"/>
      <c r="H1117" s="240">
        <f ca="1">SUMIF(Tabella2[[#Headers],[#Data],[Age]],$H$76,Tabella2[[#Headers],[#Data],[Federal taxes]])</f>
        <v>6804.3246087429152</v>
      </c>
      <c r="I111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7" s="240">
        <f ca="1">Tabella8[[#This Row],[Colonna7]]*Tabella8[[#This Row],[Colonna4]]/100</f>
        <v>17048.319135289566</v>
      </c>
    </row>
    <row r="1118" spans="2:10">
      <c r="B1118" s="92" t="s">
        <v>142</v>
      </c>
      <c r="C1118" s="91" t="s">
        <v>1839</v>
      </c>
      <c r="D1118" s="93">
        <v>105</v>
      </c>
      <c r="E1118" s="93">
        <v>119</v>
      </c>
      <c r="F1118" s="103">
        <v>9606</v>
      </c>
      <c r="G1118" s="103"/>
      <c r="H1118" s="240">
        <f ca="1">SUMIF(Tabella2[[#Headers],[#Data],[Age]],$H$76,Tabella2[[#Headers],[#Data],[Federal taxes]])</f>
        <v>6804.3246087429152</v>
      </c>
      <c r="I111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8" s="240">
        <f ca="1">Tabella8[[#This Row],[Colonna7]]*Tabella8[[#This Row],[Colonna4]]/100</f>
        <v>17192.796416097106</v>
      </c>
    </row>
    <row r="1119" spans="2:10">
      <c r="B1119" s="92" t="s">
        <v>142</v>
      </c>
      <c r="C1119" s="91" t="s">
        <v>1844</v>
      </c>
      <c r="D1119" s="93">
        <v>105</v>
      </c>
      <c r="E1119" s="93">
        <v>144</v>
      </c>
      <c r="F1119" s="103">
        <f>IFERROR(INDEX(Tabella9[PLZ],MATCH(Tabella8[[#This Row],[Colonna2]],Tabella9[Ortschaftsname],0)), "Name not found")</f>
        <v>9113</v>
      </c>
      <c r="G1119" s="103"/>
      <c r="H1119" s="240">
        <f ca="1">SUMIF(Tabella2[[#Headers],[#Data],[Age]],$H$76,Tabella2[[#Headers],[#Data],[Federal taxes]])</f>
        <v>6804.3246087429152</v>
      </c>
      <c r="I111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19" s="240">
        <f ca="1">Tabella8[[#This Row],[Colonna7]]*Tabella8[[#This Row],[Colonna4]]/100</f>
        <v>20804.728436285575</v>
      </c>
    </row>
    <row r="1120" spans="2:10">
      <c r="B1120" s="92" t="s">
        <v>142</v>
      </c>
      <c r="C1120" s="91" t="s">
        <v>2638</v>
      </c>
      <c r="D1120" s="93">
        <v>105</v>
      </c>
      <c r="E1120" s="93">
        <v>81</v>
      </c>
      <c r="F1120" s="103">
        <f>IFERROR(INDEX(Tabella9[PLZ],MATCH(Tabella8[[#This Row],[Colonna2]],Tabella9[Ortschaftsname],0)), "Name not found")</f>
        <v>9444</v>
      </c>
      <c r="G1120" s="103"/>
      <c r="H1120" s="240">
        <f ca="1">SUMIF(Tabella2[[#Headers],[#Data],[Age]],$H$76,Tabella2[[#Headers],[#Data],[Federal taxes]])</f>
        <v>6804.3246087429152</v>
      </c>
      <c r="I112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0" s="240">
        <f ca="1">Tabella8[[#This Row],[Colonna7]]*Tabella8[[#This Row],[Colonna4]]/100</f>
        <v>11702.659745410634</v>
      </c>
    </row>
    <row r="1121" spans="2:10">
      <c r="B1121" s="92" t="s">
        <v>142</v>
      </c>
      <c r="C1121" s="91" t="s">
        <v>1834</v>
      </c>
      <c r="D1121" s="93">
        <v>105</v>
      </c>
      <c r="E1121" s="93">
        <v>139</v>
      </c>
      <c r="F1121" s="103">
        <f>IFERROR(INDEX(Tabella9[PLZ],MATCH(Tabella8[[#This Row],[Colonna2]],Tabella9[Ortschaftsname],0)), "Name not found")</f>
        <v>9642</v>
      </c>
      <c r="G1121" s="103"/>
      <c r="H1121" s="240">
        <f ca="1">SUMIF(Tabella2[[#Headers],[#Data],[Age]],$H$76,Tabella2[[#Headers],[#Data],[Federal taxes]])</f>
        <v>6804.3246087429152</v>
      </c>
      <c r="I112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1" s="240">
        <f ca="1">Tabella8[[#This Row],[Colonna7]]*Tabella8[[#This Row],[Colonna4]]/100</f>
        <v>20082.342032247878</v>
      </c>
    </row>
    <row r="1122" spans="2:10">
      <c r="B1122" s="92" t="s">
        <v>142</v>
      </c>
      <c r="C1122" s="91" t="s">
        <v>1860</v>
      </c>
      <c r="D1122" s="93">
        <v>105</v>
      </c>
      <c r="E1122" s="93">
        <v>120</v>
      </c>
      <c r="F1122" s="103">
        <f>IFERROR(INDEX(Tabella9[PLZ],MATCH(Tabella8[[#This Row],[Colonna2]],Tabella9[Ortschaftsname],0)), "Name not found")</f>
        <v>9034</v>
      </c>
      <c r="G1122" s="103"/>
      <c r="H1122" s="240">
        <f ca="1">SUMIF(Tabella2[[#Headers],[#Data],[Age]],$H$76,Tabella2[[#Headers],[#Data],[Federal taxes]])</f>
        <v>6804.3246087429152</v>
      </c>
      <c r="I112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2" s="240">
        <f ca="1">Tabella8[[#This Row],[Colonna7]]*Tabella8[[#This Row],[Colonna4]]/100</f>
        <v>17337.273696904642</v>
      </c>
    </row>
    <row r="1123" spans="2:10">
      <c r="B1123" s="92" t="s">
        <v>142</v>
      </c>
      <c r="C1123" s="91" t="s">
        <v>1869</v>
      </c>
      <c r="D1123" s="93">
        <v>105</v>
      </c>
      <c r="E1123" s="93">
        <v>104</v>
      </c>
      <c r="F1123" s="103">
        <f>IFERROR(INDEX(Tabella9[PLZ],MATCH(Tabella8[[#This Row],[Colonna2]],Tabella9[Ortschaftsname],0)), "Name not found")</f>
        <v>9453</v>
      </c>
      <c r="G1123" s="103"/>
      <c r="H1123" s="240">
        <f ca="1">SUMIF(Tabella2[[#Headers],[#Data],[Age]],$H$76,Tabella2[[#Headers],[#Data],[Federal taxes]])</f>
        <v>6804.3246087429152</v>
      </c>
      <c r="I112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3" s="240">
        <f ca="1">Tabella8[[#This Row],[Colonna7]]*Tabella8[[#This Row],[Colonna4]]/100</f>
        <v>15025.637203984026</v>
      </c>
    </row>
    <row r="1124" spans="2:10">
      <c r="B1124" s="92" t="s">
        <v>142</v>
      </c>
      <c r="C1124" s="91" t="s">
        <v>2639</v>
      </c>
      <c r="D1124" s="93">
        <v>105</v>
      </c>
      <c r="E1124" s="93">
        <v>117</v>
      </c>
      <c r="F1124" s="103">
        <v>8733</v>
      </c>
      <c r="G1124" s="103"/>
      <c r="H1124" s="240">
        <f ca="1">SUMIF(Tabella2[[#Headers],[#Data],[Age]],$H$76,Tabella2[[#Headers],[#Data],[Federal taxes]])</f>
        <v>6804.3246087429152</v>
      </c>
      <c r="I112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4" s="240">
        <f ca="1">Tabella8[[#This Row],[Colonna7]]*Tabella8[[#This Row],[Colonna4]]/100</f>
        <v>16903.841854482027</v>
      </c>
    </row>
    <row r="1125" spans="2:10">
      <c r="B1125" s="92" t="s">
        <v>142</v>
      </c>
      <c r="C1125" s="91" t="s">
        <v>2640</v>
      </c>
      <c r="D1125" s="93">
        <v>105</v>
      </c>
      <c r="E1125" s="93">
        <v>124</v>
      </c>
      <c r="F1125" s="103">
        <f>IFERROR(INDEX(Tabella9[PLZ],MATCH(Tabella8[[#This Row],[Colonna2]],Tabella9[Ortschaftsname],0)), "Name not found")</f>
        <v>9230</v>
      </c>
      <c r="G1125" s="103"/>
      <c r="H1125" s="240">
        <f ca="1">SUMIF(Tabella2[[#Headers],[#Data],[Age]],$H$76,Tabella2[[#Headers],[#Data],[Federal taxes]])</f>
        <v>6804.3246087429152</v>
      </c>
      <c r="I112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5" s="240">
        <f ca="1">Tabella8[[#This Row],[Colonna7]]*Tabella8[[#This Row],[Colonna4]]/100</f>
        <v>17915.1828201348</v>
      </c>
    </row>
    <row r="1126" spans="2:10">
      <c r="B1126" s="92" t="s">
        <v>142</v>
      </c>
      <c r="C1126" s="91" t="s">
        <v>1835</v>
      </c>
      <c r="D1126" s="93">
        <v>105</v>
      </c>
      <c r="E1126" s="93">
        <v>125</v>
      </c>
      <c r="F1126" s="103">
        <f>IFERROR(INDEX(Tabella9[PLZ],MATCH(Tabella8[[#This Row],[Colonna2]],Tabella9[Ortschaftsname],0)), "Name not found")</f>
        <v>8890</v>
      </c>
      <c r="G1126" s="103"/>
      <c r="H1126" s="240">
        <f ca="1">SUMIF(Tabella2[[#Headers],[#Data],[Age]],$H$76,Tabella2[[#Headers],[#Data],[Federal taxes]])</f>
        <v>6804.3246087429152</v>
      </c>
      <c r="I112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6" s="240">
        <f ca="1">Tabella8[[#This Row],[Colonna7]]*Tabella8[[#This Row],[Colonna4]]/100</f>
        <v>18059.660100942339</v>
      </c>
    </row>
    <row r="1127" spans="2:10">
      <c r="B1127" s="92" t="s">
        <v>142</v>
      </c>
      <c r="C1127" s="91" t="s">
        <v>2641</v>
      </c>
      <c r="D1127" s="93">
        <v>105</v>
      </c>
      <c r="E1127" s="93">
        <v>103</v>
      </c>
      <c r="F1127" s="103">
        <v>9030</v>
      </c>
      <c r="G1127" s="103"/>
      <c r="H1127" s="240">
        <f ca="1">SUMIF(Tabella2[[#Headers],[#Data],[Age]],$H$76,Tabella2[[#Headers],[#Data],[Federal taxes]])</f>
        <v>6804.3246087429152</v>
      </c>
      <c r="I112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7" s="240">
        <f ca="1">Tabella8[[#This Row],[Colonna7]]*Tabella8[[#This Row],[Colonna4]]/100</f>
        <v>14881.159923176487</v>
      </c>
    </row>
    <row r="1128" spans="2:10">
      <c r="B1128" s="92" t="s">
        <v>142</v>
      </c>
      <c r="C1128" s="91" t="s">
        <v>1854</v>
      </c>
      <c r="D1128" s="93">
        <v>105</v>
      </c>
      <c r="E1128" s="93">
        <v>118</v>
      </c>
      <c r="F1128" s="103">
        <f>IFERROR(INDEX(Tabella9[PLZ],MATCH(Tabella8[[#This Row],[Colonna2]],Tabella9[Ortschaftsname],0)), "Name not found")</f>
        <v>9473</v>
      </c>
      <c r="G1128" s="103"/>
      <c r="H1128" s="240">
        <f ca="1">SUMIF(Tabella2[[#Headers],[#Data],[Age]],$H$76,Tabella2[[#Headers],[#Data],[Federal taxes]])</f>
        <v>6804.3246087429152</v>
      </c>
      <c r="I112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8" s="240">
        <f ca="1">Tabella8[[#This Row],[Colonna7]]*Tabella8[[#This Row],[Colonna4]]/100</f>
        <v>17048.319135289566</v>
      </c>
    </row>
    <row r="1129" spans="2:10">
      <c r="B1129" s="92" t="s">
        <v>142</v>
      </c>
      <c r="C1129" s="91" t="s">
        <v>2642</v>
      </c>
      <c r="D1129" s="93">
        <v>105</v>
      </c>
      <c r="E1129" s="93">
        <v>91</v>
      </c>
      <c r="F1129" s="103">
        <f>IFERROR(INDEX(Tabella9[PLZ],MATCH(Tabella8[[#This Row],[Colonna2]],Tabella9[Ortschaftsname],0)), "Name not found")</f>
        <v>9403</v>
      </c>
      <c r="G1129" s="103"/>
      <c r="H1129" s="240">
        <f ca="1">SUMIF(Tabella2[[#Headers],[#Data],[Age]],$H$76,Tabella2[[#Headers],[#Data],[Federal taxes]])</f>
        <v>6804.3246087429152</v>
      </c>
      <c r="I112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29" s="240">
        <f ca="1">Tabella8[[#This Row],[Colonna7]]*Tabella8[[#This Row],[Colonna4]]/100</f>
        <v>13147.43255348602</v>
      </c>
    </row>
    <row r="1130" spans="2:10">
      <c r="B1130" s="92" t="s">
        <v>142</v>
      </c>
      <c r="C1130" s="91" t="s">
        <v>1832</v>
      </c>
      <c r="D1130" s="93">
        <v>105</v>
      </c>
      <c r="E1130" s="93">
        <v>103</v>
      </c>
      <c r="F1130" s="103">
        <f>IFERROR(INDEX(Tabella9[PLZ],MATCH(Tabella8[[#This Row],[Colonna2]],Tabella9[Ortschaftsname],0)), "Name not found")</f>
        <v>8737</v>
      </c>
      <c r="G1130" s="103"/>
      <c r="H1130" s="240">
        <f ca="1">SUMIF(Tabella2[[#Headers],[#Data],[Age]],$H$76,Tabella2[[#Headers],[#Data],[Federal taxes]])</f>
        <v>6804.3246087429152</v>
      </c>
      <c r="I113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0" s="240">
        <f ca="1">Tabella8[[#This Row],[Colonna7]]*Tabella8[[#This Row],[Colonna4]]/100</f>
        <v>14881.159923176487</v>
      </c>
    </row>
    <row r="1131" spans="2:10">
      <c r="B1131" s="92" t="s">
        <v>142</v>
      </c>
      <c r="C1131" s="91" t="s">
        <v>2643</v>
      </c>
      <c r="D1131" s="93">
        <v>105</v>
      </c>
      <c r="E1131" s="93">
        <v>116</v>
      </c>
      <c r="F1131" s="103">
        <v>9200</v>
      </c>
      <c r="G1131" s="103"/>
      <c r="H1131" s="240">
        <f ca="1">SUMIF(Tabella2[[#Headers],[#Data],[Age]],$H$76,Tabella2[[#Headers],[#Data],[Federal taxes]])</f>
        <v>6804.3246087429152</v>
      </c>
      <c r="I113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1" s="240">
        <f ca="1">Tabella8[[#This Row],[Colonna7]]*Tabella8[[#This Row],[Colonna4]]/100</f>
        <v>16759.364573674487</v>
      </c>
    </row>
    <row r="1132" spans="2:10">
      <c r="B1132" s="92" t="s">
        <v>142</v>
      </c>
      <c r="C1132" s="91" t="s">
        <v>2643</v>
      </c>
      <c r="D1132" s="93">
        <v>105</v>
      </c>
      <c r="E1132" s="93">
        <v>116</v>
      </c>
      <c r="F1132" s="103">
        <v>9201</v>
      </c>
      <c r="G1132" s="103"/>
      <c r="H1132" s="240">
        <f ca="1">SUMIF(Tabella2[[#Headers],[#Data],[Age]],$H$76,Tabella2[[#Headers],[#Data],[Federal taxes]])</f>
        <v>6804.3246087429152</v>
      </c>
      <c r="I113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2" s="240">
        <f ca="1">Tabella8[[#This Row],[Colonna7]]*Tabella8[[#This Row],[Colonna4]]/100</f>
        <v>16759.364573674487</v>
      </c>
    </row>
    <row r="1133" spans="2:10">
      <c r="B1133" s="92" t="s">
        <v>142</v>
      </c>
      <c r="C1133" s="91" t="s">
        <v>2644</v>
      </c>
      <c r="D1133" s="93">
        <v>105</v>
      </c>
      <c r="E1133" s="93">
        <v>100</v>
      </c>
      <c r="F1133" s="103">
        <f>IFERROR(INDEX(Tabella9[PLZ],MATCH(Tabella8[[#This Row],[Colonna2]],Tabella9[Ortschaftsname],0)), "Name not found")</f>
        <v>9472</v>
      </c>
      <c r="G1133" s="103"/>
      <c r="H1133" s="240">
        <f ca="1">SUMIF(Tabella2[[#Headers],[#Data],[Age]],$H$76,Tabella2[[#Headers],[#Data],[Federal taxes]])</f>
        <v>6804.3246087429152</v>
      </c>
      <c r="I113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3" s="240">
        <f ca="1">Tabella8[[#This Row],[Colonna7]]*Tabella8[[#This Row],[Colonna4]]/100</f>
        <v>14447.72808075387</v>
      </c>
    </row>
    <row r="1134" spans="2:10">
      <c r="B1134" s="92" t="s">
        <v>142</v>
      </c>
      <c r="C1134" s="91" t="s">
        <v>1871</v>
      </c>
      <c r="D1134" s="93">
        <v>105</v>
      </c>
      <c r="E1134" s="93">
        <v>115</v>
      </c>
      <c r="F1134" s="103">
        <f>IFERROR(INDEX(Tabella9[PLZ],MATCH(Tabella8[[#This Row],[Colonna2]],Tabella9[Ortschaftsname],0)), "Name not found")</f>
        <v>9312</v>
      </c>
      <c r="G1134" s="103"/>
      <c r="H1134" s="240">
        <f ca="1">SUMIF(Tabella2[[#Headers],[#Data],[Age]],$H$76,Tabella2[[#Headers],[#Data],[Federal taxes]])</f>
        <v>6804.3246087429152</v>
      </c>
      <c r="I113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4" s="240">
        <f ca="1">Tabella8[[#This Row],[Colonna7]]*Tabella8[[#This Row],[Colonna4]]/100</f>
        <v>16614.887292866952</v>
      </c>
    </row>
    <row r="1135" spans="2:10">
      <c r="B1135" s="92" t="s">
        <v>142</v>
      </c>
      <c r="C1135" s="91" t="s">
        <v>1847</v>
      </c>
      <c r="D1135" s="93">
        <v>105</v>
      </c>
      <c r="E1135" s="93">
        <v>117</v>
      </c>
      <c r="F1135" s="103">
        <f>IFERROR(INDEX(Tabella9[PLZ],MATCH(Tabella8[[#This Row],[Colonna2]],Tabella9[Ortschaftsname],0)), "Name not found")</f>
        <v>9243</v>
      </c>
      <c r="G1135" s="103"/>
      <c r="H1135" s="240">
        <f ca="1">SUMIF(Tabella2[[#Headers],[#Data],[Age]],$H$76,Tabella2[[#Headers],[#Data],[Federal taxes]])</f>
        <v>6804.3246087429152</v>
      </c>
      <c r="I113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5" s="240">
        <f ca="1">Tabella8[[#This Row],[Colonna7]]*Tabella8[[#This Row],[Colonna4]]/100</f>
        <v>16903.841854482027</v>
      </c>
    </row>
    <row r="1136" spans="2:10">
      <c r="B1136" s="92" t="s">
        <v>142</v>
      </c>
      <c r="C1136" s="91" t="s">
        <v>1837</v>
      </c>
      <c r="D1136" s="93">
        <v>105</v>
      </c>
      <c r="E1136" s="93">
        <v>106</v>
      </c>
      <c r="F1136" s="103">
        <f>IFERROR(INDEX(Tabella9[PLZ],MATCH(Tabella8[[#This Row],[Colonna2]],Tabella9[Ortschaftsname],0)), "Name not found")</f>
        <v>8722</v>
      </c>
      <c r="G1136" s="103"/>
      <c r="H1136" s="240">
        <f ca="1">SUMIF(Tabella2[[#Headers],[#Data],[Age]],$H$76,Tabella2[[#Headers],[#Data],[Federal taxes]])</f>
        <v>6804.3246087429152</v>
      </c>
      <c r="I113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6" s="240">
        <f ca="1">Tabella8[[#This Row],[Colonna7]]*Tabella8[[#This Row],[Colonna4]]/100</f>
        <v>15314.591765599102</v>
      </c>
    </row>
    <row r="1137" spans="2:10">
      <c r="B1137" s="92" t="s">
        <v>142</v>
      </c>
      <c r="C1137" s="91" t="s">
        <v>2645</v>
      </c>
      <c r="D1137" s="93">
        <v>105</v>
      </c>
      <c r="E1137" s="93">
        <v>120</v>
      </c>
      <c r="F1137" s="103">
        <v>9533</v>
      </c>
      <c r="G1137" s="103"/>
      <c r="H1137" s="240">
        <f ca="1">SUMIF(Tabella2[[#Headers],[#Data],[Age]],$H$76,Tabella2[[#Headers],[#Data],[Federal taxes]])</f>
        <v>6804.3246087429152</v>
      </c>
      <c r="I113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7" s="240">
        <f ca="1">Tabella8[[#This Row],[Colonna7]]*Tabella8[[#This Row],[Colonna4]]/100</f>
        <v>17337.273696904642</v>
      </c>
    </row>
    <row r="1138" spans="2:10">
      <c r="B1138" s="92" t="s">
        <v>142</v>
      </c>
      <c r="C1138" s="91" t="s">
        <v>1863</v>
      </c>
      <c r="D1138" s="93">
        <v>105</v>
      </c>
      <c r="E1138" s="93">
        <v>129</v>
      </c>
      <c r="F1138" s="103">
        <f>IFERROR(INDEX(Tabella9[PLZ],MATCH(Tabella8[[#This Row],[Colonna2]],Tabella9[Ortschaftsname],0)), "Name not found")</f>
        <v>9620</v>
      </c>
      <c r="G1138" s="103"/>
      <c r="H1138" s="240">
        <f ca="1">SUMIF(Tabella2[[#Headers],[#Data],[Age]],$H$76,Tabella2[[#Headers],[#Data],[Federal taxes]])</f>
        <v>6804.3246087429152</v>
      </c>
      <c r="I113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8" s="240">
        <f ca="1">Tabella8[[#This Row],[Colonna7]]*Tabella8[[#This Row],[Colonna4]]/100</f>
        <v>18637.569224172494</v>
      </c>
    </row>
    <row r="1139" spans="2:10">
      <c r="B1139" s="92" t="s">
        <v>142</v>
      </c>
      <c r="C1139" s="91" t="s">
        <v>1867</v>
      </c>
      <c r="D1139" s="93">
        <v>105</v>
      </c>
      <c r="E1139" s="93">
        <v>125</v>
      </c>
      <c r="F1139" s="103">
        <f>IFERROR(INDEX(Tabella9[PLZ],MATCH(Tabella8[[#This Row],[Colonna2]],Tabella9[Ortschaftsname],0)), "Name not found")</f>
        <v>9604</v>
      </c>
      <c r="G1139" s="103"/>
      <c r="H1139" s="240">
        <f ca="1">SUMIF(Tabella2[[#Headers],[#Data],[Age]],$H$76,Tabella2[[#Headers],[#Data],[Federal taxes]])</f>
        <v>6804.3246087429152</v>
      </c>
      <c r="I113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39" s="240">
        <f ca="1">Tabella8[[#This Row],[Colonna7]]*Tabella8[[#This Row],[Colonna4]]/100</f>
        <v>18059.660100942339</v>
      </c>
    </row>
    <row r="1140" spans="2:10">
      <c r="B1140" s="92" t="s">
        <v>142</v>
      </c>
      <c r="C1140" s="91" t="s">
        <v>1861</v>
      </c>
      <c r="D1140" s="93">
        <v>105</v>
      </c>
      <c r="E1140" s="93">
        <v>102</v>
      </c>
      <c r="F1140" s="103">
        <v>9437</v>
      </c>
      <c r="G1140" s="103"/>
      <c r="H1140" s="240">
        <f ca="1">SUMIF(Tabella2[[#Headers],[#Data],[Age]],$H$76,Tabella2[[#Headers],[#Data],[Federal taxes]])</f>
        <v>6804.3246087429152</v>
      </c>
      <c r="I114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0" s="240">
        <f ca="1">Tabella8[[#This Row],[Colonna7]]*Tabella8[[#This Row],[Colonna4]]/100</f>
        <v>14736.682642368947</v>
      </c>
    </row>
    <row r="1141" spans="2:10">
      <c r="B1141" s="92" t="s">
        <v>142</v>
      </c>
      <c r="C1141" s="91" t="s">
        <v>2646</v>
      </c>
      <c r="D1141" s="93">
        <v>105</v>
      </c>
      <c r="E1141" s="93">
        <v>128</v>
      </c>
      <c r="F1141" s="103">
        <f>IFERROR(INDEX(Tabella9[PLZ],MATCH(Tabella8[[#This Row],[Colonna2]],Tabella9[Ortschaftsname],0)), "Name not found")</f>
        <v>8887</v>
      </c>
      <c r="G1141" s="103"/>
      <c r="H1141" s="240">
        <f ca="1">SUMIF(Tabella2[[#Headers],[#Data],[Age]],$H$76,Tabella2[[#Headers],[#Data],[Federal taxes]])</f>
        <v>6804.3246087429152</v>
      </c>
      <c r="I114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1" s="240">
        <f ca="1">Tabella8[[#This Row],[Colonna7]]*Tabella8[[#This Row],[Colonna4]]/100</f>
        <v>18493.091943364954</v>
      </c>
    </row>
    <row r="1142" spans="2:10">
      <c r="B1142" s="92" t="s">
        <v>142</v>
      </c>
      <c r="C1142" s="91" t="s">
        <v>1857</v>
      </c>
      <c r="D1142" s="93">
        <v>105</v>
      </c>
      <c r="E1142" s="93">
        <v>129</v>
      </c>
      <c r="F1142" s="103">
        <f>IFERROR(INDEX(Tabella9[PLZ],MATCH(Tabella8[[#This Row],[Colonna2]],Tabella9[Ortschaftsname],0)), "Name not found")</f>
        <v>9607</v>
      </c>
      <c r="G1142" s="103"/>
      <c r="H1142" s="240">
        <f ca="1">SUMIF(Tabella2[[#Headers],[#Data],[Age]],$H$76,Tabella2[[#Headers],[#Data],[Federal taxes]])</f>
        <v>6804.3246087429152</v>
      </c>
      <c r="I114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2" s="240">
        <f ca="1">Tabella8[[#This Row],[Colonna7]]*Tabella8[[#This Row],[Colonna4]]/100</f>
        <v>18637.569224172494</v>
      </c>
    </row>
    <row r="1143" spans="2:10">
      <c r="B1143" s="92" t="s">
        <v>142</v>
      </c>
      <c r="C1143" s="91" t="s">
        <v>1873</v>
      </c>
      <c r="D1143" s="93">
        <v>105</v>
      </c>
      <c r="E1143" s="93">
        <v>119</v>
      </c>
      <c r="F1143" s="103">
        <f>IFERROR(INDEX(Tabella9[PLZ],MATCH(Tabella8[[#This Row],[Colonna2]],Tabella9[Ortschaftsname],0)), "Name not found")</f>
        <v>9313</v>
      </c>
      <c r="G1143" s="103"/>
      <c r="H1143" s="240">
        <f ca="1">SUMIF(Tabella2[[#Headers],[#Data],[Age]],$H$76,Tabella2[[#Headers],[#Data],[Federal taxes]])</f>
        <v>6804.3246087429152</v>
      </c>
      <c r="I114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3" s="240">
        <f ca="1">Tabella8[[#This Row],[Colonna7]]*Tabella8[[#This Row],[Colonna4]]/100</f>
        <v>17192.796416097106</v>
      </c>
    </row>
    <row r="1144" spans="2:10">
      <c r="B1144" s="92" t="s">
        <v>142</v>
      </c>
      <c r="C1144" s="91" t="s">
        <v>1851</v>
      </c>
      <c r="D1144" s="93">
        <v>105</v>
      </c>
      <c r="E1144" s="93">
        <v>70</v>
      </c>
      <c r="F1144" s="103">
        <f>IFERROR(INDEX(Tabella9[PLZ],MATCH(Tabella8[[#This Row],[Colonna2]],Tabella9[Ortschaftsname],0)), "Name not found")</f>
        <v>9402</v>
      </c>
      <c r="G1144" s="103"/>
      <c r="H1144" s="240">
        <f ca="1">SUMIF(Tabella2[[#Headers],[#Data],[Age]],$H$76,Tabella2[[#Headers],[#Data],[Federal taxes]])</f>
        <v>6804.3246087429152</v>
      </c>
      <c r="I114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4" s="240">
        <f ca="1">Tabella8[[#This Row],[Colonna7]]*Tabella8[[#This Row],[Colonna4]]/100</f>
        <v>10113.409656527709</v>
      </c>
    </row>
    <row r="1145" spans="2:10">
      <c r="B1145" s="92" t="s">
        <v>142</v>
      </c>
      <c r="C1145" s="91" t="s">
        <v>1843</v>
      </c>
      <c r="D1145" s="93">
        <v>105</v>
      </c>
      <c r="E1145" s="93">
        <v>120</v>
      </c>
      <c r="F1145" s="103">
        <v>9122</v>
      </c>
      <c r="G1145" s="103"/>
      <c r="H1145" s="240">
        <f ca="1">SUMIF(Tabella2[[#Headers],[#Data],[Age]],$H$76,Tabella2[[#Headers],[#Data],[Federal taxes]])</f>
        <v>6804.3246087429152</v>
      </c>
      <c r="I114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5" s="240">
        <f ca="1">Tabella8[[#This Row],[Colonna7]]*Tabella8[[#This Row],[Colonna4]]/100</f>
        <v>17337.273696904642</v>
      </c>
    </row>
    <row r="1146" spans="2:10">
      <c r="B1146" s="92" t="s">
        <v>142</v>
      </c>
      <c r="C1146" s="91" t="s">
        <v>1849</v>
      </c>
      <c r="D1146" s="93">
        <v>105</v>
      </c>
      <c r="E1146" s="93">
        <v>114</v>
      </c>
      <c r="F1146" s="103">
        <f>IFERROR(INDEX(Tabella9[PLZ],MATCH(Tabella8[[#This Row],[Colonna2]],Tabella9[Ortschaftsname],0)), "Name not found")</f>
        <v>9650</v>
      </c>
      <c r="G1146" s="103"/>
      <c r="H1146" s="240">
        <f ca="1">SUMIF(Tabella2[[#Headers],[#Data],[Age]],$H$76,Tabella2[[#Headers],[#Data],[Federal taxes]])</f>
        <v>6804.3246087429152</v>
      </c>
      <c r="I114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6" s="240">
        <f ca="1">Tabella8[[#This Row],[Colonna7]]*Tabella8[[#This Row],[Colonna4]]/100</f>
        <v>16470.410012059412</v>
      </c>
    </row>
    <row r="1147" spans="2:10">
      <c r="B1147" s="92" t="s">
        <v>142</v>
      </c>
      <c r="C1147" s="91" t="s">
        <v>1868</v>
      </c>
      <c r="D1147" s="93">
        <v>105</v>
      </c>
      <c r="E1147" s="93">
        <v>120</v>
      </c>
      <c r="F1147" s="103">
        <f>IFERROR(INDEX(Tabella9[PLZ],MATCH(Tabella8[[#This Row],[Colonna2]],Tabella9[Ortschaftsname],0)), "Name not found")</f>
        <v>9246</v>
      </c>
      <c r="G1147" s="103"/>
      <c r="H1147" s="240">
        <f ca="1">SUMIF(Tabella2[[#Headers],[#Data],[Age]],$H$76,Tabella2[[#Headers],[#Data],[Federal taxes]])</f>
        <v>6804.3246087429152</v>
      </c>
      <c r="I114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7" s="240">
        <f ca="1">Tabella8[[#This Row],[Colonna7]]*Tabella8[[#This Row],[Colonna4]]/100</f>
        <v>17337.273696904642</v>
      </c>
    </row>
    <row r="1148" spans="2:10">
      <c r="B1148" s="92" t="s">
        <v>142</v>
      </c>
      <c r="C1148" s="91" t="s">
        <v>1855</v>
      </c>
      <c r="D1148" s="93">
        <v>105</v>
      </c>
      <c r="E1148" s="93">
        <v>104</v>
      </c>
      <c r="F1148" s="103">
        <f>IFERROR(INDEX(Tabella9[PLZ],MATCH(Tabella8[[#This Row],[Colonna2]],Tabella9[Ortschaftsname],0)), "Name not found")</f>
        <v>9527</v>
      </c>
      <c r="G1148" s="103"/>
      <c r="H1148" s="240">
        <f ca="1">SUMIF(Tabella2[[#Headers],[#Data],[Age]],$H$76,Tabella2[[#Headers],[#Data],[Federal taxes]])</f>
        <v>6804.3246087429152</v>
      </c>
      <c r="I114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8" s="240">
        <f ca="1">Tabella8[[#This Row],[Colonna7]]*Tabella8[[#This Row],[Colonna4]]/100</f>
        <v>15025.637203984026</v>
      </c>
    </row>
    <row r="1149" spans="2:10">
      <c r="B1149" s="92" t="s">
        <v>142</v>
      </c>
      <c r="C1149" s="91" t="s">
        <v>1842</v>
      </c>
      <c r="D1149" s="93">
        <v>105</v>
      </c>
      <c r="E1149" s="93">
        <v>100</v>
      </c>
      <c r="F1149" s="103">
        <f>IFERROR(INDEX(Tabella9[PLZ],MATCH(Tabella8[[#This Row],[Colonna2]],Tabella9[Ortschaftsname],0)), "Name not found")</f>
        <v>9245</v>
      </c>
      <c r="G1149" s="103"/>
      <c r="H1149" s="240">
        <f ca="1">SUMIF(Tabella2[[#Headers],[#Data],[Age]],$H$76,Tabella2[[#Headers],[#Data],[Federal taxes]])</f>
        <v>6804.3246087429152</v>
      </c>
      <c r="I114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49" s="240">
        <f ca="1">Tabella8[[#This Row],[Colonna7]]*Tabella8[[#This Row],[Colonna4]]/100</f>
        <v>14447.72808075387</v>
      </c>
    </row>
    <row r="1150" spans="2:10">
      <c r="B1150" s="92" t="s">
        <v>142</v>
      </c>
      <c r="C1150" s="91" t="s">
        <v>2647</v>
      </c>
      <c r="D1150" s="93">
        <v>105</v>
      </c>
      <c r="E1150" s="93">
        <v>99</v>
      </c>
      <c r="F1150" s="103">
        <v>9463</v>
      </c>
      <c r="G1150" s="103"/>
      <c r="H1150" s="240">
        <f ca="1">SUMIF(Tabella2[[#Headers],[#Data],[Age]],$H$76,Tabella2[[#Headers],[#Data],[Federal taxes]])</f>
        <v>6804.3246087429152</v>
      </c>
      <c r="I115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0" s="240">
        <f ca="1">Tabella8[[#This Row],[Colonna7]]*Tabella8[[#This Row],[Colonna4]]/100</f>
        <v>14303.250799946331</v>
      </c>
    </row>
    <row r="1151" spans="2:10">
      <c r="B1151" s="92" t="s">
        <v>142</v>
      </c>
      <c r="C1151" s="91" t="s">
        <v>2648</v>
      </c>
      <c r="D1151" s="93">
        <v>105</v>
      </c>
      <c r="E1151" s="93">
        <v>117</v>
      </c>
      <c r="F1151" s="103">
        <f>IFERROR(INDEX(Tabella9[PLZ],MATCH(Tabella8[[#This Row],[Colonna2]],Tabella9[Ortschaftsname],0)), "Name not found")</f>
        <v>9242</v>
      </c>
      <c r="G1151" s="103"/>
      <c r="H1151" s="240">
        <f ca="1">SUMIF(Tabella2[[#Headers],[#Data],[Age]],$H$76,Tabella2[[#Headers],[#Data],[Federal taxes]])</f>
        <v>6804.3246087429152</v>
      </c>
      <c r="I115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1" s="240">
        <f ca="1">Tabella8[[#This Row],[Colonna7]]*Tabella8[[#This Row],[Colonna4]]/100</f>
        <v>16903.841854482027</v>
      </c>
    </row>
    <row r="1152" spans="2:10">
      <c r="B1152" s="92" t="s">
        <v>142</v>
      </c>
      <c r="C1152" s="91" t="s">
        <v>1866</v>
      </c>
      <c r="D1152" s="93">
        <v>105</v>
      </c>
      <c r="E1152" s="93">
        <v>139</v>
      </c>
      <c r="F1152" s="103">
        <f>IFERROR(INDEX(Tabella9[PLZ],MATCH(Tabella8[[#This Row],[Colonna2]],Tabella9[Ortschaftsname],0)), "Name not found")</f>
        <v>7312</v>
      </c>
      <c r="G1152" s="103"/>
      <c r="H1152" s="240">
        <f ca="1">SUMIF(Tabella2[[#Headers],[#Data],[Age]],$H$76,Tabella2[[#Headers],[#Data],[Federal taxes]])</f>
        <v>6804.3246087429152</v>
      </c>
      <c r="I115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2" s="240">
        <f ca="1">Tabella8[[#This Row],[Colonna7]]*Tabella8[[#This Row],[Colonna4]]/100</f>
        <v>20082.342032247878</v>
      </c>
    </row>
    <row r="1153" spans="2:10">
      <c r="B1153" s="92" t="s">
        <v>142</v>
      </c>
      <c r="C1153" s="91" t="s">
        <v>2649</v>
      </c>
      <c r="D1153" s="93">
        <v>105</v>
      </c>
      <c r="E1153" s="93">
        <v>107</v>
      </c>
      <c r="F1153" s="103">
        <f>IFERROR(INDEX(Tabella9[PLZ],MATCH(Tabella8[[#This Row],[Colonna2]],Tabella9[Ortschaftsname],0)), "Name not found")</f>
        <v>8883</v>
      </c>
      <c r="G1153" s="103"/>
      <c r="H1153" s="240">
        <f ca="1">SUMIF(Tabella2[[#Headers],[#Data],[Age]],$H$76,Tabella2[[#Headers],[#Data],[Federal taxes]])</f>
        <v>6804.3246087429152</v>
      </c>
      <c r="I115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3" s="240">
        <f ca="1">Tabella8[[#This Row],[Colonna7]]*Tabella8[[#This Row],[Colonna4]]/100</f>
        <v>15459.069046406641</v>
      </c>
    </row>
    <row r="1154" spans="2:10">
      <c r="B1154" s="92" t="s">
        <v>142</v>
      </c>
      <c r="C1154" s="91" t="s">
        <v>1823</v>
      </c>
      <c r="D1154" s="93">
        <v>105</v>
      </c>
      <c r="E1154" s="93">
        <v>74</v>
      </c>
      <c r="F1154" s="103">
        <v>8640</v>
      </c>
      <c r="G1154" s="103"/>
      <c r="H1154" s="240">
        <f ca="1">SUMIF(Tabella2[[#Headers],[#Data],[Age]],$H$76,Tabella2[[#Headers],[#Data],[Federal taxes]])</f>
        <v>6804.3246087429152</v>
      </c>
      <c r="I115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4" s="240">
        <f ca="1">Tabella8[[#This Row],[Colonna7]]*Tabella8[[#This Row],[Colonna4]]/100</f>
        <v>10691.318779757863</v>
      </c>
    </row>
    <row r="1155" spans="2:10">
      <c r="B1155" s="92" t="s">
        <v>142</v>
      </c>
      <c r="C1155" s="91" t="s">
        <v>1841</v>
      </c>
      <c r="D1155" s="93">
        <v>105</v>
      </c>
      <c r="E1155" s="93">
        <v>101</v>
      </c>
      <c r="F1155" s="103">
        <f>IFERROR(INDEX(Tabella9[PLZ],MATCH(Tabella8[[#This Row],[Colonna2]],Tabella9[Ortschaftsname],0)), "Name not found")</f>
        <v>9445</v>
      </c>
      <c r="G1155" s="103"/>
      <c r="H1155" s="240">
        <f ca="1">SUMIF(Tabella2[[#Headers],[#Data],[Age]],$H$76,Tabella2[[#Headers],[#Data],[Federal taxes]])</f>
        <v>6804.3246087429152</v>
      </c>
      <c r="I115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5" s="240">
        <f ca="1">Tabella8[[#This Row],[Colonna7]]*Tabella8[[#This Row],[Colonna4]]/100</f>
        <v>14592.20536156141</v>
      </c>
    </row>
    <row r="1156" spans="2:10">
      <c r="B1156" s="92" t="s">
        <v>142</v>
      </c>
      <c r="C1156" s="91" t="s">
        <v>1853</v>
      </c>
      <c r="D1156" s="93">
        <v>105</v>
      </c>
      <c r="E1156" s="93">
        <v>113</v>
      </c>
      <c r="F1156" s="103">
        <f>IFERROR(INDEX(Tabella9[PLZ],MATCH(Tabella8[[#This Row],[Colonna2]],Tabella9[Ortschaftsname],0)), "Name not found")</f>
        <v>9424</v>
      </c>
      <c r="G1156" s="103"/>
      <c r="H1156" s="240">
        <f ca="1">SUMIF(Tabella2[[#Headers],[#Data],[Age]],$H$76,Tabella2[[#Headers],[#Data],[Federal taxes]])</f>
        <v>6804.3246087429152</v>
      </c>
      <c r="I115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6" s="240">
        <f ca="1">Tabella8[[#This Row],[Colonna7]]*Tabella8[[#This Row],[Colonna4]]/100</f>
        <v>16325.932731251873</v>
      </c>
    </row>
    <row r="1157" spans="2:10">
      <c r="B1157" s="92" t="s">
        <v>142</v>
      </c>
      <c r="C1157" s="91" t="s">
        <v>2650</v>
      </c>
      <c r="D1157" s="93">
        <v>105</v>
      </c>
      <c r="E1157" s="93">
        <v>129</v>
      </c>
      <c r="F1157" s="103">
        <f>IFERROR(INDEX(Tabella9[PLZ],MATCH(Tabella8[[#This Row],[Colonna2]],Tabella9[Ortschaftsname],0)), "Name not found")</f>
        <v>9400</v>
      </c>
      <c r="G1157" s="103"/>
      <c r="H1157" s="240">
        <f ca="1">SUMIF(Tabella2[[#Headers],[#Data],[Age]],$H$76,Tabella2[[#Headers],[#Data],[Federal taxes]])</f>
        <v>6804.3246087429152</v>
      </c>
      <c r="I115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7" s="240">
        <f ca="1">Tabella8[[#This Row],[Colonna7]]*Tabella8[[#This Row],[Colonna4]]/100</f>
        <v>18637.569224172494</v>
      </c>
    </row>
    <row r="1158" spans="2:10">
      <c r="B1158" s="92" t="s">
        <v>142</v>
      </c>
      <c r="C1158" s="91" t="s">
        <v>2651</v>
      </c>
      <c r="D1158" s="93">
        <v>105</v>
      </c>
      <c r="E1158" s="93">
        <v>98</v>
      </c>
      <c r="F1158" s="103">
        <f>IFERROR(INDEX(Tabella9[PLZ],MATCH(Tabella8[[#This Row],[Colonna2]],Tabella9[Ortschaftsname],0)), "Name not found")</f>
        <v>9404</v>
      </c>
      <c r="G1158" s="103"/>
      <c r="H1158" s="240">
        <f ca="1">SUMIF(Tabella2[[#Headers],[#Data],[Age]],$H$76,Tabella2[[#Headers],[#Data],[Federal taxes]])</f>
        <v>6804.3246087429152</v>
      </c>
      <c r="I115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8" s="240">
        <f ca="1">Tabella8[[#This Row],[Colonna7]]*Tabella8[[#This Row],[Colonna4]]/100</f>
        <v>14158.773519138791</v>
      </c>
    </row>
    <row r="1159" spans="2:10">
      <c r="B1159" s="92" t="s">
        <v>142</v>
      </c>
      <c r="C1159" s="91" t="s">
        <v>1859</v>
      </c>
      <c r="D1159" s="93">
        <v>105</v>
      </c>
      <c r="E1159" s="93">
        <v>109</v>
      </c>
      <c r="F1159" s="103">
        <v>9464</v>
      </c>
      <c r="G1159" s="103"/>
      <c r="H1159" s="240">
        <f ca="1">SUMIF(Tabella2[[#Headers],[#Data],[Age]],$H$76,Tabella2[[#Headers],[#Data],[Federal taxes]])</f>
        <v>6804.3246087429152</v>
      </c>
      <c r="I115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59" s="240">
        <f ca="1">Tabella8[[#This Row],[Colonna7]]*Tabella8[[#This Row],[Colonna4]]/100</f>
        <v>15748.023608021718</v>
      </c>
    </row>
    <row r="1160" spans="2:10">
      <c r="B1160" s="92" t="s">
        <v>142</v>
      </c>
      <c r="C1160" s="91" t="s">
        <v>1829</v>
      </c>
      <c r="D1160" s="93">
        <v>105</v>
      </c>
      <c r="E1160" s="93">
        <v>129</v>
      </c>
      <c r="F1160" s="103">
        <f>IFERROR(INDEX(Tabella9[PLZ],MATCH(Tabella8[[#This Row],[Colonna2]],Tabella9[Ortschaftsname],0)), "Name not found")</f>
        <v>7320</v>
      </c>
      <c r="G1160" s="103"/>
      <c r="H1160" s="240">
        <f ca="1">SUMIF(Tabella2[[#Headers],[#Data],[Age]],$H$76,Tabella2[[#Headers],[#Data],[Federal taxes]])</f>
        <v>6804.3246087429152</v>
      </c>
      <c r="I116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0" s="240">
        <f ca="1">Tabella8[[#This Row],[Colonna7]]*Tabella8[[#This Row],[Colonna4]]/100</f>
        <v>18637.569224172494</v>
      </c>
    </row>
    <row r="1161" spans="2:10">
      <c r="B1161" s="92" t="s">
        <v>142</v>
      </c>
      <c r="C1161" s="91" t="s">
        <v>1848</v>
      </c>
      <c r="D1161" s="93">
        <v>105</v>
      </c>
      <c r="E1161" s="93">
        <v>113</v>
      </c>
      <c r="F1161" s="103">
        <f>IFERROR(INDEX(Tabella9[PLZ],MATCH(Tabella8[[#This Row],[Colonna2]],Tabella9[Ortschaftsname],0)), "Name not found")</f>
        <v>8716</v>
      </c>
      <c r="G1161" s="103"/>
      <c r="H1161" s="240">
        <f ca="1">SUMIF(Tabella2[[#Headers],[#Data],[Age]],$H$76,Tabella2[[#Headers],[#Data],[Federal taxes]])</f>
        <v>6804.3246087429152</v>
      </c>
      <c r="I116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1" s="240">
        <f ca="1">Tabella8[[#This Row],[Colonna7]]*Tabella8[[#This Row],[Colonna4]]/100</f>
        <v>16325.932731251873</v>
      </c>
    </row>
    <row r="1162" spans="2:10">
      <c r="B1162" s="92" t="s">
        <v>142</v>
      </c>
      <c r="C1162" s="91" t="s">
        <v>1846</v>
      </c>
      <c r="D1162" s="93">
        <v>105</v>
      </c>
      <c r="E1162" s="93">
        <v>125</v>
      </c>
      <c r="F1162" s="103">
        <f>IFERROR(INDEX(Tabella9[PLZ],MATCH(Tabella8[[#This Row],[Colonna2]],Tabella9[Ortschaftsname],0)), "Name not found")</f>
        <v>8718</v>
      </c>
      <c r="G1162" s="103"/>
      <c r="H1162" s="240">
        <f ca="1">SUMIF(Tabella2[[#Headers],[#Data],[Age]],$H$76,Tabella2[[#Headers],[#Data],[Federal taxes]])</f>
        <v>6804.3246087429152</v>
      </c>
      <c r="I116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2" s="240">
        <f ca="1">Tabella8[[#This Row],[Colonna7]]*Tabella8[[#This Row],[Colonna4]]/100</f>
        <v>18059.660100942339</v>
      </c>
    </row>
    <row r="1163" spans="2:10">
      <c r="B1163" s="92" t="s">
        <v>142</v>
      </c>
      <c r="C1163" s="91" t="s">
        <v>1830</v>
      </c>
      <c r="D1163" s="93">
        <v>105</v>
      </c>
      <c r="E1163" s="93">
        <v>70</v>
      </c>
      <c r="F1163" s="103">
        <f>IFERROR(INDEX(Tabella9[PLZ],MATCH(Tabella8[[#This Row],[Colonna2]],Tabella9[Ortschaftsname],0)), "Name not found")</f>
        <v>9466</v>
      </c>
      <c r="G1163" s="103"/>
      <c r="H1163" s="240">
        <f ca="1">SUMIF(Tabella2[[#Headers],[#Data],[Age]],$H$76,Tabella2[[#Headers],[#Data],[Federal taxes]])</f>
        <v>6804.3246087429152</v>
      </c>
      <c r="I116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3" s="240">
        <f ca="1">Tabella8[[#This Row],[Colonna7]]*Tabella8[[#This Row],[Colonna4]]/100</f>
        <v>10113.409656527709</v>
      </c>
    </row>
    <row r="1164" spans="2:10">
      <c r="B1164" s="92" t="s">
        <v>142</v>
      </c>
      <c r="C1164" s="91" t="s">
        <v>1833</v>
      </c>
      <c r="D1164" s="93">
        <v>105</v>
      </c>
      <c r="E1164" s="93">
        <v>118</v>
      </c>
      <c r="F1164" s="103">
        <f>IFERROR(INDEX(Tabella9[PLZ],MATCH(Tabella8[[#This Row],[Colonna2]],Tabella9[Ortschaftsname],0)), "Name not found")</f>
        <v>9475</v>
      </c>
      <c r="G1164" s="103"/>
      <c r="H1164" s="240">
        <f ca="1">SUMIF(Tabella2[[#Headers],[#Data],[Age]],$H$76,Tabella2[[#Headers],[#Data],[Federal taxes]])</f>
        <v>6804.3246087429152</v>
      </c>
      <c r="I116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4" s="240">
        <f ca="1">Tabella8[[#This Row],[Colonna7]]*Tabella8[[#This Row],[Colonna4]]/100</f>
        <v>17048.319135289566</v>
      </c>
    </row>
    <row r="1165" spans="2:10">
      <c r="B1165" s="92" t="s">
        <v>142</v>
      </c>
      <c r="C1165" s="91" t="s">
        <v>170</v>
      </c>
      <c r="D1165" s="93">
        <v>105</v>
      </c>
      <c r="E1165" s="93">
        <v>138</v>
      </c>
      <c r="F1165" s="103">
        <f>IFERROR(INDEX(Tabella9[PLZ],MATCH(Tabella8[[#This Row],[Colonna2]],Tabella9[Ortschaftsname],0)), "Name not found")</f>
        <v>9014</v>
      </c>
      <c r="G1165" s="103"/>
      <c r="H1165" s="240">
        <f ca="1">SUMIF(Tabella2[[#Headers],[#Data],[Age]],$H$76,Tabella2[[#Headers],[#Data],[Federal taxes]])</f>
        <v>6804.3246087429152</v>
      </c>
      <c r="I116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5" s="240">
        <f ca="1">Tabella8[[#This Row],[Colonna7]]*Tabella8[[#This Row],[Colonna4]]/100</f>
        <v>19937.864751440342</v>
      </c>
    </row>
    <row r="1166" spans="2:10">
      <c r="B1166" s="92" t="s">
        <v>142</v>
      </c>
      <c r="C1166" s="91" t="s">
        <v>2652</v>
      </c>
      <c r="D1166" s="93">
        <v>105</v>
      </c>
      <c r="E1166" s="93">
        <v>102</v>
      </c>
      <c r="F1166" s="103">
        <v>9430</v>
      </c>
      <c r="G1166" s="103"/>
      <c r="H1166" s="240">
        <f ca="1">SUMIF(Tabella2[[#Headers],[#Data],[Age]],$H$76,Tabella2[[#Headers],[#Data],[Federal taxes]])</f>
        <v>6804.3246087429152</v>
      </c>
      <c r="I116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6" s="240">
        <f ca="1">Tabella8[[#This Row],[Colonna7]]*Tabella8[[#This Row],[Colonna4]]/100</f>
        <v>14736.682642368947</v>
      </c>
    </row>
    <row r="1167" spans="2:10">
      <c r="B1167" s="92" t="s">
        <v>142</v>
      </c>
      <c r="C1167" s="91" t="s">
        <v>1850</v>
      </c>
      <c r="D1167" s="93">
        <v>105</v>
      </c>
      <c r="E1167" s="93">
        <v>115</v>
      </c>
      <c r="F1167" s="103">
        <f>IFERROR(INDEX(Tabella9[PLZ],MATCH(Tabella8[[#This Row],[Colonna2]],Tabella9[Ortschaftsname],0)), "Name not found")</f>
        <v>9323</v>
      </c>
      <c r="G1167" s="103"/>
      <c r="H1167" s="240">
        <f ca="1">SUMIF(Tabella2[[#Headers],[#Data],[Age]],$H$76,Tabella2[[#Headers],[#Data],[Federal taxes]])</f>
        <v>6804.3246087429152</v>
      </c>
      <c r="I116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7" s="240">
        <f ca="1">Tabella8[[#This Row],[Colonna7]]*Tabella8[[#This Row],[Colonna4]]/100</f>
        <v>16614.887292866952</v>
      </c>
    </row>
    <row r="1168" spans="2:10">
      <c r="B1168" s="92" t="s">
        <v>142</v>
      </c>
      <c r="C1168" s="91" t="s">
        <v>2653</v>
      </c>
      <c r="D1168" s="93">
        <v>105</v>
      </c>
      <c r="E1168" s="93">
        <v>89</v>
      </c>
      <c r="F1168" s="103">
        <f>IFERROR(INDEX(Tabella9[PLZ],MATCH(Tabella8[[#This Row],[Colonna2]],Tabella9[Ortschaftsname],0)), "Name not found")</f>
        <v>9425</v>
      </c>
      <c r="G1168" s="103"/>
      <c r="H1168" s="240">
        <f ca="1">SUMIF(Tabella2[[#Headers],[#Data],[Age]],$H$76,Tabella2[[#Headers],[#Data],[Federal taxes]])</f>
        <v>6804.3246087429152</v>
      </c>
      <c r="I116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8" s="240">
        <f ca="1">Tabella8[[#This Row],[Colonna7]]*Tabella8[[#This Row],[Colonna4]]/100</f>
        <v>12858.477991870945</v>
      </c>
    </row>
    <row r="1169" spans="2:10">
      <c r="B1169" s="92" t="s">
        <v>142</v>
      </c>
      <c r="C1169" s="91" t="s">
        <v>1870</v>
      </c>
      <c r="D1169" s="93">
        <v>105</v>
      </c>
      <c r="E1169" s="93">
        <v>79</v>
      </c>
      <c r="F1169" s="103">
        <f>IFERROR(INDEX(Tabella9[PLZ],MATCH(Tabella8[[#This Row],[Colonna2]],Tabella9[Ortschaftsname],0)), "Name not found")</f>
        <v>9327</v>
      </c>
      <c r="G1169" s="103"/>
      <c r="H1169" s="240">
        <f ca="1">SUMIF(Tabella2[[#Headers],[#Data],[Age]],$H$76,Tabella2[[#Headers],[#Data],[Federal taxes]])</f>
        <v>6804.3246087429152</v>
      </c>
      <c r="I116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69" s="240">
        <f ca="1">Tabella8[[#This Row],[Colonna7]]*Tabella8[[#This Row],[Colonna4]]/100</f>
        <v>11413.705183795559</v>
      </c>
    </row>
    <row r="1170" spans="2:10">
      <c r="B1170" s="92" t="s">
        <v>142</v>
      </c>
      <c r="C1170" s="91" t="s">
        <v>1874</v>
      </c>
      <c r="D1170" s="93">
        <v>105</v>
      </c>
      <c r="E1170" s="93">
        <v>119</v>
      </c>
      <c r="F1170" s="103">
        <f>IFERROR(INDEX(Tabella9[PLZ],MATCH(Tabella8[[#This Row],[Colonna2]],Tabella9[Ortschaftsname],0)), "Name not found")</f>
        <v>9033</v>
      </c>
      <c r="G1170" s="103"/>
      <c r="H1170" s="240">
        <f ca="1">SUMIF(Tabella2[[#Headers],[#Data],[Age]],$H$76,Tabella2[[#Headers],[#Data],[Federal taxes]])</f>
        <v>6804.3246087429152</v>
      </c>
      <c r="I117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0" s="240">
        <f ca="1">Tabella8[[#This Row],[Colonna7]]*Tabella8[[#This Row],[Colonna4]]/100</f>
        <v>17192.796416097106</v>
      </c>
    </row>
    <row r="1171" spans="2:10">
      <c r="B1171" s="92" t="s">
        <v>142</v>
      </c>
      <c r="C1171" s="91" t="s">
        <v>1825</v>
      </c>
      <c r="D1171" s="93">
        <v>105</v>
      </c>
      <c r="E1171" s="93">
        <v>110</v>
      </c>
      <c r="F1171" s="103">
        <f>IFERROR(INDEX(Tabella9[PLZ],MATCH(Tabella8[[#This Row],[Colonna2]],Tabella9[Ortschaftsname],0)), "Name not found")</f>
        <v>8730</v>
      </c>
      <c r="G1171" s="103"/>
      <c r="H1171" s="240">
        <f ca="1">SUMIF(Tabella2[[#Headers],[#Data],[Age]],$H$76,Tabella2[[#Headers],[#Data],[Federal taxes]])</f>
        <v>6804.3246087429152</v>
      </c>
      <c r="I117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1" s="240">
        <f ca="1">Tabella8[[#This Row],[Colonna7]]*Tabella8[[#This Row],[Colonna4]]/100</f>
        <v>15892.500888829258</v>
      </c>
    </row>
    <row r="1172" spans="2:10">
      <c r="B1172" s="92" t="s">
        <v>142</v>
      </c>
      <c r="C1172" s="91" t="s">
        <v>2654</v>
      </c>
      <c r="D1172" s="93">
        <v>105</v>
      </c>
      <c r="E1172" s="93">
        <v>122</v>
      </c>
      <c r="F1172" s="103">
        <f>IFERROR(INDEX(Tabella9[PLZ],MATCH(Tabella8[[#This Row],[Colonna2]],Tabella9[Ortschaftsname],0)), "Name not found")</f>
        <v>9240</v>
      </c>
      <c r="G1172" s="103"/>
      <c r="H1172" s="240">
        <f ca="1">SUMIF(Tabella2[[#Headers],[#Data],[Age]],$H$76,Tabella2[[#Headers],[#Data],[Federal taxes]])</f>
        <v>6804.3246087429152</v>
      </c>
      <c r="I117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2" s="240">
        <f ca="1">Tabella8[[#This Row],[Colonna7]]*Tabella8[[#This Row],[Colonna4]]/100</f>
        <v>17626.228258519721</v>
      </c>
    </row>
    <row r="1173" spans="2:10">
      <c r="B1173" s="92" t="s">
        <v>142</v>
      </c>
      <c r="C1173" s="91" t="s">
        <v>1836</v>
      </c>
      <c r="D1173" s="93">
        <v>105</v>
      </c>
      <c r="E1173" s="93">
        <v>120</v>
      </c>
      <c r="F1173" s="103">
        <v>7323</v>
      </c>
      <c r="G1173" s="103"/>
      <c r="H1173" s="240">
        <f ca="1">SUMIF(Tabella2[[#Headers],[#Data],[Age]],$H$76,Tabella2[[#Headers],[#Data],[Federal taxes]])</f>
        <v>6804.3246087429152</v>
      </c>
      <c r="I117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3" s="240">
        <f ca="1">Tabella8[[#This Row],[Colonna7]]*Tabella8[[#This Row],[Colonna4]]/100</f>
        <v>17337.273696904642</v>
      </c>
    </row>
    <row r="1174" spans="2:10">
      <c r="B1174" s="92" t="s">
        <v>142</v>
      </c>
      <c r="C1174" s="91" t="s">
        <v>1852</v>
      </c>
      <c r="D1174" s="93">
        <v>105</v>
      </c>
      <c r="E1174" s="93">
        <v>122</v>
      </c>
      <c r="F1174" s="103">
        <f>IFERROR(INDEX(Tabella9[PLZ],MATCH(Tabella8[[#This Row],[Colonna2]],Tabella9[Ortschaftsname],0)), "Name not found")</f>
        <v>9205</v>
      </c>
      <c r="G1174" s="103"/>
      <c r="H1174" s="240">
        <f ca="1">SUMIF(Tabella2[[#Headers],[#Data],[Age]],$H$76,Tabella2[[#Headers],[#Data],[Federal taxes]])</f>
        <v>6804.3246087429152</v>
      </c>
      <c r="I117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4" s="240">
        <f ca="1">Tabella8[[#This Row],[Colonna7]]*Tabella8[[#This Row],[Colonna4]]/100</f>
        <v>17626.228258519721</v>
      </c>
    </row>
    <row r="1175" spans="2:10">
      <c r="B1175" s="92" t="s">
        <v>142</v>
      </c>
      <c r="C1175" s="91" t="s">
        <v>1827</v>
      </c>
      <c r="D1175" s="93">
        <v>105</v>
      </c>
      <c r="E1175" s="93">
        <v>110</v>
      </c>
      <c r="F1175" s="103">
        <f>IFERROR(INDEX(Tabella9[PLZ],MATCH(Tabella8[[#This Row],[Colonna2]],Tabella9[Ortschaftsname],0)), "Name not found")</f>
        <v>8880</v>
      </c>
      <c r="G1175" s="103"/>
      <c r="H1175" s="240">
        <f ca="1">SUMIF(Tabella2[[#Headers],[#Data],[Age]],$H$76,Tabella2[[#Headers],[#Data],[Federal taxes]])</f>
        <v>6804.3246087429152</v>
      </c>
      <c r="I1175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5" s="240">
        <f ca="1">Tabella8[[#This Row],[Colonna7]]*Tabella8[[#This Row],[Colonna4]]/100</f>
        <v>15892.500888829258</v>
      </c>
    </row>
    <row r="1176" spans="2:10">
      <c r="B1176" s="92" t="s">
        <v>142</v>
      </c>
      <c r="C1176" s="91" t="s">
        <v>1831</v>
      </c>
      <c r="D1176" s="93">
        <v>105</v>
      </c>
      <c r="E1176" s="93">
        <v>145</v>
      </c>
      <c r="F1176" s="103">
        <v>9478</v>
      </c>
      <c r="G1176" s="103"/>
      <c r="H1176" s="240">
        <f ca="1">SUMIF(Tabella2[[#Headers],[#Data],[Age]],$H$76,Tabella2[[#Headers],[#Data],[Federal taxes]])</f>
        <v>6804.3246087429152</v>
      </c>
      <c r="I1176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6" s="240">
        <f ca="1">Tabella8[[#This Row],[Colonna7]]*Tabella8[[#This Row],[Colonna4]]/100</f>
        <v>20949.205717093111</v>
      </c>
    </row>
    <row r="1177" spans="2:10">
      <c r="B1177" s="92" t="s">
        <v>142</v>
      </c>
      <c r="C1177" s="91" t="s">
        <v>2655</v>
      </c>
      <c r="D1177" s="93">
        <v>105</v>
      </c>
      <c r="E1177" s="93">
        <v>129</v>
      </c>
      <c r="F1177" s="103">
        <f>IFERROR(INDEX(Tabella9[PLZ],MATCH(Tabella8[[#This Row],[Colonna2]],Tabella9[Ortschaftsname],0)), "Name not found")</f>
        <v>9630</v>
      </c>
      <c r="G1177" s="103"/>
      <c r="H1177" s="240">
        <f ca="1">SUMIF(Tabella2[[#Headers],[#Data],[Age]],$H$76,Tabella2[[#Headers],[#Data],[Federal taxes]])</f>
        <v>6804.3246087429152</v>
      </c>
      <c r="I1177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7" s="240">
        <f ca="1">Tabella8[[#This Row],[Colonna7]]*Tabella8[[#This Row],[Colonna4]]/100</f>
        <v>18637.569224172494</v>
      </c>
    </row>
    <row r="1178" spans="2:10">
      <c r="B1178" s="92" t="s">
        <v>142</v>
      </c>
      <c r="C1178" s="91" t="s">
        <v>1865</v>
      </c>
      <c r="D1178" s="93">
        <v>105</v>
      </c>
      <c r="E1178" s="93">
        <v>115</v>
      </c>
      <c r="F1178" s="103">
        <f>IFERROR(INDEX(Tabella9[PLZ],MATCH(Tabella8[[#This Row],[Colonna2]],Tabella9[Ortschaftsname],0)), "Name not found")</f>
        <v>8872</v>
      </c>
      <c r="G1178" s="103"/>
      <c r="H1178" s="240">
        <f ca="1">SUMIF(Tabella2[[#Headers],[#Data],[Age]],$H$76,Tabella2[[#Headers],[#Data],[Federal taxes]])</f>
        <v>6804.3246087429152</v>
      </c>
      <c r="I1178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8" s="240">
        <f ca="1">Tabella8[[#This Row],[Colonna7]]*Tabella8[[#This Row],[Colonna4]]/100</f>
        <v>16614.887292866952</v>
      </c>
    </row>
    <row r="1179" spans="2:10">
      <c r="B1179" s="92" t="s">
        <v>142</v>
      </c>
      <c r="C1179" s="91" t="s">
        <v>2656</v>
      </c>
      <c r="D1179" s="93">
        <v>105</v>
      </c>
      <c r="E1179" s="93">
        <v>76</v>
      </c>
      <c r="F1179" s="103">
        <f>IFERROR(INDEX(Tabella9[PLZ],MATCH(Tabella8[[#This Row],[Colonna2]],Tabella9[Ortschaftsname],0)), "Name not found")</f>
        <v>9443</v>
      </c>
      <c r="G1179" s="103"/>
      <c r="H1179" s="240">
        <f ca="1">SUMIF(Tabella2[[#Headers],[#Data],[Age]],$H$76,Tabella2[[#Headers],[#Data],[Federal taxes]])</f>
        <v>6804.3246087429152</v>
      </c>
      <c r="I1179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79" s="240">
        <f ca="1">Tabella8[[#This Row],[Colonna7]]*Tabella8[[#This Row],[Colonna4]]/100</f>
        <v>10980.273341372942</v>
      </c>
    </row>
    <row r="1180" spans="2:10">
      <c r="B1180" s="92" t="s">
        <v>142</v>
      </c>
      <c r="C1180" s="91" t="s">
        <v>2657</v>
      </c>
      <c r="D1180" s="93">
        <v>105</v>
      </c>
      <c r="E1180" s="93">
        <v>115</v>
      </c>
      <c r="F1180" s="103">
        <v>9500</v>
      </c>
      <c r="G1180" s="103"/>
      <c r="H1180" s="240">
        <f ca="1">SUMIF(Tabella2[[#Headers],[#Data],[Age]],$H$76,Tabella2[[#Headers],[#Data],[Federal taxes]])</f>
        <v>6804.3246087429152</v>
      </c>
      <c r="I1180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80" s="240">
        <f ca="1">Tabella8[[#This Row],[Colonna7]]*Tabella8[[#This Row],[Colonna4]]/100</f>
        <v>16614.887292866952</v>
      </c>
    </row>
    <row r="1181" spans="2:10">
      <c r="B1181" s="92" t="s">
        <v>142</v>
      </c>
      <c r="C1181" s="91" t="s">
        <v>2657</v>
      </c>
      <c r="D1181" s="93">
        <v>105</v>
      </c>
      <c r="E1181" s="93">
        <v>115</v>
      </c>
      <c r="F1181" s="103">
        <v>9501</v>
      </c>
      <c r="G1181" s="103"/>
      <c r="H1181" s="240">
        <f ca="1">SUMIF(Tabella2[[#Headers],[#Data],[Age]],$H$76,Tabella2[[#Headers],[#Data],[Federal taxes]])</f>
        <v>6804.3246087429152</v>
      </c>
      <c r="I1181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81" s="240">
        <f ca="1">Tabella8[[#This Row],[Colonna7]]*Tabella8[[#This Row],[Colonna4]]/100</f>
        <v>16614.887292866952</v>
      </c>
    </row>
    <row r="1182" spans="2:10">
      <c r="B1182" s="92" t="s">
        <v>142</v>
      </c>
      <c r="C1182" s="91" t="s">
        <v>1858</v>
      </c>
      <c r="D1182" s="93">
        <v>105</v>
      </c>
      <c r="E1182" s="93">
        <v>118</v>
      </c>
      <c r="F1182" s="103">
        <v>9658</v>
      </c>
      <c r="G1182" s="103"/>
      <c r="H1182" s="240">
        <f ca="1">SUMIF(Tabella2[[#Headers],[#Data],[Age]],$H$76,Tabella2[[#Headers],[#Data],[Federal taxes]])</f>
        <v>6804.3246087429152</v>
      </c>
      <c r="I1182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82" s="240">
        <f ca="1">Tabella8[[#This Row],[Colonna7]]*Tabella8[[#This Row],[Colonna4]]/100</f>
        <v>17048.319135289566</v>
      </c>
    </row>
    <row r="1183" spans="2:10">
      <c r="B1183" s="92" t="s">
        <v>142</v>
      </c>
      <c r="C1183" s="91" t="s">
        <v>2658</v>
      </c>
      <c r="D1183" s="93">
        <v>105</v>
      </c>
      <c r="E1183" s="93">
        <v>128</v>
      </c>
      <c r="F1183" s="103">
        <f>IFERROR(INDEX(Tabella9[PLZ],MATCH(Tabella8[[#This Row],[Colonna2]],Tabella9[Ortschaftsname],0)), "Name not found")</f>
        <v>9300</v>
      </c>
      <c r="G1183" s="103"/>
      <c r="H1183" s="240">
        <f ca="1">SUMIF(Tabella2[[#Headers],[#Data],[Age]],$H$76,Tabella2[[#Headers],[#Data],[Federal taxes]])</f>
        <v>6804.3246087429152</v>
      </c>
      <c r="I1183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83" s="240">
        <f ca="1">Tabella8[[#This Row],[Colonna7]]*Tabella8[[#This Row],[Colonna4]]/100</f>
        <v>18493.091943364954</v>
      </c>
    </row>
    <row r="1184" spans="2:10">
      <c r="B1184" s="92" t="s">
        <v>142</v>
      </c>
      <c r="C1184" s="91" t="s">
        <v>1838</v>
      </c>
      <c r="D1184" s="93">
        <v>105</v>
      </c>
      <c r="E1184" s="93">
        <v>77</v>
      </c>
      <c r="F1184" s="103">
        <v>9524</v>
      </c>
      <c r="G1184" s="103"/>
      <c r="H1184" s="240">
        <f ca="1">SUMIF(Tabella2[[#Headers],[#Data],[Age]],$H$76,Tabella2[[#Headers],[#Data],[Federal taxes]])</f>
        <v>6804.3246087429152</v>
      </c>
      <c r="I1184" s="240">
        <f ca="1">IFERROR(INDEX(Tabella13[[TI]:[VS commun]], MATCH($H$76, Tabella13[Age], 0), MATCH(Tabella8[[#This Row],[Colonna1]], Tabella13[[#Headers], [TI]:[VS commun]], 0)), "Valore non trovato")*Tabella8[[#This Row],[Colonna3]]/100</f>
        <v>14447.72808075387</v>
      </c>
      <c r="J1184" s="240">
        <f ca="1">Tabella8[[#This Row],[Colonna7]]*Tabella8[[#This Row],[Colonna4]]/100</f>
        <v>11124.75062218048</v>
      </c>
    </row>
    <row r="1185" spans="2:10">
      <c r="B1185" s="92" t="s">
        <v>151</v>
      </c>
      <c r="C1185" s="91" t="s">
        <v>2659</v>
      </c>
      <c r="D1185" s="93">
        <v>95</v>
      </c>
      <c r="E1185" s="93">
        <v>100</v>
      </c>
      <c r="F1185" s="103">
        <v>7450</v>
      </c>
      <c r="G1185" s="103"/>
      <c r="H1185" s="240">
        <f ca="1">SUMIF(Tabella2[[#Headers],[#Data],[Age]],$H$76,Tabella2[[#Headers],[#Data],[Federal taxes]])</f>
        <v>6804.3246087429152</v>
      </c>
      <c r="I118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85" s="240">
        <f ca="1">Tabella8[[#This Row],[Colonna7]]*Tabella8[[#This Row],[Colonna4]]/100</f>
        <v>12557.883803365874</v>
      </c>
    </row>
    <row r="1186" spans="2:10">
      <c r="B1186" s="92" t="s">
        <v>151</v>
      </c>
      <c r="C1186" s="91" t="s">
        <v>758</v>
      </c>
      <c r="D1186" s="93">
        <v>95</v>
      </c>
      <c r="E1186" s="93">
        <v>90</v>
      </c>
      <c r="F1186" s="103">
        <f>IFERROR(INDEX(Tabella9[PLZ],MATCH(Tabella8[[#This Row],[Colonna2]],Tabella9[Ortschaftsname],0)), "Name not found")</f>
        <v>7440</v>
      </c>
      <c r="G1186" s="103"/>
      <c r="H1186" s="240">
        <f ca="1">SUMIF(Tabella2[[#Headers],[#Data],[Age]],$H$76,Tabella2[[#Headers],[#Data],[Federal taxes]])</f>
        <v>6804.3246087429152</v>
      </c>
      <c r="I118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86" s="240">
        <f ca="1">Tabella8[[#This Row],[Colonna7]]*Tabella8[[#This Row],[Colonna4]]/100</f>
        <v>11302.095423029286</v>
      </c>
    </row>
    <row r="1187" spans="2:10">
      <c r="B1187" s="92" t="s">
        <v>151</v>
      </c>
      <c r="C1187" s="91" t="s">
        <v>711</v>
      </c>
      <c r="D1187" s="93">
        <v>95</v>
      </c>
      <c r="E1187" s="93">
        <v>90</v>
      </c>
      <c r="F1187" s="103">
        <f>IFERROR(INDEX(Tabella9[PLZ],MATCH(Tabella8[[#This Row],[Colonna2]],Tabella9[Ortschaftsname],0)), "Name not found")</f>
        <v>7050</v>
      </c>
      <c r="G1187" s="103"/>
      <c r="H1187" s="240">
        <f ca="1">SUMIF(Tabella2[[#Headers],[#Data],[Age]],$H$76,Tabella2[[#Headers],[#Data],[Federal taxes]])</f>
        <v>6804.3246087429152</v>
      </c>
      <c r="I118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87" s="240">
        <f ca="1">Tabella8[[#This Row],[Colonna7]]*Tabella8[[#This Row],[Colonna4]]/100</f>
        <v>11302.095423029286</v>
      </c>
    </row>
    <row r="1188" spans="2:10">
      <c r="B1188" s="92" t="s">
        <v>151</v>
      </c>
      <c r="C1188" s="91" t="s">
        <v>799</v>
      </c>
      <c r="D1188" s="93">
        <v>95</v>
      </c>
      <c r="E1188" s="93">
        <v>110</v>
      </c>
      <c r="F1188" s="103">
        <f>IFERROR(INDEX(Tabella9[PLZ],MATCH(Tabella8[[#This Row],[Colonna2]],Tabella9[Ortschaftsname],0)), "Name not found")</f>
        <v>7447</v>
      </c>
      <c r="G1188" s="103"/>
      <c r="H1188" s="240">
        <f ca="1">SUMIF(Tabella2[[#Headers],[#Data],[Age]],$H$76,Tabella2[[#Headers],[#Data],[Federal taxes]])</f>
        <v>6804.3246087429152</v>
      </c>
      <c r="I118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88" s="240">
        <f ca="1">Tabella8[[#This Row],[Colonna7]]*Tabella8[[#This Row],[Colonna4]]/100</f>
        <v>13813.672183702462</v>
      </c>
    </row>
    <row r="1189" spans="2:10">
      <c r="B1189" s="92" t="s">
        <v>151</v>
      </c>
      <c r="C1189" s="91" t="s">
        <v>760</v>
      </c>
      <c r="D1189" s="93">
        <v>95</v>
      </c>
      <c r="E1189" s="93">
        <v>100</v>
      </c>
      <c r="F1189" s="103">
        <v>7482</v>
      </c>
      <c r="G1189" s="103"/>
      <c r="H1189" s="240">
        <f ca="1">SUMIF(Tabella2[[#Headers],[#Data],[Age]],$H$76,Tabella2[[#Headers],[#Data],[Federal taxes]])</f>
        <v>6804.3246087429152</v>
      </c>
      <c r="I118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89" s="240">
        <f ca="1">Tabella8[[#This Row],[Colonna7]]*Tabella8[[#This Row],[Colonna4]]/100</f>
        <v>12557.883803365874</v>
      </c>
    </row>
    <row r="1190" spans="2:10">
      <c r="B1190" s="92" t="s">
        <v>151</v>
      </c>
      <c r="C1190" s="91" t="s">
        <v>779</v>
      </c>
      <c r="D1190" s="93">
        <v>95</v>
      </c>
      <c r="E1190" s="93">
        <v>70</v>
      </c>
      <c r="F1190" s="103">
        <f>IFERROR(INDEX(Tabella9[PLZ],MATCH(Tabella8[[#This Row],[Colonna2]],Tabella9[Ortschaftsname],0)), "Name not found")</f>
        <v>7502</v>
      </c>
      <c r="G1190" s="103"/>
      <c r="H1190" s="240">
        <f ca="1">SUMIF(Tabella2[[#Headers],[#Data],[Age]],$H$76,Tabella2[[#Headers],[#Data],[Federal taxes]])</f>
        <v>6804.3246087429152</v>
      </c>
      <c r="I119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0" s="240">
        <f ca="1">Tabella8[[#This Row],[Colonna7]]*Tabella8[[#This Row],[Colonna4]]/100</f>
        <v>8790.5186623561112</v>
      </c>
    </row>
    <row r="1191" spans="2:10">
      <c r="B1191" s="92" t="s">
        <v>151</v>
      </c>
      <c r="C1191" s="91" t="s">
        <v>708</v>
      </c>
      <c r="D1191" s="93">
        <v>95</v>
      </c>
      <c r="E1191" s="93">
        <v>84</v>
      </c>
      <c r="F1191" s="103">
        <f>IFERROR(INDEX(Tabella9[PLZ],MATCH(Tabella8[[#This Row],[Colonna2]],Tabella9[Ortschaftsname],0)), "Name not found")</f>
        <v>7402</v>
      </c>
      <c r="G1191" s="103"/>
      <c r="H1191" s="240">
        <f ca="1">SUMIF(Tabella2[[#Headers],[#Data],[Age]],$H$76,Tabella2[[#Headers],[#Data],[Federal taxes]])</f>
        <v>6804.3246087429152</v>
      </c>
      <c r="I119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1" s="240">
        <f ca="1">Tabella8[[#This Row],[Colonna7]]*Tabella8[[#This Row],[Colonna4]]/100</f>
        <v>10548.622394827335</v>
      </c>
    </row>
    <row r="1192" spans="2:10">
      <c r="B1192" s="92" t="s">
        <v>151</v>
      </c>
      <c r="C1192" s="91" t="s">
        <v>736</v>
      </c>
      <c r="D1192" s="93">
        <v>95</v>
      </c>
      <c r="E1192" s="93">
        <v>90</v>
      </c>
      <c r="F1192" s="103">
        <v>7606</v>
      </c>
      <c r="G1192" s="103"/>
      <c r="H1192" s="240">
        <f ca="1">SUMIF(Tabella2[[#Headers],[#Data],[Age]],$H$76,Tabella2[[#Headers],[#Data],[Federal taxes]])</f>
        <v>6804.3246087429152</v>
      </c>
      <c r="I119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2" s="240">
        <f ca="1">Tabella8[[#This Row],[Colonna7]]*Tabella8[[#This Row],[Colonna4]]/100</f>
        <v>11302.095423029286</v>
      </c>
    </row>
    <row r="1193" spans="2:10">
      <c r="B1193" s="92" t="s">
        <v>151</v>
      </c>
      <c r="C1193" s="91" t="s">
        <v>2660</v>
      </c>
      <c r="D1193" s="93">
        <v>95</v>
      </c>
      <c r="E1193" s="93">
        <v>90</v>
      </c>
      <c r="F1193" s="103">
        <f>IFERROR(INDEX(Tabella9[PLZ],MATCH(Tabella8[[#This Row],[Colonna2]],Tabella9[Ortschaftsname],0)), "Name not found")</f>
        <v>7165</v>
      </c>
      <c r="G1193" s="103"/>
      <c r="H1193" s="240">
        <f ca="1">SUMIF(Tabella2[[#Headers],[#Data],[Age]],$H$76,Tabella2[[#Headers],[#Data],[Federal taxes]])</f>
        <v>6804.3246087429152</v>
      </c>
      <c r="I119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3" s="240">
        <f ca="1">Tabella8[[#This Row],[Colonna7]]*Tabella8[[#This Row],[Colonna4]]/100</f>
        <v>11302.095423029286</v>
      </c>
    </row>
    <row r="1194" spans="2:10">
      <c r="B1194" s="92" t="s">
        <v>151</v>
      </c>
      <c r="C1194" s="91" t="s">
        <v>754</v>
      </c>
      <c r="D1194" s="93">
        <v>95</v>
      </c>
      <c r="E1194" s="93">
        <v>85</v>
      </c>
      <c r="F1194" s="103">
        <f>IFERROR(INDEX(Tabella9[PLZ],MATCH(Tabella8[[#This Row],[Colonna2]],Tabella9[Ortschaftsname],0)), "Name not found")</f>
        <v>7743</v>
      </c>
      <c r="G1194" s="103"/>
      <c r="H1194" s="240">
        <f ca="1">SUMIF(Tabella2[[#Headers],[#Data],[Age]],$H$76,Tabella2[[#Headers],[#Data],[Federal taxes]])</f>
        <v>6804.3246087429152</v>
      </c>
      <c r="I119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4" s="240">
        <f ca="1">Tabella8[[#This Row],[Colonna7]]*Tabella8[[#This Row],[Colonna4]]/100</f>
        <v>10674.201232860993</v>
      </c>
    </row>
    <row r="1195" spans="2:10">
      <c r="B1195" s="92" t="s">
        <v>151</v>
      </c>
      <c r="C1195" s="91" t="s">
        <v>805</v>
      </c>
      <c r="D1195" s="93">
        <v>95</v>
      </c>
      <c r="E1195" s="93">
        <v>100</v>
      </c>
      <c r="F1195" s="103">
        <f>IFERROR(INDEX(Tabella9[PLZ],MATCH(Tabella8[[#This Row],[Colonna2]],Tabella9[Ortschaftsname],0)), "Name not found")</f>
        <v>6542</v>
      </c>
      <c r="G1195" s="103"/>
      <c r="H1195" s="240">
        <f ca="1">SUMIF(Tabella2[[#Headers],[#Data],[Age]],$H$76,Tabella2[[#Headers],[#Data],[Federal taxes]])</f>
        <v>6804.3246087429152</v>
      </c>
      <c r="I119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5" s="240">
        <f ca="1">Tabella8[[#This Row],[Colonna7]]*Tabella8[[#This Row],[Colonna4]]/100</f>
        <v>12557.883803365874</v>
      </c>
    </row>
    <row r="1196" spans="2:10">
      <c r="B1196" s="92" t="s">
        <v>151</v>
      </c>
      <c r="C1196" s="91" t="s">
        <v>798</v>
      </c>
      <c r="D1196" s="93">
        <v>95</v>
      </c>
      <c r="E1196" s="93">
        <v>100</v>
      </c>
      <c r="F1196" s="103">
        <v>6543</v>
      </c>
      <c r="G1196" s="103"/>
      <c r="H1196" s="240">
        <f ca="1">SUMIF(Tabella2[[#Headers],[#Data],[Age]],$H$76,Tabella2[[#Headers],[#Data],[Federal taxes]])</f>
        <v>6804.3246087429152</v>
      </c>
      <c r="I119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6" s="240">
        <f ca="1">Tabella8[[#This Row],[Colonna7]]*Tabella8[[#This Row],[Colonna4]]/100</f>
        <v>12557.883803365874</v>
      </c>
    </row>
    <row r="1197" spans="2:10">
      <c r="B1197" s="92" t="s">
        <v>151</v>
      </c>
      <c r="C1197" s="91" t="s">
        <v>780</v>
      </c>
      <c r="D1197" s="93">
        <v>95</v>
      </c>
      <c r="E1197" s="93">
        <v>73</v>
      </c>
      <c r="F1197" s="103">
        <f>IFERROR(INDEX(Tabella9[PLZ],MATCH(Tabella8[[#This Row],[Colonna2]],Tabella9[Ortschaftsname],0)), "Name not found")</f>
        <v>6557</v>
      </c>
      <c r="G1197" s="103"/>
      <c r="H1197" s="240">
        <f ca="1">SUMIF(Tabella2[[#Headers],[#Data],[Age]],$H$76,Tabella2[[#Headers],[#Data],[Federal taxes]])</f>
        <v>6804.3246087429152</v>
      </c>
      <c r="I119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7" s="240">
        <f ca="1">Tabella8[[#This Row],[Colonna7]]*Tabella8[[#This Row],[Colonna4]]/100</f>
        <v>9167.2551764570871</v>
      </c>
    </row>
    <row r="1198" spans="2:10">
      <c r="B1198" s="92" t="s">
        <v>151</v>
      </c>
      <c r="C1198" s="91" t="s">
        <v>791</v>
      </c>
      <c r="D1198" s="93">
        <v>95</v>
      </c>
      <c r="E1198" s="93">
        <v>90</v>
      </c>
      <c r="F1198" s="103">
        <f>IFERROR(INDEX(Tabella9[PLZ],MATCH(Tabella8[[#This Row],[Colonna2]],Tabella9[Ortschaftsname],0)), "Name not found")</f>
        <v>6540</v>
      </c>
      <c r="G1198" s="103"/>
      <c r="H1198" s="240">
        <f ca="1">SUMIF(Tabella2[[#Headers],[#Data],[Age]],$H$76,Tabella2[[#Headers],[#Data],[Federal taxes]])</f>
        <v>6804.3246087429152</v>
      </c>
      <c r="I119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8" s="240">
        <f ca="1">Tabella8[[#This Row],[Colonna7]]*Tabella8[[#This Row],[Colonna4]]/100</f>
        <v>11302.095423029286</v>
      </c>
    </row>
    <row r="1199" spans="2:10">
      <c r="B1199" s="92" t="s">
        <v>151</v>
      </c>
      <c r="C1199" s="91" t="s">
        <v>724</v>
      </c>
      <c r="D1199" s="93">
        <v>95</v>
      </c>
      <c r="E1199" s="93">
        <v>115</v>
      </c>
      <c r="F1199" s="103">
        <f>IFERROR(INDEX(Tabella9[PLZ],MATCH(Tabella8[[#This Row],[Colonna2]],Tabella9[Ortschaftsname],0)), "Name not found")</f>
        <v>7408</v>
      </c>
      <c r="G1199" s="103"/>
      <c r="H1199" s="240">
        <f ca="1">SUMIF(Tabella2[[#Headers],[#Data],[Age]],$H$76,Tabella2[[#Headers],[#Data],[Federal taxes]])</f>
        <v>6804.3246087429152</v>
      </c>
      <c r="I119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199" s="240">
        <f ca="1">Tabella8[[#This Row],[Colonna7]]*Tabella8[[#This Row],[Colonna4]]/100</f>
        <v>14441.566373870755</v>
      </c>
    </row>
    <row r="1200" spans="2:10">
      <c r="B1200" s="92" t="s">
        <v>151</v>
      </c>
      <c r="C1200" s="91" t="s">
        <v>2661</v>
      </c>
      <c r="D1200" s="93">
        <v>95</v>
      </c>
      <c r="E1200" s="93">
        <v>50</v>
      </c>
      <c r="F1200" s="103">
        <f>IFERROR(INDEX(Tabella9[PLZ],MATCH(Tabella8[[#This Row],[Colonna2]],Tabella9[Ortschaftsname],0)), "Name not found")</f>
        <v>7505</v>
      </c>
      <c r="G1200" s="103"/>
      <c r="H1200" s="240">
        <f ca="1">SUMIF(Tabella2[[#Headers],[#Data],[Age]],$H$76,Tabella2[[#Headers],[#Data],[Federal taxes]])</f>
        <v>6804.3246087429152</v>
      </c>
      <c r="I120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0" s="240">
        <f ca="1">Tabella8[[#This Row],[Colonna7]]*Tabella8[[#This Row],[Colonna4]]/100</f>
        <v>6278.941901682937</v>
      </c>
    </row>
    <row r="1201" spans="2:10">
      <c r="B1201" s="92" t="s">
        <v>151</v>
      </c>
      <c r="C1201" s="91" t="s">
        <v>696</v>
      </c>
      <c r="D1201" s="93">
        <v>95</v>
      </c>
      <c r="E1201" s="93">
        <v>88</v>
      </c>
      <c r="F1201" s="103">
        <f>IFERROR(INDEX(Tabella9[PLZ],MATCH(Tabella8[[#This Row],[Colonna2]],Tabella9[Ortschaftsname],0)), "Name not found")</f>
        <v>7000</v>
      </c>
      <c r="G1201" s="103"/>
      <c r="H1201" s="240">
        <f ca="1">SUMIF(Tabella2[[#Headers],[#Data],[Age]],$H$76,Tabella2[[#Headers],[#Data],[Federal taxes]])</f>
        <v>6804.3246087429152</v>
      </c>
      <c r="I120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1" s="240">
        <f ca="1">Tabella8[[#This Row],[Colonna7]]*Tabella8[[#This Row],[Colonna4]]/100</f>
        <v>11050.937746961969</v>
      </c>
    </row>
    <row r="1202" spans="2:10">
      <c r="B1202" s="92" t="s">
        <v>151</v>
      </c>
      <c r="C1202" s="91" t="s">
        <v>729</v>
      </c>
      <c r="D1202" s="93">
        <v>95</v>
      </c>
      <c r="E1202" s="93">
        <v>90</v>
      </c>
      <c r="F1202" s="103">
        <f>IFERROR(INDEX(Tabella9[PLZ],MATCH(Tabella8[[#This Row],[Colonna2]],Tabella9[Ortschaftsname],0)), "Name not found")</f>
        <v>7075</v>
      </c>
      <c r="G1202" s="103"/>
      <c r="H1202" s="240">
        <f ca="1">SUMIF(Tabella2[[#Headers],[#Data],[Age]],$H$76,Tabella2[[#Headers],[#Data],[Federal taxes]])</f>
        <v>6804.3246087429152</v>
      </c>
      <c r="I120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2" s="240">
        <f ca="1">Tabella8[[#This Row],[Colonna7]]*Tabella8[[#This Row],[Colonna4]]/100</f>
        <v>11302.095423029286</v>
      </c>
    </row>
    <row r="1203" spans="2:10">
      <c r="B1203" s="92" t="s">
        <v>151</v>
      </c>
      <c r="C1203" s="91" t="s">
        <v>794</v>
      </c>
      <c r="D1203" s="93">
        <v>95</v>
      </c>
      <c r="E1203" s="93">
        <v>60</v>
      </c>
      <c r="F1203" s="103">
        <f>IFERROR(INDEX(Tabella9[PLZ],MATCH(Tabella8[[#This Row],[Colonna2]],Tabella9[Ortschaftsname],0)), "Name not found")</f>
        <v>7241</v>
      </c>
      <c r="G1203" s="103"/>
      <c r="H1203" s="240">
        <f ca="1">SUMIF(Tabella2[[#Headers],[#Data],[Age]],$H$76,Tabella2[[#Headers],[#Data],[Federal taxes]])</f>
        <v>6804.3246087429152</v>
      </c>
      <c r="I120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3" s="240">
        <f ca="1">Tabella8[[#This Row],[Colonna7]]*Tabella8[[#This Row],[Colonna4]]/100</f>
        <v>7534.7302820195246</v>
      </c>
    </row>
    <row r="1204" spans="2:10">
      <c r="B1204" s="92" t="s">
        <v>151</v>
      </c>
      <c r="C1204" s="91" t="s">
        <v>697</v>
      </c>
      <c r="D1204" s="93">
        <v>95</v>
      </c>
      <c r="E1204" s="93">
        <v>95</v>
      </c>
      <c r="F1204" s="103">
        <v>7270</v>
      </c>
      <c r="G1204" s="103"/>
      <c r="H1204" s="240">
        <f ca="1">SUMIF(Tabella2[[#Headers],[#Data],[Age]],$H$76,Tabella2[[#Headers],[#Data],[Federal taxes]])</f>
        <v>6804.3246087429152</v>
      </c>
      <c r="I120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4" s="240">
        <f ca="1">Tabella8[[#This Row],[Colonna7]]*Tabella8[[#This Row],[Colonna4]]/100</f>
        <v>11929.98961319758</v>
      </c>
    </row>
    <row r="1205" spans="2:10">
      <c r="B1205" s="92" t="s">
        <v>151</v>
      </c>
      <c r="C1205" s="91" t="s">
        <v>2662</v>
      </c>
      <c r="D1205" s="93">
        <v>95</v>
      </c>
      <c r="E1205" s="93">
        <v>99</v>
      </c>
      <c r="F1205" s="103">
        <f>IFERROR(INDEX(Tabella9[PLZ],MATCH(Tabella8[[#This Row],[Colonna2]],Tabella9[Ortschaftsname],0)), "Name not found")</f>
        <v>7180</v>
      </c>
      <c r="G1205" s="103"/>
      <c r="H1205" s="240">
        <f ca="1">SUMIF(Tabella2[[#Headers],[#Data],[Age]],$H$76,Tabella2[[#Headers],[#Data],[Federal taxes]])</f>
        <v>6804.3246087429152</v>
      </c>
      <c r="I120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5" s="240">
        <f ca="1">Tabella8[[#This Row],[Colonna7]]*Tabella8[[#This Row],[Colonna4]]/100</f>
        <v>12432.304965332216</v>
      </c>
    </row>
    <row r="1206" spans="2:10">
      <c r="B1206" s="92" t="s">
        <v>151</v>
      </c>
      <c r="C1206" s="91" t="s">
        <v>2663</v>
      </c>
      <c r="D1206" s="93">
        <v>95</v>
      </c>
      <c r="E1206" s="93">
        <v>85</v>
      </c>
      <c r="F1206" s="103">
        <f>IFERROR(INDEX(Tabella9[PLZ],MATCH(Tabella8[[#This Row],[Colonna2]],Tabella9[Ortschaftsname],0)), "Name not found")</f>
        <v>7013</v>
      </c>
      <c r="G1206" s="103"/>
      <c r="H1206" s="240">
        <f ca="1">SUMIF(Tabella2[[#Headers],[#Data],[Age]],$H$76,Tabella2[[#Headers],[#Data],[Federal taxes]])</f>
        <v>6804.3246087429152</v>
      </c>
      <c r="I120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6" s="240">
        <f ca="1">Tabella8[[#This Row],[Colonna7]]*Tabella8[[#This Row],[Colonna4]]/100</f>
        <v>10674.201232860993</v>
      </c>
    </row>
    <row r="1207" spans="2:10">
      <c r="B1207" s="92" t="s">
        <v>151</v>
      </c>
      <c r="C1207" s="91" t="s">
        <v>730</v>
      </c>
      <c r="D1207" s="93">
        <v>95</v>
      </c>
      <c r="E1207" s="93">
        <v>110</v>
      </c>
      <c r="F1207" s="103">
        <v>7435</v>
      </c>
      <c r="G1207" s="103"/>
      <c r="H1207" s="240">
        <f ca="1">SUMIF(Tabella2[[#Headers],[#Data],[Age]],$H$76,Tabella2[[#Headers],[#Data],[Federal taxes]])</f>
        <v>6804.3246087429152</v>
      </c>
      <c r="I120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7" s="240">
        <f ca="1">Tabella8[[#This Row],[Colonna7]]*Tabella8[[#This Row],[Colonna4]]/100</f>
        <v>13813.672183702462</v>
      </c>
    </row>
    <row r="1208" spans="2:10">
      <c r="B1208" s="92" t="s">
        <v>151</v>
      </c>
      <c r="C1208" s="91" t="s">
        <v>777</v>
      </c>
      <c r="D1208" s="93">
        <v>95</v>
      </c>
      <c r="E1208" s="93">
        <v>65</v>
      </c>
      <c r="F1208" s="103">
        <f>IFERROR(INDEX(Tabella9[PLZ],MATCH(Tabella8[[#This Row],[Colonna2]],Tabella9[Ortschaftsname],0)), "Name not found")</f>
        <v>7153</v>
      </c>
      <c r="G1208" s="103"/>
      <c r="H1208" s="240">
        <f ca="1">SUMIF(Tabella2[[#Headers],[#Data],[Age]],$H$76,Tabella2[[#Headers],[#Data],[Federal taxes]])</f>
        <v>6804.3246087429152</v>
      </c>
      <c r="I120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8" s="240">
        <f ca="1">Tabella8[[#This Row],[Colonna7]]*Tabella8[[#This Row],[Colonna4]]/100</f>
        <v>8162.6244721878184</v>
      </c>
    </row>
    <row r="1209" spans="2:10">
      <c r="B1209" s="92" t="s">
        <v>151</v>
      </c>
      <c r="C1209" s="91" t="s">
        <v>718</v>
      </c>
      <c r="D1209" s="93">
        <v>95</v>
      </c>
      <c r="E1209" s="93">
        <v>95</v>
      </c>
      <c r="F1209" s="103">
        <f>IFERROR(INDEX(Tabella9[PLZ],MATCH(Tabella8[[#This Row],[Colonna2]],Tabella9[Ortschaftsname],0)), "Name not found")</f>
        <v>7012</v>
      </c>
      <c r="G1209" s="103"/>
      <c r="H1209" s="240">
        <f ca="1">SUMIF(Tabella2[[#Headers],[#Data],[Age]],$H$76,Tabella2[[#Headers],[#Data],[Federal taxes]])</f>
        <v>6804.3246087429152</v>
      </c>
      <c r="I120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09" s="240">
        <f ca="1">Tabella8[[#This Row],[Colonna7]]*Tabella8[[#This Row],[Colonna4]]/100</f>
        <v>11929.98961319758</v>
      </c>
    </row>
    <row r="1210" spans="2:10">
      <c r="B1210" s="92" t="s">
        <v>151</v>
      </c>
      <c r="C1210" s="91" t="s">
        <v>806</v>
      </c>
      <c r="D1210" s="93">
        <v>95</v>
      </c>
      <c r="E1210" s="93">
        <v>70</v>
      </c>
      <c r="F1210" s="103">
        <v>7444</v>
      </c>
      <c r="G1210" s="103"/>
      <c r="H1210" s="240">
        <f ca="1">SUMIF(Tabella2[[#Headers],[#Data],[Age]],$H$76,Tabella2[[#Headers],[#Data],[Federal taxes]])</f>
        <v>6804.3246087429152</v>
      </c>
      <c r="I121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0" s="240">
        <f ca="1">Tabella8[[#This Row],[Colonna7]]*Tabella8[[#This Row],[Colonna4]]/100</f>
        <v>8790.5186623561112</v>
      </c>
    </row>
    <row r="1211" spans="2:10">
      <c r="B1211" s="92" t="s">
        <v>151</v>
      </c>
      <c r="C1211" s="91" t="s">
        <v>778</v>
      </c>
      <c r="D1211" s="93">
        <v>95</v>
      </c>
      <c r="E1211" s="93">
        <v>100</v>
      </c>
      <c r="F1211" s="103">
        <f>IFERROR(INDEX(Tabella9[PLZ],MATCH(Tabella8[[#This Row],[Colonna2]],Tabella9[Ortschaftsname],0)), "Name not found")</f>
        <v>7235</v>
      </c>
      <c r="G1211" s="103"/>
      <c r="H1211" s="240">
        <f ca="1">SUMIF(Tabella2[[#Headers],[#Data],[Age]],$H$76,Tabella2[[#Headers],[#Data],[Federal taxes]])</f>
        <v>6804.3246087429152</v>
      </c>
      <c r="I121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1" s="240">
        <f ca="1">Tabella8[[#This Row],[Colonna7]]*Tabella8[[#This Row],[Colonna4]]/100</f>
        <v>12557.883803365874</v>
      </c>
    </row>
    <row r="1212" spans="2:10">
      <c r="B1212" s="92" t="s">
        <v>151</v>
      </c>
      <c r="C1212" s="91" t="s">
        <v>792</v>
      </c>
      <c r="D1212" s="93">
        <v>95</v>
      </c>
      <c r="E1212" s="93">
        <v>120</v>
      </c>
      <c r="F1212" s="103">
        <f>IFERROR(INDEX(Tabella9[PLZ],MATCH(Tabella8[[#This Row],[Colonna2]],Tabella9[Ortschaftsname],0)), "Name not found")</f>
        <v>7426</v>
      </c>
      <c r="G1212" s="103"/>
      <c r="H1212" s="240">
        <f ca="1">SUMIF(Tabella2[[#Headers],[#Data],[Age]],$H$76,Tabella2[[#Headers],[#Data],[Federal taxes]])</f>
        <v>6804.3246087429152</v>
      </c>
      <c r="I121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2" s="240">
        <f ca="1">Tabella8[[#This Row],[Colonna7]]*Tabella8[[#This Row],[Colonna4]]/100</f>
        <v>15069.460564039049</v>
      </c>
    </row>
    <row r="1213" spans="2:10">
      <c r="B1213" s="92" t="s">
        <v>151</v>
      </c>
      <c r="C1213" s="91" t="s">
        <v>714</v>
      </c>
      <c r="D1213" s="93">
        <v>95</v>
      </c>
      <c r="E1213" s="93">
        <v>60</v>
      </c>
      <c r="F1213" s="103">
        <v>7017</v>
      </c>
      <c r="G1213" s="103"/>
      <c r="H1213" s="240">
        <f ca="1">SUMIF(Tabella2[[#Headers],[#Data],[Age]],$H$76,Tabella2[[#Headers],[#Data],[Federal taxes]])</f>
        <v>6804.3246087429152</v>
      </c>
      <c r="I121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3" s="240">
        <f ca="1">Tabella8[[#This Row],[Colonna7]]*Tabella8[[#This Row],[Colonna4]]/100</f>
        <v>7534.7302820195246</v>
      </c>
    </row>
    <row r="1214" spans="2:10">
      <c r="B1214" s="92" t="s">
        <v>151</v>
      </c>
      <c r="C1214" s="91" t="s">
        <v>767</v>
      </c>
      <c r="D1214" s="93">
        <v>95</v>
      </c>
      <c r="E1214" s="93">
        <v>70</v>
      </c>
      <c r="F1214" s="103">
        <f>IFERROR(INDEX(Tabella9[PLZ],MATCH(Tabella8[[#This Row],[Colonna2]],Tabella9[Ortschaftsname],0)), "Name not found")</f>
        <v>7306</v>
      </c>
      <c r="G1214" s="103"/>
      <c r="H1214" s="240">
        <f ca="1">SUMIF(Tabella2[[#Headers],[#Data],[Age]],$H$76,Tabella2[[#Headers],[#Data],[Federal taxes]])</f>
        <v>6804.3246087429152</v>
      </c>
      <c r="I121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4" s="240">
        <f ca="1">Tabella8[[#This Row],[Colonna7]]*Tabella8[[#This Row],[Colonna4]]/100</f>
        <v>8790.5186623561112</v>
      </c>
    </row>
    <row r="1215" spans="2:10">
      <c r="B1215" s="92" t="s">
        <v>151</v>
      </c>
      <c r="C1215" s="91" t="s">
        <v>795</v>
      </c>
      <c r="D1215" s="93">
        <v>95</v>
      </c>
      <c r="E1215" s="93">
        <v>120</v>
      </c>
      <c r="F1215" s="103">
        <f>IFERROR(INDEX(Tabella9[PLZ],MATCH(Tabella8[[#This Row],[Colonna2]],Tabella9[Ortschaftsname],0)), "Name not found")</f>
        <v>7232</v>
      </c>
      <c r="G1215" s="103"/>
      <c r="H1215" s="240">
        <f ca="1">SUMIF(Tabella2[[#Headers],[#Data],[Age]],$H$76,Tabella2[[#Headers],[#Data],[Federal taxes]])</f>
        <v>6804.3246087429152</v>
      </c>
      <c r="I121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5" s="240">
        <f ca="1">Tabella8[[#This Row],[Colonna7]]*Tabella8[[#This Row],[Colonna4]]/100</f>
        <v>15069.460564039049</v>
      </c>
    </row>
    <row r="1216" spans="2:10">
      <c r="B1216" s="92" t="s">
        <v>151</v>
      </c>
      <c r="C1216" s="91" t="s">
        <v>787</v>
      </c>
      <c r="D1216" s="93">
        <v>95</v>
      </c>
      <c r="E1216" s="93">
        <v>100</v>
      </c>
      <c r="F1216" s="103">
        <f>IFERROR(INDEX(Tabella9[PLZ],MATCH(Tabella8[[#This Row],[Colonna2]],Tabella9[Ortschaftsname],0)), "Name not found")</f>
        <v>7414</v>
      </c>
      <c r="G1216" s="103"/>
      <c r="H1216" s="240">
        <f ca="1">SUMIF(Tabella2[[#Headers],[#Data],[Age]],$H$76,Tabella2[[#Headers],[#Data],[Federal taxes]])</f>
        <v>6804.3246087429152</v>
      </c>
      <c r="I121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6" s="240">
        <f ca="1">Tabella8[[#This Row],[Colonna7]]*Tabella8[[#This Row],[Colonna4]]/100</f>
        <v>12557.883803365874</v>
      </c>
    </row>
    <row r="1217" spans="2:10">
      <c r="B1217" s="92" t="s">
        <v>151</v>
      </c>
      <c r="C1217" s="91" t="s">
        <v>744</v>
      </c>
      <c r="D1217" s="93">
        <v>95</v>
      </c>
      <c r="E1217" s="93">
        <v>90</v>
      </c>
      <c r="F1217" s="103">
        <f>IFERROR(INDEX(Tabella9[PLZ],MATCH(Tabella8[[#This Row],[Colonna2]],Tabella9[Ortschaftsname],0)), "Name not found")</f>
        <v>6537</v>
      </c>
      <c r="G1217" s="103"/>
      <c r="H1217" s="240">
        <f ca="1">SUMIF(Tabella2[[#Headers],[#Data],[Age]],$H$76,Tabella2[[#Headers],[#Data],[Federal taxes]])</f>
        <v>6804.3246087429152</v>
      </c>
      <c r="I121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7" s="240">
        <f ca="1">Tabella8[[#This Row],[Colonna7]]*Tabella8[[#This Row],[Colonna4]]/100</f>
        <v>11302.095423029286</v>
      </c>
    </row>
    <row r="1218" spans="2:10">
      <c r="B1218" s="92" t="s">
        <v>151</v>
      </c>
      <c r="C1218" s="91" t="s">
        <v>727</v>
      </c>
      <c r="D1218" s="93">
        <v>95</v>
      </c>
      <c r="E1218" s="93">
        <v>90</v>
      </c>
      <c r="F1218" s="103">
        <f>IFERROR(INDEX(Tabella9[PLZ],MATCH(Tabella8[[#This Row],[Colonna2]],Tabella9[Ortschaftsname],0)), "Name not found")</f>
        <v>7214</v>
      </c>
      <c r="G1218" s="103"/>
      <c r="H1218" s="240">
        <f ca="1">SUMIF(Tabella2[[#Headers],[#Data],[Age]],$H$76,Tabella2[[#Headers],[#Data],[Federal taxes]])</f>
        <v>6804.3246087429152</v>
      </c>
      <c r="I121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8" s="240">
        <f ca="1">Tabella8[[#This Row],[Colonna7]]*Tabella8[[#This Row],[Colonna4]]/100</f>
        <v>11302.095423029286</v>
      </c>
    </row>
    <row r="1219" spans="2:10">
      <c r="B1219" s="92" t="s">
        <v>151</v>
      </c>
      <c r="C1219" s="91" t="s">
        <v>2664</v>
      </c>
      <c r="D1219" s="93">
        <v>95</v>
      </c>
      <c r="E1219" s="93">
        <v>100</v>
      </c>
      <c r="F1219" s="103">
        <v>7130</v>
      </c>
      <c r="G1219" s="103"/>
      <c r="H1219" s="240">
        <f ca="1">SUMIF(Tabella2[[#Headers],[#Data],[Age]],$H$76,Tabella2[[#Headers],[#Data],[Federal taxes]])</f>
        <v>6804.3246087429152</v>
      </c>
      <c r="I121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19" s="240">
        <f ca="1">Tabella8[[#This Row],[Colonna7]]*Tabella8[[#This Row],[Colonna4]]/100</f>
        <v>12557.883803365874</v>
      </c>
    </row>
    <row r="1220" spans="2:10">
      <c r="B1220" s="92" t="s">
        <v>151</v>
      </c>
      <c r="C1220" s="91" t="s">
        <v>752</v>
      </c>
      <c r="D1220" s="93">
        <v>95</v>
      </c>
      <c r="E1220" s="93">
        <v>95</v>
      </c>
      <c r="F1220" s="103">
        <f>IFERROR(INDEX(Tabella9[PLZ],MATCH(Tabella8[[#This Row],[Colonna2]],Tabella9[Ortschaftsname],0)), "Name not found")</f>
        <v>7233</v>
      </c>
      <c r="G1220" s="103"/>
      <c r="H1220" s="240">
        <f ca="1">SUMIF(Tabella2[[#Headers],[#Data],[Age]],$H$76,Tabella2[[#Headers],[#Data],[Federal taxes]])</f>
        <v>6804.3246087429152</v>
      </c>
      <c r="I122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0" s="240">
        <f ca="1">Tabella8[[#This Row],[Colonna7]]*Tabella8[[#This Row],[Colonna4]]/100</f>
        <v>11929.98961319758</v>
      </c>
    </row>
    <row r="1221" spans="2:10">
      <c r="B1221" s="92" t="s">
        <v>151</v>
      </c>
      <c r="C1221" s="91" t="s">
        <v>762</v>
      </c>
      <c r="D1221" s="93">
        <v>95</v>
      </c>
      <c r="E1221" s="93">
        <v>93</v>
      </c>
      <c r="F1221" s="103">
        <f>IFERROR(INDEX(Tabella9[PLZ],MATCH(Tabella8[[#This Row],[Colonna2]],Tabella9[Ortschaftsname],0)), "Name not found")</f>
        <v>7307</v>
      </c>
      <c r="G1221" s="103"/>
      <c r="H1221" s="240">
        <f ca="1">SUMIF(Tabella2[[#Headers],[#Data],[Age]],$H$76,Tabella2[[#Headers],[#Data],[Federal taxes]])</f>
        <v>6804.3246087429152</v>
      </c>
      <c r="I122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1" s="240">
        <f ca="1">Tabella8[[#This Row],[Colonna7]]*Tabella8[[#This Row],[Colonna4]]/100</f>
        <v>11678.831937130264</v>
      </c>
    </row>
    <row r="1222" spans="2:10">
      <c r="B1222" s="92" t="s">
        <v>151</v>
      </c>
      <c r="C1222" s="91" t="s">
        <v>2665</v>
      </c>
      <c r="D1222" s="93">
        <v>95</v>
      </c>
      <c r="E1222" s="93">
        <v>78</v>
      </c>
      <c r="F1222" s="103">
        <f>IFERROR(INDEX(Tabella9[PLZ],MATCH(Tabella8[[#This Row],[Colonna2]],Tabella9[Ortschaftsname],0)), "Name not found")</f>
        <v>7250</v>
      </c>
      <c r="G1222" s="103"/>
      <c r="H1222" s="240">
        <f ca="1">SUMIF(Tabella2[[#Headers],[#Data],[Age]],$H$76,Tabella2[[#Headers],[#Data],[Federal taxes]])</f>
        <v>6804.3246087429152</v>
      </c>
      <c r="I122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2" s="240">
        <f ca="1">Tabella8[[#This Row],[Colonna7]]*Tabella8[[#This Row],[Colonna4]]/100</f>
        <v>9795.1493666253828</v>
      </c>
    </row>
    <row r="1223" spans="2:10">
      <c r="B1223" s="92" t="s">
        <v>151</v>
      </c>
      <c r="C1223" s="91" t="s">
        <v>764</v>
      </c>
      <c r="D1223" s="93">
        <v>95</v>
      </c>
      <c r="E1223" s="93">
        <v>110</v>
      </c>
      <c r="F1223" s="103">
        <f>IFERROR(INDEX(Tabella9[PLZ],MATCH(Tabella8[[#This Row],[Colonna2]],Tabella9[Ortschaftsname],0)), "Name not found")</f>
        <v>7240</v>
      </c>
      <c r="G1223" s="103"/>
      <c r="H1223" s="240">
        <f ca="1">SUMIF(Tabella2[[#Headers],[#Data],[Age]],$H$76,Tabella2[[#Headers],[#Data],[Federal taxes]])</f>
        <v>6804.3246087429152</v>
      </c>
      <c r="I122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3" s="240">
        <f ca="1">Tabella8[[#This Row],[Colonna7]]*Tabella8[[#This Row],[Colonna4]]/100</f>
        <v>13813.672183702462</v>
      </c>
    </row>
    <row r="1224" spans="2:10">
      <c r="B1224" s="92" t="s">
        <v>151</v>
      </c>
      <c r="C1224" s="91" t="s">
        <v>2666</v>
      </c>
      <c r="D1224" s="93">
        <v>95</v>
      </c>
      <c r="E1224" s="93">
        <v>49</v>
      </c>
      <c r="F1224" s="103">
        <f>IFERROR(INDEX(Tabella9[PLZ],MATCH(Tabella8[[#This Row],[Colonna2]],Tabella9[Ortschaftsname],0)), "Name not found")</f>
        <v>7522</v>
      </c>
      <c r="G1224" s="103"/>
      <c r="H1224" s="240">
        <f ca="1">SUMIF(Tabella2[[#Headers],[#Data],[Age]],$H$76,Tabella2[[#Headers],[#Data],[Federal taxes]])</f>
        <v>6804.3246087429152</v>
      </c>
      <c r="I122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4" s="240">
        <f ca="1">Tabella8[[#This Row],[Colonna7]]*Tabella8[[#This Row],[Colonna4]]/100</f>
        <v>6153.363063649278</v>
      </c>
    </row>
    <row r="1225" spans="2:10">
      <c r="B1225" s="92" t="s">
        <v>151</v>
      </c>
      <c r="C1225" s="91" t="s">
        <v>733</v>
      </c>
      <c r="D1225" s="93">
        <v>95</v>
      </c>
      <c r="E1225" s="93">
        <v>40</v>
      </c>
      <c r="F1225" s="103">
        <v>7031</v>
      </c>
      <c r="G1225" s="103"/>
      <c r="H1225" s="240">
        <f ca="1">SUMIF(Tabella2[[#Headers],[#Data],[Age]],$H$76,Tabella2[[#Headers],[#Data],[Federal taxes]])</f>
        <v>6804.3246087429152</v>
      </c>
      <c r="I122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5" s="240">
        <f ca="1">Tabella8[[#This Row],[Colonna7]]*Tabella8[[#This Row],[Colonna4]]/100</f>
        <v>5023.1535213463494</v>
      </c>
    </row>
    <row r="1226" spans="2:10">
      <c r="B1226" s="92" t="s">
        <v>151</v>
      </c>
      <c r="C1226" s="91" t="s">
        <v>698</v>
      </c>
      <c r="D1226" s="93">
        <v>95</v>
      </c>
      <c r="E1226" s="93">
        <v>95</v>
      </c>
      <c r="F1226" s="103">
        <f>IFERROR(INDEX(Tabella9[PLZ],MATCH(Tabella8[[#This Row],[Colonna2]],Tabella9[Ortschaftsname],0)), "Name not found")</f>
        <v>7302</v>
      </c>
      <c r="G1226" s="103"/>
      <c r="H1226" s="240">
        <f ca="1">SUMIF(Tabella2[[#Headers],[#Data],[Age]],$H$76,Tabella2[[#Headers],[#Data],[Federal taxes]])</f>
        <v>6804.3246087429152</v>
      </c>
      <c r="I122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6" s="240">
        <f ca="1">Tabella8[[#This Row],[Colonna7]]*Tabella8[[#This Row],[Colonna4]]/100</f>
        <v>11929.98961319758</v>
      </c>
    </row>
    <row r="1227" spans="2:10">
      <c r="B1227" s="92" t="s">
        <v>151</v>
      </c>
      <c r="C1227" s="91" t="s">
        <v>2667</v>
      </c>
      <c r="D1227" s="93">
        <v>95</v>
      </c>
      <c r="E1227" s="93">
        <v>75</v>
      </c>
      <c r="F1227" s="103">
        <f>IFERROR(INDEX(Tabella9[PLZ],MATCH(Tabella8[[#This Row],[Colonna2]],Tabella9[Ortschaftsname],0)), "Name not found")</f>
        <v>7083</v>
      </c>
      <c r="G1227" s="103"/>
      <c r="H1227" s="240">
        <f ca="1">SUMIF(Tabella2[[#Headers],[#Data],[Age]],$H$76,Tabella2[[#Headers],[#Data],[Federal taxes]])</f>
        <v>6804.3246087429152</v>
      </c>
      <c r="I122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7" s="240">
        <f ca="1">Tabella8[[#This Row],[Colonna7]]*Tabella8[[#This Row],[Colonna4]]/100</f>
        <v>9418.4128525244068</v>
      </c>
    </row>
    <row r="1228" spans="2:10">
      <c r="B1228" s="92" t="s">
        <v>151</v>
      </c>
      <c r="C1228" s="91" t="s">
        <v>769</v>
      </c>
      <c r="D1228" s="93">
        <v>95</v>
      </c>
      <c r="E1228" s="93">
        <v>80</v>
      </c>
      <c r="F1228" s="103">
        <f>IFERROR(INDEX(Tabella9[PLZ],MATCH(Tabella8[[#This Row],[Colonna2]],Tabella9[Ortschaftsname],0)), "Name not found")</f>
        <v>6558</v>
      </c>
      <c r="G1228" s="103"/>
      <c r="H1228" s="240">
        <f ca="1">SUMIF(Tabella2[[#Headers],[#Data],[Age]],$H$76,Tabella2[[#Headers],[#Data],[Federal taxes]])</f>
        <v>6804.3246087429152</v>
      </c>
      <c r="I122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8" s="240">
        <f ca="1">Tabella8[[#This Row],[Colonna7]]*Tabella8[[#This Row],[Colonna4]]/100</f>
        <v>10046.307042692699</v>
      </c>
    </row>
    <row r="1229" spans="2:10">
      <c r="B1229" s="92" t="s">
        <v>151</v>
      </c>
      <c r="C1229" s="91" t="s">
        <v>728</v>
      </c>
      <c r="D1229" s="93">
        <v>95</v>
      </c>
      <c r="E1229" s="93">
        <v>90</v>
      </c>
      <c r="F1229" s="103">
        <v>7148</v>
      </c>
      <c r="G1229" s="103"/>
      <c r="H1229" s="240">
        <f ca="1">SUMIF(Tabella2[[#Headers],[#Data],[Age]],$H$76,Tabella2[[#Headers],[#Data],[Federal taxes]])</f>
        <v>6804.3246087429152</v>
      </c>
      <c r="I122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29" s="240">
        <f ca="1">Tabella8[[#This Row],[Colonna7]]*Tabella8[[#This Row],[Colonna4]]/100</f>
        <v>11302.095423029286</v>
      </c>
    </row>
    <row r="1230" spans="2:10">
      <c r="B1230" s="92" t="s">
        <v>151</v>
      </c>
      <c r="C1230" s="91" t="s">
        <v>734</v>
      </c>
      <c r="D1230" s="93">
        <v>95</v>
      </c>
      <c r="E1230" s="93">
        <v>85</v>
      </c>
      <c r="F1230" s="103">
        <f>IFERROR(INDEX(Tabella9[PLZ],MATCH(Tabella8[[#This Row],[Colonna2]],Tabella9[Ortschaftsname],0)), "Name not found")</f>
        <v>7242</v>
      </c>
      <c r="G1230" s="103"/>
      <c r="H1230" s="240">
        <f ca="1">SUMIF(Tabella2[[#Headers],[#Data],[Age]],$H$76,Tabella2[[#Headers],[#Data],[Federal taxes]])</f>
        <v>6804.3246087429152</v>
      </c>
      <c r="I123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0" s="240">
        <f ca="1">Tabella8[[#This Row],[Colonna7]]*Tabella8[[#This Row],[Colonna4]]/100</f>
        <v>10674.201232860993</v>
      </c>
    </row>
    <row r="1231" spans="2:10">
      <c r="B1231" s="92" t="s">
        <v>151</v>
      </c>
      <c r="C1231" s="91" t="s">
        <v>797</v>
      </c>
      <c r="D1231" s="93">
        <v>95</v>
      </c>
      <c r="E1231" s="93">
        <v>85</v>
      </c>
      <c r="F1231" s="103">
        <f>IFERROR(INDEX(Tabella9[PLZ],MATCH(Tabella8[[#This Row],[Colonna2]],Tabella9[Ortschaftsname],0)), "Name not found")</f>
        <v>7523</v>
      </c>
      <c r="G1231" s="103"/>
      <c r="H1231" s="240">
        <f ca="1">SUMIF(Tabella2[[#Headers],[#Data],[Age]],$H$76,Tabella2[[#Headers],[#Data],[Federal taxes]])</f>
        <v>6804.3246087429152</v>
      </c>
      <c r="I123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1" s="240">
        <f ca="1">Tabella8[[#This Row],[Colonna7]]*Tabella8[[#This Row],[Colonna4]]/100</f>
        <v>10674.201232860993</v>
      </c>
    </row>
    <row r="1232" spans="2:10">
      <c r="B1232" s="92" t="s">
        <v>151</v>
      </c>
      <c r="C1232" s="91" t="s">
        <v>713</v>
      </c>
      <c r="D1232" s="93">
        <v>95</v>
      </c>
      <c r="E1232" s="93">
        <v>70</v>
      </c>
      <c r="F1232" s="103">
        <f>IFERROR(INDEX(Tabella9[PLZ],MATCH(Tabella8[[#This Row],[Colonna2]],Tabella9[Ortschaftsname],0)), "Name not found")</f>
        <v>7304</v>
      </c>
      <c r="G1232" s="103"/>
      <c r="H1232" s="240">
        <f ca="1">SUMIF(Tabella2[[#Headers],[#Data],[Age]],$H$76,Tabella2[[#Headers],[#Data],[Federal taxes]])</f>
        <v>6804.3246087429152</v>
      </c>
      <c r="I123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2" s="240">
        <f ca="1">Tabella8[[#This Row],[Colonna7]]*Tabella8[[#This Row],[Colonna4]]/100</f>
        <v>8790.5186623561112</v>
      </c>
    </row>
    <row r="1233" spans="2:10">
      <c r="B1233" s="92" t="s">
        <v>151</v>
      </c>
      <c r="C1233" s="91" t="s">
        <v>722</v>
      </c>
      <c r="D1233" s="93">
        <v>95</v>
      </c>
      <c r="E1233" s="93">
        <v>75</v>
      </c>
      <c r="F1233" s="103">
        <v>7208</v>
      </c>
      <c r="G1233" s="103"/>
      <c r="H1233" s="240">
        <f ca="1">SUMIF(Tabella2[[#Headers],[#Data],[Age]],$H$76,Tabella2[[#Headers],[#Data],[Federal taxes]])</f>
        <v>6804.3246087429152</v>
      </c>
      <c r="I123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3" s="240">
        <f ca="1">Tabella8[[#This Row],[Colonna7]]*Tabella8[[#This Row],[Colonna4]]/100</f>
        <v>9418.4128525244068</v>
      </c>
    </row>
    <row r="1234" spans="2:10">
      <c r="B1234" s="92" t="s">
        <v>151</v>
      </c>
      <c r="C1234" s="91" t="s">
        <v>784</v>
      </c>
      <c r="D1234" s="93">
        <v>95</v>
      </c>
      <c r="E1234" s="93">
        <v>120</v>
      </c>
      <c r="F1234" s="103">
        <f>IFERROR(INDEX(Tabella9[PLZ],MATCH(Tabella8[[#This Row],[Colonna2]],Tabella9[Ortschaftsname],0)), "Name not found")</f>
        <v>7425</v>
      </c>
      <c r="G1234" s="103"/>
      <c r="H1234" s="240">
        <f ca="1">SUMIF(Tabella2[[#Headers],[#Data],[Age]],$H$76,Tabella2[[#Headers],[#Data],[Federal taxes]])</f>
        <v>6804.3246087429152</v>
      </c>
      <c r="I123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4" s="240">
        <f ca="1">Tabella8[[#This Row],[Colonna7]]*Tabella8[[#This Row],[Colonna4]]/100</f>
        <v>15069.460564039049</v>
      </c>
    </row>
    <row r="1235" spans="2:10">
      <c r="B1235" s="92" t="s">
        <v>151</v>
      </c>
      <c r="C1235" s="91" t="s">
        <v>786</v>
      </c>
      <c r="D1235" s="93">
        <v>95</v>
      </c>
      <c r="E1235" s="93">
        <v>70</v>
      </c>
      <c r="F1235" s="103">
        <v>7182</v>
      </c>
      <c r="G1235" s="103"/>
      <c r="H1235" s="240">
        <f ca="1">SUMIF(Tabella2[[#Headers],[#Data],[Age]],$H$76,Tabella2[[#Headers],[#Data],[Federal taxes]])</f>
        <v>6804.3246087429152</v>
      </c>
      <c r="I123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5" s="240">
        <f ca="1">Tabella8[[#This Row],[Colonna7]]*Tabella8[[#This Row],[Colonna4]]/100</f>
        <v>8790.5186623561112</v>
      </c>
    </row>
    <row r="1236" spans="2:10">
      <c r="B1236" s="92" t="s">
        <v>151</v>
      </c>
      <c r="C1236" s="91" t="s">
        <v>743</v>
      </c>
      <c r="D1236" s="93">
        <v>95</v>
      </c>
      <c r="E1236" s="93">
        <v>87</v>
      </c>
      <c r="F1236" s="103">
        <f>IFERROR(INDEX(Tabella9[PLZ],MATCH(Tabella8[[#This Row],[Colonna2]],Tabella9[Ortschaftsname],0)), "Name not found")</f>
        <v>6563</v>
      </c>
      <c r="G1236" s="103"/>
      <c r="H1236" s="240">
        <f ca="1">SUMIF(Tabella2[[#Headers],[#Data],[Age]],$H$76,Tabella2[[#Headers],[#Data],[Federal taxes]])</f>
        <v>6804.3246087429152</v>
      </c>
      <c r="I123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6" s="240">
        <f ca="1">Tabella8[[#This Row],[Colonna7]]*Tabella8[[#This Row],[Colonna4]]/100</f>
        <v>10925.358908928312</v>
      </c>
    </row>
    <row r="1237" spans="2:10">
      <c r="B1237" s="92" t="s">
        <v>151</v>
      </c>
      <c r="C1237" s="91" t="s">
        <v>2668</v>
      </c>
      <c r="D1237" s="93">
        <v>95</v>
      </c>
      <c r="E1237" s="93">
        <v>100</v>
      </c>
      <c r="F1237" s="103">
        <v>7433</v>
      </c>
      <c r="G1237" s="103"/>
      <c r="H1237" s="240">
        <f ca="1">SUMIF(Tabella2[[#Headers],[#Data],[Age]],$H$76,Tabella2[[#Headers],[#Data],[Federal taxes]])</f>
        <v>6804.3246087429152</v>
      </c>
      <c r="I123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7" s="240">
        <f ca="1">Tabella8[[#This Row],[Colonna7]]*Tabella8[[#This Row],[Colonna4]]/100</f>
        <v>12557.883803365874</v>
      </c>
    </row>
    <row r="1238" spans="2:10">
      <c r="B1238" s="92" t="s">
        <v>151</v>
      </c>
      <c r="C1238" s="91" t="s">
        <v>753</v>
      </c>
      <c r="D1238" s="93">
        <v>95</v>
      </c>
      <c r="E1238" s="93">
        <v>95</v>
      </c>
      <c r="F1238" s="103">
        <v>7134</v>
      </c>
      <c r="G1238" s="103"/>
      <c r="H1238" s="240">
        <f ca="1">SUMIF(Tabella2[[#Headers],[#Data],[Age]],$H$76,Tabella2[[#Headers],[#Data],[Federal taxes]])</f>
        <v>6804.3246087429152</v>
      </c>
      <c r="I123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8" s="240">
        <f ca="1">Tabella8[[#This Row],[Colonna7]]*Tabella8[[#This Row],[Colonna4]]/100</f>
        <v>11929.98961319758</v>
      </c>
    </row>
    <row r="1239" spans="2:10">
      <c r="B1239" s="92" t="s">
        <v>151</v>
      </c>
      <c r="C1239" s="91" t="s">
        <v>723</v>
      </c>
      <c r="D1239" s="93">
        <v>95</v>
      </c>
      <c r="E1239" s="93">
        <v>75</v>
      </c>
      <c r="F1239" s="103">
        <f>IFERROR(INDEX(Tabella9[PLZ],MATCH(Tabella8[[#This Row],[Colonna2]],Tabella9[Ortschaftsname],0)), "Name not found")</f>
        <v>7504</v>
      </c>
      <c r="G1239" s="103"/>
      <c r="H1239" s="240">
        <f ca="1">SUMIF(Tabella2[[#Headers],[#Data],[Age]],$H$76,Tabella2[[#Headers],[#Data],[Federal taxes]])</f>
        <v>6804.3246087429152</v>
      </c>
      <c r="I123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39" s="240">
        <f ca="1">Tabella8[[#This Row],[Colonna7]]*Tabella8[[#This Row],[Colonna4]]/100</f>
        <v>9418.4128525244068</v>
      </c>
    </row>
    <row r="1240" spans="2:10">
      <c r="B1240" s="92" t="s">
        <v>151</v>
      </c>
      <c r="C1240" s="91" t="s">
        <v>706</v>
      </c>
      <c r="D1240" s="93">
        <v>95</v>
      </c>
      <c r="E1240" s="93">
        <v>95</v>
      </c>
      <c r="F1240" s="103">
        <f>IFERROR(INDEX(Tabella9[PLZ],MATCH(Tabella8[[#This Row],[Colonna2]],Tabella9[Ortschaftsname],0)), "Name not found")</f>
        <v>7742</v>
      </c>
      <c r="G1240" s="103"/>
      <c r="H1240" s="240">
        <f ca="1">SUMIF(Tabella2[[#Headers],[#Data],[Age]],$H$76,Tabella2[[#Headers],[#Data],[Federal taxes]])</f>
        <v>6804.3246087429152</v>
      </c>
      <c r="I124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0" s="240">
        <f ca="1">Tabella8[[#This Row],[Colonna7]]*Tabella8[[#This Row],[Colonna4]]/100</f>
        <v>11929.98961319758</v>
      </c>
    </row>
    <row r="1241" spans="2:10">
      <c r="B1241" s="92" t="s">
        <v>151</v>
      </c>
      <c r="C1241" s="91" t="s">
        <v>775</v>
      </c>
      <c r="D1241" s="93">
        <v>95</v>
      </c>
      <c r="E1241" s="93">
        <v>100</v>
      </c>
      <c r="F1241" s="103">
        <v>7438</v>
      </c>
      <c r="G1241" s="103"/>
      <c r="H1241" s="240">
        <f ca="1">SUMIF(Tabella2[[#Headers],[#Data],[Age]],$H$76,Tabella2[[#Headers],[#Data],[Federal taxes]])</f>
        <v>6804.3246087429152</v>
      </c>
      <c r="I124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1" s="240">
        <f ca="1">Tabella8[[#This Row],[Colonna7]]*Tabella8[[#This Row],[Colonna4]]/100</f>
        <v>12557.883803365874</v>
      </c>
    </row>
    <row r="1242" spans="2:10">
      <c r="B1242" s="92" t="s">
        <v>151</v>
      </c>
      <c r="C1242" s="91" t="s">
        <v>740</v>
      </c>
      <c r="D1242" s="93">
        <v>95</v>
      </c>
      <c r="E1242" s="93">
        <v>120</v>
      </c>
      <c r="F1242" s="103">
        <f>IFERROR(INDEX(Tabella9[PLZ],MATCH(Tabella8[[#This Row],[Colonna2]],Tabella9[Ortschaftsname],0)), "Name not found")</f>
        <v>7403</v>
      </c>
      <c r="G1242" s="103"/>
      <c r="H1242" s="240">
        <f ca="1">SUMIF(Tabella2[[#Headers],[#Data],[Age]],$H$76,Tabella2[[#Headers],[#Data],[Federal taxes]])</f>
        <v>6804.3246087429152</v>
      </c>
      <c r="I124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2" s="240">
        <f ca="1">Tabella8[[#This Row],[Colonna7]]*Tabella8[[#This Row],[Colonna4]]/100</f>
        <v>15069.460564039049</v>
      </c>
    </row>
    <row r="1243" spans="2:10">
      <c r="B1243" s="92" t="s">
        <v>151</v>
      </c>
      <c r="C1243" s="91" t="s">
        <v>808</v>
      </c>
      <c r="D1243" s="93">
        <v>95</v>
      </c>
      <c r="E1243" s="93">
        <v>30</v>
      </c>
      <c r="F1243" s="103">
        <f>IFERROR(INDEX(Tabella9[PLZ],MATCH(Tabella8[[#This Row],[Colonna2]],Tabella9[Ortschaftsname],0)), "Name not found")</f>
        <v>7430</v>
      </c>
      <c r="G1243" s="103"/>
      <c r="H1243" s="240">
        <f ca="1">SUMIF(Tabella2[[#Headers],[#Data],[Age]],$H$76,Tabella2[[#Headers],[#Data],[Federal taxes]])</f>
        <v>6804.3246087429152</v>
      </c>
      <c r="I124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3" s="240">
        <f ca="1">Tabella8[[#This Row],[Colonna7]]*Tabella8[[#This Row],[Colonna4]]/100</f>
        <v>3767.3651410097623</v>
      </c>
    </row>
    <row r="1244" spans="2:10">
      <c r="B1244" s="92" t="s">
        <v>151</v>
      </c>
      <c r="C1244" s="91" t="s">
        <v>800</v>
      </c>
      <c r="D1244" s="93">
        <v>95</v>
      </c>
      <c r="E1244" s="93">
        <v>80</v>
      </c>
      <c r="F1244" s="103">
        <f>IFERROR(INDEX(Tabella9[PLZ],MATCH(Tabella8[[#This Row],[Colonna2]],Tabella9[Ortschaftsname],0)), "Name not found")</f>
        <v>6548</v>
      </c>
      <c r="G1244" s="103"/>
      <c r="H1244" s="240">
        <f ca="1">SUMIF(Tabella2[[#Headers],[#Data],[Age]],$H$76,Tabella2[[#Headers],[#Data],[Federal taxes]])</f>
        <v>6804.3246087429152</v>
      </c>
      <c r="I124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4" s="240">
        <f ca="1">Tabella8[[#This Row],[Colonna7]]*Tabella8[[#This Row],[Colonna4]]/100</f>
        <v>10046.307042692699</v>
      </c>
    </row>
    <row r="1245" spans="2:10">
      <c r="B1245" s="92" t="s">
        <v>151</v>
      </c>
      <c r="C1245" s="91" t="s">
        <v>790</v>
      </c>
      <c r="D1245" s="93">
        <v>95</v>
      </c>
      <c r="E1245" s="93">
        <v>80</v>
      </c>
      <c r="F1245" s="103">
        <f>IFERROR(INDEX(Tabella9[PLZ],MATCH(Tabella8[[#This Row],[Colonna2]],Tabella9[Ortschaftsname],0)), "Name not found")</f>
        <v>7405</v>
      </c>
      <c r="G1245" s="103"/>
      <c r="H1245" s="240">
        <f ca="1">SUMIF(Tabella2[[#Headers],[#Data],[Age]],$H$76,Tabella2[[#Headers],[#Data],[Federal taxes]])</f>
        <v>6804.3246087429152</v>
      </c>
      <c r="I124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5" s="240">
        <f ca="1">Tabella8[[#This Row],[Colonna7]]*Tabella8[[#This Row],[Colonna4]]/100</f>
        <v>10046.307042692699</v>
      </c>
    </row>
    <row r="1246" spans="2:10">
      <c r="B1246" s="92" t="s">
        <v>151</v>
      </c>
      <c r="C1246" s="91" t="s">
        <v>720</v>
      </c>
      <c r="D1246" s="93">
        <v>95</v>
      </c>
      <c r="E1246" s="93">
        <v>105</v>
      </c>
      <c r="F1246" s="103">
        <v>6535</v>
      </c>
      <c r="G1246" s="103"/>
      <c r="H1246" s="240">
        <f ca="1">SUMIF(Tabella2[[#Headers],[#Data],[Age]],$H$76,Tabella2[[#Headers],[#Data],[Federal taxes]])</f>
        <v>6804.3246087429152</v>
      </c>
      <c r="I124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6" s="240">
        <f ca="1">Tabella8[[#This Row],[Colonna7]]*Tabella8[[#This Row],[Colonna4]]/100</f>
        <v>13185.777993534168</v>
      </c>
    </row>
    <row r="1247" spans="2:10">
      <c r="B1247" s="92" t="s">
        <v>151</v>
      </c>
      <c r="C1247" s="91" t="s">
        <v>774</v>
      </c>
      <c r="D1247" s="93">
        <v>95</v>
      </c>
      <c r="E1247" s="93">
        <v>65</v>
      </c>
      <c r="F1247" s="103">
        <f>IFERROR(INDEX(Tabella9[PLZ],MATCH(Tabella8[[#This Row],[Colonna2]],Tabella9[Ortschaftsname],0)), "Name not found")</f>
        <v>7525</v>
      </c>
      <c r="G1247" s="103"/>
      <c r="H1247" s="240">
        <f ca="1">SUMIF(Tabella2[[#Headers],[#Data],[Age]],$H$76,Tabella2[[#Headers],[#Data],[Federal taxes]])</f>
        <v>6804.3246087429152</v>
      </c>
      <c r="I124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7" s="240">
        <f ca="1">Tabella8[[#This Row],[Colonna7]]*Tabella8[[#This Row],[Colonna4]]/100</f>
        <v>8162.6244721878184</v>
      </c>
    </row>
    <row r="1248" spans="2:10">
      <c r="B1248" s="92" t="s">
        <v>151</v>
      </c>
      <c r="C1248" s="91" t="s">
        <v>761</v>
      </c>
      <c r="D1248" s="93">
        <v>95</v>
      </c>
      <c r="E1248" s="93">
        <v>105</v>
      </c>
      <c r="F1248" s="103">
        <v>7107</v>
      </c>
      <c r="G1248" s="103"/>
      <c r="H1248" s="240">
        <f ca="1">SUMIF(Tabella2[[#Headers],[#Data],[Age]],$H$76,Tabella2[[#Headers],[#Data],[Federal taxes]])</f>
        <v>6804.3246087429152</v>
      </c>
      <c r="I124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8" s="240">
        <f ca="1">Tabella8[[#This Row],[Colonna7]]*Tabella8[[#This Row],[Colonna4]]/100</f>
        <v>13185.777993534168</v>
      </c>
    </row>
    <row r="1249" spans="2:10">
      <c r="B1249" s="92" t="s">
        <v>151</v>
      </c>
      <c r="C1249" s="91" t="s">
        <v>773</v>
      </c>
      <c r="D1249" s="93">
        <v>95</v>
      </c>
      <c r="E1249" s="93">
        <v>80</v>
      </c>
      <c r="F1249" s="103">
        <f>IFERROR(INDEX(Tabella9[PLZ],MATCH(Tabella8[[#This Row],[Colonna2]],Tabella9[Ortschaftsname],0)), "Name not found")</f>
        <v>7152</v>
      </c>
      <c r="G1249" s="103"/>
      <c r="H1249" s="240">
        <f ca="1">SUMIF(Tabella2[[#Headers],[#Data],[Age]],$H$76,Tabella2[[#Headers],[#Data],[Federal taxes]])</f>
        <v>6804.3246087429152</v>
      </c>
      <c r="I124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49" s="240">
        <f ca="1">Tabella8[[#This Row],[Colonna7]]*Tabella8[[#This Row],[Colonna4]]/100</f>
        <v>10046.307042692699</v>
      </c>
    </row>
    <row r="1250" spans="2:10">
      <c r="B1250" s="92" t="s">
        <v>151</v>
      </c>
      <c r="C1250" s="91" t="s">
        <v>712</v>
      </c>
      <c r="D1250" s="93">
        <v>95</v>
      </c>
      <c r="E1250" s="93">
        <v>85</v>
      </c>
      <c r="F1250" s="103">
        <f>IFERROR(INDEX(Tabella9[PLZ],MATCH(Tabella8[[#This Row],[Colonna2]],Tabella9[Ortschaftsname],0)), "Name not found")</f>
        <v>7503</v>
      </c>
      <c r="G1250" s="103"/>
      <c r="H1250" s="240">
        <f ca="1">SUMIF(Tabella2[[#Headers],[#Data],[Age]],$H$76,Tabella2[[#Headers],[#Data],[Federal taxes]])</f>
        <v>6804.3246087429152</v>
      </c>
      <c r="I125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0" s="240">
        <f ca="1">Tabella8[[#This Row],[Colonna7]]*Tabella8[[#This Row],[Colonna4]]/100</f>
        <v>10674.201232860993</v>
      </c>
    </row>
    <row r="1251" spans="2:10">
      <c r="B1251" s="92" t="s">
        <v>151</v>
      </c>
      <c r="C1251" s="91" t="s">
        <v>768</v>
      </c>
      <c r="D1251" s="93">
        <v>95</v>
      </c>
      <c r="E1251" s="93">
        <v>100</v>
      </c>
      <c r="F1251" s="103">
        <v>7563</v>
      </c>
      <c r="G1251" s="103"/>
      <c r="H1251" s="240">
        <f ca="1">SUMIF(Tabella2[[#Headers],[#Data],[Age]],$H$76,Tabella2[[#Headers],[#Data],[Federal taxes]])</f>
        <v>6804.3246087429152</v>
      </c>
      <c r="I125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1" s="240">
        <f ca="1">Tabella8[[#This Row],[Colonna7]]*Tabella8[[#This Row],[Colonna4]]/100</f>
        <v>12557.883803365874</v>
      </c>
    </row>
    <row r="1252" spans="2:10">
      <c r="B1252" s="92" t="s">
        <v>151</v>
      </c>
      <c r="C1252" s="91" t="s">
        <v>765</v>
      </c>
      <c r="D1252" s="93">
        <v>95</v>
      </c>
      <c r="E1252" s="93">
        <v>75</v>
      </c>
      <c r="F1252" s="103">
        <v>6534</v>
      </c>
      <c r="G1252" s="103"/>
      <c r="H1252" s="240">
        <f ca="1">SUMIF(Tabella2[[#Headers],[#Data],[Age]],$H$76,Tabella2[[#Headers],[#Data],[Federal taxes]])</f>
        <v>6804.3246087429152</v>
      </c>
      <c r="I125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2" s="240">
        <f ca="1">Tabella8[[#This Row],[Colonna7]]*Tabella8[[#This Row],[Colonna4]]/100</f>
        <v>9418.4128525244068</v>
      </c>
    </row>
    <row r="1253" spans="2:10">
      <c r="B1253" s="92" t="s">
        <v>151</v>
      </c>
      <c r="C1253" s="91" t="s">
        <v>804</v>
      </c>
      <c r="D1253" s="93">
        <v>95</v>
      </c>
      <c r="E1253" s="93">
        <v>100</v>
      </c>
      <c r="F1253" s="103">
        <v>6541</v>
      </c>
      <c r="G1253" s="103"/>
      <c r="H1253" s="240">
        <f ca="1">SUMIF(Tabella2[[#Headers],[#Data],[Age]],$H$76,Tabella2[[#Headers],[#Data],[Federal taxes]])</f>
        <v>6804.3246087429152</v>
      </c>
      <c r="I125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3" s="240">
        <f ca="1">Tabella8[[#This Row],[Colonna7]]*Tabella8[[#This Row],[Colonna4]]/100</f>
        <v>12557.883803365874</v>
      </c>
    </row>
    <row r="1254" spans="2:10">
      <c r="B1254" s="92" t="s">
        <v>151</v>
      </c>
      <c r="C1254" s="91" t="s">
        <v>766</v>
      </c>
      <c r="D1254" s="93">
        <v>95</v>
      </c>
      <c r="E1254" s="93">
        <v>90</v>
      </c>
      <c r="F1254" s="103">
        <f>IFERROR(INDEX(Tabella9[PLZ],MATCH(Tabella8[[#This Row],[Colonna2]],Tabella9[Ortschaftsname],0)), "Name not found")</f>
        <v>7412</v>
      </c>
      <c r="G1254" s="103"/>
      <c r="H1254" s="240">
        <f ca="1">SUMIF(Tabella2[[#Headers],[#Data],[Age]],$H$76,Tabella2[[#Headers],[#Data],[Federal taxes]])</f>
        <v>6804.3246087429152</v>
      </c>
      <c r="I125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4" s="240">
        <f ca="1">Tabella8[[#This Row],[Colonna7]]*Tabella8[[#This Row],[Colonna4]]/100</f>
        <v>11302.095423029286</v>
      </c>
    </row>
    <row r="1255" spans="2:10">
      <c r="B1255" s="92" t="s">
        <v>151</v>
      </c>
      <c r="C1255" s="91" t="s">
        <v>717</v>
      </c>
      <c r="D1255" s="93">
        <v>95</v>
      </c>
      <c r="E1255" s="93">
        <v>109</v>
      </c>
      <c r="F1255" s="103">
        <f>IFERROR(INDEX(Tabella9[PLZ],MATCH(Tabella8[[#This Row],[Colonna2]],Tabella9[Ortschaftsname],0)), "Name not found")</f>
        <v>7220</v>
      </c>
      <c r="G1255" s="103"/>
      <c r="H1255" s="240">
        <f ca="1">SUMIF(Tabella2[[#Headers],[#Data],[Age]],$H$76,Tabella2[[#Headers],[#Data],[Federal taxes]])</f>
        <v>6804.3246087429152</v>
      </c>
      <c r="I125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5" s="240">
        <f ca="1">Tabella8[[#This Row],[Colonna7]]*Tabella8[[#This Row],[Colonna4]]/100</f>
        <v>13688.093345668802</v>
      </c>
    </row>
    <row r="1256" spans="2:10">
      <c r="B1256" s="92" t="s">
        <v>151</v>
      </c>
      <c r="C1256" s="91" t="s">
        <v>776</v>
      </c>
      <c r="D1256" s="93">
        <v>95</v>
      </c>
      <c r="E1256" s="93">
        <v>50</v>
      </c>
      <c r="F1256" s="103">
        <f>IFERROR(INDEX(Tabella9[PLZ],MATCH(Tabella8[[#This Row],[Colonna2]],Tabella9[Ortschaftsname],0)), "Name not found")</f>
        <v>7151</v>
      </c>
      <c r="G1256" s="103"/>
      <c r="H1256" s="240">
        <f ca="1">SUMIF(Tabella2[[#Headers],[#Data],[Age]],$H$76,Tabella2[[#Headers],[#Data],[Federal taxes]])</f>
        <v>6804.3246087429152</v>
      </c>
      <c r="I125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6" s="240">
        <f ca="1">Tabella8[[#This Row],[Colonna7]]*Tabella8[[#This Row],[Colonna4]]/100</f>
        <v>6278.941901682937</v>
      </c>
    </row>
    <row r="1257" spans="2:10">
      <c r="B1257" s="92" t="s">
        <v>151</v>
      </c>
      <c r="C1257" s="91" t="s">
        <v>793</v>
      </c>
      <c r="D1257" s="93">
        <v>95</v>
      </c>
      <c r="E1257" s="93">
        <v>100</v>
      </c>
      <c r="F1257" s="103">
        <v>7493</v>
      </c>
      <c r="G1257" s="103"/>
      <c r="H1257" s="240">
        <f ca="1">SUMIF(Tabella2[[#Headers],[#Data],[Age]],$H$76,Tabella2[[#Headers],[#Data],[Federal taxes]])</f>
        <v>6804.3246087429152</v>
      </c>
      <c r="I125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7" s="240">
        <f ca="1">Tabella8[[#This Row],[Colonna7]]*Tabella8[[#This Row],[Colonna4]]/100</f>
        <v>12557.883803365874</v>
      </c>
    </row>
    <row r="1258" spans="2:10">
      <c r="B1258" s="92" t="s">
        <v>151</v>
      </c>
      <c r="C1258" s="91" t="s">
        <v>704</v>
      </c>
      <c r="D1258" s="93">
        <v>95</v>
      </c>
      <c r="E1258" s="93">
        <v>100</v>
      </c>
      <c r="F1258" s="103">
        <f>IFERROR(INDEX(Tabella9[PLZ],MATCH(Tabella8[[#This Row],[Colonna2]],Tabella9[Ortschaftsname],0)), "Name not found")</f>
        <v>7550</v>
      </c>
      <c r="G1258" s="103"/>
      <c r="H1258" s="240">
        <f ca="1">SUMIF(Tabella2[[#Headers],[#Data],[Age]],$H$76,Tabella2[[#Headers],[#Data],[Federal taxes]])</f>
        <v>6804.3246087429152</v>
      </c>
      <c r="I125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8" s="240">
        <f ca="1">Tabella8[[#This Row],[Colonna7]]*Tabella8[[#This Row],[Colonna4]]/100</f>
        <v>12557.883803365874</v>
      </c>
    </row>
    <row r="1259" spans="2:10">
      <c r="B1259" s="92" t="s">
        <v>151</v>
      </c>
      <c r="C1259" s="91" t="s">
        <v>742</v>
      </c>
      <c r="D1259" s="93">
        <v>95</v>
      </c>
      <c r="E1259" s="93">
        <v>110</v>
      </c>
      <c r="F1259" s="103">
        <v>7212</v>
      </c>
      <c r="G1259" s="103"/>
      <c r="H1259" s="240">
        <f ca="1">SUMIF(Tabella2[[#Headers],[#Data],[Age]],$H$76,Tabella2[[#Headers],[#Data],[Federal taxes]])</f>
        <v>6804.3246087429152</v>
      </c>
      <c r="I125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59" s="240">
        <f ca="1">Tabella8[[#This Row],[Colonna7]]*Tabella8[[#This Row],[Colonna4]]/100</f>
        <v>13813.672183702462</v>
      </c>
    </row>
    <row r="1260" spans="2:10">
      <c r="B1260" s="92" t="s">
        <v>151</v>
      </c>
      <c r="C1260" s="91" t="s">
        <v>759</v>
      </c>
      <c r="D1260" s="93">
        <v>95</v>
      </c>
      <c r="E1260" s="93">
        <v>110</v>
      </c>
      <c r="F1260" s="103">
        <f>IFERROR(INDEX(Tabella9[PLZ],MATCH(Tabella8[[#This Row],[Colonna2]],Tabella9[Ortschaftsname],0)), "Name not found")</f>
        <v>7411</v>
      </c>
      <c r="G1260" s="103"/>
      <c r="H1260" s="240">
        <f ca="1">SUMIF(Tabella2[[#Headers],[#Data],[Age]],$H$76,Tabella2[[#Headers],[#Data],[Federal taxes]])</f>
        <v>6804.3246087429152</v>
      </c>
      <c r="I126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0" s="240">
        <f ca="1">Tabella8[[#This Row],[Colonna7]]*Tabella8[[#This Row],[Colonna4]]/100</f>
        <v>13813.672183702462</v>
      </c>
    </row>
    <row r="1261" spans="2:10">
      <c r="B1261" s="92" t="s">
        <v>151</v>
      </c>
      <c r="C1261" s="91" t="s">
        <v>2669</v>
      </c>
      <c r="D1261" s="93">
        <v>95</v>
      </c>
      <c r="E1261" s="93">
        <v>70</v>
      </c>
      <c r="F1261" s="103">
        <v>7515</v>
      </c>
      <c r="G1261" s="103"/>
      <c r="H1261" s="240">
        <f ca="1">SUMIF(Tabella2[[#Headers],[#Data],[Age]],$H$76,Tabella2[[#Headers],[#Data],[Federal taxes]])</f>
        <v>6804.3246087429152</v>
      </c>
      <c r="I126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1" s="240">
        <f ca="1">Tabella8[[#This Row],[Colonna7]]*Tabella8[[#This Row],[Colonna4]]/100</f>
        <v>8790.5186623561112</v>
      </c>
    </row>
    <row r="1262" spans="2:10">
      <c r="B1262" s="92" t="s">
        <v>151</v>
      </c>
      <c r="C1262" s="91" t="s">
        <v>2669</v>
      </c>
      <c r="D1262" s="93">
        <v>95</v>
      </c>
      <c r="E1262" s="93">
        <v>70</v>
      </c>
      <c r="F1262" s="103">
        <v>7514</v>
      </c>
      <c r="G1262" s="103"/>
      <c r="H1262" s="240">
        <f ca="1">SUMIF(Tabella2[[#Headers],[#Data],[Age]],$H$76,Tabella2[[#Headers],[#Data],[Federal taxes]])</f>
        <v>6804.3246087429152</v>
      </c>
      <c r="I126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2" s="240">
        <f ca="1">Tabella8[[#This Row],[Colonna7]]*Tabella8[[#This Row],[Colonna4]]/100</f>
        <v>8790.5186623561112</v>
      </c>
    </row>
    <row r="1263" spans="2:10">
      <c r="B1263" s="92" t="s">
        <v>151</v>
      </c>
      <c r="C1263" s="91" t="s">
        <v>755</v>
      </c>
      <c r="D1263" s="93">
        <v>95</v>
      </c>
      <c r="E1263" s="93">
        <v>62</v>
      </c>
      <c r="F1263" s="103">
        <f>IFERROR(INDEX(Tabella9[PLZ],MATCH(Tabella8[[#This Row],[Colonna2]],Tabella9[Ortschaftsname],0)), "Name not found")</f>
        <v>7513</v>
      </c>
      <c r="G1263" s="103"/>
      <c r="H1263" s="240">
        <f ca="1">SUMIF(Tabella2[[#Headers],[#Data],[Age]],$H$76,Tabella2[[#Headers],[#Data],[Federal taxes]])</f>
        <v>6804.3246087429152</v>
      </c>
      <c r="I126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3" s="240">
        <f ca="1">Tabella8[[#This Row],[Colonna7]]*Tabella8[[#This Row],[Colonna4]]/100</f>
        <v>7785.8879580868415</v>
      </c>
    </row>
    <row r="1264" spans="2:10">
      <c r="B1264" s="92" t="s">
        <v>151</v>
      </c>
      <c r="C1264" s="91" t="s">
        <v>788</v>
      </c>
      <c r="D1264" s="93">
        <v>95</v>
      </c>
      <c r="E1264" s="93">
        <v>60</v>
      </c>
      <c r="F1264" s="103">
        <f>IFERROR(INDEX(Tabella9[PLZ],MATCH(Tabella8[[#This Row],[Colonna2]],Tabella9[Ortschaftsname],0)), "Name not found")</f>
        <v>6562</v>
      </c>
      <c r="G1264" s="103"/>
      <c r="H1264" s="240">
        <f ca="1">SUMIF(Tabella2[[#Headers],[#Data],[Age]],$H$76,Tabella2[[#Headers],[#Data],[Federal taxes]])</f>
        <v>6804.3246087429152</v>
      </c>
      <c r="I126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4" s="240">
        <f ca="1">Tabella8[[#This Row],[Colonna7]]*Tabella8[[#This Row],[Colonna4]]/100</f>
        <v>7534.7302820195246</v>
      </c>
    </row>
    <row r="1265" spans="2:10">
      <c r="B1265" s="92" t="s">
        <v>151</v>
      </c>
      <c r="C1265" s="91" t="s">
        <v>701</v>
      </c>
      <c r="D1265" s="93">
        <v>95</v>
      </c>
      <c r="E1265" s="93">
        <v>55</v>
      </c>
      <c r="F1265" s="103">
        <f>IFERROR(INDEX(Tabella9[PLZ],MATCH(Tabella8[[#This Row],[Colonna2]],Tabella9[Ortschaftsname],0)), "Name not found")</f>
        <v>7500</v>
      </c>
      <c r="G1265" s="103"/>
      <c r="H1265" s="240">
        <f ca="1">SUMIF(Tabella2[[#Headers],[#Data],[Age]],$H$76,Tabella2[[#Headers],[#Data],[Federal taxes]])</f>
        <v>6804.3246087429152</v>
      </c>
      <c r="I126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5" s="240">
        <f ca="1">Tabella8[[#This Row],[Colonna7]]*Tabella8[[#This Row],[Colonna4]]/100</f>
        <v>6906.8360918512308</v>
      </c>
    </row>
    <row r="1266" spans="2:10">
      <c r="B1266" s="92" t="s">
        <v>151</v>
      </c>
      <c r="C1266" s="91" t="s">
        <v>802</v>
      </c>
      <c r="D1266" s="93">
        <v>95</v>
      </c>
      <c r="E1266" s="93">
        <v>75</v>
      </c>
      <c r="F1266" s="103">
        <f>IFERROR(INDEX(Tabella9[PLZ],MATCH(Tabella8[[#This Row],[Colonna2]],Tabella9[Ortschaftsname],0)), "Name not found")</f>
        <v>7434</v>
      </c>
      <c r="G1266" s="103"/>
      <c r="H1266" s="240">
        <f ca="1">SUMIF(Tabella2[[#Headers],[#Data],[Age]],$H$76,Tabella2[[#Headers],[#Data],[Federal taxes]])</f>
        <v>6804.3246087429152</v>
      </c>
      <c r="I126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6" s="240">
        <f ca="1">Tabella8[[#This Row],[Colonna7]]*Tabella8[[#This Row],[Colonna4]]/100</f>
        <v>9418.4128525244068</v>
      </c>
    </row>
    <row r="1267" spans="2:10">
      <c r="B1267" s="92" t="s">
        <v>151</v>
      </c>
      <c r="C1267" s="91" t="s">
        <v>750</v>
      </c>
      <c r="D1267" s="93">
        <v>95</v>
      </c>
      <c r="E1267" s="93">
        <v>105</v>
      </c>
      <c r="F1267" s="103">
        <f>IFERROR(INDEX(Tabella9[PLZ],MATCH(Tabella8[[#This Row],[Colonna2]],Tabella9[Ortschaftsname],0)), "Name not found")</f>
        <v>7175</v>
      </c>
      <c r="G1267" s="103"/>
      <c r="H1267" s="240">
        <f ca="1">SUMIF(Tabella2[[#Headers],[#Data],[Age]],$H$76,Tabella2[[#Headers],[#Data],[Federal taxes]])</f>
        <v>6804.3246087429152</v>
      </c>
      <c r="I126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7" s="240">
        <f ca="1">Tabella8[[#This Row],[Colonna7]]*Tabella8[[#This Row],[Colonna4]]/100</f>
        <v>13185.777993534168</v>
      </c>
    </row>
    <row r="1268" spans="2:10">
      <c r="B1268" s="92" t="s">
        <v>151</v>
      </c>
      <c r="C1268" s="91" t="s">
        <v>721</v>
      </c>
      <c r="D1268" s="93">
        <v>95</v>
      </c>
      <c r="E1268" s="93">
        <v>90</v>
      </c>
      <c r="F1268" s="103">
        <v>7457</v>
      </c>
      <c r="G1268" s="103"/>
      <c r="H1268" s="240">
        <f ca="1">SUMIF(Tabella2[[#Headers],[#Data],[Age]],$H$76,Tabella2[[#Headers],[#Data],[Federal taxes]])</f>
        <v>6804.3246087429152</v>
      </c>
      <c r="I126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8" s="240">
        <f ca="1">Tabella8[[#This Row],[Colonna7]]*Tabella8[[#This Row],[Colonna4]]/100</f>
        <v>11302.095423029286</v>
      </c>
    </row>
    <row r="1269" spans="2:10">
      <c r="B1269" s="92" t="s">
        <v>151</v>
      </c>
      <c r="C1269" s="91" t="s">
        <v>748</v>
      </c>
      <c r="D1269" s="93">
        <v>95</v>
      </c>
      <c r="E1269" s="93">
        <v>100</v>
      </c>
      <c r="F1269" s="103">
        <f>IFERROR(INDEX(Tabella9[PLZ],MATCH(Tabella8[[#This Row],[Colonna2]],Tabella9[Ortschaftsname],0)), "Name not found")</f>
        <v>7015</v>
      </c>
      <c r="G1269" s="103"/>
      <c r="H1269" s="240">
        <f ca="1">SUMIF(Tabella2[[#Headers],[#Data],[Age]],$H$76,Tabella2[[#Headers],[#Data],[Federal taxes]])</f>
        <v>6804.3246087429152</v>
      </c>
      <c r="I126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69" s="240">
        <f ca="1">Tabella8[[#This Row],[Colonna7]]*Tabella8[[#This Row],[Colonna4]]/100</f>
        <v>12557.883803365874</v>
      </c>
    </row>
    <row r="1270" spans="2:10">
      <c r="B1270" s="92" t="s">
        <v>151</v>
      </c>
      <c r="C1270" s="91" t="s">
        <v>710</v>
      </c>
      <c r="D1270" s="93">
        <v>95</v>
      </c>
      <c r="E1270" s="93">
        <v>115</v>
      </c>
      <c r="F1270" s="103">
        <f>IFERROR(INDEX(Tabella9[PLZ],MATCH(Tabella8[[#This Row],[Colonna2]],Tabella9[Ortschaftsname],0)), "Name not found")</f>
        <v>7430</v>
      </c>
      <c r="G1270" s="103"/>
      <c r="H1270" s="240">
        <f ca="1">SUMIF(Tabella2[[#Headers],[#Data],[Age]],$H$76,Tabella2[[#Headers],[#Data],[Federal taxes]])</f>
        <v>6804.3246087429152</v>
      </c>
      <c r="I127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0" s="240">
        <f ca="1">Tabella8[[#This Row],[Colonna7]]*Tabella8[[#This Row],[Colonna4]]/100</f>
        <v>14441.566373870755</v>
      </c>
    </row>
    <row r="1271" spans="2:10">
      <c r="B1271" s="92" t="s">
        <v>151</v>
      </c>
      <c r="C1271" s="91" t="s">
        <v>709</v>
      </c>
      <c r="D1271" s="93">
        <v>95</v>
      </c>
      <c r="E1271" s="93">
        <v>85</v>
      </c>
      <c r="F1271" s="103">
        <f>IFERROR(INDEX(Tabella9[PLZ],MATCH(Tabella8[[#This Row],[Colonna2]],Tabella9[Ortschaftsname],0)), "Name not found")</f>
        <v>7203</v>
      </c>
      <c r="G1271" s="103"/>
      <c r="H1271" s="240">
        <f ca="1">SUMIF(Tabella2[[#Headers],[#Data],[Age]],$H$76,Tabella2[[#Headers],[#Data],[Federal taxes]])</f>
        <v>6804.3246087429152</v>
      </c>
      <c r="I127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1" s="240">
        <f ca="1">Tabella8[[#This Row],[Colonna7]]*Tabella8[[#This Row],[Colonna4]]/100</f>
        <v>10674.201232860993</v>
      </c>
    </row>
    <row r="1272" spans="2:10">
      <c r="B1272" s="92" t="s">
        <v>151</v>
      </c>
      <c r="C1272" s="91" t="s">
        <v>741</v>
      </c>
      <c r="D1272" s="93">
        <v>95</v>
      </c>
      <c r="E1272" s="93">
        <v>95</v>
      </c>
      <c r="F1272" s="103">
        <f>IFERROR(INDEX(Tabella9[PLZ],MATCH(Tabella8[[#This Row],[Colonna2]],Tabella9[Ortschaftsname],0)), "Name not found")</f>
        <v>7014</v>
      </c>
      <c r="G1272" s="103"/>
      <c r="H1272" s="240">
        <f ca="1">SUMIF(Tabella2[[#Headers],[#Data],[Age]],$H$76,Tabella2[[#Headers],[#Data],[Federal taxes]])</f>
        <v>6804.3246087429152</v>
      </c>
      <c r="I127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2" s="240">
        <f ca="1">Tabella8[[#This Row],[Colonna7]]*Tabella8[[#This Row],[Colonna4]]/100</f>
        <v>11929.98961319758</v>
      </c>
    </row>
    <row r="1273" spans="2:10">
      <c r="B1273" s="92" t="s">
        <v>151</v>
      </c>
      <c r="C1273" s="91" t="s">
        <v>751</v>
      </c>
      <c r="D1273" s="93">
        <v>95</v>
      </c>
      <c r="E1273" s="93">
        <v>95</v>
      </c>
      <c r="F1273" s="103">
        <f>IFERROR(INDEX(Tabella9[PLZ],MATCH(Tabella8[[#This Row],[Colonna2]],Tabella9[Ortschaftsname],0)), "Name not found")</f>
        <v>7166</v>
      </c>
      <c r="G1273" s="103"/>
      <c r="H1273" s="240">
        <f ca="1">SUMIF(Tabella2[[#Headers],[#Data],[Age]],$H$76,Tabella2[[#Headers],[#Data],[Federal taxes]])</f>
        <v>6804.3246087429152</v>
      </c>
      <c r="I127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3" s="240">
        <f ca="1">Tabella8[[#This Row],[Colonna7]]*Tabella8[[#This Row],[Colonna4]]/100</f>
        <v>11929.98961319758</v>
      </c>
    </row>
    <row r="1274" spans="2:10">
      <c r="B1274" s="92" t="s">
        <v>151</v>
      </c>
      <c r="C1274" s="91" t="s">
        <v>803</v>
      </c>
      <c r="D1274" s="93">
        <v>95</v>
      </c>
      <c r="E1274" s="93">
        <v>100</v>
      </c>
      <c r="F1274" s="103">
        <f>IFERROR(INDEX(Tabella9[PLZ],MATCH(Tabella8[[#This Row],[Colonna2]],Tabella9[Ortschaftsname],0)), "Name not found")</f>
        <v>7428</v>
      </c>
      <c r="G1274" s="103"/>
      <c r="H1274" s="240">
        <f ca="1">SUMIF(Tabella2[[#Headers],[#Data],[Age]],$H$76,Tabella2[[#Headers],[#Data],[Federal taxes]])</f>
        <v>6804.3246087429152</v>
      </c>
      <c r="I127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4" s="240">
        <f ca="1">Tabella8[[#This Row],[Colonna7]]*Tabella8[[#This Row],[Colonna4]]/100</f>
        <v>12557.883803365874</v>
      </c>
    </row>
    <row r="1275" spans="2:10">
      <c r="B1275" s="92" t="s">
        <v>151</v>
      </c>
      <c r="C1275" s="91" t="s">
        <v>789</v>
      </c>
      <c r="D1275" s="93">
        <v>95</v>
      </c>
      <c r="E1275" s="93">
        <v>120</v>
      </c>
      <c r="F1275" s="103">
        <v>7063</v>
      </c>
      <c r="G1275" s="103"/>
      <c r="H1275" s="240">
        <f ca="1">SUMIF(Tabella2[[#Headers],[#Data],[Age]],$H$76,Tabella2[[#Headers],[#Data],[Federal taxes]])</f>
        <v>6804.3246087429152</v>
      </c>
      <c r="I127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5" s="240">
        <f ca="1">Tabella8[[#This Row],[Colonna7]]*Tabella8[[#This Row],[Colonna4]]/100</f>
        <v>15069.460564039049</v>
      </c>
    </row>
    <row r="1276" spans="2:10">
      <c r="B1276" s="92" t="s">
        <v>151</v>
      </c>
      <c r="C1276" s="91" t="s">
        <v>747</v>
      </c>
      <c r="D1276" s="93">
        <v>95</v>
      </c>
      <c r="E1276" s="93">
        <v>95</v>
      </c>
      <c r="F1276" s="103">
        <v>7189</v>
      </c>
      <c r="G1276" s="103"/>
      <c r="H1276" s="240">
        <f ca="1">SUMIF(Tabella2[[#Headers],[#Data],[Age]],$H$76,Tabella2[[#Headers],[#Data],[Federal taxes]])</f>
        <v>6804.3246087429152</v>
      </c>
      <c r="I127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6" s="240">
        <f ca="1">Tabella8[[#This Row],[Colonna7]]*Tabella8[[#This Row],[Colonna4]]/100</f>
        <v>11929.98961319758</v>
      </c>
    </row>
    <row r="1277" spans="2:10">
      <c r="B1277" s="92" t="s">
        <v>151</v>
      </c>
      <c r="C1277" s="91" t="s">
        <v>719</v>
      </c>
      <c r="D1277" s="93">
        <v>95</v>
      </c>
      <c r="E1277" s="93">
        <v>85</v>
      </c>
      <c r="F1277" s="103">
        <f>IFERROR(INDEX(Tabella9[PLZ],MATCH(Tabella8[[#This Row],[Colonna2]],Tabella9[Ortschaftsname],0)), "Name not found")</f>
        <v>7204</v>
      </c>
      <c r="G1277" s="103"/>
      <c r="H1277" s="240">
        <f ca="1">SUMIF(Tabella2[[#Headers],[#Data],[Age]],$H$76,Tabella2[[#Headers],[#Data],[Federal taxes]])</f>
        <v>6804.3246087429152</v>
      </c>
      <c r="I1277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7" s="240">
        <f ca="1">Tabella8[[#This Row],[Colonna7]]*Tabella8[[#This Row],[Colonna4]]/100</f>
        <v>10674.201232860993</v>
      </c>
    </row>
    <row r="1278" spans="2:10">
      <c r="B1278" s="92" t="s">
        <v>151</v>
      </c>
      <c r="C1278" s="91" t="s">
        <v>801</v>
      </c>
      <c r="D1278" s="93">
        <v>95</v>
      </c>
      <c r="E1278" s="93">
        <v>70</v>
      </c>
      <c r="F1278" s="103">
        <f>IFERROR(INDEX(Tabella9[PLZ],MATCH(Tabella8[[#This Row],[Colonna2]],Tabella9[Ortschaftsname],0)), "Name not found")</f>
        <v>7427</v>
      </c>
      <c r="G1278" s="103"/>
      <c r="H1278" s="240">
        <f ca="1">SUMIF(Tabella2[[#Headers],[#Data],[Age]],$H$76,Tabella2[[#Headers],[#Data],[Federal taxes]])</f>
        <v>6804.3246087429152</v>
      </c>
      <c r="I1278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8" s="240">
        <f ca="1">Tabella8[[#This Row],[Colonna7]]*Tabella8[[#This Row],[Colonna4]]/100</f>
        <v>8790.5186623561112</v>
      </c>
    </row>
    <row r="1279" spans="2:10">
      <c r="B1279" s="92" t="s">
        <v>151</v>
      </c>
      <c r="C1279" s="91" t="s">
        <v>737</v>
      </c>
      <c r="D1279" s="93">
        <v>95</v>
      </c>
      <c r="E1279" s="93">
        <v>120</v>
      </c>
      <c r="F1279" s="103">
        <v>7536</v>
      </c>
      <c r="G1279" s="103"/>
      <c r="H1279" s="240">
        <f ca="1">SUMIF(Tabella2[[#Headers],[#Data],[Age]],$H$76,Tabella2[[#Headers],[#Data],[Federal taxes]])</f>
        <v>6804.3246087429152</v>
      </c>
      <c r="I1279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79" s="240">
        <f ca="1">Tabella8[[#This Row],[Colonna7]]*Tabella8[[#This Row],[Colonna4]]/100</f>
        <v>15069.460564039049</v>
      </c>
    </row>
    <row r="1280" spans="2:10">
      <c r="B1280" s="92" t="s">
        <v>151</v>
      </c>
      <c r="C1280" s="91" t="s">
        <v>756</v>
      </c>
      <c r="D1280" s="93">
        <v>95</v>
      </c>
      <c r="E1280" s="93">
        <v>100</v>
      </c>
      <c r="F1280" s="103">
        <f>IFERROR(INDEX(Tabella9[PLZ],MATCH(Tabella8[[#This Row],[Colonna2]],Tabella9[Ortschaftsname],0)), "Name not found")</f>
        <v>7132</v>
      </c>
      <c r="G1280" s="103"/>
      <c r="H1280" s="240">
        <f ca="1">SUMIF(Tabella2[[#Headers],[#Data],[Age]],$H$76,Tabella2[[#Headers],[#Data],[Federal taxes]])</f>
        <v>6804.3246087429152</v>
      </c>
      <c r="I1280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0" s="240">
        <f ca="1">Tabella8[[#This Row],[Colonna7]]*Tabella8[[#This Row],[Colonna4]]/100</f>
        <v>12557.883803365874</v>
      </c>
    </row>
    <row r="1281" spans="2:10">
      <c r="B1281" s="92" t="s">
        <v>151</v>
      </c>
      <c r="C1281" s="91" t="s">
        <v>763</v>
      </c>
      <c r="D1281" s="93">
        <v>95</v>
      </c>
      <c r="E1281" s="93">
        <v>95</v>
      </c>
      <c r="F1281" s="103">
        <v>7556</v>
      </c>
      <c r="G1281" s="103"/>
      <c r="H1281" s="240">
        <f ca="1">SUMIF(Tabella2[[#Headers],[#Data],[Age]],$H$76,Tabella2[[#Headers],[#Data],[Federal taxes]])</f>
        <v>6804.3246087429152</v>
      </c>
      <c r="I1281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1" s="240">
        <f ca="1">Tabella8[[#This Row],[Colonna7]]*Tabella8[[#This Row],[Colonna4]]/100</f>
        <v>11929.98961319758</v>
      </c>
    </row>
    <row r="1282" spans="2:10">
      <c r="B1282" s="92" t="s">
        <v>151</v>
      </c>
      <c r="C1282" s="91" t="s">
        <v>2670</v>
      </c>
      <c r="D1282" s="93">
        <v>95</v>
      </c>
      <c r="E1282" s="93">
        <v>70</v>
      </c>
      <c r="F1282" s="103">
        <f>IFERROR(INDEX(Tabella9[PLZ],MATCH(Tabella8[[#This Row],[Colonna2]],Tabella9[Ortschaftsname],0)), "Name not found")</f>
        <v>7082</v>
      </c>
      <c r="G1282" s="103"/>
      <c r="H1282" s="240">
        <f ca="1">SUMIF(Tabella2[[#Headers],[#Data],[Age]],$H$76,Tabella2[[#Headers],[#Data],[Federal taxes]])</f>
        <v>6804.3246087429152</v>
      </c>
      <c r="I1282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2" s="240">
        <f ca="1">Tabella8[[#This Row],[Colonna7]]*Tabella8[[#This Row],[Colonna4]]/100</f>
        <v>8790.5186623561112</v>
      </c>
    </row>
    <row r="1283" spans="2:10">
      <c r="B1283" s="92" t="s">
        <v>151</v>
      </c>
      <c r="C1283" s="91" t="s">
        <v>735</v>
      </c>
      <c r="D1283" s="93">
        <v>95</v>
      </c>
      <c r="E1283" s="93">
        <v>84</v>
      </c>
      <c r="F1283" s="103">
        <f>IFERROR(INDEX(Tabella9[PLZ],MATCH(Tabella8[[#This Row],[Colonna2]],Tabella9[Ortschaftsname],0)), "Name not found")</f>
        <v>7530</v>
      </c>
      <c r="G1283" s="103"/>
      <c r="H1283" s="240">
        <f ca="1">SUMIF(Tabella2[[#Headers],[#Data],[Age]],$H$76,Tabella2[[#Headers],[#Data],[Federal taxes]])</f>
        <v>6804.3246087429152</v>
      </c>
      <c r="I1283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3" s="240">
        <f ca="1">Tabella8[[#This Row],[Colonna7]]*Tabella8[[#This Row],[Colonna4]]/100</f>
        <v>10548.622394827335</v>
      </c>
    </row>
    <row r="1284" spans="2:10">
      <c r="B1284" s="92" t="s">
        <v>151</v>
      </c>
      <c r="C1284" s="91" t="s">
        <v>785</v>
      </c>
      <c r="D1284" s="93">
        <v>95</v>
      </c>
      <c r="E1284" s="93">
        <v>70</v>
      </c>
      <c r="F1284" s="103">
        <v>7432</v>
      </c>
      <c r="G1284" s="103"/>
      <c r="H1284" s="240">
        <f ca="1">SUMIF(Tabella2[[#Headers],[#Data],[Age]],$H$76,Tabella2[[#Headers],[#Data],[Federal taxes]])</f>
        <v>6804.3246087429152</v>
      </c>
      <c r="I1284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4" s="240">
        <f ca="1">Tabella8[[#This Row],[Colonna7]]*Tabella8[[#This Row],[Colonna4]]/100</f>
        <v>8790.5186623561112</v>
      </c>
    </row>
    <row r="1285" spans="2:10">
      <c r="B1285" s="92" t="s">
        <v>151</v>
      </c>
      <c r="C1285" s="91" t="s">
        <v>707</v>
      </c>
      <c r="D1285" s="93">
        <v>95</v>
      </c>
      <c r="E1285" s="93">
        <v>80</v>
      </c>
      <c r="F1285" s="103">
        <f>IFERROR(INDEX(Tabella9[PLZ],MATCH(Tabella8[[#This Row],[Colonna2]],Tabella9[Ortschaftsname],0)), "Name not found")</f>
        <v>7205</v>
      </c>
      <c r="G1285" s="103"/>
      <c r="H1285" s="240">
        <f ca="1">SUMIF(Tabella2[[#Headers],[#Data],[Age]],$H$76,Tabella2[[#Headers],[#Data],[Federal taxes]])</f>
        <v>6804.3246087429152</v>
      </c>
      <c r="I1285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5" s="240">
        <f ca="1">Tabella8[[#This Row],[Colonna7]]*Tabella8[[#This Row],[Colonna4]]/100</f>
        <v>10046.307042692699</v>
      </c>
    </row>
    <row r="1286" spans="2:10">
      <c r="B1286" s="92" t="s">
        <v>151</v>
      </c>
      <c r="C1286" s="91" t="s">
        <v>749</v>
      </c>
      <c r="D1286" s="93">
        <v>95</v>
      </c>
      <c r="E1286" s="93">
        <v>65</v>
      </c>
      <c r="F1286" s="103">
        <f>IFERROR(INDEX(Tabella9[PLZ],MATCH(Tabella8[[#This Row],[Colonna2]],Tabella9[Ortschaftsname],0)), "Name not found")</f>
        <v>7524</v>
      </c>
      <c r="G1286" s="103"/>
      <c r="H1286" s="240">
        <f ca="1">SUMIF(Tabella2[[#Headers],[#Data],[Age]],$H$76,Tabella2[[#Headers],[#Data],[Federal taxes]])</f>
        <v>6804.3246087429152</v>
      </c>
      <c r="I1286" s="240">
        <f ca="1">IFERROR(INDEX(Tabella13[[TI]:[VS commun]], MATCH($H$76, Tabella13[Age], 0), MATCH(Tabella8[[#This Row],[Colonna1]], Tabella13[[#Headers], [TI]:[VS commun]], 0)), "Valore non trovato")*Tabella8[[#This Row],[Colonna3]]/100</f>
        <v>12557.883803365874</v>
      </c>
      <c r="J1286" s="240">
        <f ca="1">Tabella8[[#This Row],[Colonna7]]*Tabella8[[#This Row],[Colonna4]]/100</f>
        <v>8162.6244721878184</v>
      </c>
    </row>
    <row r="1287" spans="2:10">
      <c r="B1287" s="92" t="s">
        <v>143</v>
      </c>
      <c r="C1287" s="91" t="s">
        <v>1615</v>
      </c>
      <c r="D1287" s="93">
        <v>112</v>
      </c>
      <c r="E1287" s="93">
        <v>96</v>
      </c>
      <c r="F1287" s="103">
        <f>IFERROR(INDEX(Tabella9[PLZ],MATCH(Tabella8[[#This Row],[Colonna2]],Tabella9[Ortschaftsname],0)), "Name not found")</f>
        <v>5000</v>
      </c>
      <c r="G1287" s="103"/>
      <c r="H1287" s="240">
        <f ca="1">SUMIF(Tabella2[[#Headers],[#Data],[Age]],$H$76,Tabella2[[#Headers],[#Data],[Federal taxes]])</f>
        <v>6804.3246087429152</v>
      </c>
      <c r="I128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87" s="240">
        <f ca="1">Tabella8[[#This Row],[Colonna7]]*Tabella8[[#This Row],[Colonna4]]/100</f>
        <v>15738.801653927625</v>
      </c>
    </row>
    <row r="1288" spans="2:10">
      <c r="B1288" s="92" t="s">
        <v>143</v>
      </c>
      <c r="C1288" s="91" t="s">
        <v>502</v>
      </c>
      <c r="D1288" s="93">
        <v>112</v>
      </c>
      <c r="E1288" s="93">
        <v>116</v>
      </c>
      <c r="F1288" s="103">
        <f>IFERROR(INDEX(Tabella9[PLZ],MATCH(Tabella8[[#This Row],[Colonna2]],Tabella9[Ortschaftsname],0)), "Name not found")</f>
        <v>4663</v>
      </c>
      <c r="G1288" s="103"/>
      <c r="H1288" s="240">
        <f ca="1">SUMIF(Tabella2[[#Headers],[#Data],[Age]],$H$76,Tabella2[[#Headers],[#Data],[Federal taxes]])</f>
        <v>6804.3246087429152</v>
      </c>
      <c r="I128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88" s="240">
        <f ca="1">Tabella8[[#This Row],[Colonna7]]*Tabella8[[#This Row],[Colonna4]]/100</f>
        <v>19017.718665162545</v>
      </c>
    </row>
    <row r="1289" spans="2:10">
      <c r="B1289" s="92" t="s">
        <v>143</v>
      </c>
      <c r="C1289" s="91" t="s">
        <v>648</v>
      </c>
      <c r="D1289" s="93">
        <v>112</v>
      </c>
      <c r="E1289" s="93">
        <v>113</v>
      </c>
      <c r="F1289" s="103">
        <v>5646</v>
      </c>
      <c r="G1289" s="103"/>
      <c r="H1289" s="240">
        <f ca="1">SUMIF(Tabella2[[#Headers],[#Data],[Age]],$H$76,Tabella2[[#Headers],[#Data],[Federal taxes]])</f>
        <v>6804.3246087429152</v>
      </c>
      <c r="I128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89" s="240">
        <f ca="1">Tabella8[[#This Row],[Colonna7]]*Tabella8[[#This Row],[Colonna4]]/100</f>
        <v>18525.881113477306</v>
      </c>
    </row>
    <row r="1290" spans="2:10">
      <c r="B1290" s="92" t="s">
        <v>143</v>
      </c>
      <c r="C1290" s="91" t="s">
        <v>671</v>
      </c>
      <c r="D1290" s="93">
        <v>112</v>
      </c>
      <c r="E1290" s="93">
        <v>109</v>
      </c>
      <c r="F1290" s="103">
        <v>5600</v>
      </c>
      <c r="G1290" s="103"/>
      <c r="H1290" s="240">
        <f ca="1">SUMIF(Tabella2[[#Headers],[#Data],[Age]],$H$76,Tabella2[[#Headers],[#Data],[Federal taxes]])</f>
        <v>6804.3246087429152</v>
      </c>
      <c r="I129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0" s="240">
        <f ca="1">Tabella8[[#This Row],[Colonna7]]*Tabella8[[#This Row],[Colonna4]]/100</f>
        <v>17870.097711230323</v>
      </c>
    </row>
    <row r="1291" spans="2:10">
      <c r="B1291" s="92" t="s">
        <v>143</v>
      </c>
      <c r="C1291" s="91" t="s">
        <v>611</v>
      </c>
      <c r="D1291" s="93">
        <v>112</v>
      </c>
      <c r="E1291" s="93">
        <v>109</v>
      </c>
      <c r="F1291" s="103">
        <f>IFERROR(INDEX(Tabella9[PLZ],MATCH(Tabella8[[#This Row],[Colonna2]],Tabella9[Ortschaftsname],0)), "Name not found")</f>
        <v>5628</v>
      </c>
      <c r="G1291" s="103"/>
      <c r="H1291" s="240">
        <f ca="1">SUMIF(Tabella2[[#Headers],[#Data],[Age]],$H$76,Tabella2[[#Headers],[#Data],[Federal taxes]])</f>
        <v>6804.3246087429152</v>
      </c>
      <c r="I129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1" s="240">
        <f ca="1">Tabella8[[#This Row],[Colonna7]]*Tabella8[[#This Row],[Colonna4]]/100</f>
        <v>17870.097711230323</v>
      </c>
    </row>
    <row r="1292" spans="2:10">
      <c r="B1292" s="92" t="s">
        <v>143</v>
      </c>
      <c r="C1292" s="91" t="s">
        <v>593</v>
      </c>
      <c r="D1292" s="93">
        <v>112</v>
      </c>
      <c r="E1292" s="93">
        <v>83</v>
      </c>
      <c r="F1292" s="103">
        <v>8905</v>
      </c>
      <c r="G1292" s="103"/>
      <c r="H1292" s="240">
        <f ca="1">SUMIF(Tabella2[[#Headers],[#Data],[Age]],$H$76,Tabella2[[#Headers],[#Data],[Federal taxes]])</f>
        <v>6804.3246087429152</v>
      </c>
      <c r="I129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2" s="240">
        <f ca="1">Tabella8[[#This Row],[Colonna7]]*Tabella8[[#This Row],[Colonna4]]/100</f>
        <v>13607.505596624926</v>
      </c>
    </row>
    <row r="1293" spans="2:10">
      <c r="B1293" s="92" t="s">
        <v>143</v>
      </c>
      <c r="C1293" s="91" t="s">
        <v>603</v>
      </c>
      <c r="D1293" s="93">
        <v>112</v>
      </c>
      <c r="E1293" s="93">
        <v>93</v>
      </c>
      <c r="F1293" s="103">
        <f>IFERROR(INDEX(Tabella9[PLZ],MATCH(Tabella8[[#This Row],[Colonna2]],Tabella9[Ortschaftsname],0)), "Name not found")</f>
        <v>5105</v>
      </c>
      <c r="G1293" s="103"/>
      <c r="H1293" s="240">
        <f ca="1">SUMIF(Tabella2[[#Headers],[#Data],[Age]],$H$76,Tabella2[[#Headers],[#Data],[Federal taxes]])</f>
        <v>6804.3246087429152</v>
      </c>
      <c r="I129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3" s="240">
        <f ca="1">Tabella8[[#This Row],[Colonna7]]*Tabella8[[#This Row],[Colonna4]]/100</f>
        <v>15246.964102242386</v>
      </c>
    </row>
    <row r="1294" spans="2:10">
      <c r="B1294" s="92" t="s">
        <v>143</v>
      </c>
      <c r="C1294" s="91" t="s">
        <v>583</v>
      </c>
      <c r="D1294" s="93">
        <v>112</v>
      </c>
      <c r="E1294" s="93">
        <v>106</v>
      </c>
      <c r="F1294" s="103">
        <f>IFERROR(INDEX(Tabella9[PLZ],MATCH(Tabella8[[#This Row],[Colonna2]],Tabella9[Ortschaftsname],0)), "Name not found")</f>
        <v>5644</v>
      </c>
      <c r="G1294" s="103"/>
      <c r="H1294" s="240">
        <f ca="1">SUMIF(Tabella2[[#Headers],[#Data],[Age]],$H$76,Tabella2[[#Headers],[#Data],[Federal taxes]])</f>
        <v>6804.3246087429152</v>
      </c>
      <c r="I129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4" s="240">
        <f ca="1">Tabella8[[#This Row],[Colonna7]]*Tabella8[[#This Row],[Colonna4]]/100</f>
        <v>17378.260159545083</v>
      </c>
    </row>
    <row r="1295" spans="2:10">
      <c r="B1295" s="92" t="s">
        <v>143</v>
      </c>
      <c r="C1295" s="91" t="s">
        <v>1616</v>
      </c>
      <c r="D1295" s="93">
        <v>112</v>
      </c>
      <c r="E1295" s="93">
        <v>92</v>
      </c>
      <c r="F1295" s="103">
        <f>IFERROR(INDEX(Tabella9[PLZ],MATCH(Tabella8[[#This Row],[Colonna2]],Tabella9[Ortschaftsname],0)), "Name not found")</f>
        <v>5400</v>
      </c>
      <c r="G1295" s="103"/>
      <c r="H1295" s="240">
        <f ca="1">SUMIF(Tabella2[[#Headers],[#Data],[Age]],$H$76,Tabella2[[#Headers],[#Data],[Federal taxes]])</f>
        <v>6804.3246087429152</v>
      </c>
      <c r="I129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5" s="240">
        <f ca="1">Tabella8[[#This Row],[Colonna7]]*Tabella8[[#This Row],[Colonna4]]/100</f>
        <v>15083.018251680638</v>
      </c>
    </row>
    <row r="1296" spans="2:10">
      <c r="B1296" s="92" t="s">
        <v>143</v>
      </c>
      <c r="C1296" s="91" t="s">
        <v>635</v>
      </c>
      <c r="D1296" s="93">
        <v>112</v>
      </c>
      <c r="E1296" s="93">
        <v>98</v>
      </c>
      <c r="F1296" s="103">
        <f>IFERROR(INDEX(Tabella9[PLZ],MATCH(Tabella8[[#This Row],[Colonna2]],Tabella9[Ortschaftsname],0)), "Name not found")</f>
        <v>5637</v>
      </c>
      <c r="G1296" s="103"/>
      <c r="H1296" s="240">
        <f ca="1">SUMIF(Tabella2[[#Headers],[#Data],[Age]],$H$76,Tabella2[[#Headers],[#Data],[Federal taxes]])</f>
        <v>6804.3246087429152</v>
      </c>
      <c r="I129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6" s="240">
        <f ca="1">Tabella8[[#This Row],[Colonna7]]*Tabella8[[#This Row],[Colonna4]]/100</f>
        <v>16066.693355051117</v>
      </c>
    </row>
    <row r="1297" spans="2:10">
      <c r="B1297" s="92" t="s">
        <v>143</v>
      </c>
      <c r="C1297" s="91" t="s">
        <v>555</v>
      </c>
      <c r="D1297" s="93">
        <v>112</v>
      </c>
      <c r="E1297" s="93">
        <v>102</v>
      </c>
      <c r="F1297" s="103">
        <f>IFERROR(INDEX(Tabella9[PLZ],MATCH(Tabella8[[#This Row],[Colonna2]],Tabella9[Ortschaftsname],0)), "Name not found")</f>
        <v>5712</v>
      </c>
      <c r="G1297" s="103"/>
      <c r="H1297" s="240">
        <f ca="1">SUMIF(Tabella2[[#Headers],[#Data],[Age]],$H$76,Tabella2[[#Headers],[#Data],[Federal taxes]])</f>
        <v>6804.3246087429152</v>
      </c>
      <c r="I129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7" s="240">
        <f ca="1">Tabella8[[#This Row],[Colonna7]]*Tabella8[[#This Row],[Colonna4]]/100</f>
        <v>16722.4767572981</v>
      </c>
    </row>
    <row r="1298" spans="2:10">
      <c r="B1298" s="92" t="s">
        <v>143</v>
      </c>
      <c r="C1298" s="91" t="s">
        <v>607</v>
      </c>
      <c r="D1298" s="93">
        <v>112</v>
      </c>
      <c r="E1298" s="93">
        <v>89</v>
      </c>
      <c r="F1298" s="103">
        <f>IFERROR(INDEX(Tabella9[PLZ],MATCH(Tabella8[[#This Row],[Colonna2]],Tabella9[Ortschaftsname],0)), "Name not found")</f>
        <v>5454</v>
      </c>
      <c r="G1298" s="103"/>
      <c r="H1298" s="240">
        <f ca="1">SUMIF(Tabella2[[#Headers],[#Data],[Age]],$H$76,Tabella2[[#Headers],[#Data],[Federal taxes]])</f>
        <v>6804.3246087429152</v>
      </c>
      <c r="I129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8" s="240">
        <f ca="1">Tabella8[[#This Row],[Colonna7]]*Tabella8[[#This Row],[Colonna4]]/100</f>
        <v>14591.180699995402</v>
      </c>
    </row>
    <row r="1299" spans="2:10">
      <c r="B1299" s="92" t="s">
        <v>143</v>
      </c>
      <c r="C1299" s="91" t="s">
        <v>566</v>
      </c>
      <c r="D1299" s="93">
        <v>112</v>
      </c>
      <c r="E1299" s="93">
        <v>84</v>
      </c>
      <c r="F1299" s="103">
        <f>IFERROR(INDEX(Tabella9[PLZ],MATCH(Tabella8[[#This Row],[Colonna2]],Tabella9[Ortschaftsname],0)), "Name not found")</f>
        <v>8962</v>
      </c>
      <c r="G1299" s="103"/>
      <c r="H1299" s="240">
        <f ca="1">SUMIF(Tabella2[[#Headers],[#Data],[Age]],$H$76,Tabella2[[#Headers],[#Data],[Federal taxes]])</f>
        <v>6804.3246087429152</v>
      </c>
      <c r="I129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299" s="240">
        <f ca="1">Tabella8[[#This Row],[Colonna7]]*Tabella8[[#This Row],[Colonna4]]/100</f>
        <v>13771.45144718667</v>
      </c>
    </row>
    <row r="1300" spans="2:10">
      <c r="B1300" s="92" t="s">
        <v>143</v>
      </c>
      <c r="C1300" s="91" t="s">
        <v>523</v>
      </c>
      <c r="D1300" s="93">
        <v>112</v>
      </c>
      <c r="E1300" s="93">
        <v>89</v>
      </c>
      <c r="F1300" s="103">
        <f>IFERROR(INDEX(Tabella9[PLZ],MATCH(Tabella8[[#This Row],[Colonna2]],Tabella9[Ortschaftsname],0)), "Name not found")</f>
        <v>8965</v>
      </c>
      <c r="G1300" s="103"/>
      <c r="H1300" s="240">
        <f ca="1">SUMIF(Tabella2[[#Headers],[#Data],[Age]],$H$76,Tabella2[[#Headers],[#Data],[Federal taxes]])</f>
        <v>6804.3246087429152</v>
      </c>
      <c r="I130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0" s="240">
        <f ca="1">Tabella8[[#This Row],[Colonna7]]*Tabella8[[#This Row],[Colonna4]]/100</f>
        <v>14591.180699995402</v>
      </c>
    </row>
    <row r="1301" spans="2:10">
      <c r="B1301" s="92" t="s">
        <v>143</v>
      </c>
      <c r="C1301" s="91" t="s">
        <v>674</v>
      </c>
      <c r="D1301" s="93">
        <v>112</v>
      </c>
      <c r="E1301" s="93">
        <v>113</v>
      </c>
      <c r="F1301" s="103">
        <f>IFERROR(INDEX(Tabella9[PLZ],MATCH(Tabella8[[#This Row],[Colonna2]],Tabella9[Ortschaftsname],0)), "Name not found")</f>
        <v>5627</v>
      </c>
      <c r="G1301" s="103"/>
      <c r="H1301" s="240">
        <f ca="1">SUMIF(Tabella2[[#Headers],[#Data],[Age]],$H$76,Tabella2[[#Headers],[#Data],[Federal taxes]])</f>
        <v>6804.3246087429152</v>
      </c>
      <c r="I130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1" s="240">
        <f ca="1">Tabella8[[#This Row],[Colonna7]]*Tabella8[[#This Row],[Colonna4]]/100</f>
        <v>18525.881113477306</v>
      </c>
    </row>
    <row r="1302" spans="2:10">
      <c r="B1302" s="92" t="s">
        <v>143</v>
      </c>
      <c r="C1302" s="91" t="s">
        <v>675</v>
      </c>
      <c r="D1302" s="93">
        <v>112</v>
      </c>
      <c r="E1302" s="93">
        <v>102</v>
      </c>
      <c r="F1302" s="103">
        <f>IFERROR(INDEX(Tabella9[PLZ],MATCH(Tabella8[[#This Row],[Colonna2]],Tabella9[Ortschaftsname],0)), "Name not found")</f>
        <v>5618</v>
      </c>
      <c r="G1302" s="103"/>
      <c r="H1302" s="240">
        <f ca="1">SUMIF(Tabella2[[#Headers],[#Data],[Age]],$H$76,Tabella2[[#Headers],[#Data],[Federal taxes]])</f>
        <v>6804.3246087429152</v>
      </c>
      <c r="I130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2" s="240">
        <f ca="1">Tabella8[[#This Row],[Colonna7]]*Tabella8[[#This Row],[Colonna4]]/100</f>
        <v>16722.4767572981</v>
      </c>
    </row>
    <row r="1303" spans="2:10">
      <c r="B1303" s="92" t="s">
        <v>143</v>
      </c>
      <c r="C1303" s="91" t="s">
        <v>600</v>
      </c>
      <c r="D1303" s="93">
        <v>112</v>
      </c>
      <c r="E1303" s="93">
        <v>92</v>
      </c>
      <c r="F1303" s="103">
        <f>IFERROR(INDEX(Tabella9[PLZ],MATCH(Tabella8[[#This Row],[Colonna2]],Tabella9[Ortschaftsname],0)), "Name not found")</f>
        <v>5023</v>
      </c>
      <c r="G1303" s="103"/>
      <c r="H1303" s="240">
        <f ca="1">SUMIF(Tabella2[[#Headers],[#Data],[Age]],$H$76,Tabella2[[#Headers],[#Data],[Federal taxes]])</f>
        <v>6804.3246087429152</v>
      </c>
      <c r="I130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3" s="240">
        <f ca="1">Tabella8[[#This Row],[Colonna7]]*Tabella8[[#This Row],[Colonna4]]/100</f>
        <v>15083.018251680638</v>
      </c>
    </row>
    <row r="1304" spans="2:10">
      <c r="B1304" s="92" t="s">
        <v>143</v>
      </c>
      <c r="C1304" s="91" t="s">
        <v>559</v>
      </c>
      <c r="D1304" s="93">
        <v>112</v>
      </c>
      <c r="E1304" s="93">
        <v>98</v>
      </c>
      <c r="F1304" s="103">
        <v>5413</v>
      </c>
      <c r="G1304" s="103"/>
      <c r="H1304" s="240">
        <f ca="1">SUMIF(Tabella2[[#Headers],[#Data],[Age]],$H$76,Tabella2[[#Headers],[#Data],[Federal taxes]])</f>
        <v>6804.3246087429152</v>
      </c>
      <c r="I130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4" s="240">
        <f ca="1">Tabella8[[#This Row],[Colonna7]]*Tabella8[[#This Row],[Colonna4]]/100</f>
        <v>16066.693355051117</v>
      </c>
    </row>
    <row r="1305" spans="2:10">
      <c r="B1305" s="92" t="s">
        <v>143</v>
      </c>
      <c r="C1305" s="91" t="s">
        <v>525</v>
      </c>
      <c r="D1305" s="93">
        <v>112</v>
      </c>
      <c r="E1305" s="93">
        <v>117</v>
      </c>
      <c r="F1305" s="103">
        <f>IFERROR(INDEX(Tabella9[PLZ],MATCH(Tabella8[[#This Row],[Colonna2]],Tabella9[Ortschaftsname],0)), "Name not found")</f>
        <v>5242</v>
      </c>
      <c r="G1305" s="103"/>
      <c r="H1305" s="240">
        <f ca="1">SUMIF(Tabella2[[#Headers],[#Data],[Age]],$H$76,Tabella2[[#Headers],[#Data],[Federal taxes]])</f>
        <v>6804.3246087429152</v>
      </c>
      <c r="I130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5" s="240">
        <f ca="1">Tabella8[[#This Row],[Colonna7]]*Tabella8[[#This Row],[Colonna4]]/100</f>
        <v>19181.664515724293</v>
      </c>
    </row>
    <row r="1306" spans="2:10">
      <c r="B1306" s="92" t="s">
        <v>143</v>
      </c>
      <c r="C1306" s="91" t="s">
        <v>670</v>
      </c>
      <c r="D1306" s="93">
        <v>112</v>
      </c>
      <c r="E1306" s="93">
        <v>109</v>
      </c>
      <c r="F1306" s="103">
        <f>IFERROR(INDEX(Tabella9[PLZ],MATCH(Tabella8[[#This Row],[Colonna2]],Tabella9[Ortschaftsname],0)), "Name not found")</f>
        <v>5244</v>
      </c>
      <c r="G1306" s="103"/>
      <c r="H1306" s="240">
        <f ca="1">SUMIF(Tabella2[[#Headers],[#Data],[Age]],$H$76,Tabella2[[#Headers],[#Data],[Federal taxes]])</f>
        <v>6804.3246087429152</v>
      </c>
      <c r="I130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6" s="240">
        <f ca="1">Tabella8[[#This Row],[Colonna7]]*Tabella8[[#This Row],[Colonna4]]/100</f>
        <v>17870.097711230323</v>
      </c>
    </row>
    <row r="1307" spans="2:10">
      <c r="B1307" s="92" t="s">
        <v>143</v>
      </c>
      <c r="C1307" s="91" t="s">
        <v>631</v>
      </c>
      <c r="D1307" s="93">
        <v>112</v>
      </c>
      <c r="E1307" s="93">
        <v>95</v>
      </c>
      <c r="F1307" s="103">
        <f>IFERROR(INDEX(Tabella9[PLZ],MATCH(Tabella8[[#This Row],[Colonna2]],Tabella9[Ortschaftsname],0)), "Name not found")</f>
        <v>5708</v>
      </c>
      <c r="G1307" s="103"/>
      <c r="H1307" s="240">
        <f ca="1">SUMIF(Tabella2[[#Headers],[#Data],[Age]],$H$76,Tabella2[[#Headers],[#Data],[Federal taxes]])</f>
        <v>6804.3246087429152</v>
      </c>
      <c r="I130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7" s="240">
        <f ca="1">Tabella8[[#This Row],[Colonna7]]*Tabella8[[#This Row],[Colonna4]]/100</f>
        <v>15574.855803365877</v>
      </c>
    </row>
    <row r="1308" spans="2:10">
      <c r="B1308" s="92" t="s">
        <v>143</v>
      </c>
      <c r="C1308" s="91" t="s">
        <v>615</v>
      </c>
      <c r="D1308" s="93">
        <v>112</v>
      </c>
      <c r="E1308" s="93">
        <v>105</v>
      </c>
      <c r="F1308" s="103">
        <f>IFERROR(INDEX(Tabella9[PLZ],MATCH(Tabella8[[#This Row],[Colonna2]],Tabella9[Ortschaftsname],0)), "Name not found")</f>
        <v>5706</v>
      </c>
      <c r="G1308" s="103"/>
      <c r="H1308" s="240">
        <f ca="1">SUMIF(Tabella2[[#Headers],[#Data],[Age]],$H$76,Tabella2[[#Headers],[#Data],[Federal taxes]])</f>
        <v>6804.3246087429152</v>
      </c>
      <c r="I130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8" s="240">
        <f ca="1">Tabella8[[#This Row],[Colonna7]]*Tabella8[[#This Row],[Colonna4]]/100</f>
        <v>17214.314308983339</v>
      </c>
    </row>
    <row r="1309" spans="2:10">
      <c r="B1309" s="92" t="s">
        <v>143</v>
      </c>
      <c r="C1309" s="91" t="s">
        <v>568</v>
      </c>
      <c r="D1309" s="93">
        <v>112</v>
      </c>
      <c r="E1309" s="93">
        <v>101</v>
      </c>
      <c r="F1309" s="103">
        <f>IFERROR(INDEX(Tabella9[PLZ],MATCH(Tabella8[[#This Row],[Colonna2]],Tabella9[Ortschaftsname],0)), "Name not found")</f>
        <v>5623</v>
      </c>
      <c r="G1309" s="103"/>
      <c r="H1309" s="240">
        <f ca="1">SUMIF(Tabella2[[#Headers],[#Data],[Age]],$H$76,Tabella2[[#Headers],[#Data],[Federal taxes]])</f>
        <v>6804.3246087429152</v>
      </c>
      <c r="I130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09" s="240">
        <f ca="1">Tabella8[[#This Row],[Colonna7]]*Tabella8[[#This Row],[Colonna4]]/100</f>
        <v>16558.530906736356</v>
      </c>
    </row>
    <row r="1310" spans="2:10">
      <c r="B1310" s="92" t="s">
        <v>143</v>
      </c>
      <c r="C1310" s="91" t="s">
        <v>664</v>
      </c>
      <c r="D1310" s="93">
        <v>112</v>
      </c>
      <c r="E1310" s="93">
        <v>119</v>
      </c>
      <c r="F1310" s="103">
        <f>IFERROR(INDEX(Tabella9[PLZ],MATCH(Tabella8[[#This Row],[Colonna2]],Tabella9[Ortschaftsname],0)), "Name not found")</f>
        <v>4814</v>
      </c>
      <c r="G1310" s="103"/>
      <c r="H1310" s="240">
        <f ca="1">SUMIF(Tabella2[[#Headers],[#Data],[Age]],$H$76,Tabella2[[#Headers],[#Data],[Federal taxes]])</f>
        <v>6804.3246087429152</v>
      </c>
      <c r="I131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0" s="240">
        <f ca="1">Tabella8[[#This Row],[Colonna7]]*Tabella8[[#This Row],[Colonna4]]/100</f>
        <v>19509.556216847785</v>
      </c>
    </row>
    <row r="1311" spans="2:10">
      <c r="B1311" s="92" t="s">
        <v>143</v>
      </c>
      <c r="C1311" s="91" t="s">
        <v>505</v>
      </c>
      <c r="D1311" s="93">
        <v>112</v>
      </c>
      <c r="E1311" s="93">
        <v>97</v>
      </c>
      <c r="F1311" s="103">
        <v>5620</v>
      </c>
      <c r="G1311" s="103"/>
      <c r="H1311" s="240">
        <f ca="1">SUMIF(Tabella2[[#Headers],[#Data],[Age]],$H$76,Tabella2[[#Headers],[#Data],[Federal taxes]])</f>
        <v>6804.3246087429152</v>
      </c>
      <c r="I131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1" s="240">
        <f ca="1">Tabella8[[#This Row],[Colonna7]]*Tabella8[[#This Row],[Colonna4]]/100</f>
        <v>15902.747504489371</v>
      </c>
    </row>
    <row r="1312" spans="2:10">
      <c r="B1312" s="92" t="s">
        <v>143</v>
      </c>
      <c r="C1312" s="91" t="s">
        <v>541</v>
      </c>
      <c r="D1312" s="93">
        <v>112</v>
      </c>
      <c r="E1312" s="93">
        <v>114</v>
      </c>
      <c r="F1312" s="103">
        <f>IFERROR(INDEX(Tabella9[PLZ],MATCH(Tabella8[[#This Row],[Colonna2]],Tabella9[Ortschaftsname],0)), "Name not found")</f>
        <v>4805</v>
      </c>
      <c r="G1312" s="103"/>
      <c r="H1312" s="240">
        <f ca="1">SUMIF(Tabella2[[#Headers],[#Data],[Age]],$H$76,Tabella2[[#Headers],[#Data],[Federal taxes]])</f>
        <v>6804.3246087429152</v>
      </c>
      <c r="I131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2" s="240">
        <f ca="1">Tabella8[[#This Row],[Colonna7]]*Tabella8[[#This Row],[Colonna4]]/100</f>
        <v>18689.826964039054</v>
      </c>
    </row>
    <row r="1313" spans="2:10">
      <c r="B1313" s="92" t="s">
        <v>143</v>
      </c>
      <c r="C1313" s="91" t="s">
        <v>2671</v>
      </c>
      <c r="D1313" s="93">
        <v>112</v>
      </c>
      <c r="E1313" s="93">
        <v>97</v>
      </c>
      <c r="F1313" s="103">
        <v>5200</v>
      </c>
      <c r="G1313" s="103"/>
      <c r="H1313" s="240">
        <f ca="1">SUMIF(Tabella2[[#Headers],[#Data],[Age]],$H$76,Tabella2[[#Headers],[#Data],[Federal taxes]])</f>
        <v>6804.3246087429152</v>
      </c>
      <c r="I131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3" s="240">
        <f ca="1">Tabella8[[#This Row],[Colonna7]]*Tabella8[[#This Row],[Colonna4]]/100</f>
        <v>15902.747504489371</v>
      </c>
    </row>
    <row r="1314" spans="2:10">
      <c r="B1314" s="92" t="s">
        <v>143</v>
      </c>
      <c r="C1314" s="91" t="s">
        <v>2671</v>
      </c>
      <c r="D1314" s="93">
        <v>112</v>
      </c>
      <c r="E1314" s="93">
        <v>97</v>
      </c>
      <c r="F1314" s="103">
        <v>5201</v>
      </c>
      <c r="G1314" s="103"/>
      <c r="H1314" s="240">
        <f ca="1">SUMIF(Tabella2[[#Headers],[#Data],[Age]],$H$76,Tabella2[[#Headers],[#Data],[Federal taxes]])</f>
        <v>6804.3246087429152</v>
      </c>
      <c r="I131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4" s="240">
        <f ca="1">Tabella8[[#This Row],[Colonna7]]*Tabella8[[#This Row],[Colonna4]]/100</f>
        <v>15902.747504489371</v>
      </c>
    </row>
    <row r="1315" spans="2:10">
      <c r="B1315" s="92" t="s">
        <v>143</v>
      </c>
      <c r="C1315" s="91" t="s">
        <v>663</v>
      </c>
      <c r="D1315" s="93">
        <v>112</v>
      </c>
      <c r="E1315" s="93">
        <v>105</v>
      </c>
      <c r="F1315" s="103">
        <f>IFERROR(INDEX(Tabella9[PLZ],MATCH(Tabella8[[#This Row],[Colonna2]],Tabella9[Ortschaftsname],0)), "Name not found")</f>
        <v>5505</v>
      </c>
      <c r="G1315" s="103"/>
      <c r="H1315" s="240">
        <f ca="1">SUMIF(Tabella2[[#Headers],[#Data],[Age]],$H$76,Tabella2[[#Headers],[#Data],[Federal taxes]])</f>
        <v>6804.3246087429152</v>
      </c>
      <c r="I131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5" s="240">
        <f ca="1">Tabella8[[#This Row],[Colonna7]]*Tabella8[[#This Row],[Colonna4]]/100</f>
        <v>17214.314308983339</v>
      </c>
    </row>
    <row r="1316" spans="2:10">
      <c r="B1316" s="92" t="s">
        <v>143</v>
      </c>
      <c r="C1316" s="91" t="s">
        <v>503</v>
      </c>
      <c r="D1316" s="93">
        <v>112</v>
      </c>
      <c r="E1316" s="93">
        <v>118</v>
      </c>
      <c r="F1316" s="103">
        <v>5033</v>
      </c>
      <c r="G1316" s="103"/>
      <c r="H1316" s="240">
        <f ca="1">SUMIF(Tabella2[[#Headers],[#Data],[Age]],$H$76,Tabella2[[#Headers],[#Data],[Federal taxes]])</f>
        <v>6804.3246087429152</v>
      </c>
      <c r="I131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6" s="240">
        <f ca="1">Tabella8[[#This Row],[Colonna7]]*Tabella8[[#This Row],[Colonna4]]/100</f>
        <v>19345.610366286037</v>
      </c>
    </row>
    <row r="1317" spans="2:10">
      <c r="B1317" s="92" t="s">
        <v>143</v>
      </c>
      <c r="C1317" s="91" t="s">
        <v>628</v>
      </c>
      <c r="D1317" s="93">
        <v>112</v>
      </c>
      <c r="E1317" s="93">
        <v>102</v>
      </c>
      <c r="F1317" s="103">
        <f>IFERROR(INDEX(Tabella9[PLZ],MATCH(Tabella8[[#This Row],[Colonna2]],Tabella9[Ortschaftsname],0)), "Name not found")</f>
        <v>5632</v>
      </c>
      <c r="G1317" s="103"/>
      <c r="H1317" s="240">
        <f ca="1">SUMIF(Tabella2[[#Headers],[#Data],[Age]],$H$76,Tabella2[[#Headers],[#Data],[Federal taxes]])</f>
        <v>6804.3246087429152</v>
      </c>
      <c r="I131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7" s="240">
        <f ca="1">Tabella8[[#This Row],[Colonna7]]*Tabella8[[#This Row],[Colonna4]]/100</f>
        <v>16722.4767572981</v>
      </c>
    </row>
    <row r="1318" spans="2:10">
      <c r="B1318" s="92" t="s">
        <v>143</v>
      </c>
      <c r="C1318" s="91" t="s">
        <v>538</v>
      </c>
      <c r="D1318" s="93">
        <v>112</v>
      </c>
      <c r="E1318" s="93">
        <v>107</v>
      </c>
      <c r="F1318" s="103">
        <f>IFERROR(INDEX(Tabella9[PLZ],MATCH(Tabella8[[#This Row],[Colonna2]],Tabella9[Ortschaftsname],0)), "Name not found")</f>
        <v>5315</v>
      </c>
      <c r="G1318" s="103"/>
      <c r="H1318" s="240">
        <f ca="1">SUMIF(Tabella2[[#Headers],[#Data],[Age]],$H$76,Tabella2[[#Headers],[#Data],[Federal taxes]])</f>
        <v>6804.3246087429152</v>
      </c>
      <c r="I131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8" s="240">
        <f ca="1">Tabella8[[#This Row],[Colonna7]]*Tabella8[[#This Row],[Colonna4]]/100</f>
        <v>17542.206010106831</v>
      </c>
    </row>
    <row r="1319" spans="2:10">
      <c r="B1319" s="92" t="s">
        <v>143</v>
      </c>
      <c r="C1319" s="91" t="s">
        <v>604</v>
      </c>
      <c r="D1319" s="93">
        <v>112</v>
      </c>
      <c r="E1319" s="93">
        <v>96</v>
      </c>
      <c r="F1319" s="103">
        <f>IFERROR(INDEX(Tabella9[PLZ],MATCH(Tabella8[[#This Row],[Colonna2]],Tabella9[Ortschaftsname],0)), "Name not found")</f>
        <v>5225</v>
      </c>
      <c r="G1319" s="103"/>
      <c r="H1319" s="240">
        <f ca="1">SUMIF(Tabella2[[#Headers],[#Data],[Age]],$H$76,Tabella2[[#Headers],[#Data],[Federal taxes]])</f>
        <v>6804.3246087429152</v>
      </c>
      <c r="I131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19" s="240">
        <f ca="1">Tabella8[[#This Row],[Colonna7]]*Tabella8[[#This Row],[Colonna4]]/100</f>
        <v>15738.801653927625</v>
      </c>
    </row>
    <row r="1320" spans="2:10">
      <c r="B1320" s="92" t="s">
        <v>143</v>
      </c>
      <c r="C1320" s="91" t="s">
        <v>2672</v>
      </c>
      <c r="D1320" s="93">
        <v>112</v>
      </c>
      <c r="E1320" s="93">
        <v>114</v>
      </c>
      <c r="F1320" s="103">
        <v>5075</v>
      </c>
      <c r="G1320" s="103"/>
      <c r="H1320" s="240">
        <f ca="1">SUMIF(Tabella2[[#Headers],[#Data],[Age]],$H$76,Tabella2[[#Headers],[#Data],[Federal taxes]])</f>
        <v>6804.3246087429152</v>
      </c>
      <c r="I132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0" s="240">
        <f ca="1">Tabella8[[#This Row],[Colonna7]]*Tabella8[[#This Row],[Colonna4]]/100</f>
        <v>18689.826964039054</v>
      </c>
    </row>
    <row r="1321" spans="2:10">
      <c r="B1321" s="92" t="s">
        <v>143</v>
      </c>
      <c r="C1321" s="91" t="s">
        <v>636</v>
      </c>
      <c r="D1321" s="93">
        <v>112</v>
      </c>
      <c r="E1321" s="93">
        <v>110</v>
      </c>
      <c r="F1321" s="103">
        <f>IFERROR(INDEX(Tabella9[PLZ],MATCH(Tabella8[[#This Row],[Colonna2]],Tabella9[Ortschaftsname],0)), "Name not found")</f>
        <v>5624</v>
      </c>
      <c r="G1321" s="103"/>
      <c r="H1321" s="240">
        <f ca="1">SUMIF(Tabella2[[#Headers],[#Data],[Age]],$H$76,Tabella2[[#Headers],[#Data],[Federal taxes]])</f>
        <v>6804.3246087429152</v>
      </c>
      <c r="I132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1" s="240">
        <f ca="1">Tabella8[[#This Row],[Colonna7]]*Tabella8[[#This Row],[Colonna4]]/100</f>
        <v>18034.04356179207</v>
      </c>
    </row>
    <row r="1322" spans="2:10">
      <c r="B1322" s="92" t="s">
        <v>143</v>
      </c>
      <c r="C1322" s="91" t="s">
        <v>647</v>
      </c>
      <c r="D1322" s="93">
        <v>112</v>
      </c>
      <c r="E1322" s="93">
        <v>96</v>
      </c>
      <c r="F1322" s="103">
        <v>5619</v>
      </c>
      <c r="G1322" s="103"/>
      <c r="H1322" s="240">
        <f ca="1">SUMIF(Tabella2[[#Headers],[#Data],[Age]],$H$76,Tabella2[[#Headers],[#Data],[Federal taxes]])</f>
        <v>6804.3246087429152</v>
      </c>
      <c r="I132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2" s="240">
        <f ca="1">Tabella8[[#This Row],[Colonna7]]*Tabella8[[#This Row],[Colonna4]]/100</f>
        <v>15738.801653927625</v>
      </c>
    </row>
    <row r="1323" spans="2:10">
      <c r="B1323" s="92" t="s">
        <v>143</v>
      </c>
      <c r="C1323" s="91" t="s">
        <v>669</v>
      </c>
      <c r="D1323" s="93">
        <v>112</v>
      </c>
      <c r="E1323" s="93">
        <v>117</v>
      </c>
      <c r="F1323" s="103">
        <f>IFERROR(INDEX(Tabella9[PLZ],MATCH(Tabella8[[#This Row],[Colonna2]],Tabella9[Ortschaftsname],0)), "Name not found")</f>
        <v>5026</v>
      </c>
      <c r="G1323" s="103"/>
      <c r="H1323" s="240">
        <f ca="1">SUMIF(Tabella2[[#Headers],[#Data],[Age]],$H$76,Tabella2[[#Headers],[#Data],[Federal taxes]])</f>
        <v>6804.3246087429152</v>
      </c>
      <c r="I132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3" s="240">
        <f ca="1">Tabella8[[#This Row],[Colonna7]]*Tabella8[[#This Row],[Colonna4]]/100</f>
        <v>19181.664515724293</v>
      </c>
    </row>
    <row r="1324" spans="2:10">
      <c r="B1324" s="92" t="s">
        <v>143</v>
      </c>
      <c r="C1324" s="91" t="s">
        <v>621</v>
      </c>
      <c r="D1324" s="93">
        <v>112</v>
      </c>
      <c r="E1324" s="93">
        <v>104</v>
      </c>
      <c r="F1324" s="103">
        <f>IFERROR(INDEX(Tabella9[PLZ],MATCH(Tabella8[[#This Row],[Colonna2]],Tabella9[Ortschaftsname],0)), "Name not found")</f>
        <v>6042</v>
      </c>
      <c r="G1324" s="103"/>
      <c r="H1324" s="240">
        <f ca="1">SUMIF(Tabella2[[#Headers],[#Data],[Age]],$H$76,Tabella2[[#Headers],[#Data],[Federal taxes]])</f>
        <v>6804.3246087429152</v>
      </c>
      <c r="I132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4" s="240">
        <f ca="1">Tabella8[[#This Row],[Colonna7]]*Tabella8[[#This Row],[Colonna4]]/100</f>
        <v>17050.368458421595</v>
      </c>
    </row>
    <row r="1325" spans="2:10">
      <c r="B1325" s="92" t="s">
        <v>143</v>
      </c>
      <c r="C1325" s="91" t="s">
        <v>579</v>
      </c>
      <c r="D1325" s="93">
        <v>112</v>
      </c>
      <c r="E1325" s="93">
        <v>98</v>
      </c>
      <c r="F1325" s="103">
        <f>IFERROR(INDEX(Tabella9[PLZ],MATCH(Tabella8[[#This Row],[Colonna2]],Tabella9[Ortschaftsname],0)), "Name not found")</f>
        <v>5606</v>
      </c>
      <c r="G1325" s="103"/>
      <c r="H1325" s="240">
        <f ca="1">SUMIF(Tabella2[[#Headers],[#Data],[Age]],$H$76,Tabella2[[#Headers],[#Data],[Federal taxes]])</f>
        <v>6804.3246087429152</v>
      </c>
      <c r="I132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5" s="240">
        <f ca="1">Tabella8[[#This Row],[Colonna7]]*Tabella8[[#This Row],[Colonna4]]/100</f>
        <v>16066.693355051117</v>
      </c>
    </row>
    <row r="1326" spans="2:10">
      <c r="B1326" s="92" t="s">
        <v>143</v>
      </c>
      <c r="C1326" s="91" t="s">
        <v>543</v>
      </c>
      <c r="D1326" s="93">
        <v>112</v>
      </c>
      <c r="E1326" s="93">
        <v>92</v>
      </c>
      <c r="F1326" s="103">
        <f>IFERROR(INDEX(Tabella9[PLZ],MATCH(Tabella8[[#This Row],[Colonna2]],Tabella9[Ortschaftsname],0)), "Name not found")</f>
        <v>5605</v>
      </c>
      <c r="G1326" s="103"/>
      <c r="H1326" s="240">
        <f ca="1">SUMIF(Tabella2[[#Headers],[#Data],[Age]],$H$76,Tabella2[[#Headers],[#Data],[Federal taxes]])</f>
        <v>6804.3246087429152</v>
      </c>
      <c r="I132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6" s="240">
        <f ca="1">Tabella8[[#This Row],[Colonna7]]*Tabella8[[#This Row],[Colonna4]]/100</f>
        <v>15083.018251680638</v>
      </c>
    </row>
    <row r="1327" spans="2:10">
      <c r="B1327" s="92" t="s">
        <v>143</v>
      </c>
      <c r="C1327" s="91" t="s">
        <v>542</v>
      </c>
      <c r="D1327" s="93">
        <v>112</v>
      </c>
      <c r="E1327" s="93">
        <v>110</v>
      </c>
      <c r="F1327" s="103">
        <f>IFERROR(INDEX(Tabella9[PLZ],MATCH(Tabella8[[#This Row],[Colonna2]],Tabella9[Ortschaftsname],0)), "Name not found")</f>
        <v>5312</v>
      </c>
      <c r="G1327" s="103"/>
      <c r="H1327" s="240">
        <f ca="1">SUMIF(Tabella2[[#Headers],[#Data],[Age]],$H$76,Tabella2[[#Headers],[#Data],[Federal taxes]])</f>
        <v>6804.3246087429152</v>
      </c>
      <c r="I132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7" s="240">
        <f ca="1">Tabella8[[#This Row],[Colonna7]]*Tabella8[[#This Row],[Colonna4]]/100</f>
        <v>18034.04356179207</v>
      </c>
    </row>
    <row r="1328" spans="2:10">
      <c r="B1328" s="92" t="s">
        <v>143</v>
      </c>
      <c r="C1328" s="91" t="s">
        <v>625</v>
      </c>
      <c r="D1328" s="93">
        <v>112</v>
      </c>
      <c r="E1328" s="93">
        <v>118</v>
      </c>
      <c r="F1328" s="103">
        <f>IFERROR(INDEX(Tabella9[PLZ],MATCH(Tabella8[[#This Row],[Colonna2]],Tabella9[Ortschaftsname],0)), "Name not found")</f>
        <v>5724</v>
      </c>
      <c r="G1328" s="103"/>
      <c r="H1328" s="240">
        <f ca="1">SUMIF(Tabella2[[#Headers],[#Data],[Age]],$H$76,Tabella2[[#Headers],[#Data],[Federal taxes]])</f>
        <v>6804.3246087429152</v>
      </c>
      <c r="I132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8" s="240">
        <f ca="1">Tabella8[[#This Row],[Colonna7]]*Tabella8[[#This Row],[Colonna4]]/100</f>
        <v>19345.610366286037</v>
      </c>
    </row>
    <row r="1329" spans="2:10">
      <c r="B1329" s="92" t="s">
        <v>143</v>
      </c>
      <c r="C1329" s="91" t="s">
        <v>646</v>
      </c>
      <c r="D1329" s="93">
        <v>112</v>
      </c>
      <c r="E1329" s="93">
        <v>106</v>
      </c>
      <c r="F1329" s="103">
        <f>IFERROR(INDEX(Tabella9[PLZ],MATCH(Tabella8[[#This Row],[Colonna2]],Tabella9[Ortschaftsname],0)), "Name not found")</f>
        <v>5445</v>
      </c>
      <c r="G1329" s="103"/>
      <c r="H1329" s="240">
        <f ca="1">SUMIF(Tabella2[[#Headers],[#Data],[Age]],$H$76,Tabella2[[#Headers],[#Data],[Federal taxes]])</f>
        <v>6804.3246087429152</v>
      </c>
      <c r="I132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29" s="240">
        <f ca="1">Tabella8[[#This Row],[Colonna7]]*Tabella8[[#This Row],[Colonna4]]/100</f>
        <v>17378.260159545083</v>
      </c>
    </row>
    <row r="1330" spans="2:10">
      <c r="B1330" s="92" t="s">
        <v>143</v>
      </c>
      <c r="C1330" s="91" t="s">
        <v>614</v>
      </c>
      <c r="D1330" s="93">
        <v>112</v>
      </c>
      <c r="E1330" s="93">
        <v>105</v>
      </c>
      <c r="F1330" s="103">
        <f>IFERROR(INDEX(Tabella9[PLZ],MATCH(Tabella8[[#This Row],[Colonna2]],Tabella9[Ortschaftsname],0)), "Name not found")</f>
        <v>5704</v>
      </c>
      <c r="G1330" s="103"/>
      <c r="H1330" s="240">
        <f ca="1">SUMIF(Tabella2[[#Headers],[#Data],[Age]],$H$76,Tabella2[[#Headers],[#Data],[Federal taxes]])</f>
        <v>6804.3246087429152</v>
      </c>
      <c r="I133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0" s="240">
        <f ca="1">Tabella8[[#This Row],[Colonna7]]*Tabella8[[#This Row],[Colonna4]]/100</f>
        <v>17214.314308983339</v>
      </c>
    </row>
    <row r="1331" spans="2:10">
      <c r="B1331" s="92" t="s">
        <v>143</v>
      </c>
      <c r="C1331" s="91" t="s">
        <v>520</v>
      </c>
      <c r="D1331" s="93">
        <v>112</v>
      </c>
      <c r="E1331" s="93">
        <v>108</v>
      </c>
      <c r="F1331" s="103">
        <f>IFERROR(INDEX(Tabella9[PLZ],MATCH(Tabella8[[#This Row],[Colonna2]],Tabella9[Ortschaftsname],0)), "Name not found")</f>
        <v>5420</v>
      </c>
      <c r="G1331" s="103"/>
      <c r="H1331" s="240">
        <f ca="1">SUMIF(Tabella2[[#Headers],[#Data],[Age]],$H$76,Tabella2[[#Headers],[#Data],[Federal taxes]])</f>
        <v>6804.3246087429152</v>
      </c>
      <c r="I133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1" s="240">
        <f ca="1">Tabella8[[#This Row],[Colonna7]]*Tabella8[[#This Row],[Colonna4]]/100</f>
        <v>17706.151860668579</v>
      </c>
    </row>
    <row r="1332" spans="2:10">
      <c r="B1332" s="92" t="s">
        <v>143</v>
      </c>
      <c r="C1332" s="91" t="s">
        <v>576</v>
      </c>
      <c r="D1332" s="93">
        <v>112</v>
      </c>
      <c r="E1332" s="93">
        <v>111</v>
      </c>
      <c r="F1332" s="103">
        <f>IFERROR(INDEX(Tabella9[PLZ],MATCH(Tabella8[[#This Row],[Colonna2]],Tabella9[Ortschaftsname],0)), "Name not found")</f>
        <v>5074</v>
      </c>
      <c r="G1332" s="103"/>
      <c r="H1332" s="240">
        <f ca="1">SUMIF(Tabella2[[#Headers],[#Data],[Age]],$H$76,Tabella2[[#Headers],[#Data],[Federal taxes]])</f>
        <v>6804.3246087429152</v>
      </c>
      <c r="I133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2" s="240">
        <f ca="1">Tabella8[[#This Row],[Colonna7]]*Tabella8[[#This Row],[Colonna4]]/100</f>
        <v>18197.989412353814</v>
      </c>
    </row>
    <row r="1333" spans="2:10">
      <c r="B1333" s="92" t="s">
        <v>143</v>
      </c>
      <c r="C1333" s="91" t="s">
        <v>572</v>
      </c>
      <c r="D1333" s="93">
        <v>112</v>
      </c>
      <c r="E1333" s="93">
        <v>111</v>
      </c>
      <c r="F1333" s="103">
        <f>IFERROR(INDEX(Tabella9[PLZ],MATCH(Tabella8[[#This Row],[Colonna2]],Tabella9[Ortschaftsname],0)), "Name not found")</f>
        <v>5304</v>
      </c>
      <c r="G1333" s="103"/>
      <c r="H1333" s="240">
        <f ca="1">SUMIF(Tabella2[[#Headers],[#Data],[Age]],$H$76,Tabella2[[#Headers],[#Data],[Federal taxes]])</f>
        <v>6804.3246087429152</v>
      </c>
      <c r="I133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3" s="240">
        <f ca="1">Tabella8[[#This Row],[Colonna7]]*Tabella8[[#This Row],[Colonna4]]/100</f>
        <v>18197.989412353814</v>
      </c>
    </row>
    <row r="1334" spans="2:10">
      <c r="B1334" s="92" t="s">
        <v>143</v>
      </c>
      <c r="C1334" s="91" t="s">
        <v>551</v>
      </c>
      <c r="D1334" s="93">
        <v>112</v>
      </c>
      <c r="E1334" s="93">
        <v>92</v>
      </c>
      <c r="F1334" s="103">
        <f>IFERROR(INDEX(Tabella9[PLZ],MATCH(Tabella8[[#This Row],[Colonna2]],Tabella9[Ortschaftsname],0)), "Name not found")</f>
        <v>5408</v>
      </c>
      <c r="G1334" s="103"/>
      <c r="H1334" s="240">
        <f ca="1">SUMIF(Tabella2[[#Headers],[#Data],[Age]],$H$76,Tabella2[[#Headers],[#Data],[Federal taxes]])</f>
        <v>6804.3246087429152</v>
      </c>
      <c r="I133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4" s="240">
        <f ca="1">Tabella8[[#This Row],[Colonna7]]*Tabella8[[#This Row],[Colonna4]]/100</f>
        <v>15083.018251680638</v>
      </c>
    </row>
    <row r="1335" spans="2:10">
      <c r="B1335" s="92" t="s">
        <v>143</v>
      </c>
      <c r="C1335" s="91" t="s">
        <v>533</v>
      </c>
      <c r="D1335" s="93">
        <v>112</v>
      </c>
      <c r="E1335" s="93">
        <v>89</v>
      </c>
      <c r="F1335" s="103">
        <v>5018</v>
      </c>
      <c r="G1335" s="103"/>
      <c r="H1335" s="240">
        <f ca="1">SUMIF(Tabella2[[#Headers],[#Data],[Age]],$H$76,Tabella2[[#Headers],[#Data],[Federal taxes]])</f>
        <v>6804.3246087429152</v>
      </c>
      <c r="I133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5" s="240">
        <f ca="1">Tabella8[[#This Row],[Colonna7]]*Tabella8[[#This Row],[Colonna4]]/100</f>
        <v>14591.180699995402</v>
      </c>
    </row>
    <row r="1336" spans="2:10">
      <c r="B1336" s="92" t="s">
        <v>143</v>
      </c>
      <c r="C1336" s="91" t="s">
        <v>588</v>
      </c>
      <c r="D1336" s="93">
        <v>112</v>
      </c>
      <c r="E1336" s="93">
        <v>118</v>
      </c>
      <c r="F1336" s="103">
        <f>IFERROR(INDEX(Tabella9[PLZ],MATCH(Tabella8[[#This Row],[Colonna2]],Tabella9[Ortschaftsname],0)), "Name not found")</f>
        <v>5615</v>
      </c>
      <c r="G1336" s="103"/>
      <c r="H1336" s="240">
        <f ca="1">SUMIF(Tabella2[[#Headers],[#Data],[Age]],$H$76,Tabella2[[#Headers],[#Data],[Federal taxes]])</f>
        <v>6804.3246087429152</v>
      </c>
      <c r="I133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6" s="240">
        <f ca="1">Tabella8[[#This Row],[Colonna7]]*Tabella8[[#This Row],[Colonna4]]/100</f>
        <v>19345.610366286037</v>
      </c>
    </row>
    <row r="1337" spans="2:10">
      <c r="B1337" s="92" t="s">
        <v>143</v>
      </c>
      <c r="C1337" s="91" t="s">
        <v>597</v>
      </c>
      <c r="D1337" s="93">
        <v>112</v>
      </c>
      <c r="E1337" s="93">
        <v>109</v>
      </c>
      <c r="F1337" s="103">
        <f>IFERROR(INDEX(Tabella9[PLZ],MATCH(Tabella8[[#This Row],[Colonna2]],Tabella9[Ortschaftsname],0)), "Name not found")</f>
        <v>5525</v>
      </c>
      <c r="G1337" s="103"/>
      <c r="H1337" s="240">
        <f ca="1">SUMIF(Tabella2[[#Headers],[#Data],[Age]],$H$76,Tabella2[[#Headers],[#Data],[Federal taxes]])</f>
        <v>6804.3246087429152</v>
      </c>
      <c r="I133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7" s="240">
        <f ca="1">Tabella8[[#This Row],[Colonna7]]*Tabella8[[#This Row],[Colonna4]]/100</f>
        <v>17870.097711230323</v>
      </c>
    </row>
    <row r="1338" spans="2:10">
      <c r="B1338" s="92" t="s">
        <v>143</v>
      </c>
      <c r="C1338" s="91" t="s">
        <v>679</v>
      </c>
      <c r="D1338" s="93">
        <v>112</v>
      </c>
      <c r="E1338" s="93">
        <v>115</v>
      </c>
      <c r="F1338" s="103">
        <f>IFERROR(INDEX(Tabella9[PLZ],MATCH(Tabella8[[#This Row],[Colonna2]],Tabella9[Ortschaftsname],0)), "Name not found")</f>
        <v>5467</v>
      </c>
      <c r="G1338" s="103"/>
      <c r="H1338" s="240">
        <f ca="1">SUMIF(Tabella2[[#Headers],[#Data],[Age]],$H$76,Tabella2[[#Headers],[#Data],[Federal taxes]])</f>
        <v>6804.3246087429152</v>
      </c>
      <c r="I133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8" s="240">
        <f ca="1">Tabella8[[#This Row],[Colonna7]]*Tabella8[[#This Row],[Colonna4]]/100</f>
        <v>18853.772814600801</v>
      </c>
    </row>
    <row r="1339" spans="2:10">
      <c r="B1339" s="92" t="s">
        <v>143</v>
      </c>
      <c r="C1339" s="91" t="s">
        <v>515</v>
      </c>
      <c r="D1339" s="93">
        <v>112</v>
      </c>
      <c r="E1339" s="93">
        <v>109</v>
      </c>
      <c r="F1339" s="103">
        <f>IFERROR(INDEX(Tabella9[PLZ],MATCH(Tabella8[[#This Row],[Colonna2]],Tabella9[Ortschaftsname],0)), "Name not found")</f>
        <v>5442</v>
      </c>
      <c r="G1339" s="103"/>
      <c r="H1339" s="240">
        <f ca="1">SUMIF(Tabella2[[#Headers],[#Data],[Age]],$H$76,Tabella2[[#Headers],[#Data],[Federal taxes]])</f>
        <v>6804.3246087429152</v>
      </c>
      <c r="I133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39" s="240">
        <f ca="1">Tabella8[[#This Row],[Colonna7]]*Tabella8[[#This Row],[Colonna4]]/100</f>
        <v>17870.097711230323</v>
      </c>
    </row>
    <row r="1340" spans="2:10">
      <c r="B1340" s="92" t="s">
        <v>143</v>
      </c>
      <c r="C1340" s="91" t="s">
        <v>642</v>
      </c>
      <c r="D1340" s="93">
        <v>112</v>
      </c>
      <c r="E1340" s="93">
        <v>114</v>
      </c>
      <c r="F1340" s="103">
        <f>IFERROR(INDEX(Tabella9[PLZ],MATCH(Tabella8[[#This Row],[Colonna2]],Tabella9[Ortschaftsname],0)), "Name not found")</f>
        <v>5423</v>
      </c>
      <c r="G1340" s="103"/>
      <c r="H1340" s="240">
        <f ca="1">SUMIF(Tabella2[[#Headers],[#Data],[Age]],$H$76,Tabella2[[#Headers],[#Data],[Federal taxes]])</f>
        <v>6804.3246087429152</v>
      </c>
      <c r="I134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0" s="240">
        <f ca="1">Tabella8[[#This Row],[Colonna7]]*Tabella8[[#This Row],[Colonna4]]/100</f>
        <v>18689.826964039054</v>
      </c>
    </row>
    <row r="1341" spans="2:10">
      <c r="B1341" s="92" t="s">
        <v>143</v>
      </c>
      <c r="C1341" s="91" t="s">
        <v>514</v>
      </c>
      <c r="D1341" s="93">
        <v>112</v>
      </c>
      <c r="E1341" s="93">
        <v>102</v>
      </c>
      <c r="F1341" s="103">
        <f>IFERROR(INDEX(Tabella9[PLZ],MATCH(Tabella8[[#This Row],[Colonna2]],Tabella9[Ortschaftsname],0)), "Name not found")</f>
        <v>5070</v>
      </c>
      <c r="G1341" s="103"/>
      <c r="H1341" s="240">
        <f ca="1">SUMIF(Tabella2[[#Headers],[#Data],[Age]],$H$76,Tabella2[[#Headers],[#Data],[Federal taxes]])</f>
        <v>6804.3246087429152</v>
      </c>
      <c r="I134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1" s="240">
        <f ca="1">Tabella8[[#This Row],[Colonna7]]*Tabella8[[#This Row],[Colonna4]]/100</f>
        <v>16722.4767572981</v>
      </c>
    </row>
    <row r="1342" spans="2:10">
      <c r="B1342" s="92" t="s">
        <v>143</v>
      </c>
      <c r="C1342" s="91" t="s">
        <v>655</v>
      </c>
      <c r="D1342" s="93">
        <v>112</v>
      </c>
      <c r="E1342" s="93">
        <v>122</v>
      </c>
      <c r="F1342" s="103">
        <f>IFERROR(INDEX(Tabella9[PLZ],MATCH(Tabella8[[#This Row],[Colonna2]],Tabella9[Ortschaftsname],0)), "Name not found")</f>
        <v>5324</v>
      </c>
      <c r="G1342" s="103"/>
      <c r="H1342" s="240">
        <f ca="1">SUMIF(Tabella2[[#Headers],[#Data],[Age]],$H$76,Tabella2[[#Headers],[#Data],[Federal taxes]])</f>
        <v>6804.3246087429152</v>
      </c>
      <c r="I134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2" s="240">
        <f ca="1">Tabella8[[#This Row],[Colonna7]]*Tabella8[[#This Row],[Colonna4]]/100</f>
        <v>20001.39376853302</v>
      </c>
    </row>
    <row r="1343" spans="2:10">
      <c r="B1343" s="92" t="s">
        <v>143</v>
      </c>
      <c r="C1343" s="91" t="s">
        <v>643</v>
      </c>
      <c r="D1343" s="93">
        <v>112</v>
      </c>
      <c r="E1343" s="93">
        <v>120</v>
      </c>
      <c r="F1343" s="103">
        <f>IFERROR(INDEX(Tabella9[PLZ],MATCH(Tabella8[[#This Row],[Colonna2]],Tabella9[Ortschaftsname],0)), "Name not found")</f>
        <v>5272</v>
      </c>
      <c r="G1343" s="103"/>
      <c r="H1343" s="240">
        <f ca="1">SUMIF(Tabella2[[#Headers],[#Data],[Age]],$H$76,Tabella2[[#Headers],[#Data],[Federal taxes]])</f>
        <v>6804.3246087429152</v>
      </c>
      <c r="I134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3" s="240">
        <f ca="1">Tabella8[[#This Row],[Colonna7]]*Tabella8[[#This Row],[Colonna4]]/100</f>
        <v>19673.502067409529</v>
      </c>
    </row>
    <row r="1344" spans="2:10">
      <c r="B1344" s="92" t="s">
        <v>143</v>
      </c>
      <c r="C1344" s="91" t="s">
        <v>518</v>
      </c>
      <c r="D1344" s="93">
        <v>112</v>
      </c>
      <c r="E1344" s="93">
        <v>105</v>
      </c>
      <c r="F1344" s="103">
        <f>IFERROR(INDEX(Tabella9[PLZ],MATCH(Tabella8[[#This Row],[Colonna2]],Tabella9[Ortschaftsname],0)), "Name not found")</f>
        <v>5412</v>
      </c>
      <c r="G1344" s="103"/>
      <c r="H1344" s="240">
        <f ca="1">SUMIF(Tabella2[[#Headers],[#Data],[Age]],$H$76,Tabella2[[#Headers],[#Data],[Federal taxes]])</f>
        <v>6804.3246087429152</v>
      </c>
      <c r="I134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4" s="240">
        <f ca="1">Tabella8[[#This Row],[Colonna7]]*Tabella8[[#This Row],[Colonna4]]/100</f>
        <v>17214.314308983339</v>
      </c>
    </row>
    <row r="1345" spans="2:10">
      <c r="B1345" s="92" t="s">
        <v>143</v>
      </c>
      <c r="C1345" s="91" t="s">
        <v>693</v>
      </c>
      <c r="D1345" s="93">
        <v>112</v>
      </c>
      <c r="E1345" s="93">
        <v>50</v>
      </c>
      <c r="F1345" s="103">
        <f>IFERROR(INDEX(Tabella9[PLZ],MATCH(Tabella8[[#This Row],[Colonna2]],Tabella9[Ortschaftsname],0)), "Name not found")</f>
        <v>5637</v>
      </c>
      <c r="G1345" s="103"/>
      <c r="H1345" s="240">
        <f ca="1">SUMIF(Tabella2[[#Headers],[#Data],[Age]],$H$76,Tabella2[[#Headers],[#Data],[Federal taxes]])</f>
        <v>6804.3246087429152</v>
      </c>
      <c r="I134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5" s="240">
        <f ca="1">Tabella8[[#This Row],[Colonna7]]*Tabella8[[#This Row],[Colonna4]]/100</f>
        <v>8197.2925280873042</v>
      </c>
    </row>
    <row r="1346" spans="2:10">
      <c r="B1346" s="92" t="s">
        <v>143</v>
      </c>
      <c r="C1346" s="91" t="s">
        <v>550</v>
      </c>
      <c r="D1346" s="93">
        <v>112</v>
      </c>
      <c r="E1346" s="93">
        <v>99</v>
      </c>
      <c r="F1346" s="103">
        <f>IFERROR(INDEX(Tabella9[PLZ],MATCH(Tabella8[[#This Row],[Colonna2]],Tabella9[Ortschaftsname],0)), "Name not found")</f>
        <v>5073</v>
      </c>
      <c r="G1346" s="103"/>
      <c r="H1346" s="240">
        <f ca="1">SUMIF(Tabella2[[#Headers],[#Data],[Age]],$H$76,Tabella2[[#Headers],[#Data],[Federal taxes]])</f>
        <v>6804.3246087429152</v>
      </c>
      <c r="I134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6" s="240">
        <f ca="1">Tabella8[[#This Row],[Colonna7]]*Tabella8[[#This Row],[Colonna4]]/100</f>
        <v>16230.639205612861</v>
      </c>
    </row>
    <row r="1347" spans="2:10">
      <c r="B1347" s="92" t="s">
        <v>143</v>
      </c>
      <c r="C1347" s="91" t="s">
        <v>581</v>
      </c>
      <c r="D1347" s="93">
        <v>112</v>
      </c>
      <c r="E1347" s="93">
        <v>117</v>
      </c>
      <c r="F1347" s="103">
        <f>IFERROR(INDEX(Tabella9[PLZ],MATCH(Tabella8[[#This Row],[Colonna2]],Tabella9[Ortschaftsname],0)), "Name not found")</f>
        <v>5728</v>
      </c>
      <c r="G1347" s="103"/>
      <c r="H1347" s="240">
        <f ca="1">SUMIF(Tabella2[[#Headers],[#Data],[Age]],$H$76,Tabella2[[#Headers],[#Data],[Federal taxes]])</f>
        <v>6804.3246087429152</v>
      </c>
      <c r="I134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7" s="240">
        <f ca="1">Tabella8[[#This Row],[Colonna7]]*Tabella8[[#This Row],[Colonna4]]/100</f>
        <v>19181.664515724293</v>
      </c>
    </row>
    <row r="1348" spans="2:10">
      <c r="B1348" s="92" t="s">
        <v>143</v>
      </c>
      <c r="C1348" s="91" t="s">
        <v>506</v>
      </c>
      <c r="D1348" s="93">
        <v>112</v>
      </c>
      <c r="E1348" s="93">
        <v>111</v>
      </c>
      <c r="F1348" s="103">
        <f>IFERROR(INDEX(Tabella9[PLZ],MATCH(Tabella8[[#This Row],[Colonna2]],Tabella9[Ortschaftsname],0)), "Name not found")</f>
        <v>5722</v>
      </c>
      <c r="G1348" s="103"/>
      <c r="H1348" s="240">
        <f ca="1">SUMIF(Tabella2[[#Headers],[#Data],[Age]],$H$76,Tabella2[[#Headers],[#Data],[Federal taxes]])</f>
        <v>6804.3246087429152</v>
      </c>
      <c r="I134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8" s="240">
        <f ca="1">Tabella8[[#This Row],[Colonna7]]*Tabella8[[#This Row],[Colonna4]]/100</f>
        <v>18197.989412353814</v>
      </c>
    </row>
    <row r="1349" spans="2:10">
      <c r="B1349" s="92" t="s">
        <v>143</v>
      </c>
      <c r="C1349" s="91" t="s">
        <v>682</v>
      </c>
      <c r="D1349" s="93">
        <v>112</v>
      </c>
      <c r="E1349" s="93">
        <v>82</v>
      </c>
      <c r="F1349" s="103">
        <f>IFERROR(INDEX(Tabella9[PLZ],MATCH(Tabella8[[#This Row],[Colonna2]],Tabella9[Ortschaftsname],0)), "Name not found")</f>
        <v>5245</v>
      </c>
      <c r="G1349" s="103"/>
      <c r="H1349" s="240">
        <f ca="1">SUMIF(Tabella2[[#Headers],[#Data],[Age]],$H$76,Tabella2[[#Headers],[#Data],[Federal taxes]])</f>
        <v>6804.3246087429152</v>
      </c>
      <c r="I134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49" s="240">
        <f ca="1">Tabella8[[#This Row],[Colonna7]]*Tabella8[[#This Row],[Colonna4]]/100</f>
        <v>13443.55974606318</v>
      </c>
    </row>
    <row r="1350" spans="2:10">
      <c r="B1350" s="92" t="s">
        <v>143</v>
      </c>
      <c r="C1350" s="91" t="s">
        <v>656</v>
      </c>
      <c r="D1350" s="93">
        <v>112</v>
      </c>
      <c r="E1350" s="93">
        <v>127</v>
      </c>
      <c r="F1350" s="103">
        <f>IFERROR(INDEX(Tabella9[PLZ],MATCH(Tabella8[[#This Row],[Colonna2]],Tabella9[Ortschaftsname],0)), "Name not found")</f>
        <v>5705</v>
      </c>
      <c r="G1350" s="103"/>
      <c r="H1350" s="240">
        <f ca="1">SUMIF(Tabella2[[#Headers],[#Data],[Age]],$H$76,Tabella2[[#Headers],[#Data],[Federal taxes]])</f>
        <v>6804.3246087429152</v>
      </c>
      <c r="I135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0" s="240">
        <f ca="1">Tabella8[[#This Row],[Colonna7]]*Tabella8[[#This Row],[Colonna4]]/100</f>
        <v>20821.123021341755</v>
      </c>
    </row>
    <row r="1351" spans="2:10">
      <c r="B1351" s="92" t="s">
        <v>143</v>
      </c>
      <c r="C1351" s="91" t="s">
        <v>548</v>
      </c>
      <c r="D1351" s="93">
        <v>112</v>
      </c>
      <c r="E1351" s="93">
        <v>110</v>
      </c>
      <c r="F1351" s="103">
        <v>5212</v>
      </c>
      <c r="G1351" s="103"/>
      <c r="H1351" s="240">
        <f ca="1">SUMIF(Tabella2[[#Headers],[#Data],[Age]],$H$76,Tabella2[[#Headers],[#Data],[Federal taxes]])</f>
        <v>6804.3246087429152</v>
      </c>
      <c r="I135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1" s="240">
        <f ca="1">Tabella8[[#This Row],[Colonna7]]*Tabella8[[#This Row],[Colonna4]]/100</f>
        <v>18034.04356179207</v>
      </c>
    </row>
    <row r="1352" spans="2:10">
      <c r="B1352" s="92" t="s">
        <v>143</v>
      </c>
      <c r="C1352" s="91" t="s">
        <v>665</v>
      </c>
      <c r="D1352" s="93">
        <v>112</v>
      </c>
      <c r="E1352" s="93">
        <v>120</v>
      </c>
      <c r="F1352" s="103">
        <f>IFERROR(INDEX(Tabella9[PLZ],MATCH(Tabella8[[#This Row],[Colonna2]],Tabella9[Ortschaftsname],0)), "Name not found")</f>
        <v>4316</v>
      </c>
      <c r="G1352" s="103"/>
      <c r="H1352" s="240">
        <f ca="1">SUMIF(Tabella2[[#Headers],[#Data],[Age]],$H$76,Tabella2[[#Headers],[#Data],[Federal taxes]])</f>
        <v>6804.3246087429152</v>
      </c>
      <c r="I135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2" s="240">
        <f ca="1">Tabella8[[#This Row],[Colonna7]]*Tabella8[[#This Row],[Colonna4]]/100</f>
        <v>19673.502067409529</v>
      </c>
    </row>
    <row r="1353" spans="2:10">
      <c r="B1353" s="92" t="s">
        <v>143</v>
      </c>
      <c r="C1353" s="91" t="s">
        <v>627</v>
      </c>
      <c r="D1353" s="93">
        <v>112</v>
      </c>
      <c r="E1353" s="93">
        <v>125</v>
      </c>
      <c r="F1353" s="103">
        <f>IFERROR(INDEX(Tabella9[PLZ],MATCH(Tabella8[[#This Row],[Colonna2]],Tabella9[Ortschaftsname],0)), "Name not found")</f>
        <v>5604</v>
      </c>
      <c r="G1353" s="103"/>
      <c r="H1353" s="240">
        <f ca="1">SUMIF(Tabella2[[#Headers],[#Data],[Age]],$H$76,Tabella2[[#Headers],[#Data],[Federal taxes]])</f>
        <v>6804.3246087429152</v>
      </c>
      <c r="I135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3" s="240">
        <f ca="1">Tabella8[[#This Row],[Colonna7]]*Tabella8[[#This Row],[Colonna4]]/100</f>
        <v>20493.231320218259</v>
      </c>
    </row>
    <row r="1354" spans="2:10">
      <c r="B1354" s="92" t="s">
        <v>143</v>
      </c>
      <c r="C1354" s="91" t="s">
        <v>2673</v>
      </c>
      <c r="D1354" s="93">
        <v>112</v>
      </c>
      <c r="E1354" s="93">
        <v>110</v>
      </c>
      <c r="F1354" s="103">
        <v>5027</v>
      </c>
      <c r="G1354" s="103"/>
      <c r="H1354" s="240">
        <f ca="1">SUMIF(Tabella2[[#Headers],[#Data],[Age]],$H$76,Tabella2[[#Headers],[#Data],[Federal taxes]])</f>
        <v>6804.3246087429152</v>
      </c>
      <c r="I135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4" s="240">
        <f ca="1">Tabella8[[#This Row],[Colonna7]]*Tabella8[[#This Row],[Colonna4]]/100</f>
        <v>18034.04356179207</v>
      </c>
    </row>
    <row r="1355" spans="2:10">
      <c r="B1355" s="92" t="s">
        <v>143</v>
      </c>
      <c r="C1355" s="91" t="s">
        <v>601</v>
      </c>
      <c r="D1355" s="93">
        <v>112</v>
      </c>
      <c r="E1355" s="93">
        <v>100</v>
      </c>
      <c r="F1355" s="103">
        <f>IFERROR(INDEX(Tabella9[PLZ],MATCH(Tabella8[[#This Row],[Colonna2]],Tabella9[Ortschaftsname],0)), "Name not found")</f>
        <v>5042</v>
      </c>
      <c r="G1355" s="103"/>
      <c r="H1355" s="240">
        <f ca="1">SUMIF(Tabella2[[#Headers],[#Data],[Age]],$H$76,Tabella2[[#Headers],[#Data],[Federal taxes]])</f>
        <v>6804.3246087429152</v>
      </c>
      <c r="I135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5" s="240">
        <f ca="1">Tabella8[[#This Row],[Colonna7]]*Tabella8[[#This Row],[Colonna4]]/100</f>
        <v>16394.585056174608</v>
      </c>
    </row>
    <row r="1356" spans="2:10">
      <c r="B1356" s="92" t="s">
        <v>143</v>
      </c>
      <c r="C1356" s="91" t="s">
        <v>629</v>
      </c>
      <c r="D1356" s="93">
        <v>112</v>
      </c>
      <c r="E1356" s="93">
        <v>98</v>
      </c>
      <c r="F1356" s="103">
        <v>5113</v>
      </c>
      <c r="G1356" s="103"/>
      <c r="H1356" s="240">
        <f ca="1">SUMIF(Tabella2[[#Headers],[#Data],[Age]],$H$76,Tabella2[[#Headers],[#Data],[Federal taxes]])</f>
        <v>6804.3246087429152</v>
      </c>
      <c r="I135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6" s="240">
        <f ca="1">Tabella8[[#This Row],[Colonna7]]*Tabella8[[#This Row],[Colonna4]]/100</f>
        <v>16066.693355051117</v>
      </c>
    </row>
    <row r="1357" spans="2:10">
      <c r="B1357" s="92" t="s">
        <v>143</v>
      </c>
      <c r="C1357" s="91" t="s">
        <v>619</v>
      </c>
      <c r="D1357" s="93">
        <v>112</v>
      </c>
      <c r="E1357" s="93">
        <v>106</v>
      </c>
      <c r="F1357" s="103">
        <f>IFERROR(INDEX(Tabella9[PLZ],MATCH(Tabella8[[#This Row],[Colonna2]],Tabella9[Ortschaftsname],0)), "Name not found")</f>
        <v>5043</v>
      </c>
      <c r="G1357" s="103"/>
      <c r="H1357" s="240">
        <f ca="1">SUMIF(Tabella2[[#Headers],[#Data],[Age]],$H$76,Tabella2[[#Headers],[#Data],[Federal taxes]])</f>
        <v>6804.3246087429152</v>
      </c>
      <c r="I135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7" s="240">
        <f ca="1">Tabella8[[#This Row],[Colonna7]]*Tabella8[[#This Row],[Colonna4]]/100</f>
        <v>17378.260159545083</v>
      </c>
    </row>
    <row r="1358" spans="2:10">
      <c r="B1358" s="92" t="s">
        <v>143</v>
      </c>
      <c r="C1358" s="91" t="s">
        <v>536</v>
      </c>
      <c r="D1358" s="93">
        <v>112</v>
      </c>
      <c r="E1358" s="93">
        <v>102</v>
      </c>
      <c r="F1358" s="103">
        <f>IFERROR(INDEX(Tabella9[PLZ],MATCH(Tabella8[[#This Row],[Colonna2]],Tabella9[Ortschaftsname],0)), "Name not found")</f>
        <v>5502</v>
      </c>
      <c r="G1358" s="103"/>
      <c r="H1358" s="240">
        <f ca="1">SUMIF(Tabella2[[#Headers],[#Data],[Age]],$H$76,Tabella2[[#Headers],[#Data],[Federal taxes]])</f>
        <v>6804.3246087429152</v>
      </c>
      <c r="I135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8" s="240">
        <f ca="1">Tabella8[[#This Row],[Colonna7]]*Tabella8[[#This Row],[Colonna4]]/100</f>
        <v>16722.4767572981</v>
      </c>
    </row>
    <row r="1359" spans="2:10">
      <c r="B1359" s="92" t="s">
        <v>143</v>
      </c>
      <c r="C1359" s="91" t="s">
        <v>573</v>
      </c>
      <c r="D1359" s="93">
        <v>112</v>
      </c>
      <c r="E1359" s="93">
        <v>114</v>
      </c>
      <c r="F1359" s="103">
        <f>IFERROR(INDEX(Tabella9[PLZ],MATCH(Tabella8[[#This Row],[Colonna2]],Tabella9[Ortschaftsname],0)), "Name not found")</f>
        <v>5607</v>
      </c>
      <c r="G1359" s="103"/>
      <c r="H1359" s="240">
        <f ca="1">SUMIF(Tabella2[[#Headers],[#Data],[Age]],$H$76,Tabella2[[#Headers],[#Data],[Federal taxes]])</f>
        <v>6804.3246087429152</v>
      </c>
      <c r="I135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59" s="240">
        <f ca="1">Tabella8[[#This Row],[Colonna7]]*Tabella8[[#This Row],[Colonna4]]/100</f>
        <v>18689.826964039054</v>
      </c>
    </row>
    <row r="1360" spans="2:10">
      <c r="B1360" s="92" t="s">
        <v>143</v>
      </c>
      <c r="C1360" s="91" t="s">
        <v>676</v>
      </c>
      <c r="D1360" s="93">
        <v>112</v>
      </c>
      <c r="E1360" s="93">
        <v>92</v>
      </c>
      <c r="F1360" s="103">
        <f>IFERROR(INDEX(Tabella9[PLZ],MATCH(Tabella8[[#This Row],[Colonna2]],Tabella9[Ortschaftsname],0)), "Name not found")</f>
        <v>8905</v>
      </c>
      <c r="G1360" s="103"/>
      <c r="H1360" s="240">
        <f ca="1">SUMIF(Tabella2[[#Headers],[#Data],[Age]],$H$76,Tabella2[[#Headers],[#Data],[Federal taxes]])</f>
        <v>6804.3246087429152</v>
      </c>
      <c r="I136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0" s="240">
        <f ca="1">Tabella8[[#This Row],[Colonna7]]*Tabella8[[#This Row],[Colonna4]]/100</f>
        <v>15083.018251680638</v>
      </c>
    </row>
    <row r="1361" spans="2:10">
      <c r="B1361" s="92" t="s">
        <v>143</v>
      </c>
      <c r="C1361" s="91" t="s">
        <v>587</v>
      </c>
      <c r="D1361" s="93">
        <v>112</v>
      </c>
      <c r="E1361" s="93">
        <v>87</v>
      </c>
      <c r="F1361" s="103">
        <f>IFERROR(INDEX(Tabella9[PLZ],MATCH(Tabella8[[#This Row],[Colonna2]],Tabella9[Ortschaftsname],0)), "Name not found")</f>
        <v>8916</v>
      </c>
      <c r="G1361" s="103"/>
      <c r="H1361" s="240">
        <f ca="1">SUMIF(Tabella2[[#Headers],[#Data],[Age]],$H$76,Tabella2[[#Headers],[#Data],[Federal taxes]])</f>
        <v>6804.3246087429152</v>
      </c>
      <c r="I136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1" s="240">
        <f ca="1">Tabella8[[#This Row],[Colonna7]]*Tabella8[[#This Row],[Colonna4]]/100</f>
        <v>14263.288998871909</v>
      </c>
    </row>
    <row r="1362" spans="2:10">
      <c r="B1362" s="92" t="s">
        <v>143</v>
      </c>
      <c r="C1362" s="91" t="s">
        <v>513</v>
      </c>
      <c r="D1362" s="93">
        <v>112</v>
      </c>
      <c r="E1362" s="93">
        <v>60</v>
      </c>
      <c r="F1362" s="103">
        <f>IFERROR(INDEX(Tabella9[PLZ],MATCH(Tabella8[[#This Row],[Colonna2]],Tabella9[Ortschaftsname],0)), "Name not found")</f>
        <v>4303</v>
      </c>
      <c r="G1362" s="103"/>
      <c r="H1362" s="240">
        <f ca="1">SUMIF(Tabella2[[#Headers],[#Data],[Age]],$H$76,Tabella2[[#Headers],[#Data],[Federal taxes]])</f>
        <v>6804.3246087429152</v>
      </c>
      <c r="I136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2" s="240">
        <f ca="1">Tabella8[[#This Row],[Colonna7]]*Tabella8[[#This Row],[Colonna4]]/100</f>
        <v>9836.7510337047643</v>
      </c>
    </row>
    <row r="1363" spans="2:10">
      <c r="B1363" s="92" t="s">
        <v>143</v>
      </c>
      <c r="C1363" s="91" t="s">
        <v>571</v>
      </c>
      <c r="D1363" s="93">
        <v>112</v>
      </c>
      <c r="E1363" s="93">
        <v>102</v>
      </c>
      <c r="F1363" s="103">
        <f>IFERROR(INDEX(Tabella9[PLZ],MATCH(Tabella8[[#This Row],[Colonna2]],Tabella9[Ortschaftsname],0)), "Name not found")</f>
        <v>5082</v>
      </c>
      <c r="G1363" s="103"/>
      <c r="H1363" s="240">
        <f ca="1">SUMIF(Tabella2[[#Headers],[#Data],[Age]],$H$76,Tabella2[[#Headers],[#Data],[Federal taxes]])</f>
        <v>6804.3246087429152</v>
      </c>
      <c r="I136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3" s="240">
        <f ca="1">Tabella8[[#This Row],[Colonna7]]*Tabella8[[#This Row],[Colonna4]]/100</f>
        <v>16722.4767572981</v>
      </c>
    </row>
    <row r="1364" spans="2:10">
      <c r="B1364" s="92" t="s">
        <v>143</v>
      </c>
      <c r="C1364" s="91" t="s">
        <v>685</v>
      </c>
      <c r="D1364" s="93">
        <v>112</v>
      </c>
      <c r="E1364" s="93">
        <v>102</v>
      </c>
      <c r="F1364" s="103">
        <f>IFERROR(INDEX(Tabella9[PLZ],MATCH(Tabella8[[#This Row],[Colonna2]],Tabella9[Ortschaftsname],0)), "Name not found")</f>
        <v>5625</v>
      </c>
      <c r="G1364" s="103"/>
      <c r="H1364" s="240">
        <f ca="1">SUMIF(Tabella2[[#Headers],[#Data],[Age]],$H$76,Tabella2[[#Headers],[#Data],[Federal taxes]])</f>
        <v>6804.3246087429152</v>
      </c>
      <c r="I136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4" s="240">
        <f ca="1">Tabella8[[#This Row],[Colonna7]]*Tabella8[[#This Row],[Colonna4]]/100</f>
        <v>16722.4767572981</v>
      </c>
    </row>
    <row r="1365" spans="2:10">
      <c r="B1365" s="92" t="s">
        <v>143</v>
      </c>
      <c r="C1365" s="91" t="s">
        <v>586</v>
      </c>
      <c r="D1365" s="93">
        <v>112</v>
      </c>
      <c r="E1365" s="93">
        <v>105</v>
      </c>
      <c r="F1365" s="103">
        <f>IFERROR(INDEX(Tabella9[PLZ],MATCH(Tabella8[[#This Row],[Colonna2]],Tabella9[Ortschaftsname],0)), "Name not found")</f>
        <v>8956</v>
      </c>
      <c r="G1365" s="103"/>
      <c r="H1365" s="240">
        <f ca="1">SUMIF(Tabella2[[#Headers],[#Data],[Age]],$H$76,Tabella2[[#Headers],[#Data],[Federal taxes]])</f>
        <v>6804.3246087429152</v>
      </c>
      <c r="I136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5" s="240">
        <f ca="1">Tabella8[[#This Row],[Colonna7]]*Tabella8[[#This Row],[Colonna4]]/100</f>
        <v>17214.314308983339</v>
      </c>
    </row>
    <row r="1366" spans="2:10">
      <c r="B1366" s="92" t="s">
        <v>143</v>
      </c>
      <c r="C1366" s="91" t="s">
        <v>658</v>
      </c>
      <c r="D1366" s="93">
        <v>112</v>
      </c>
      <c r="E1366" s="93">
        <v>123</v>
      </c>
      <c r="F1366" s="103">
        <f>IFERROR(INDEX(Tabella9[PLZ],MATCH(Tabella8[[#This Row],[Colonna2]],Tabella9[Ortschaftsname],0)), "Name not found")</f>
        <v>5054</v>
      </c>
      <c r="G1366" s="103"/>
      <c r="H1366" s="240">
        <f ca="1">SUMIF(Tabella2[[#Headers],[#Data],[Age]],$H$76,Tabella2[[#Headers],[#Data],[Federal taxes]])</f>
        <v>6804.3246087429152</v>
      </c>
      <c r="I136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6" s="240">
        <f ca="1">Tabella8[[#This Row],[Colonna7]]*Tabella8[[#This Row],[Colonna4]]/100</f>
        <v>20165.339619094768</v>
      </c>
    </row>
    <row r="1367" spans="2:10">
      <c r="B1367" s="92" t="s">
        <v>143</v>
      </c>
      <c r="C1367" s="91" t="s">
        <v>552</v>
      </c>
      <c r="D1367" s="93">
        <v>112</v>
      </c>
      <c r="E1367" s="93">
        <v>114</v>
      </c>
      <c r="F1367" s="103">
        <f>IFERROR(INDEX(Tabella9[PLZ],MATCH(Tabella8[[#This Row],[Colonna2]],Tabella9[Ortschaftsname],0)), "Name not found")</f>
        <v>5313</v>
      </c>
      <c r="G1367" s="103"/>
      <c r="H1367" s="240">
        <f ca="1">SUMIF(Tabella2[[#Headers],[#Data],[Age]],$H$76,Tabella2[[#Headers],[#Data],[Federal taxes]])</f>
        <v>6804.3246087429152</v>
      </c>
      <c r="I136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7" s="240">
        <f ca="1">Tabella8[[#This Row],[Colonna7]]*Tabella8[[#This Row],[Colonna4]]/100</f>
        <v>18689.826964039054</v>
      </c>
    </row>
    <row r="1368" spans="2:10">
      <c r="B1368" s="92" t="s">
        <v>143</v>
      </c>
      <c r="C1368" s="91" t="s">
        <v>595</v>
      </c>
      <c r="D1368" s="93">
        <v>112</v>
      </c>
      <c r="E1368" s="93">
        <v>118</v>
      </c>
      <c r="F1368" s="103">
        <f>IFERROR(INDEX(Tabella9[PLZ],MATCH(Tabella8[[#This Row],[Colonna2]],Tabella9[Ortschaftsname],0)), "Name not found")</f>
        <v>5322</v>
      </c>
      <c r="G1368" s="103"/>
      <c r="H1368" s="240">
        <f ca="1">SUMIF(Tabella2[[#Headers],[#Data],[Age]],$H$76,Tabella2[[#Headers],[#Data],[Federal taxes]])</f>
        <v>6804.3246087429152</v>
      </c>
      <c r="I136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8" s="240">
        <f ca="1">Tabella8[[#This Row],[Colonna7]]*Tabella8[[#This Row],[Colonna4]]/100</f>
        <v>19345.610366286037</v>
      </c>
    </row>
    <row r="1369" spans="2:10">
      <c r="B1369" s="92" t="s">
        <v>143</v>
      </c>
      <c r="C1369" s="91" t="s">
        <v>529</v>
      </c>
      <c r="D1369" s="93">
        <v>112</v>
      </c>
      <c r="E1369" s="93">
        <v>114</v>
      </c>
      <c r="F1369" s="103">
        <f>IFERROR(INDEX(Tabella9[PLZ],MATCH(Tabella8[[#This Row],[Colonna2]],Tabella9[Ortschaftsname],0)), "Name not found")</f>
        <v>5742</v>
      </c>
      <c r="G1369" s="103"/>
      <c r="H1369" s="240">
        <f ca="1">SUMIF(Tabella2[[#Headers],[#Data],[Age]],$H$76,Tabella2[[#Headers],[#Data],[Federal taxes]])</f>
        <v>6804.3246087429152</v>
      </c>
      <c r="I136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69" s="240">
        <f ca="1">Tabella8[[#This Row],[Colonna7]]*Tabella8[[#This Row],[Colonna4]]/100</f>
        <v>18689.826964039054</v>
      </c>
    </row>
    <row r="1370" spans="2:10">
      <c r="B1370" s="92" t="s">
        <v>143</v>
      </c>
      <c r="C1370" s="91" t="s">
        <v>594</v>
      </c>
      <c r="D1370" s="93">
        <v>112</v>
      </c>
      <c r="E1370" s="93">
        <v>104</v>
      </c>
      <c r="F1370" s="103">
        <f>IFERROR(INDEX(Tabella9[PLZ],MATCH(Tabella8[[#This Row],[Colonna2]],Tabella9[Ortschaftsname],0)), "Name not found")</f>
        <v>5444</v>
      </c>
      <c r="G1370" s="103"/>
      <c r="H1370" s="240">
        <f ca="1">SUMIF(Tabella2[[#Headers],[#Data],[Age]],$H$76,Tabella2[[#Headers],[#Data],[Federal taxes]])</f>
        <v>6804.3246087429152</v>
      </c>
      <c r="I137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0" s="240">
        <f ca="1">Tabella8[[#This Row],[Colonna7]]*Tabella8[[#This Row],[Colonna4]]/100</f>
        <v>17050.368458421595</v>
      </c>
    </row>
    <row r="1371" spans="2:10">
      <c r="B1371" s="92" t="s">
        <v>143</v>
      </c>
      <c r="C1371" s="91" t="s">
        <v>512</v>
      </c>
      <c r="D1371" s="93">
        <v>112</v>
      </c>
      <c r="E1371" s="93">
        <v>100</v>
      </c>
      <c r="F1371" s="103">
        <f>IFERROR(INDEX(Tabella9[PLZ],MATCH(Tabella8[[#This Row],[Colonna2]],Tabella9[Ortschaftsname],0)), "Name not found")</f>
        <v>5024</v>
      </c>
      <c r="G1371" s="103"/>
      <c r="H1371" s="240">
        <f ca="1">SUMIF(Tabella2[[#Headers],[#Data],[Age]],$H$76,Tabella2[[#Headers],[#Data],[Federal taxes]])</f>
        <v>6804.3246087429152</v>
      </c>
      <c r="I137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1" s="240">
        <f ca="1">Tabella8[[#This Row],[Colonna7]]*Tabella8[[#This Row],[Colonna4]]/100</f>
        <v>16394.585056174608</v>
      </c>
    </row>
    <row r="1372" spans="2:10">
      <c r="B1372" s="92" t="s">
        <v>143</v>
      </c>
      <c r="C1372" s="91" t="s">
        <v>547</v>
      </c>
      <c r="D1372" s="93">
        <v>112</v>
      </c>
      <c r="E1372" s="93">
        <v>108</v>
      </c>
      <c r="F1372" s="103">
        <f>IFERROR(INDEX(Tabella9[PLZ],MATCH(Tabella8[[#This Row],[Colonna2]],Tabella9[Ortschaftsname],0)), "Name not found")</f>
        <v>5080</v>
      </c>
      <c r="G1372" s="103"/>
      <c r="H1372" s="240">
        <f ca="1">SUMIF(Tabella2[[#Headers],[#Data],[Age]],$H$76,Tabella2[[#Headers],[#Data],[Federal taxes]])</f>
        <v>6804.3246087429152</v>
      </c>
      <c r="I137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2" s="240">
        <f ca="1">Tabella8[[#This Row],[Colonna7]]*Tabella8[[#This Row],[Colonna4]]/100</f>
        <v>17706.151860668579</v>
      </c>
    </row>
    <row r="1373" spans="2:10">
      <c r="B1373" s="92" t="s">
        <v>143</v>
      </c>
      <c r="C1373" s="91" t="s">
        <v>624</v>
      </c>
      <c r="D1373" s="93">
        <v>112</v>
      </c>
      <c r="E1373" s="93">
        <v>102</v>
      </c>
      <c r="F1373" s="103">
        <f>IFERROR(INDEX(Tabella9[PLZ],MATCH(Tabella8[[#This Row],[Colonna2]],Tabella9[Ortschaftsname],0)), "Name not found")</f>
        <v>5325</v>
      </c>
      <c r="G1373" s="103"/>
      <c r="H1373" s="240">
        <f ca="1">SUMIF(Tabella2[[#Headers],[#Data],[Age]],$H$76,Tabella2[[#Headers],[#Data],[Federal taxes]])</f>
        <v>6804.3246087429152</v>
      </c>
      <c r="I137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3" s="240">
        <f ca="1">Tabella8[[#This Row],[Colonna7]]*Tabella8[[#This Row],[Colonna4]]/100</f>
        <v>16722.4767572981</v>
      </c>
    </row>
    <row r="1374" spans="2:10">
      <c r="B1374" s="92" t="s">
        <v>143</v>
      </c>
      <c r="C1374" s="91" t="s">
        <v>681</v>
      </c>
      <c r="D1374" s="93">
        <v>112</v>
      </c>
      <c r="E1374" s="93">
        <v>122</v>
      </c>
      <c r="F1374" s="103">
        <v>5733</v>
      </c>
      <c r="G1374" s="103"/>
      <c r="H1374" s="240">
        <f ca="1">SUMIF(Tabella2[[#Headers],[#Data],[Age]],$H$76,Tabella2[[#Headers],[#Data],[Federal taxes]])</f>
        <v>6804.3246087429152</v>
      </c>
      <c r="I137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4" s="240">
        <f ca="1">Tabella8[[#This Row],[Colonna7]]*Tabella8[[#This Row],[Colonna4]]/100</f>
        <v>20001.39376853302</v>
      </c>
    </row>
    <row r="1375" spans="2:10">
      <c r="B1375" s="92" t="s">
        <v>143</v>
      </c>
      <c r="C1375" s="91" t="s">
        <v>569</v>
      </c>
      <c r="D1375" s="93">
        <v>112</v>
      </c>
      <c r="E1375" s="93">
        <v>103</v>
      </c>
      <c r="F1375" s="103">
        <v>5426</v>
      </c>
      <c r="G1375" s="103"/>
      <c r="H1375" s="240">
        <f ca="1">SUMIF(Tabella2[[#Headers],[#Data],[Age]],$H$76,Tabella2[[#Headers],[#Data],[Federal taxes]])</f>
        <v>6804.3246087429152</v>
      </c>
      <c r="I137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5" s="240">
        <f ca="1">Tabella8[[#This Row],[Colonna7]]*Tabella8[[#This Row],[Colonna4]]/100</f>
        <v>16886.422607859844</v>
      </c>
    </row>
    <row r="1376" spans="2:10">
      <c r="B1376" s="92" t="s">
        <v>143</v>
      </c>
      <c r="C1376" s="91" t="s">
        <v>495</v>
      </c>
      <c r="D1376" s="93">
        <v>112</v>
      </c>
      <c r="E1376" s="93">
        <v>105</v>
      </c>
      <c r="F1376" s="103">
        <f>IFERROR(INDEX(Tabella9[PLZ],MATCH(Tabella8[[#This Row],[Colonna2]],Tabella9[Ortschaftsname],0)), "Name not found")</f>
        <v>5600</v>
      </c>
      <c r="G1376" s="103"/>
      <c r="H1376" s="240">
        <f ca="1">SUMIF(Tabella2[[#Headers],[#Data],[Age]],$H$76,Tabella2[[#Headers],[#Data],[Federal taxes]])</f>
        <v>6804.3246087429152</v>
      </c>
      <c r="I137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6" s="240">
        <f ca="1">Tabella8[[#This Row],[Colonna7]]*Tabella8[[#This Row],[Colonna4]]/100</f>
        <v>17214.314308983339</v>
      </c>
    </row>
    <row r="1377" spans="2:10">
      <c r="B1377" s="92" t="s">
        <v>143</v>
      </c>
      <c r="C1377" s="91" t="s">
        <v>580</v>
      </c>
      <c r="D1377" s="93">
        <v>112</v>
      </c>
      <c r="E1377" s="93">
        <v>107</v>
      </c>
      <c r="F1377" s="103">
        <f>IFERROR(INDEX(Tabella9[PLZ],MATCH(Tabella8[[#This Row],[Colonna2]],Tabella9[Ortschaftsname],0)), "Name not found")</f>
        <v>5316</v>
      </c>
      <c r="G1377" s="103"/>
      <c r="H1377" s="240">
        <f ca="1">SUMIF(Tabella2[[#Headers],[#Data],[Age]],$H$76,Tabella2[[#Headers],[#Data],[Federal taxes]])</f>
        <v>6804.3246087429152</v>
      </c>
      <c r="I137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7" s="240">
        <f ca="1">Tabella8[[#This Row],[Colonna7]]*Tabella8[[#This Row],[Colonna4]]/100</f>
        <v>17542.206010106831</v>
      </c>
    </row>
    <row r="1378" spans="2:10">
      <c r="B1378" s="92" t="s">
        <v>143</v>
      </c>
      <c r="C1378" s="91" t="s">
        <v>666</v>
      </c>
      <c r="D1378" s="93">
        <v>112</v>
      </c>
      <c r="E1378" s="93">
        <v>121</v>
      </c>
      <c r="F1378" s="103">
        <f>IFERROR(INDEX(Tabella9[PLZ],MATCH(Tabella8[[#This Row],[Colonna2]],Tabella9[Ortschaftsname],0)), "Name not found")</f>
        <v>5725</v>
      </c>
      <c r="G1378" s="103"/>
      <c r="H1378" s="240">
        <f ca="1">SUMIF(Tabella2[[#Headers],[#Data],[Age]],$H$76,Tabella2[[#Headers],[#Data],[Federal taxes]])</f>
        <v>6804.3246087429152</v>
      </c>
      <c r="I137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8" s="240">
        <f ca="1">Tabella8[[#This Row],[Colonna7]]*Tabella8[[#This Row],[Colonna4]]/100</f>
        <v>19837.447917971276</v>
      </c>
    </row>
    <row r="1379" spans="2:10">
      <c r="B1379" s="92" t="s">
        <v>143</v>
      </c>
      <c r="C1379" s="91" t="s">
        <v>557</v>
      </c>
      <c r="D1379" s="93">
        <v>112</v>
      </c>
      <c r="E1379" s="93">
        <v>110</v>
      </c>
      <c r="F1379" s="103">
        <f>IFERROR(INDEX(Tabella9[PLZ],MATCH(Tabella8[[#This Row],[Colonna2]],Tabella9[Ortschaftsname],0)), "Name not found")</f>
        <v>5242</v>
      </c>
      <c r="G1379" s="103"/>
      <c r="H1379" s="240">
        <f ca="1">SUMIF(Tabella2[[#Headers],[#Data],[Age]],$H$76,Tabella2[[#Headers],[#Data],[Federal taxes]])</f>
        <v>6804.3246087429152</v>
      </c>
      <c r="I137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79" s="240">
        <f ca="1">Tabella8[[#This Row],[Colonna7]]*Tabella8[[#This Row],[Colonna4]]/100</f>
        <v>18034.04356179207</v>
      </c>
    </row>
    <row r="1380" spans="2:10">
      <c r="B1380" s="92" t="s">
        <v>143</v>
      </c>
      <c r="C1380" s="91" t="s">
        <v>540</v>
      </c>
      <c r="D1380" s="93">
        <v>112</v>
      </c>
      <c r="E1380" s="93">
        <v>95</v>
      </c>
      <c r="F1380" s="103">
        <f>IFERROR(INDEX(Tabella9[PLZ],MATCH(Tabella8[[#This Row],[Colonna2]],Tabella9[Ortschaftsname],0)), "Name not found")</f>
        <v>4312</v>
      </c>
      <c r="G1380" s="103"/>
      <c r="H1380" s="240">
        <f ca="1">SUMIF(Tabella2[[#Headers],[#Data],[Age]],$H$76,Tabella2[[#Headers],[#Data],[Federal taxes]])</f>
        <v>6804.3246087429152</v>
      </c>
      <c r="I138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0" s="240">
        <f ca="1">Tabella8[[#This Row],[Colonna7]]*Tabella8[[#This Row],[Colonna4]]/100</f>
        <v>15574.855803365877</v>
      </c>
    </row>
    <row r="1381" spans="2:10">
      <c r="B1381" s="92" t="s">
        <v>143</v>
      </c>
      <c r="C1381" s="91" t="s">
        <v>688</v>
      </c>
      <c r="D1381" s="93">
        <v>112</v>
      </c>
      <c r="E1381" s="93">
        <v>117</v>
      </c>
      <c r="F1381" s="103">
        <f>IFERROR(INDEX(Tabella9[PLZ],MATCH(Tabella8[[#This Row],[Colonna2]],Tabella9[Ortschaftsname],0)), "Name not found")</f>
        <v>5318</v>
      </c>
      <c r="G1381" s="103"/>
      <c r="H1381" s="240">
        <f ca="1">SUMIF(Tabella2[[#Headers],[#Data],[Age]],$H$76,Tabella2[[#Headers],[#Data],[Federal taxes]])</f>
        <v>6804.3246087429152</v>
      </c>
      <c r="I138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1" s="240">
        <f ca="1">Tabella8[[#This Row],[Colonna7]]*Tabella8[[#This Row],[Colonna4]]/100</f>
        <v>19181.664515724293</v>
      </c>
    </row>
    <row r="1382" spans="2:10">
      <c r="B1382" s="92" t="s">
        <v>143</v>
      </c>
      <c r="C1382" s="91" t="s">
        <v>561</v>
      </c>
      <c r="D1382" s="93">
        <v>112</v>
      </c>
      <c r="E1382" s="93">
        <v>60</v>
      </c>
      <c r="F1382" s="103">
        <f>IFERROR(INDEX(Tabella9[PLZ],MATCH(Tabella8[[#This Row],[Colonna2]],Tabella9[Ortschaftsname],0)), "Name not found")</f>
        <v>5616</v>
      </c>
      <c r="G1382" s="103"/>
      <c r="H1382" s="240">
        <f ca="1">SUMIF(Tabella2[[#Headers],[#Data],[Age]],$H$76,Tabella2[[#Headers],[#Data],[Federal taxes]])</f>
        <v>6804.3246087429152</v>
      </c>
      <c r="I138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2" s="240">
        <f ca="1">Tabella8[[#This Row],[Colonna7]]*Tabella8[[#This Row],[Colonna4]]/100</f>
        <v>9836.7510337047643</v>
      </c>
    </row>
    <row r="1383" spans="2:10">
      <c r="B1383" s="92" t="s">
        <v>143</v>
      </c>
      <c r="C1383" s="91" t="s">
        <v>692</v>
      </c>
      <c r="D1383" s="93">
        <v>112</v>
      </c>
      <c r="E1383" s="93">
        <v>127</v>
      </c>
      <c r="F1383" s="103">
        <f>IFERROR(INDEX(Tabella9[PLZ],MATCH(Tabella8[[#This Row],[Colonna2]],Tabella9[Ortschaftsname],0)), "Name not found")</f>
        <v>5465</v>
      </c>
      <c r="G1383" s="103"/>
      <c r="H1383" s="240">
        <f ca="1">SUMIF(Tabella2[[#Headers],[#Data],[Age]],$H$76,Tabella2[[#Headers],[#Data],[Federal taxes]])</f>
        <v>6804.3246087429152</v>
      </c>
      <c r="I138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3" s="240">
        <f ca="1">Tabella8[[#This Row],[Colonna7]]*Tabella8[[#This Row],[Colonna4]]/100</f>
        <v>20821.123021341755</v>
      </c>
    </row>
    <row r="1384" spans="2:10">
      <c r="B1384" s="92" t="s">
        <v>143</v>
      </c>
      <c r="C1384" s="91" t="s">
        <v>516</v>
      </c>
      <c r="D1384" s="93">
        <v>112</v>
      </c>
      <c r="E1384" s="93">
        <v>110</v>
      </c>
      <c r="F1384" s="103">
        <f>IFERROR(INDEX(Tabella9[PLZ],MATCH(Tabella8[[#This Row],[Colonna2]],Tabella9[Ortschaftsname],0)), "Name not found")</f>
        <v>5507</v>
      </c>
      <c r="G1384" s="103"/>
      <c r="H1384" s="240">
        <f ca="1">SUMIF(Tabella2[[#Headers],[#Data],[Age]],$H$76,Tabella2[[#Headers],[#Data],[Federal taxes]])</f>
        <v>6804.3246087429152</v>
      </c>
      <c r="I138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4" s="240">
        <f ca="1">Tabella8[[#This Row],[Colonna7]]*Tabella8[[#This Row],[Colonna4]]/100</f>
        <v>18034.04356179207</v>
      </c>
    </row>
    <row r="1385" spans="2:10">
      <c r="B1385" s="92" t="s">
        <v>143</v>
      </c>
      <c r="C1385" s="91" t="s">
        <v>511</v>
      </c>
      <c r="D1385" s="93">
        <v>112</v>
      </c>
      <c r="E1385" s="93">
        <v>118</v>
      </c>
      <c r="F1385" s="103">
        <f>IFERROR(INDEX(Tabella9[PLZ],MATCH(Tabella8[[#This Row],[Colonna2]],Tabella9[Ortschaftsname],0)), "Name not found")</f>
        <v>5737</v>
      </c>
      <c r="G1385" s="103"/>
      <c r="H1385" s="240">
        <f ca="1">SUMIF(Tabella2[[#Headers],[#Data],[Age]],$H$76,Tabella2[[#Headers],[#Data],[Federal taxes]])</f>
        <v>6804.3246087429152</v>
      </c>
      <c r="I138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5" s="240">
        <f ca="1">Tabella8[[#This Row],[Colonna7]]*Tabella8[[#This Row],[Colonna4]]/100</f>
        <v>19345.610366286037</v>
      </c>
    </row>
    <row r="1386" spans="2:10">
      <c r="B1386" s="92" t="s">
        <v>143</v>
      </c>
      <c r="C1386" s="91" t="s">
        <v>549</v>
      </c>
      <c r="D1386" s="93">
        <v>112</v>
      </c>
      <c r="E1386" s="93">
        <v>96</v>
      </c>
      <c r="F1386" s="103">
        <f>IFERROR(INDEX(Tabella9[PLZ],MATCH(Tabella8[[#This Row],[Colonna2]],Tabella9[Ortschaftsname],0)), "Name not found")</f>
        <v>5634</v>
      </c>
      <c r="G1386" s="103"/>
      <c r="H1386" s="240">
        <f ca="1">SUMIF(Tabella2[[#Headers],[#Data],[Age]],$H$76,Tabella2[[#Headers],[#Data],[Federal taxes]])</f>
        <v>6804.3246087429152</v>
      </c>
      <c r="I138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6" s="240">
        <f ca="1">Tabella8[[#This Row],[Colonna7]]*Tabella8[[#This Row],[Colonna4]]/100</f>
        <v>15738.801653927625</v>
      </c>
    </row>
    <row r="1387" spans="2:10">
      <c r="B1387" s="92" t="s">
        <v>143</v>
      </c>
      <c r="C1387" s="91" t="s">
        <v>590</v>
      </c>
      <c r="D1387" s="93">
        <v>112</v>
      </c>
      <c r="E1387" s="93">
        <v>109</v>
      </c>
      <c r="F1387" s="103">
        <v>5274</v>
      </c>
      <c r="G1387" s="103"/>
      <c r="H1387" s="240">
        <f ca="1">SUMIF(Tabella2[[#Headers],[#Data],[Age]],$H$76,Tabella2[[#Headers],[#Data],[Federal taxes]])</f>
        <v>6804.3246087429152</v>
      </c>
      <c r="I138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7" s="240">
        <f ca="1">Tabella8[[#This Row],[Colonna7]]*Tabella8[[#This Row],[Colonna4]]/100</f>
        <v>17870.097711230323</v>
      </c>
    </row>
    <row r="1388" spans="2:10">
      <c r="B1388" s="92" t="s">
        <v>143</v>
      </c>
      <c r="C1388" s="91" t="s">
        <v>652</v>
      </c>
      <c r="D1388" s="93">
        <v>112</v>
      </c>
      <c r="E1388" s="93">
        <v>123</v>
      </c>
      <c r="F1388" s="103">
        <f>IFERROR(INDEX(Tabella9[PLZ],MATCH(Tabella8[[#This Row],[Colonna2]],Tabella9[Ortschaftsname],0)), "Name not found")</f>
        <v>5054</v>
      </c>
      <c r="G1388" s="103"/>
      <c r="H1388" s="240">
        <f ca="1">SUMIF(Tabella2[[#Headers],[#Data],[Age]],$H$76,Tabella2[[#Headers],[#Data],[Federal taxes]])</f>
        <v>6804.3246087429152</v>
      </c>
      <c r="I138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8" s="240">
        <f ca="1">Tabella8[[#This Row],[Colonna7]]*Tabella8[[#This Row],[Colonna4]]/100</f>
        <v>20165.339619094768</v>
      </c>
    </row>
    <row r="1389" spans="2:10">
      <c r="B1389" s="92" t="s">
        <v>143</v>
      </c>
      <c r="C1389" s="91" t="s">
        <v>544</v>
      </c>
      <c r="D1389" s="93">
        <v>112</v>
      </c>
      <c r="E1389" s="93">
        <v>112</v>
      </c>
      <c r="F1389" s="103">
        <f>IFERROR(INDEX(Tabella9[PLZ],MATCH(Tabella8[[#This Row],[Colonna2]],Tabella9[Ortschaftsname],0)), "Name not found")</f>
        <v>5037</v>
      </c>
      <c r="G1389" s="103"/>
      <c r="H1389" s="240">
        <f ca="1">SUMIF(Tabella2[[#Headers],[#Data],[Age]],$H$76,Tabella2[[#Headers],[#Data],[Federal taxes]])</f>
        <v>6804.3246087429152</v>
      </c>
      <c r="I138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89" s="240">
        <f ca="1">Tabella8[[#This Row],[Colonna7]]*Tabella8[[#This Row],[Colonna4]]/100</f>
        <v>18361.935262915562</v>
      </c>
    </row>
    <row r="1390" spans="2:10">
      <c r="B1390" s="92" t="s">
        <v>143</v>
      </c>
      <c r="C1390" s="91" t="s">
        <v>613</v>
      </c>
      <c r="D1390" s="93">
        <v>112</v>
      </c>
      <c r="E1390" s="93">
        <v>119</v>
      </c>
      <c r="F1390" s="103">
        <f>IFERROR(INDEX(Tabella9[PLZ],MATCH(Tabella8[[#This Row],[Colonna2]],Tabella9[Ortschaftsname],0)), "Name not found")</f>
        <v>4322</v>
      </c>
      <c r="G1390" s="103"/>
      <c r="H1390" s="240">
        <f ca="1">SUMIF(Tabella2[[#Headers],[#Data],[Age]],$H$76,Tabella2[[#Headers],[#Data],[Federal taxes]])</f>
        <v>6804.3246087429152</v>
      </c>
      <c r="I139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0" s="240">
        <f ca="1">Tabella8[[#This Row],[Colonna7]]*Tabella8[[#This Row],[Colonna4]]/100</f>
        <v>19509.556216847785</v>
      </c>
    </row>
    <row r="1391" spans="2:10">
      <c r="B1391" s="92" t="s">
        <v>143</v>
      </c>
      <c r="C1391" s="91" t="s">
        <v>562</v>
      </c>
      <c r="D1391" s="93">
        <v>112</v>
      </c>
      <c r="E1391" s="93">
        <v>115</v>
      </c>
      <c r="F1391" s="103">
        <f>IFERROR(INDEX(Tabella9[PLZ],MATCH(Tabella8[[#This Row],[Colonna2]],Tabella9[Ortschaftsname],0)), "Name not found")</f>
        <v>4853</v>
      </c>
      <c r="G1391" s="103"/>
      <c r="H1391" s="240">
        <f ca="1">SUMIF(Tabella2[[#Headers],[#Data],[Age]],$H$76,Tabella2[[#Headers],[#Data],[Federal taxes]])</f>
        <v>6804.3246087429152</v>
      </c>
      <c r="I139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1" s="240">
        <f ca="1">Tabella8[[#This Row],[Colonna7]]*Tabella8[[#This Row],[Colonna4]]/100</f>
        <v>18853.772814600801</v>
      </c>
    </row>
    <row r="1392" spans="2:10">
      <c r="B1392" s="92" t="s">
        <v>143</v>
      </c>
      <c r="C1392" s="91" t="s">
        <v>504</v>
      </c>
      <c r="D1392" s="93">
        <v>112</v>
      </c>
      <c r="E1392" s="93">
        <v>102</v>
      </c>
      <c r="F1392" s="103">
        <v>5630</v>
      </c>
      <c r="G1392" s="103"/>
      <c r="H1392" s="240">
        <f ca="1">SUMIF(Tabella2[[#Headers],[#Data],[Age]],$H$76,Tabella2[[#Headers],[#Data],[Federal taxes]])</f>
        <v>6804.3246087429152</v>
      </c>
      <c r="I139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2" s="240">
        <f ca="1">Tabella8[[#This Row],[Colonna7]]*Tabella8[[#This Row],[Colonna4]]/100</f>
        <v>16722.4767572981</v>
      </c>
    </row>
    <row r="1393" spans="2:10">
      <c r="B1393" s="92" t="s">
        <v>143</v>
      </c>
      <c r="C1393" s="91" t="s">
        <v>582</v>
      </c>
      <c r="D1393" s="93">
        <v>112</v>
      </c>
      <c r="E1393" s="93">
        <v>113</v>
      </c>
      <c r="F1393" s="103">
        <f>IFERROR(INDEX(Tabella9[PLZ],MATCH(Tabella8[[#This Row],[Colonna2]],Tabella9[Ortschaftsname],0)), "Name not found")</f>
        <v>5506</v>
      </c>
      <c r="G1393" s="103"/>
      <c r="H1393" s="240">
        <f ca="1">SUMIF(Tabella2[[#Headers],[#Data],[Age]],$H$76,Tabella2[[#Headers],[#Data],[Federal taxes]])</f>
        <v>6804.3246087429152</v>
      </c>
      <c r="I139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3" s="240">
        <f ca="1">Tabella8[[#This Row],[Colonna7]]*Tabella8[[#This Row],[Colonna4]]/100</f>
        <v>18525.881113477306</v>
      </c>
    </row>
    <row r="1394" spans="2:10">
      <c r="B1394" s="92" t="s">
        <v>143</v>
      </c>
      <c r="C1394" s="91" t="s">
        <v>494</v>
      </c>
      <c r="D1394" s="93">
        <v>112</v>
      </c>
      <c r="E1394" s="93">
        <v>112</v>
      </c>
      <c r="F1394" s="103">
        <f>IFERROR(INDEX(Tabella9[PLZ],MATCH(Tabella8[[#This Row],[Colonna2]],Tabella9[Ortschaftsname],0)), "Name not found")</f>
        <v>4313</v>
      </c>
      <c r="G1394" s="103"/>
      <c r="H1394" s="240">
        <f ca="1">SUMIF(Tabella2[[#Headers],[#Data],[Age]],$H$76,Tabella2[[#Headers],[#Data],[Federal taxes]])</f>
        <v>6804.3246087429152</v>
      </c>
      <c r="I139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4" s="240">
        <f ca="1">Tabella8[[#This Row],[Colonna7]]*Tabella8[[#This Row],[Colonna4]]/100</f>
        <v>18361.935262915562</v>
      </c>
    </row>
    <row r="1395" spans="2:10">
      <c r="B1395" s="92" t="s">
        <v>143</v>
      </c>
      <c r="C1395" s="91" t="s">
        <v>684</v>
      </c>
      <c r="D1395" s="93">
        <v>112</v>
      </c>
      <c r="E1395" s="93">
        <v>115</v>
      </c>
      <c r="F1395" s="103">
        <f>IFERROR(INDEX(Tabella9[PLZ],MATCH(Tabella8[[#This Row],[Colonna2]],Tabella9[Ortschaftsname],0)), "Name not found")</f>
        <v>5237</v>
      </c>
      <c r="G1395" s="103"/>
      <c r="H1395" s="240">
        <f ca="1">SUMIF(Tabella2[[#Headers],[#Data],[Age]],$H$76,Tabella2[[#Headers],[#Data],[Federal taxes]])</f>
        <v>6804.3246087429152</v>
      </c>
      <c r="I139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5" s="240">
        <f ca="1">Tabella8[[#This Row],[Colonna7]]*Tabella8[[#This Row],[Colonna4]]/100</f>
        <v>18853.772814600801</v>
      </c>
    </row>
    <row r="1396" spans="2:10">
      <c r="B1396" s="92" t="s">
        <v>143</v>
      </c>
      <c r="C1396" s="91" t="s">
        <v>528</v>
      </c>
      <c r="D1396" s="93">
        <v>112</v>
      </c>
      <c r="E1396" s="93">
        <v>94</v>
      </c>
      <c r="F1396" s="103">
        <v>5103</v>
      </c>
      <c r="G1396" s="103"/>
      <c r="H1396" s="240">
        <f ca="1">SUMIF(Tabella2[[#Headers],[#Data],[Age]],$H$76,Tabella2[[#Headers],[#Data],[Federal taxes]])</f>
        <v>6804.3246087429152</v>
      </c>
      <c r="I139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6" s="240">
        <f ca="1">Tabella8[[#This Row],[Colonna7]]*Tabella8[[#This Row],[Colonna4]]/100</f>
        <v>15410.909952804132</v>
      </c>
    </row>
    <row r="1397" spans="2:10">
      <c r="B1397" s="92" t="s">
        <v>143</v>
      </c>
      <c r="C1397" s="91" t="s">
        <v>632</v>
      </c>
      <c r="D1397" s="93">
        <v>112</v>
      </c>
      <c r="E1397" s="93">
        <v>117</v>
      </c>
      <c r="F1397" s="103">
        <f>IFERROR(INDEX(Tabella9[PLZ],MATCH(Tabella8[[#This Row],[Colonna2]],Tabella9[Ortschaftsname],0)), "Name not found")</f>
        <v>5642</v>
      </c>
      <c r="G1397" s="103"/>
      <c r="H1397" s="240">
        <f ca="1">SUMIF(Tabella2[[#Headers],[#Data],[Age]],$H$76,Tabella2[[#Headers],[#Data],[Federal taxes]])</f>
        <v>6804.3246087429152</v>
      </c>
      <c r="I139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7" s="240">
        <f ca="1">Tabella8[[#This Row],[Colonna7]]*Tabella8[[#This Row],[Colonna4]]/100</f>
        <v>19181.664515724293</v>
      </c>
    </row>
    <row r="1398" spans="2:10">
      <c r="B1398" s="92" t="s">
        <v>143</v>
      </c>
      <c r="C1398" s="91" t="s">
        <v>637</v>
      </c>
      <c r="D1398" s="93">
        <v>112</v>
      </c>
      <c r="E1398" s="93">
        <v>109</v>
      </c>
      <c r="F1398" s="103">
        <f>IFERROR(INDEX(Tabella9[PLZ],MATCH(Tabella8[[#This Row],[Colonna2]],Tabella9[Ortschaftsname],0)), "Name not found")</f>
        <v>5243</v>
      </c>
      <c r="G1398" s="103"/>
      <c r="H1398" s="240">
        <f ca="1">SUMIF(Tabella2[[#Headers],[#Data],[Age]],$H$76,Tabella2[[#Headers],[#Data],[Federal taxes]])</f>
        <v>6804.3246087429152</v>
      </c>
      <c r="I139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8" s="240">
        <f ca="1">Tabella8[[#This Row],[Colonna7]]*Tabella8[[#This Row],[Colonna4]]/100</f>
        <v>17870.097711230323</v>
      </c>
    </row>
    <row r="1399" spans="2:10">
      <c r="B1399" s="92" t="s">
        <v>143</v>
      </c>
      <c r="C1399" s="91" t="s">
        <v>651</v>
      </c>
      <c r="D1399" s="93">
        <v>112</v>
      </c>
      <c r="E1399" s="93">
        <v>113</v>
      </c>
      <c r="F1399" s="103">
        <v>4333</v>
      </c>
      <c r="G1399" s="103"/>
      <c r="H1399" s="240">
        <f ca="1">SUMIF(Tabella2[[#Headers],[#Data],[Age]],$H$76,Tabella2[[#Headers],[#Data],[Federal taxes]])</f>
        <v>6804.3246087429152</v>
      </c>
      <c r="I139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399" s="240">
        <f ca="1">Tabella8[[#This Row],[Colonna7]]*Tabella8[[#This Row],[Colonna4]]/100</f>
        <v>18525.881113477306</v>
      </c>
    </row>
    <row r="1400" spans="2:10">
      <c r="B1400" s="92" t="s">
        <v>143</v>
      </c>
      <c r="C1400" s="91" t="s">
        <v>498</v>
      </c>
      <c r="D1400" s="93">
        <v>112</v>
      </c>
      <c r="E1400" s="93">
        <v>112</v>
      </c>
      <c r="F1400" s="103">
        <f>IFERROR(INDEX(Tabella9[PLZ],MATCH(Tabella8[[#This Row],[Colonna2]],Tabella9[Ortschaftsname],0)), "Name not found")</f>
        <v>5432</v>
      </c>
      <c r="G1400" s="103"/>
      <c r="H1400" s="240">
        <f ca="1">SUMIF(Tabella2[[#Headers],[#Data],[Age]],$H$76,Tabella2[[#Headers],[#Data],[Federal taxes]])</f>
        <v>6804.3246087429152</v>
      </c>
      <c r="I140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0" s="240">
        <f ca="1">Tabella8[[#This Row],[Colonna7]]*Tabella8[[#This Row],[Colonna4]]/100</f>
        <v>18361.935262915562</v>
      </c>
    </row>
    <row r="1401" spans="2:10">
      <c r="B1401" s="92" t="s">
        <v>143</v>
      </c>
      <c r="C1401" s="91" t="s">
        <v>522</v>
      </c>
      <c r="D1401" s="93">
        <v>112</v>
      </c>
      <c r="E1401" s="93">
        <v>117</v>
      </c>
      <c r="F1401" s="103">
        <f>IFERROR(INDEX(Tabella9[PLZ],MATCH(Tabella8[[#This Row],[Colonna2]],Tabella9[Ortschaftsname],0)), "Name not found")</f>
        <v>5702</v>
      </c>
      <c r="G1401" s="103"/>
      <c r="H1401" s="240">
        <f ca="1">SUMIF(Tabella2[[#Headers],[#Data],[Age]],$H$76,Tabella2[[#Headers],[#Data],[Federal taxes]])</f>
        <v>6804.3246087429152</v>
      </c>
      <c r="I140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1" s="240">
        <f ca="1">Tabella8[[#This Row],[Colonna7]]*Tabella8[[#This Row],[Colonna4]]/100</f>
        <v>19181.664515724293</v>
      </c>
    </row>
    <row r="1402" spans="2:10">
      <c r="B1402" s="92" t="s">
        <v>143</v>
      </c>
      <c r="C1402" s="91" t="s">
        <v>537</v>
      </c>
      <c r="D1402" s="93">
        <v>112</v>
      </c>
      <c r="E1402" s="93">
        <v>97</v>
      </c>
      <c r="F1402" s="103">
        <f>IFERROR(INDEX(Tabella9[PLZ],MATCH(Tabella8[[#This Row],[Colonna2]],Tabella9[Ortschaftsname],0)), "Name not found")</f>
        <v>5443</v>
      </c>
      <c r="G1402" s="103"/>
      <c r="H1402" s="240">
        <f ca="1">SUMIF(Tabella2[[#Headers],[#Data],[Age]],$H$76,Tabella2[[#Headers],[#Data],[Federal taxes]])</f>
        <v>6804.3246087429152</v>
      </c>
      <c r="I140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2" s="240">
        <f ca="1">Tabella8[[#This Row],[Colonna7]]*Tabella8[[#This Row],[Colonna4]]/100</f>
        <v>15902.747504489371</v>
      </c>
    </row>
    <row r="1403" spans="2:10">
      <c r="B1403" s="92" t="s">
        <v>143</v>
      </c>
      <c r="C1403" s="91" t="s">
        <v>565</v>
      </c>
      <c r="D1403" s="93">
        <v>112</v>
      </c>
      <c r="E1403" s="93">
        <v>103</v>
      </c>
      <c r="F1403" s="103">
        <v>5524</v>
      </c>
      <c r="G1403" s="103"/>
      <c r="H1403" s="240">
        <f ca="1">SUMIF(Tabella2[[#Headers],[#Data],[Age]],$H$76,Tabella2[[#Headers],[#Data],[Federal taxes]])</f>
        <v>6804.3246087429152</v>
      </c>
      <c r="I140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3" s="240">
        <f ca="1">Tabella8[[#This Row],[Colonna7]]*Tabella8[[#This Row],[Colonna4]]/100</f>
        <v>16886.422607859844</v>
      </c>
    </row>
    <row r="1404" spans="2:10">
      <c r="B1404" s="92" t="s">
        <v>143</v>
      </c>
      <c r="C1404" s="91" t="s">
        <v>501</v>
      </c>
      <c r="D1404" s="93">
        <v>112</v>
      </c>
      <c r="E1404" s="93">
        <v>110</v>
      </c>
      <c r="F1404" s="103">
        <f>IFERROR(INDEX(Tabella9[PLZ],MATCH(Tabella8[[#This Row],[Colonna2]],Tabella9[Ortschaftsname],0)), "Name not found")</f>
        <v>5036</v>
      </c>
      <c r="G1404" s="103"/>
      <c r="H1404" s="240">
        <f ca="1">SUMIF(Tabella2[[#Headers],[#Data],[Age]],$H$76,Tabella2[[#Headers],[#Data],[Federal taxes]])</f>
        <v>6804.3246087429152</v>
      </c>
      <c r="I140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4" s="240">
        <f ca="1">Tabella8[[#This Row],[Colonna7]]*Tabella8[[#This Row],[Colonna4]]/100</f>
        <v>18034.04356179207</v>
      </c>
    </row>
    <row r="1405" spans="2:10">
      <c r="B1405" s="92" t="s">
        <v>143</v>
      </c>
      <c r="C1405" s="91" t="s">
        <v>677</v>
      </c>
      <c r="D1405" s="93">
        <v>112</v>
      </c>
      <c r="E1405" s="93">
        <v>125</v>
      </c>
      <c r="F1405" s="103">
        <f>IFERROR(INDEX(Tabella9[PLZ],MATCH(Tabella8[[#This Row],[Colonna2]],Tabella9[Ortschaftsname],0)), "Name not found")</f>
        <v>5062</v>
      </c>
      <c r="G1405" s="103"/>
      <c r="H1405" s="240">
        <f ca="1">SUMIF(Tabella2[[#Headers],[#Data],[Age]],$H$76,Tabella2[[#Headers],[#Data],[Federal taxes]])</f>
        <v>6804.3246087429152</v>
      </c>
      <c r="I140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5" s="240">
        <f ca="1">Tabella8[[#This Row],[Colonna7]]*Tabella8[[#This Row],[Colonna4]]/100</f>
        <v>20493.231320218259</v>
      </c>
    </row>
    <row r="1406" spans="2:10">
      <c r="B1406" s="92" t="s">
        <v>143</v>
      </c>
      <c r="C1406" s="91" t="s">
        <v>570</v>
      </c>
      <c r="D1406" s="93">
        <v>112</v>
      </c>
      <c r="E1406" s="93">
        <v>119</v>
      </c>
      <c r="F1406" s="103">
        <f>IFERROR(INDEX(Tabella9[PLZ],MATCH(Tabella8[[#This Row],[Colonna2]],Tabella9[Ortschaftsname],0)), "Name not found")</f>
        <v>5727</v>
      </c>
      <c r="G1406" s="103"/>
      <c r="H1406" s="240">
        <f ca="1">SUMIF(Tabella2[[#Headers],[#Data],[Age]],$H$76,Tabella2[[#Headers],[#Data],[Federal taxes]])</f>
        <v>6804.3246087429152</v>
      </c>
      <c r="I140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6" s="240">
        <f ca="1">Tabella8[[#This Row],[Colonna7]]*Tabella8[[#This Row],[Colonna4]]/100</f>
        <v>19509.556216847785</v>
      </c>
    </row>
    <row r="1407" spans="2:10">
      <c r="B1407" s="92" t="s">
        <v>143</v>
      </c>
      <c r="C1407" s="91" t="s">
        <v>589</v>
      </c>
      <c r="D1407" s="93">
        <v>112</v>
      </c>
      <c r="E1407" s="93">
        <v>74</v>
      </c>
      <c r="F1407" s="103">
        <f>IFERROR(INDEX(Tabella9[PLZ],MATCH(Tabella8[[#This Row],[Colonna2]],Tabella9[Ortschaftsname],0)), "Name not found")</f>
        <v>8917</v>
      </c>
      <c r="G1407" s="103"/>
      <c r="H1407" s="240">
        <f ca="1">SUMIF(Tabella2[[#Headers],[#Data],[Age]],$H$76,Tabella2[[#Headers],[#Data],[Federal taxes]])</f>
        <v>6804.3246087429152</v>
      </c>
      <c r="I140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7" s="240">
        <f ca="1">Tabella8[[#This Row],[Colonna7]]*Tabella8[[#This Row],[Colonna4]]/100</f>
        <v>12131.992941569211</v>
      </c>
    </row>
    <row r="1408" spans="2:10">
      <c r="B1408" s="92" t="s">
        <v>143</v>
      </c>
      <c r="C1408" s="91" t="s">
        <v>640</v>
      </c>
      <c r="D1408" s="93">
        <v>112</v>
      </c>
      <c r="E1408" s="93">
        <v>122</v>
      </c>
      <c r="F1408" s="103">
        <f>IFERROR(INDEX(Tabella9[PLZ],MATCH(Tabella8[[#This Row],[Colonna2]],Tabella9[Ortschaftsname],0)), "Name not found")</f>
        <v>4324</v>
      </c>
      <c r="G1408" s="103"/>
      <c r="H1408" s="240">
        <f ca="1">SUMIF(Tabella2[[#Headers],[#Data],[Age]],$H$76,Tabella2[[#Headers],[#Data],[Federal taxes]])</f>
        <v>6804.3246087429152</v>
      </c>
      <c r="I140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8" s="240">
        <f ca="1">Tabella8[[#This Row],[Colonna7]]*Tabella8[[#This Row],[Colonna4]]/100</f>
        <v>20001.39376853302</v>
      </c>
    </row>
    <row r="1409" spans="2:10">
      <c r="B1409" s="92" t="s">
        <v>143</v>
      </c>
      <c r="C1409" s="91" t="s">
        <v>534</v>
      </c>
      <c r="D1409" s="93">
        <v>112</v>
      </c>
      <c r="E1409" s="93">
        <v>85</v>
      </c>
      <c r="F1409" s="103">
        <f>IFERROR(INDEX(Tabella9[PLZ],MATCH(Tabella8[[#This Row],[Colonna2]],Tabella9[Ortschaftsname],0)), "Name not found")</f>
        <v>5452</v>
      </c>
      <c r="G1409" s="103"/>
      <c r="H1409" s="240">
        <f ca="1">SUMIF(Tabella2[[#Headers],[#Data],[Age]],$H$76,Tabella2[[#Headers],[#Data],[Federal taxes]])</f>
        <v>6804.3246087429152</v>
      </c>
      <c r="I140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09" s="240">
        <f ca="1">Tabella8[[#This Row],[Colonna7]]*Tabella8[[#This Row],[Colonna4]]/100</f>
        <v>13935.397297748417</v>
      </c>
    </row>
    <row r="1410" spans="2:10">
      <c r="B1410" s="92" t="s">
        <v>143</v>
      </c>
      <c r="C1410" s="91" t="s">
        <v>602</v>
      </c>
      <c r="D1410" s="93">
        <v>112</v>
      </c>
      <c r="E1410" s="93">
        <v>114</v>
      </c>
      <c r="F1410" s="103">
        <f>IFERROR(INDEX(Tabella9[PLZ],MATCH(Tabella8[[#This Row],[Colonna2]],Tabella9[Ortschaftsname],0)), "Name not found")</f>
        <v>5647</v>
      </c>
      <c r="G1410" s="103"/>
      <c r="H1410" s="240">
        <f ca="1">SUMIF(Tabella2[[#Headers],[#Data],[Age]],$H$76,Tabella2[[#Headers],[#Data],[Federal taxes]])</f>
        <v>6804.3246087429152</v>
      </c>
      <c r="I141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0" s="240">
        <f ca="1">Tabella8[[#This Row],[Colonna7]]*Tabella8[[#This Row],[Colonna4]]/100</f>
        <v>18689.826964039054</v>
      </c>
    </row>
    <row r="1411" spans="2:10">
      <c r="B1411" s="92" t="s">
        <v>143</v>
      </c>
      <c r="C1411" s="91" t="s">
        <v>499</v>
      </c>
      <c r="D1411" s="93">
        <v>112</v>
      </c>
      <c r="E1411" s="93">
        <v>110</v>
      </c>
      <c r="F1411" s="103">
        <v>5415</v>
      </c>
      <c r="G1411" s="103"/>
      <c r="H1411" s="240">
        <f ca="1">SUMIF(Tabella2[[#Headers],[#Data],[Age]],$H$76,Tabella2[[#Headers],[#Data],[Federal taxes]])</f>
        <v>6804.3246087429152</v>
      </c>
      <c r="I141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1" s="240">
        <f ca="1">Tabella8[[#This Row],[Colonna7]]*Tabella8[[#This Row],[Colonna4]]/100</f>
        <v>18034.04356179207</v>
      </c>
    </row>
    <row r="1412" spans="2:10">
      <c r="B1412" s="92" t="s">
        <v>143</v>
      </c>
      <c r="C1412" s="91" t="s">
        <v>574</v>
      </c>
      <c r="D1412" s="93">
        <v>112</v>
      </c>
      <c r="E1412" s="93">
        <v>48</v>
      </c>
      <c r="F1412" s="103">
        <f>IFERROR(INDEX(Tabella9[PLZ],MATCH(Tabella8[[#This Row],[Colonna2]],Tabella9[Ortschaftsname],0)), "Name not found")</f>
        <v>8966</v>
      </c>
      <c r="G1412" s="103"/>
      <c r="H1412" s="240">
        <f ca="1">SUMIF(Tabella2[[#Headers],[#Data],[Age]],$H$76,Tabella2[[#Headers],[#Data],[Federal taxes]])</f>
        <v>6804.3246087429152</v>
      </c>
      <c r="I141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2" s="240">
        <f ca="1">Tabella8[[#This Row],[Colonna7]]*Tabella8[[#This Row],[Colonna4]]/100</f>
        <v>7869.4008269638125</v>
      </c>
    </row>
    <row r="1413" spans="2:10">
      <c r="B1413" s="92" t="s">
        <v>143</v>
      </c>
      <c r="C1413" s="91" t="s">
        <v>645</v>
      </c>
      <c r="D1413" s="93">
        <v>112</v>
      </c>
      <c r="E1413" s="93">
        <v>114</v>
      </c>
      <c r="F1413" s="103">
        <f>IFERROR(INDEX(Tabella9[PLZ],MATCH(Tabella8[[#This Row],[Colonna2]],Tabella9[Ortschaftsname],0)), "Name not found")</f>
        <v>5072</v>
      </c>
      <c r="G1413" s="103"/>
      <c r="H1413" s="240">
        <f ca="1">SUMIF(Tabella2[[#Headers],[#Data],[Age]],$H$76,Tabella2[[#Headers],[#Data],[Federal taxes]])</f>
        <v>6804.3246087429152</v>
      </c>
      <c r="I141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3" s="240">
        <f ca="1">Tabella8[[#This Row],[Colonna7]]*Tabella8[[#This Row],[Colonna4]]/100</f>
        <v>18689.826964039054</v>
      </c>
    </row>
    <row r="1414" spans="2:10">
      <c r="B1414" s="92" t="s">
        <v>143</v>
      </c>
      <c r="C1414" s="91" t="s">
        <v>2674</v>
      </c>
      <c r="D1414" s="93">
        <v>112</v>
      </c>
      <c r="E1414" s="93">
        <v>113</v>
      </c>
      <c r="F1414" s="103">
        <f>IFERROR(INDEX(Tabella9[PLZ],MATCH(Tabella8[[#This Row],[Colonna2]],Tabella9[Ortschaftsname],0)), "Name not found")</f>
        <v>4665</v>
      </c>
      <c r="G1414" s="103"/>
      <c r="H1414" s="240">
        <f ca="1">SUMIF(Tabella2[[#Headers],[#Data],[Age]],$H$76,Tabella2[[#Headers],[#Data],[Federal taxes]])</f>
        <v>6804.3246087429152</v>
      </c>
      <c r="I141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4" s="240">
        <f ca="1">Tabella8[[#This Row],[Colonna7]]*Tabella8[[#This Row],[Colonna4]]/100</f>
        <v>18525.881113477306</v>
      </c>
    </row>
    <row r="1415" spans="2:10">
      <c r="B1415" s="92" t="s">
        <v>143</v>
      </c>
      <c r="C1415" s="91" t="s">
        <v>686</v>
      </c>
      <c r="D1415" s="93">
        <v>112</v>
      </c>
      <c r="E1415" s="93">
        <v>92</v>
      </c>
      <c r="F1415" s="103">
        <f>IFERROR(INDEX(Tabella9[PLZ],MATCH(Tabella8[[#This Row],[Colonna2]],Tabella9[Ortschaftsname],0)), "Name not found")</f>
        <v>4305</v>
      </c>
      <c r="G1415" s="103"/>
      <c r="H1415" s="240">
        <f ca="1">SUMIF(Tabella2[[#Headers],[#Data],[Age]],$H$76,Tabella2[[#Headers],[#Data],[Federal taxes]])</f>
        <v>6804.3246087429152</v>
      </c>
      <c r="I141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5" s="240">
        <f ca="1">Tabella8[[#This Row],[Colonna7]]*Tabella8[[#This Row],[Colonna4]]/100</f>
        <v>15083.018251680638</v>
      </c>
    </row>
    <row r="1416" spans="2:10">
      <c r="B1416" s="92" t="s">
        <v>143</v>
      </c>
      <c r="C1416" s="91" t="s">
        <v>567</v>
      </c>
      <c r="D1416" s="93">
        <v>112</v>
      </c>
      <c r="E1416" s="93">
        <v>104</v>
      </c>
      <c r="F1416" s="103">
        <f>IFERROR(INDEX(Tabella9[PLZ],MATCH(Tabella8[[#This Row],[Colonna2]],Tabella9[Ortschaftsname],0)), "Name not found")</f>
        <v>5504</v>
      </c>
      <c r="G1416" s="103"/>
      <c r="H1416" s="240">
        <f ca="1">SUMIF(Tabella2[[#Headers],[#Data],[Age]],$H$76,Tabella2[[#Headers],[#Data],[Federal taxes]])</f>
        <v>6804.3246087429152</v>
      </c>
      <c r="I141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6" s="240">
        <f ca="1">Tabella8[[#This Row],[Colonna7]]*Tabella8[[#This Row],[Colonna4]]/100</f>
        <v>17050.368458421595</v>
      </c>
    </row>
    <row r="1417" spans="2:10">
      <c r="B1417" s="92" t="s">
        <v>143</v>
      </c>
      <c r="C1417" s="91" t="s">
        <v>500</v>
      </c>
      <c r="D1417" s="93">
        <v>112</v>
      </c>
      <c r="E1417" s="93">
        <v>115</v>
      </c>
      <c r="F1417" s="103">
        <v>5734</v>
      </c>
      <c r="G1417" s="103"/>
      <c r="H1417" s="240">
        <f ca="1">SUMIF(Tabella2[[#Headers],[#Data],[Age]],$H$76,Tabella2[[#Headers],[#Data],[Federal taxes]])</f>
        <v>6804.3246087429152</v>
      </c>
      <c r="I141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7" s="240">
        <f ca="1">Tabella8[[#This Row],[Colonna7]]*Tabella8[[#This Row],[Colonna4]]/100</f>
        <v>18853.772814600801</v>
      </c>
    </row>
    <row r="1418" spans="2:10">
      <c r="B1418" s="92" t="s">
        <v>143</v>
      </c>
      <c r="C1418" s="91" t="s">
        <v>605</v>
      </c>
      <c r="D1418" s="93">
        <v>112</v>
      </c>
      <c r="E1418" s="93">
        <v>122</v>
      </c>
      <c r="F1418" s="103">
        <f>IFERROR(INDEX(Tabella9[PLZ],MATCH(Tabella8[[#This Row],[Colonna2]],Tabella9[Ortschaftsname],0)), "Name not found")</f>
        <v>5057</v>
      </c>
      <c r="G1418" s="103"/>
      <c r="H1418" s="240">
        <f ca="1">SUMIF(Tabella2[[#Headers],[#Data],[Age]],$H$76,Tabella2[[#Headers],[#Data],[Federal taxes]])</f>
        <v>6804.3246087429152</v>
      </c>
      <c r="I141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8" s="240">
        <f ca="1">Tabella8[[#This Row],[Colonna7]]*Tabella8[[#This Row],[Colonna4]]/100</f>
        <v>20001.39376853302</v>
      </c>
    </row>
    <row r="1419" spans="2:10">
      <c r="B1419" s="92" t="s">
        <v>143</v>
      </c>
      <c r="C1419" s="91" t="s">
        <v>585</v>
      </c>
      <c r="D1419" s="93">
        <v>112</v>
      </c>
      <c r="E1419" s="93">
        <v>92</v>
      </c>
      <c r="F1419" s="103">
        <f>IFERROR(INDEX(Tabella9[PLZ],MATCH(Tabella8[[#This Row],[Colonna2]],Tabella9[Ortschaftsname],0)), "Name not found")</f>
        <v>5453</v>
      </c>
      <c r="G1419" s="103"/>
      <c r="H1419" s="240">
        <f ca="1">SUMIF(Tabella2[[#Headers],[#Data],[Age]],$H$76,Tabella2[[#Headers],[#Data],[Federal taxes]])</f>
        <v>6804.3246087429152</v>
      </c>
      <c r="I141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19" s="240">
        <f ca="1">Tabella8[[#This Row],[Colonna7]]*Tabella8[[#This Row],[Colonna4]]/100</f>
        <v>15083.018251680638</v>
      </c>
    </row>
    <row r="1420" spans="2:10">
      <c r="B1420" s="92" t="s">
        <v>143</v>
      </c>
      <c r="C1420" s="91" t="s">
        <v>639</v>
      </c>
      <c r="D1420" s="93">
        <v>112</v>
      </c>
      <c r="E1420" s="93">
        <v>98</v>
      </c>
      <c r="F1420" s="103">
        <f>IFERROR(INDEX(Tabella9[PLZ],MATCH(Tabella8[[#This Row],[Colonna2]],Tabella9[Ortschaftsname],0)), "Name not found")</f>
        <v>5236</v>
      </c>
      <c r="G1420" s="103"/>
      <c r="H1420" s="240">
        <f ca="1">SUMIF(Tabella2[[#Headers],[#Data],[Age]],$H$76,Tabella2[[#Headers],[#Data],[Federal taxes]])</f>
        <v>6804.3246087429152</v>
      </c>
      <c r="I142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0" s="240">
        <f ca="1">Tabella8[[#This Row],[Colonna7]]*Tabella8[[#This Row],[Colonna4]]/100</f>
        <v>16066.693355051117</v>
      </c>
    </row>
    <row r="1421" spans="2:10">
      <c r="B1421" s="92" t="s">
        <v>143</v>
      </c>
      <c r="C1421" s="91" t="s">
        <v>2675</v>
      </c>
      <c r="D1421" s="93">
        <v>112</v>
      </c>
      <c r="E1421" s="93">
        <v>90</v>
      </c>
      <c r="F1421" s="103">
        <f>IFERROR(INDEX(Tabella9[PLZ],MATCH(Tabella8[[#This Row],[Colonna2]],Tabella9[Ortschaftsname],0)), "Name not found")</f>
        <v>4310</v>
      </c>
      <c r="G1421" s="103"/>
      <c r="H1421" s="240">
        <f ca="1">SUMIF(Tabella2[[#Headers],[#Data],[Age]],$H$76,Tabella2[[#Headers],[#Data],[Federal taxes]])</f>
        <v>6804.3246087429152</v>
      </c>
      <c r="I142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1" s="240">
        <f ca="1">Tabella8[[#This Row],[Colonna7]]*Tabella8[[#This Row],[Colonna4]]/100</f>
        <v>14755.126550557148</v>
      </c>
    </row>
    <row r="1422" spans="2:10">
      <c r="B1422" s="92" t="s">
        <v>143</v>
      </c>
      <c r="C1422" s="91" t="s">
        <v>610</v>
      </c>
      <c r="D1422" s="93">
        <v>112</v>
      </c>
      <c r="E1422" s="93">
        <v>119</v>
      </c>
      <c r="F1422" s="103">
        <f>IFERROR(INDEX(Tabella9[PLZ],MATCH(Tabella8[[#This Row],[Colonna2]],Tabella9[Ortschaftsname],0)), "Name not found")</f>
        <v>5223</v>
      </c>
      <c r="G1422" s="103"/>
      <c r="H1422" s="240">
        <f ca="1">SUMIF(Tabella2[[#Headers],[#Data],[Age]],$H$76,Tabella2[[#Headers],[#Data],[Federal taxes]])</f>
        <v>6804.3246087429152</v>
      </c>
      <c r="I142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2" s="240">
        <f ca="1">Tabella8[[#This Row],[Colonna7]]*Tabella8[[#This Row],[Colonna4]]/100</f>
        <v>19509.556216847785</v>
      </c>
    </row>
    <row r="1423" spans="2:10">
      <c r="B1423" s="92" t="s">
        <v>143</v>
      </c>
      <c r="C1423" s="91" t="s">
        <v>497</v>
      </c>
      <c r="D1423" s="93">
        <v>112</v>
      </c>
      <c r="E1423" s="93">
        <v>110</v>
      </c>
      <c r="F1423" s="103">
        <f>IFERROR(INDEX(Tabella9[PLZ],MATCH(Tabella8[[#This Row],[Colonna2]],Tabella9[Ortschaftsname],0)), "Name not found")</f>
        <v>4852</v>
      </c>
      <c r="G1423" s="103"/>
      <c r="H1423" s="240">
        <f ca="1">SUMIF(Tabella2[[#Headers],[#Data],[Age]],$H$76,Tabella2[[#Headers],[#Data],[Federal taxes]])</f>
        <v>6804.3246087429152</v>
      </c>
      <c r="I142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3" s="240">
        <f ca="1">Tabella8[[#This Row],[Colonna7]]*Tabella8[[#This Row],[Colonna4]]/100</f>
        <v>18034.04356179207</v>
      </c>
    </row>
    <row r="1424" spans="2:10">
      <c r="B1424" s="92" t="s">
        <v>143</v>
      </c>
      <c r="C1424" s="91" t="s">
        <v>662</v>
      </c>
      <c r="D1424" s="93">
        <v>112</v>
      </c>
      <c r="E1424" s="93">
        <v>99</v>
      </c>
      <c r="F1424" s="103">
        <f>IFERROR(INDEX(Tabella9[PLZ],MATCH(Tabella8[[#This Row],[Colonna2]],Tabella9[Ortschaftsname],0)), "Name not found")</f>
        <v>8919</v>
      </c>
      <c r="G1424" s="103"/>
      <c r="H1424" s="240">
        <f ca="1">SUMIF(Tabella2[[#Headers],[#Data],[Age]],$H$76,Tabella2[[#Headers],[#Data],[Federal taxes]])</f>
        <v>6804.3246087429152</v>
      </c>
      <c r="I142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4" s="240">
        <f ca="1">Tabella8[[#This Row],[Colonna7]]*Tabella8[[#This Row],[Colonna4]]/100</f>
        <v>16230.639205612861</v>
      </c>
    </row>
    <row r="1425" spans="2:10">
      <c r="B1425" s="92" t="s">
        <v>143</v>
      </c>
      <c r="C1425" s="91" t="s">
        <v>526</v>
      </c>
      <c r="D1425" s="93">
        <v>112</v>
      </c>
      <c r="E1425" s="93">
        <v>95</v>
      </c>
      <c r="F1425" s="103">
        <v>8964</v>
      </c>
      <c r="G1425" s="103"/>
      <c r="H1425" s="240">
        <f ca="1">SUMIF(Tabella2[[#Headers],[#Data],[Age]],$H$76,Tabella2[[#Headers],[#Data],[Federal taxes]])</f>
        <v>6804.3246087429152</v>
      </c>
      <c r="I142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5" s="240">
        <f ca="1">Tabella8[[#This Row],[Colonna7]]*Tabella8[[#This Row],[Colonna4]]/100</f>
        <v>15574.855803365877</v>
      </c>
    </row>
    <row r="1426" spans="2:10">
      <c r="B1426" s="92" t="s">
        <v>143</v>
      </c>
      <c r="C1426" s="91" t="s">
        <v>517</v>
      </c>
      <c r="D1426" s="93">
        <v>112</v>
      </c>
      <c r="E1426" s="93">
        <v>99</v>
      </c>
      <c r="F1426" s="103">
        <f>IFERROR(INDEX(Tabella9[PLZ],MATCH(Tabella8[[#This Row],[Colonna2]],Tabella9[Ortschaftsname],0)), "Name not found")</f>
        <v>5102</v>
      </c>
      <c r="G1426" s="103"/>
      <c r="H1426" s="240">
        <f ca="1">SUMIF(Tabella2[[#Headers],[#Data],[Age]],$H$76,Tabella2[[#Headers],[#Data],[Federal taxes]])</f>
        <v>6804.3246087429152</v>
      </c>
      <c r="I142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6" s="240">
        <f ca="1">Tabella8[[#This Row],[Colonna7]]*Tabella8[[#This Row],[Colonna4]]/100</f>
        <v>16230.639205612861</v>
      </c>
    </row>
    <row r="1427" spans="2:10">
      <c r="B1427" s="92" t="s">
        <v>143</v>
      </c>
      <c r="C1427" s="91" t="s">
        <v>657</v>
      </c>
      <c r="D1427" s="93">
        <v>112</v>
      </c>
      <c r="E1427" s="93">
        <v>118</v>
      </c>
      <c r="F1427" s="103">
        <v>5235</v>
      </c>
      <c r="G1427" s="103"/>
      <c r="H1427" s="240">
        <f ca="1">SUMIF(Tabella2[[#Headers],[#Data],[Age]],$H$76,Tabella2[[#Headers],[#Data],[Federal taxes]])</f>
        <v>6804.3246087429152</v>
      </c>
      <c r="I142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7" s="240">
        <f ca="1">Tabella8[[#This Row],[Colonna7]]*Tabella8[[#This Row],[Colonna4]]/100</f>
        <v>19345.610366286037</v>
      </c>
    </row>
    <row r="1428" spans="2:10">
      <c r="B1428" s="92" t="s">
        <v>143</v>
      </c>
      <c r="C1428" s="91" t="s">
        <v>545</v>
      </c>
      <c r="D1428" s="93">
        <v>112</v>
      </c>
      <c r="E1428" s="93">
        <v>115</v>
      </c>
      <c r="F1428" s="103">
        <f>IFERROR(INDEX(Tabella9[PLZ],MATCH(Tabella8[[#This Row],[Colonna2]],Tabella9[Ortschaftsname],0)), "Name not found")</f>
        <v>5745</v>
      </c>
      <c r="G1428" s="103"/>
      <c r="H1428" s="240">
        <f ca="1">SUMIF(Tabella2[[#Headers],[#Data],[Age]],$H$76,Tabella2[[#Headers],[#Data],[Federal taxes]])</f>
        <v>6804.3246087429152</v>
      </c>
      <c r="I142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8" s="240">
        <f ca="1">Tabella8[[#This Row],[Colonna7]]*Tabella8[[#This Row],[Colonna4]]/100</f>
        <v>18853.772814600801</v>
      </c>
    </row>
    <row r="1429" spans="2:10">
      <c r="B1429" s="92" t="s">
        <v>143</v>
      </c>
      <c r="C1429" s="91" t="s">
        <v>564</v>
      </c>
      <c r="D1429" s="93">
        <v>112</v>
      </c>
      <c r="E1429" s="93">
        <v>105</v>
      </c>
      <c r="F1429" s="103">
        <f>IFERROR(INDEX(Tabella9[PLZ],MATCH(Tabella8[[#This Row],[Colonna2]],Tabella9[Ortschaftsname],0)), "Name not found")</f>
        <v>5614</v>
      </c>
      <c r="G1429" s="103"/>
      <c r="H1429" s="240">
        <f ca="1">SUMIF(Tabella2[[#Headers],[#Data],[Age]],$H$76,Tabella2[[#Headers],[#Data],[Federal taxes]])</f>
        <v>6804.3246087429152</v>
      </c>
      <c r="I142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29" s="240">
        <f ca="1">Tabella8[[#This Row],[Colonna7]]*Tabella8[[#This Row],[Colonna4]]/100</f>
        <v>17214.314308983339</v>
      </c>
    </row>
    <row r="1430" spans="2:10">
      <c r="B1430" s="92" t="s">
        <v>143</v>
      </c>
      <c r="C1430" s="91" t="s">
        <v>558</v>
      </c>
      <c r="D1430" s="93">
        <v>112</v>
      </c>
      <c r="E1430" s="93">
        <v>99</v>
      </c>
      <c r="F1430" s="103">
        <f>IFERROR(INDEX(Tabella9[PLZ],MATCH(Tabella8[[#This Row],[Colonna2]],Tabella9[Ortschaftsname],0)), "Name not found")</f>
        <v>5503</v>
      </c>
      <c r="G1430" s="103"/>
      <c r="H1430" s="240">
        <f ca="1">SUMIF(Tabella2[[#Headers],[#Data],[Age]],$H$76,Tabella2[[#Headers],[#Data],[Federal taxes]])</f>
        <v>6804.3246087429152</v>
      </c>
      <c r="I143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0" s="240">
        <f ca="1">Tabella8[[#This Row],[Colonna7]]*Tabella8[[#This Row],[Colonna4]]/100</f>
        <v>16230.639205612861</v>
      </c>
    </row>
    <row r="1431" spans="2:10">
      <c r="B1431" s="92" t="s">
        <v>143</v>
      </c>
      <c r="C1431" s="91" t="s">
        <v>578</v>
      </c>
      <c r="D1431" s="93">
        <v>112</v>
      </c>
      <c r="E1431" s="93">
        <v>110</v>
      </c>
      <c r="F1431" s="103">
        <v>5107</v>
      </c>
      <c r="G1431" s="103"/>
      <c r="H1431" s="240">
        <f ca="1">SUMIF(Tabella2[[#Headers],[#Data],[Age]],$H$76,Tabella2[[#Headers],[#Data],[Federal taxes]])</f>
        <v>6804.3246087429152</v>
      </c>
      <c r="I143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1" s="240">
        <f ca="1">Tabella8[[#This Row],[Colonna7]]*Tabella8[[#This Row],[Colonna4]]/100</f>
        <v>18034.04356179207</v>
      </c>
    </row>
    <row r="1432" spans="2:10">
      <c r="B1432" s="92" t="s">
        <v>143</v>
      </c>
      <c r="C1432" s="91" t="s">
        <v>578</v>
      </c>
      <c r="D1432" s="93">
        <v>112</v>
      </c>
      <c r="E1432" s="93">
        <v>110</v>
      </c>
      <c r="F1432" s="103">
        <v>5108</v>
      </c>
      <c r="G1432" s="103"/>
      <c r="H1432" s="240">
        <f ca="1">SUMIF(Tabella2[[#Headers],[#Data],[Age]],$H$76,Tabella2[[#Headers],[#Data],[Federal taxes]])</f>
        <v>6804.3246087429152</v>
      </c>
      <c r="I143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2" s="240">
        <f ca="1">Tabella8[[#This Row],[Colonna7]]*Tabella8[[#This Row],[Colonna4]]/100</f>
        <v>18034.04356179207</v>
      </c>
    </row>
    <row r="1433" spans="2:10">
      <c r="B1433" s="92" t="s">
        <v>143</v>
      </c>
      <c r="C1433" s="91" t="s">
        <v>659</v>
      </c>
      <c r="D1433" s="93">
        <v>112</v>
      </c>
      <c r="E1433" s="93">
        <v>120</v>
      </c>
      <c r="F1433" s="103">
        <f>IFERROR(INDEX(Tabella9[PLZ],MATCH(Tabella8[[#This Row],[Colonna2]],Tabella9[Ortschaftsname],0)), "Name not found")</f>
        <v>5044</v>
      </c>
      <c r="G1433" s="103"/>
      <c r="H1433" s="240">
        <f ca="1">SUMIF(Tabella2[[#Headers],[#Data],[Age]],$H$76,Tabella2[[#Headers],[#Data],[Federal taxes]])</f>
        <v>6804.3246087429152</v>
      </c>
      <c r="I143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3" s="240">
        <f ca="1">Tabella8[[#This Row],[Colonna7]]*Tabella8[[#This Row],[Colonna4]]/100</f>
        <v>19673.502067409529</v>
      </c>
    </row>
    <row r="1434" spans="2:10">
      <c r="B1434" s="92" t="s">
        <v>143</v>
      </c>
      <c r="C1434" s="91" t="s">
        <v>634</v>
      </c>
      <c r="D1434" s="93">
        <v>112</v>
      </c>
      <c r="E1434" s="93">
        <v>120</v>
      </c>
      <c r="F1434" s="103">
        <f>IFERROR(INDEX(Tabella9[PLZ],MATCH(Tabella8[[#This Row],[Colonna2]],Tabella9[Ortschaftsname],0)), "Name not found")</f>
        <v>5046</v>
      </c>
      <c r="G1434" s="103"/>
      <c r="H1434" s="240">
        <f ca="1">SUMIF(Tabella2[[#Headers],[#Data],[Age]],$H$76,Tabella2[[#Headers],[#Data],[Federal taxes]])</f>
        <v>6804.3246087429152</v>
      </c>
      <c r="I143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4" s="240">
        <f ca="1">Tabella8[[#This Row],[Colonna7]]*Tabella8[[#This Row],[Colonna4]]/100</f>
        <v>19673.502067409529</v>
      </c>
    </row>
    <row r="1435" spans="2:10">
      <c r="B1435" s="92" t="s">
        <v>143</v>
      </c>
      <c r="C1435" s="91" t="s">
        <v>616</v>
      </c>
      <c r="D1435" s="93">
        <v>112</v>
      </c>
      <c r="E1435" s="93">
        <v>115</v>
      </c>
      <c r="F1435" s="103">
        <f>IFERROR(INDEX(Tabella9[PLZ],MATCH(Tabella8[[#This Row],[Colonna2]],Tabella9[Ortschaftsname],0)), "Name not found")</f>
        <v>5425</v>
      </c>
      <c r="G1435" s="103"/>
      <c r="H1435" s="240">
        <f ca="1">SUMIF(Tabella2[[#Headers],[#Data],[Age]],$H$76,Tabella2[[#Headers],[#Data],[Federal taxes]])</f>
        <v>6804.3246087429152</v>
      </c>
      <c r="I143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5" s="240">
        <f ca="1">Tabella8[[#This Row],[Colonna7]]*Tabella8[[#This Row],[Colonna4]]/100</f>
        <v>18853.772814600801</v>
      </c>
    </row>
    <row r="1436" spans="2:10">
      <c r="B1436" s="92" t="s">
        <v>143</v>
      </c>
      <c r="C1436" s="91" t="s">
        <v>661</v>
      </c>
      <c r="D1436" s="93">
        <v>112</v>
      </c>
      <c r="E1436" s="93">
        <v>110</v>
      </c>
      <c r="F1436" s="103">
        <f>IFERROR(INDEX(Tabella9[PLZ],MATCH(Tabella8[[#This Row],[Colonna2]],Tabella9[Ortschaftsname],0)), "Name not found")</f>
        <v>4325</v>
      </c>
      <c r="G1436" s="103"/>
      <c r="H1436" s="240">
        <f ca="1">SUMIF(Tabella2[[#Headers],[#Data],[Age]],$H$76,Tabella2[[#Headers],[#Data],[Federal taxes]])</f>
        <v>6804.3246087429152</v>
      </c>
      <c r="I143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6" s="240">
        <f ca="1">Tabella8[[#This Row],[Colonna7]]*Tabella8[[#This Row],[Colonna4]]/100</f>
        <v>18034.04356179207</v>
      </c>
    </row>
    <row r="1437" spans="2:10">
      <c r="B1437" s="92" t="s">
        <v>143</v>
      </c>
      <c r="C1437" s="91" t="s">
        <v>672</v>
      </c>
      <c r="D1437" s="93">
        <v>112</v>
      </c>
      <c r="E1437" s="93">
        <v>123</v>
      </c>
      <c r="F1437" s="103">
        <f>IFERROR(INDEX(Tabella9[PLZ],MATCH(Tabella8[[#This Row],[Colonna2]],Tabella9[Ortschaftsname],0)), "Name not found")</f>
        <v>5326</v>
      </c>
      <c r="G1437" s="103"/>
      <c r="H1437" s="240">
        <f ca="1">SUMIF(Tabella2[[#Headers],[#Data],[Age]],$H$76,Tabella2[[#Headers],[#Data],[Federal taxes]])</f>
        <v>6804.3246087429152</v>
      </c>
      <c r="I143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7" s="240">
        <f ca="1">Tabella8[[#This Row],[Colonna7]]*Tabella8[[#This Row],[Colonna4]]/100</f>
        <v>20165.339619094768</v>
      </c>
    </row>
    <row r="1438" spans="2:10">
      <c r="B1438" s="92" t="s">
        <v>143</v>
      </c>
      <c r="C1438" s="91" t="s">
        <v>531</v>
      </c>
      <c r="D1438" s="93">
        <v>112</v>
      </c>
      <c r="E1438" s="93">
        <v>103</v>
      </c>
      <c r="F1438" s="103">
        <f>IFERROR(INDEX(Tabella9[PLZ],MATCH(Tabella8[[#This Row],[Colonna2]],Tabella9[Ortschaftsname],0)), "Name not found")</f>
        <v>5040</v>
      </c>
      <c r="G1438" s="103"/>
      <c r="H1438" s="240">
        <f ca="1">SUMIF(Tabella2[[#Headers],[#Data],[Age]],$H$76,Tabella2[[#Headers],[#Data],[Federal taxes]])</f>
        <v>6804.3246087429152</v>
      </c>
      <c r="I143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8" s="240">
        <f ca="1">Tabella8[[#This Row],[Colonna7]]*Tabella8[[#This Row],[Colonna4]]/100</f>
        <v>16886.422607859844</v>
      </c>
    </row>
    <row r="1439" spans="2:10">
      <c r="B1439" s="92" t="s">
        <v>143</v>
      </c>
      <c r="C1439" s="91" t="s">
        <v>539</v>
      </c>
      <c r="D1439" s="93">
        <v>112</v>
      </c>
      <c r="E1439" s="93">
        <v>72</v>
      </c>
      <c r="F1439" s="103">
        <f>IFERROR(INDEX(Tabella9[PLZ],MATCH(Tabella8[[#This Row],[Colonna2]],Tabella9[Ortschaftsname],0)), "Name not found")</f>
        <v>5707</v>
      </c>
      <c r="G1439" s="103"/>
      <c r="H1439" s="240">
        <f ca="1">SUMIF(Tabella2[[#Headers],[#Data],[Age]],$H$76,Tabella2[[#Headers],[#Data],[Federal taxes]])</f>
        <v>6804.3246087429152</v>
      </c>
      <c r="I143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39" s="240">
        <f ca="1">Tabella8[[#This Row],[Colonna7]]*Tabella8[[#This Row],[Colonna4]]/100</f>
        <v>11804.101240445718</v>
      </c>
    </row>
    <row r="1440" spans="2:10">
      <c r="B1440" s="92" t="s">
        <v>143</v>
      </c>
      <c r="C1440" s="91" t="s">
        <v>519</v>
      </c>
      <c r="D1440" s="93">
        <v>112</v>
      </c>
      <c r="E1440" s="93">
        <v>108</v>
      </c>
      <c r="F1440" s="103">
        <f>IFERROR(INDEX(Tabella9[PLZ],MATCH(Tabella8[[#This Row],[Colonna2]],Tabella9[Ortschaftsname],0)), "Name not found")</f>
        <v>5703</v>
      </c>
      <c r="G1440" s="103"/>
      <c r="H1440" s="240">
        <f ca="1">SUMIF(Tabella2[[#Headers],[#Data],[Age]],$H$76,Tabella2[[#Headers],[#Data],[Federal taxes]])</f>
        <v>6804.3246087429152</v>
      </c>
      <c r="I144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0" s="240">
        <f ca="1">Tabella8[[#This Row],[Colonna7]]*Tabella8[[#This Row],[Colonna4]]/100</f>
        <v>17706.151860668579</v>
      </c>
    </row>
    <row r="1441" spans="2:10">
      <c r="B1441" s="92" t="s">
        <v>143</v>
      </c>
      <c r="C1441" s="91" t="s">
        <v>673</v>
      </c>
      <c r="D1441" s="93">
        <v>112</v>
      </c>
      <c r="E1441" s="93">
        <v>121</v>
      </c>
      <c r="F1441" s="103">
        <f>IFERROR(INDEX(Tabella9[PLZ],MATCH(Tabella8[[#This Row],[Colonna2]],Tabella9[Ortschaftsname],0)), "Name not found")</f>
        <v>5462</v>
      </c>
      <c r="G1441" s="103"/>
      <c r="H1441" s="240">
        <f ca="1">SUMIF(Tabella2[[#Headers],[#Data],[Age]],$H$76,Tabella2[[#Headers],[#Data],[Federal taxes]])</f>
        <v>6804.3246087429152</v>
      </c>
      <c r="I144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1" s="240">
        <f ca="1">Tabella8[[#This Row],[Colonna7]]*Tabella8[[#This Row],[Colonna4]]/100</f>
        <v>19837.447917971276</v>
      </c>
    </row>
    <row r="1442" spans="2:10">
      <c r="B1442" s="92" t="s">
        <v>143</v>
      </c>
      <c r="C1442" s="91" t="s">
        <v>530</v>
      </c>
      <c r="D1442" s="93">
        <v>112</v>
      </c>
      <c r="E1442" s="93">
        <v>98</v>
      </c>
      <c r="F1442" s="103">
        <f>IFERROR(INDEX(Tabella9[PLZ],MATCH(Tabella8[[#This Row],[Colonna2]],Tabella9[Ortschaftsname],0)), "Name not found")</f>
        <v>5643</v>
      </c>
      <c r="G1442" s="103"/>
      <c r="H1442" s="240">
        <f ca="1">SUMIF(Tabella2[[#Headers],[#Data],[Age]],$H$76,Tabella2[[#Headers],[#Data],[Federal taxes]])</f>
        <v>6804.3246087429152</v>
      </c>
      <c r="I144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2" s="240">
        <f ca="1">Tabella8[[#This Row],[Colonna7]]*Tabella8[[#This Row],[Colonna4]]/100</f>
        <v>16066.693355051117</v>
      </c>
    </row>
    <row r="1443" spans="2:10">
      <c r="B1443" s="92" t="s">
        <v>143</v>
      </c>
      <c r="C1443" s="91" t="s">
        <v>599</v>
      </c>
      <c r="D1443" s="93">
        <v>112</v>
      </c>
      <c r="E1443" s="93">
        <v>80</v>
      </c>
      <c r="F1443" s="103">
        <v>4334</v>
      </c>
      <c r="G1443" s="103"/>
      <c r="H1443" s="240">
        <f ca="1">SUMIF(Tabella2[[#Headers],[#Data],[Age]],$H$76,Tabella2[[#Headers],[#Data],[Federal taxes]])</f>
        <v>6804.3246087429152</v>
      </c>
      <c r="I144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3" s="240">
        <f ca="1">Tabella8[[#This Row],[Colonna7]]*Tabella8[[#This Row],[Colonna4]]/100</f>
        <v>13115.668044939686</v>
      </c>
    </row>
    <row r="1444" spans="2:10">
      <c r="B1444" s="92" t="s">
        <v>143</v>
      </c>
      <c r="C1444" s="91" t="s">
        <v>2676</v>
      </c>
      <c r="D1444" s="93">
        <v>112</v>
      </c>
      <c r="E1444" s="93">
        <v>100</v>
      </c>
      <c r="F1444" s="103">
        <f>IFERROR(INDEX(Tabella9[PLZ],MATCH(Tabella8[[#This Row],[Colonna2]],Tabella9[Ortschaftsname],0)), "Name not found")</f>
        <v>8957</v>
      </c>
      <c r="G1444" s="103"/>
      <c r="H1444" s="240">
        <f ca="1">SUMIF(Tabella2[[#Headers],[#Data],[Age]],$H$76,Tabella2[[#Headers],[#Data],[Federal taxes]])</f>
        <v>6804.3246087429152</v>
      </c>
      <c r="I144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4" s="240">
        <f ca="1">Tabella8[[#This Row],[Colonna7]]*Tabella8[[#This Row],[Colonna4]]/100</f>
        <v>16394.585056174608</v>
      </c>
    </row>
    <row r="1445" spans="2:10">
      <c r="B1445" s="92" t="s">
        <v>143</v>
      </c>
      <c r="C1445" s="91" t="s">
        <v>626</v>
      </c>
      <c r="D1445" s="93">
        <v>112</v>
      </c>
      <c r="E1445" s="93">
        <v>119</v>
      </c>
      <c r="F1445" s="103">
        <f>IFERROR(INDEX(Tabella9[PLZ],MATCH(Tabella8[[#This Row],[Colonna2]],Tabella9[Ortschaftsname],0)), "Name not found")</f>
        <v>5053</v>
      </c>
      <c r="G1445" s="103"/>
      <c r="H1445" s="240">
        <f ca="1">SUMIF(Tabella2[[#Headers],[#Data],[Age]],$H$76,Tabella2[[#Headers],[#Data],[Federal taxes]])</f>
        <v>6804.3246087429152</v>
      </c>
      <c r="I144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5" s="240">
        <f ca="1">Tabella8[[#This Row],[Colonna7]]*Tabella8[[#This Row],[Colonna4]]/100</f>
        <v>19509.556216847785</v>
      </c>
    </row>
    <row r="1446" spans="2:10">
      <c r="B1446" s="92" t="s">
        <v>143</v>
      </c>
      <c r="C1446" s="91" t="s">
        <v>553</v>
      </c>
      <c r="D1446" s="93">
        <v>112</v>
      </c>
      <c r="E1446" s="93">
        <v>82</v>
      </c>
      <c r="F1446" s="103">
        <f>IFERROR(INDEX(Tabella9[PLZ],MATCH(Tabella8[[#This Row],[Colonna2]],Tabella9[Ortschaftsname],0)), "Name not found")</f>
        <v>5603</v>
      </c>
      <c r="G1446" s="103"/>
      <c r="H1446" s="240">
        <f ca="1">SUMIF(Tabella2[[#Headers],[#Data],[Age]],$H$76,Tabella2[[#Headers],[#Data],[Federal taxes]])</f>
        <v>6804.3246087429152</v>
      </c>
      <c r="I144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6" s="240">
        <f ca="1">Tabella8[[#This Row],[Colonna7]]*Tabella8[[#This Row],[Colonna4]]/100</f>
        <v>13443.55974606318</v>
      </c>
    </row>
    <row r="1447" spans="2:10">
      <c r="B1447" s="92" t="s">
        <v>143</v>
      </c>
      <c r="C1447" s="91" t="s">
        <v>554</v>
      </c>
      <c r="D1447" s="93">
        <v>112</v>
      </c>
      <c r="E1447" s="93">
        <v>88</v>
      </c>
      <c r="F1447" s="103">
        <v>4332</v>
      </c>
      <c r="G1447" s="103"/>
      <c r="H1447" s="240">
        <f ca="1">SUMIF(Tabella2[[#Headers],[#Data],[Age]],$H$76,Tabella2[[#Headers],[#Data],[Federal taxes]])</f>
        <v>6804.3246087429152</v>
      </c>
      <c r="I144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7" s="240">
        <f ca="1">Tabella8[[#This Row],[Colonna7]]*Tabella8[[#This Row],[Colonna4]]/100</f>
        <v>14427.234849433655</v>
      </c>
    </row>
    <row r="1448" spans="2:10">
      <c r="B1448" s="92" t="s">
        <v>143</v>
      </c>
      <c r="C1448" s="91" t="s">
        <v>577</v>
      </c>
      <c r="D1448" s="93">
        <v>112</v>
      </c>
      <c r="E1448" s="93">
        <v>105</v>
      </c>
      <c r="F1448" s="103">
        <v>5604</v>
      </c>
      <c r="G1448" s="103"/>
      <c r="H1448" s="240">
        <f ca="1">SUMIF(Tabella2[[#Headers],[#Data],[Age]],$H$76,Tabella2[[#Headers],[#Data],[Federal taxes]])</f>
        <v>6804.3246087429152</v>
      </c>
      <c r="I144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8" s="240">
        <f ca="1">Tabella8[[#This Row],[Colonna7]]*Tabella8[[#This Row],[Colonna4]]/100</f>
        <v>17214.314308983339</v>
      </c>
    </row>
    <row r="1449" spans="2:10">
      <c r="B1449" s="92" t="s">
        <v>143</v>
      </c>
      <c r="C1449" s="91" t="s">
        <v>521</v>
      </c>
      <c r="D1449" s="93">
        <v>112</v>
      </c>
      <c r="E1449" s="93">
        <v>103</v>
      </c>
      <c r="F1449" s="103">
        <f>IFERROR(INDEX(Tabella9[PLZ],MATCH(Tabella8[[#This Row],[Colonna2]],Tabella9[Ortschaftsname],0)), "Name not found")</f>
        <v>4802</v>
      </c>
      <c r="G1449" s="103"/>
      <c r="H1449" s="240">
        <f ca="1">SUMIF(Tabella2[[#Headers],[#Data],[Age]],$H$76,Tabella2[[#Headers],[#Data],[Federal taxes]])</f>
        <v>6804.3246087429152</v>
      </c>
      <c r="I144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49" s="240">
        <f ca="1">Tabella8[[#This Row],[Colonna7]]*Tabella8[[#This Row],[Colonna4]]/100</f>
        <v>16886.422607859844</v>
      </c>
    </row>
    <row r="1450" spans="2:10">
      <c r="B1450" s="92" t="s">
        <v>143</v>
      </c>
      <c r="C1450" s="91" t="s">
        <v>496</v>
      </c>
      <c r="D1450" s="93">
        <v>112</v>
      </c>
      <c r="E1450" s="93">
        <v>112</v>
      </c>
      <c r="F1450" s="103">
        <f>IFERROR(INDEX(Tabella9[PLZ],MATCH(Tabella8[[#This Row],[Colonna2]],Tabella9[Ortschaftsname],0)), "Name not found")</f>
        <v>5034</v>
      </c>
      <c r="G1450" s="103"/>
      <c r="H1450" s="240">
        <f ca="1">SUMIF(Tabella2[[#Headers],[#Data],[Age]],$H$76,Tabella2[[#Headers],[#Data],[Federal taxes]])</f>
        <v>6804.3246087429152</v>
      </c>
      <c r="I145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0" s="240">
        <f ca="1">Tabella8[[#This Row],[Colonna7]]*Tabella8[[#This Row],[Colonna4]]/100</f>
        <v>18361.935262915562</v>
      </c>
    </row>
    <row r="1451" spans="2:10">
      <c r="B1451" s="92" t="s">
        <v>143</v>
      </c>
      <c r="C1451" s="91" t="s">
        <v>630</v>
      </c>
      <c r="D1451" s="93">
        <v>112</v>
      </c>
      <c r="E1451" s="93">
        <v>107</v>
      </c>
      <c r="F1451" s="103">
        <f>IFERROR(INDEX(Tabella9[PLZ],MATCH(Tabella8[[#This Row],[Colonna2]],Tabella9[Ortschaftsname],0)), "Name not found")</f>
        <v>5306</v>
      </c>
      <c r="G1451" s="103"/>
      <c r="H1451" s="240">
        <f ca="1">SUMIF(Tabella2[[#Headers],[#Data],[Age]],$H$76,Tabella2[[#Headers],[#Data],[Federal taxes]])</f>
        <v>6804.3246087429152</v>
      </c>
      <c r="I145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1" s="240">
        <f ca="1">Tabella8[[#This Row],[Colonna7]]*Tabella8[[#This Row],[Colonna4]]/100</f>
        <v>17542.206010106831</v>
      </c>
    </row>
    <row r="1452" spans="2:10">
      <c r="B1452" s="92" t="s">
        <v>143</v>
      </c>
      <c r="C1452" s="91" t="s">
        <v>598</v>
      </c>
      <c r="D1452" s="93">
        <v>112</v>
      </c>
      <c r="E1452" s="93">
        <v>122</v>
      </c>
      <c r="F1452" s="103">
        <v>5723</v>
      </c>
      <c r="G1452" s="103"/>
      <c r="H1452" s="240">
        <f ca="1">SUMIF(Tabella2[[#Headers],[#Data],[Age]],$H$76,Tabella2[[#Headers],[#Data],[Federal taxes]])</f>
        <v>6804.3246087429152</v>
      </c>
      <c r="I145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2" s="240">
        <f ca="1">Tabella8[[#This Row],[Colonna7]]*Tabella8[[#This Row],[Colonna4]]/100</f>
        <v>20001.39376853302</v>
      </c>
    </row>
    <row r="1453" spans="2:10">
      <c r="B1453" s="92" t="s">
        <v>143</v>
      </c>
      <c r="C1453" s="91" t="s">
        <v>660</v>
      </c>
      <c r="D1453" s="93">
        <v>112</v>
      </c>
      <c r="E1453" s="93">
        <v>109</v>
      </c>
      <c r="F1453" s="103">
        <v>5112</v>
      </c>
      <c r="G1453" s="103"/>
      <c r="H1453" s="240">
        <f ca="1">SUMIF(Tabella2[[#Headers],[#Data],[Age]],$H$76,Tabella2[[#Headers],[#Data],[Federal taxes]])</f>
        <v>6804.3246087429152</v>
      </c>
      <c r="I145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3" s="240">
        <f ca="1">Tabella8[[#This Row],[Colonna7]]*Tabella8[[#This Row],[Colonna4]]/100</f>
        <v>17870.097711230323</v>
      </c>
    </row>
    <row r="1454" spans="2:10">
      <c r="B1454" s="92" t="s">
        <v>143</v>
      </c>
      <c r="C1454" s="91" t="s">
        <v>608</v>
      </c>
      <c r="D1454" s="93">
        <v>112</v>
      </c>
      <c r="E1454" s="93">
        <v>127</v>
      </c>
      <c r="F1454" s="103">
        <f>IFERROR(INDEX(Tabella9[PLZ],MATCH(Tabella8[[#This Row],[Colonna2]],Tabella9[Ortschaftsname],0)), "Name not found")</f>
        <v>5522</v>
      </c>
      <c r="G1454" s="103"/>
      <c r="H1454" s="240">
        <f ca="1">SUMIF(Tabella2[[#Headers],[#Data],[Age]],$H$76,Tabella2[[#Headers],[#Data],[Federal taxes]])</f>
        <v>6804.3246087429152</v>
      </c>
      <c r="I145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4" s="240">
        <f ca="1">Tabella8[[#This Row],[Colonna7]]*Tabella8[[#This Row],[Colonna4]]/100</f>
        <v>20821.123021341755</v>
      </c>
    </row>
    <row r="1455" spans="2:10">
      <c r="B1455" s="92" t="s">
        <v>143</v>
      </c>
      <c r="C1455" s="91" t="s">
        <v>618</v>
      </c>
      <c r="D1455" s="93">
        <v>112</v>
      </c>
      <c r="E1455" s="93">
        <v>119</v>
      </c>
      <c r="F1455" s="103">
        <f>IFERROR(INDEX(Tabella9[PLZ],MATCH(Tabella8[[#This Row],[Colonna2]],Tabella9[Ortschaftsname],0)), "Name not found")</f>
        <v>4813</v>
      </c>
      <c r="G1455" s="103"/>
      <c r="H1455" s="240">
        <f ca="1">SUMIF(Tabella2[[#Headers],[#Data],[Age]],$H$76,Tabella2[[#Headers],[#Data],[Federal taxes]])</f>
        <v>6804.3246087429152</v>
      </c>
      <c r="I145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5" s="240">
        <f ca="1">Tabella8[[#This Row],[Colonna7]]*Tabella8[[#This Row],[Colonna4]]/100</f>
        <v>19509.556216847785</v>
      </c>
    </row>
    <row r="1456" spans="2:10">
      <c r="B1456" s="92" t="s">
        <v>143</v>
      </c>
      <c r="C1456" s="91" t="s">
        <v>680</v>
      </c>
      <c r="D1456" s="93">
        <v>112</v>
      </c>
      <c r="E1456" s="93">
        <v>106</v>
      </c>
      <c r="F1456" s="103">
        <f>IFERROR(INDEX(Tabella9[PLZ],MATCH(Tabella8[[#This Row],[Colonna2]],Tabella9[Ortschaftsname],0)), "Name not found")</f>
        <v>5619</v>
      </c>
      <c r="G1456" s="103"/>
      <c r="H1456" s="240">
        <f ca="1">SUMIF(Tabella2[[#Headers],[#Data],[Age]],$H$76,Tabella2[[#Headers],[#Data],[Federal taxes]])</f>
        <v>6804.3246087429152</v>
      </c>
      <c r="I145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6" s="240">
        <f ca="1">Tabella8[[#This Row],[Colonna7]]*Tabella8[[#This Row],[Colonna4]]/100</f>
        <v>17378.260159545083</v>
      </c>
    </row>
    <row r="1457" spans="2:10">
      <c r="B1457" s="92" t="s">
        <v>143</v>
      </c>
      <c r="C1457" s="91" t="s">
        <v>535</v>
      </c>
      <c r="D1457" s="93">
        <v>112</v>
      </c>
      <c r="E1457" s="93">
        <v>113</v>
      </c>
      <c r="F1457" s="103">
        <f>IFERROR(INDEX(Tabella9[PLZ],MATCH(Tabella8[[#This Row],[Colonna2]],Tabella9[Ortschaftsname],0)), "Name not found")</f>
        <v>5035</v>
      </c>
      <c r="G1457" s="103"/>
      <c r="H1457" s="240">
        <f ca="1">SUMIF(Tabella2[[#Headers],[#Data],[Age]],$H$76,Tabella2[[#Headers],[#Data],[Federal taxes]])</f>
        <v>6804.3246087429152</v>
      </c>
      <c r="I145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7" s="240">
        <f ca="1">Tabella8[[#This Row],[Colonna7]]*Tabella8[[#This Row],[Colonna4]]/100</f>
        <v>18525.881113477306</v>
      </c>
    </row>
    <row r="1458" spans="2:10">
      <c r="B1458" s="92" t="s">
        <v>143</v>
      </c>
      <c r="C1458" s="91" t="s">
        <v>556</v>
      </c>
      <c r="D1458" s="93">
        <v>112</v>
      </c>
      <c r="E1458" s="93">
        <v>115</v>
      </c>
      <c r="F1458" s="103">
        <f>IFERROR(INDEX(Tabella9[PLZ],MATCH(Tabella8[[#This Row],[Colonna2]],Tabella9[Ortschaftsname],0)), "Name not found")</f>
        <v>5726</v>
      </c>
      <c r="G1458" s="103"/>
      <c r="H1458" s="240">
        <f ca="1">SUMIF(Tabella2[[#Headers],[#Data],[Age]],$H$76,Tabella2[[#Headers],[#Data],[Federal taxes]])</f>
        <v>6804.3246087429152</v>
      </c>
      <c r="I145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8" s="240">
        <f ca="1">Tabella8[[#This Row],[Colonna7]]*Tabella8[[#This Row],[Colonna4]]/100</f>
        <v>18853.772814600801</v>
      </c>
    </row>
    <row r="1459" spans="2:10">
      <c r="B1459" s="92" t="s">
        <v>143</v>
      </c>
      <c r="C1459" s="91" t="s">
        <v>617</v>
      </c>
      <c r="D1459" s="93">
        <v>112</v>
      </c>
      <c r="E1459" s="93">
        <v>69</v>
      </c>
      <c r="F1459" s="103">
        <f>IFERROR(INDEX(Tabella9[PLZ],MATCH(Tabella8[[#This Row],[Colonna2]],Tabella9[Ortschaftsname],0)), "Name not found")</f>
        <v>8918</v>
      </c>
      <c r="G1459" s="103"/>
      <c r="H1459" s="240">
        <f ca="1">SUMIF(Tabella2[[#Headers],[#Data],[Age]],$H$76,Tabella2[[#Headers],[#Data],[Federal taxes]])</f>
        <v>6804.3246087429152</v>
      </c>
      <c r="I145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59" s="240">
        <f ca="1">Tabella8[[#This Row],[Colonna7]]*Tabella8[[#This Row],[Colonna4]]/100</f>
        <v>11312.263688760479</v>
      </c>
    </row>
    <row r="1460" spans="2:10">
      <c r="B1460" s="92" t="s">
        <v>143</v>
      </c>
      <c r="C1460" s="91" t="s">
        <v>509</v>
      </c>
      <c r="D1460" s="93">
        <v>112</v>
      </c>
      <c r="E1460" s="93">
        <v>105</v>
      </c>
      <c r="F1460" s="103">
        <f>IFERROR(INDEX(Tabella9[PLZ],MATCH(Tabella8[[#This Row],[Colonna2]],Tabella9[Ortschaftsname],0)), "Name not found")</f>
        <v>5417</v>
      </c>
      <c r="G1460" s="103"/>
      <c r="H1460" s="240">
        <f ca="1">SUMIF(Tabella2[[#Headers],[#Data],[Age]],$H$76,Tabella2[[#Headers],[#Data],[Federal taxes]])</f>
        <v>6804.3246087429152</v>
      </c>
      <c r="I146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0" s="240">
        <f ca="1">Tabella8[[#This Row],[Colonna7]]*Tabella8[[#This Row],[Colonna4]]/100</f>
        <v>17214.314308983339</v>
      </c>
    </row>
    <row r="1461" spans="2:10">
      <c r="B1461" s="92" t="s">
        <v>143</v>
      </c>
      <c r="C1461" s="91" t="s">
        <v>612</v>
      </c>
      <c r="D1461" s="93">
        <v>112</v>
      </c>
      <c r="E1461" s="93">
        <v>105</v>
      </c>
      <c r="F1461" s="103">
        <v>5106</v>
      </c>
      <c r="G1461" s="103"/>
      <c r="H1461" s="240">
        <f ca="1">SUMIF(Tabella2[[#Headers],[#Data],[Age]],$H$76,Tabella2[[#Headers],[#Data],[Federal taxes]])</f>
        <v>6804.3246087429152</v>
      </c>
      <c r="I146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1" s="240">
        <f ca="1">Tabella8[[#This Row],[Colonna7]]*Tabella8[[#This Row],[Colonna4]]/100</f>
        <v>17214.314308983339</v>
      </c>
    </row>
    <row r="1462" spans="2:10">
      <c r="B1462" s="92" t="s">
        <v>143</v>
      </c>
      <c r="C1462" s="91" t="s">
        <v>584</v>
      </c>
      <c r="D1462" s="93">
        <v>112</v>
      </c>
      <c r="E1462" s="93">
        <v>87</v>
      </c>
      <c r="F1462" s="103">
        <f>IFERROR(INDEX(Tabella9[PLZ],MATCH(Tabella8[[#This Row],[Colonna2]],Tabella9[Ortschaftsname],0)), "Name not found")</f>
        <v>5234</v>
      </c>
      <c r="G1462" s="103"/>
      <c r="H1462" s="240">
        <f ca="1">SUMIF(Tabella2[[#Headers],[#Data],[Age]],$H$76,Tabella2[[#Headers],[#Data],[Federal taxes]])</f>
        <v>6804.3246087429152</v>
      </c>
      <c r="I146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2" s="240">
        <f ca="1">Tabella8[[#This Row],[Colonna7]]*Tabella8[[#This Row],[Colonna4]]/100</f>
        <v>14263.288998871909</v>
      </c>
    </row>
    <row r="1463" spans="2:10">
      <c r="B1463" s="92" t="s">
        <v>143</v>
      </c>
      <c r="C1463" s="91" t="s">
        <v>508</v>
      </c>
      <c r="D1463" s="93">
        <v>112</v>
      </c>
      <c r="E1463" s="93">
        <v>102</v>
      </c>
      <c r="F1463" s="103">
        <f>IFERROR(INDEX(Tabella9[PLZ],MATCH(Tabella8[[#This Row],[Colonna2]],Tabella9[Ortschaftsname],0)), "Name not found")</f>
        <v>5612</v>
      </c>
      <c r="G1463" s="103"/>
      <c r="H1463" s="240">
        <f ca="1">SUMIF(Tabella2[[#Headers],[#Data],[Age]],$H$76,Tabella2[[#Headers],[#Data],[Federal taxes]])</f>
        <v>6804.3246087429152</v>
      </c>
      <c r="I146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3" s="240">
        <f ca="1">Tabella8[[#This Row],[Colonna7]]*Tabella8[[#This Row],[Colonna4]]/100</f>
        <v>16722.4767572981</v>
      </c>
    </row>
    <row r="1464" spans="2:10">
      <c r="B1464" s="92" t="s">
        <v>143</v>
      </c>
      <c r="C1464" s="91" t="s">
        <v>596</v>
      </c>
      <c r="D1464" s="93">
        <v>112</v>
      </c>
      <c r="E1464" s="93">
        <v>120</v>
      </c>
      <c r="F1464" s="103">
        <f>IFERROR(INDEX(Tabella9[PLZ],MATCH(Tabella8[[#This Row],[Colonna2]],Tabella9[Ortschaftsname],0)), "Name not found")</f>
        <v>5213</v>
      </c>
      <c r="G1464" s="103"/>
      <c r="H1464" s="240">
        <f ca="1">SUMIF(Tabella2[[#Headers],[#Data],[Age]],$H$76,Tabella2[[#Headers],[#Data],[Federal taxes]])</f>
        <v>6804.3246087429152</v>
      </c>
      <c r="I146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4" s="240">
        <f ca="1">Tabella8[[#This Row],[Colonna7]]*Tabella8[[#This Row],[Colonna4]]/100</f>
        <v>19673.502067409529</v>
      </c>
    </row>
    <row r="1465" spans="2:10">
      <c r="B1465" s="92" t="s">
        <v>143</v>
      </c>
      <c r="C1465" s="91" t="s">
        <v>592</v>
      </c>
      <c r="D1465" s="93">
        <v>112</v>
      </c>
      <c r="E1465" s="93">
        <v>118</v>
      </c>
      <c r="F1465" s="103">
        <f>IFERROR(INDEX(Tabella9[PLZ],MATCH(Tabella8[[#This Row],[Colonna2]],Tabella9[Ortschaftsname],0)), "Name not found")</f>
        <v>4803</v>
      </c>
      <c r="G1465" s="103"/>
      <c r="H1465" s="240">
        <f ca="1">SUMIF(Tabella2[[#Headers],[#Data],[Age]],$H$76,Tabella2[[#Headers],[#Data],[Federal taxes]])</f>
        <v>6804.3246087429152</v>
      </c>
      <c r="I146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5" s="240">
        <f ca="1">Tabella8[[#This Row],[Colonna7]]*Tabella8[[#This Row],[Colonna4]]/100</f>
        <v>19345.610366286037</v>
      </c>
    </row>
    <row r="1466" spans="2:10">
      <c r="B1466" s="92" t="s">
        <v>143</v>
      </c>
      <c r="C1466" s="91" t="s">
        <v>591</v>
      </c>
      <c r="D1466" s="93">
        <v>112</v>
      </c>
      <c r="E1466" s="93">
        <v>95</v>
      </c>
      <c r="F1466" s="103">
        <f>IFERROR(INDEX(Tabella9[PLZ],MATCH(Tabella8[[#This Row],[Colonna2]],Tabella9[Ortschaftsname],0)), "Name not found")</f>
        <v>4323</v>
      </c>
      <c r="G1466" s="103"/>
      <c r="H1466" s="240">
        <f ca="1">SUMIF(Tabella2[[#Headers],[#Data],[Age]],$H$76,Tabella2[[#Headers],[#Data],[Federal taxes]])</f>
        <v>6804.3246087429152</v>
      </c>
      <c r="I146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6" s="240">
        <f ca="1">Tabella8[[#This Row],[Colonna7]]*Tabella8[[#This Row],[Colonna4]]/100</f>
        <v>15574.855803365877</v>
      </c>
    </row>
    <row r="1467" spans="2:10">
      <c r="B1467" s="92" t="s">
        <v>143</v>
      </c>
      <c r="C1467" s="91" t="s">
        <v>563</v>
      </c>
      <c r="D1467" s="93">
        <v>112</v>
      </c>
      <c r="E1467" s="93">
        <v>106</v>
      </c>
      <c r="F1467" s="103">
        <f>IFERROR(INDEX(Tabella9[PLZ],MATCH(Tabella8[[#This Row],[Colonna2]],Tabella9[Ortschaftsname],0)), "Name not found")</f>
        <v>5622</v>
      </c>
      <c r="G1467" s="103"/>
      <c r="H1467" s="240">
        <f ca="1">SUMIF(Tabella2[[#Headers],[#Data],[Age]],$H$76,Tabella2[[#Headers],[#Data],[Federal taxes]])</f>
        <v>6804.3246087429152</v>
      </c>
      <c r="I146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7" s="240">
        <f ca="1">Tabella8[[#This Row],[Colonna7]]*Tabella8[[#This Row],[Colonna4]]/100</f>
        <v>17378.260159545083</v>
      </c>
    </row>
    <row r="1468" spans="2:10">
      <c r="B1468" s="92" t="s">
        <v>143</v>
      </c>
      <c r="C1468" s="91" t="s">
        <v>638</v>
      </c>
      <c r="D1468" s="93">
        <v>112</v>
      </c>
      <c r="E1468" s="93">
        <v>118</v>
      </c>
      <c r="F1468" s="103">
        <f>IFERROR(INDEX(Tabella9[PLZ],MATCH(Tabella8[[#This Row],[Colonna2]],Tabella9[Ortschaftsname],0)), "Name not found")</f>
        <v>4317</v>
      </c>
      <c r="G1468" s="103"/>
      <c r="H1468" s="240">
        <f ca="1">SUMIF(Tabella2[[#Headers],[#Data],[Age]],$H$76,Tabella2[[#Headers],[#Data],[Federal taxes]])</f>
        <v>6804.3246087429152</v>
      </c>
      <c r="I146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8" s="240">
        <f ca="1">Tabella8[[#This Row],[Colonna7]]*Tabella8[[#This Row],[Colonna4]]/100</f>
        <v>19345.610366286037</v>
      </c>
    </row>
    <row r="1469" spans="2:10">
      <c r="B1469" s="92" t="s">
        <v>143</v>
      </c>
      <c r="C1469" s="91" t="s">
        <v>2677</v>
      </c>
      <c r="D1469" s="93">
        <v>112</v>
      </c>
      <c r="E1469" s="93">
        <v>95</v>
      </c>
      <c r="F1469" s="103">
        <f>IFERROR(INDEX(Tabella9[PLZ],MATCH(Tabella8[[#This Row],[Colonna2]],Tabella9[Ortschaftsname],0)), "Name not found")</f>
        <v>5430</v>
      </c>
      <c r="G1469" s="103"/>
      <c r="H1469" s="240">
        <f ca="1">SUMIF(Tabella2[[#Headers],[#Data],[Age]],$H$76,Tabella2[[#Headers],[#Data],[Federal taxes]])</f>
        <v>6804.3246087429152</v>
      </c>
      <c r="I146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69" s="240">
        <f ca="1">Tabella8[[#This Row],[Colonna7]]*Tabella8[[#This Row],[Colonna4]]/100</f>
        <v>15574.855803365877</v>
      </c>
    </row>
    <row r="1470" spans="2:10">
      <c r="B1470" s="92" t="s">
        <v>143</v>
      </c>
      <c r="C1470" s="91" t="s">
        <v>546</v>
      </c>
      <c r="D1470" s="93">
        <v>112</v>
      </c>
      <c r="E1470" s="93">
        <v>75</v>
      </c>
      <c r="F1470" s="103">
        <f>IFERROR(INDEX(Tabella9[PLZ],MATCH(Tabella8[[#This Row],[Colonna2]],Tabella9[Ortschaftsname],0)), "Name not found")</f>
        <v>8967</v>
      </c>
      <c r="G1470" s="103"/>
      <c r="H1470" s="240">
        <f ca="1">SUMIF(Tabella2[[#Headers],[#Data],[Age]],$H$76,Tabella2[[#Headers],[#Data],[Federal taxes]])</f>
        <v>6804.3246087429152</v>
      </c>
      <c r="I147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0" s="240">
        <f ca="1">Tabella8[[#This Row],[Colonna7]]*Tabella8[[#This Row],[Colonna4]]/100</f>
        <v>12295.938792130957</v>
      </c>
    </row>
    <row r="1471" spans="2:10">
      <c r="B1471" s="92" t="s">
        <v>143</v>
      </c>
      <c r="C1471" s="91" t="s">
        <v>695</v>
      </c>
      <c r="D1471" s="93">
        <v>112</v>
      </c>
      <c r="E1471" s="93">
        <v>109</v>
      </c>
      <c r="F1471" s="103">
        <f>IFERROR(INDEX(Tabella9[PLZ],MATCH(Tabella8[[#This Row],[Colonna2]],Tabella9[Ortschaftsname],0)), "Name not found")</f>
        <v>5058</v>
      </c>
      <c r="G1471" s="103"/>
      <c r="H1471" s="240">
        <f ca="1">SUMIF(Tabella2[[#Headers],[#Data],[Age]],$H$76,Tabella2[[#Headers],[#Data],[Federal taxes]])</f>
        <v>6804.3246087429152</v>
      </c>
      <c r="I147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1" s="240">
        <f ca="1">Tabella8[[#This Row],[Colonna7]]*Tabella8[[#This Row],[Colonna4]]/100</f>
        <v>17870.097711230323</v>
      </c>
    </row>
    <row r="1472" spans="2:10">
      <c r="B1472" s="92" t="s">
        <v>143</v>
      </c>
      <c r="C1472" s="91" t="s">
        <v>507</v>
      </c>
      <c r="D1472" s="93">
        <v>112</v>
      </c>
      <c r="E1472" s="93">
        <v>115</v>
      </c>
      <c r="F1472" s="103">
        <f>IFERROR(INDEX(Tabella9[PLZ],MATCH(Tabella8[[#This Row],[Colonna2]],Tabella9[Ortschaftsname],0)), "Name not found")</f>
        <v>5210</v>
      </c>
      <c r="G1472" s="103"/>
      <c r="H1472" s="240">
        <f ca="1">SUMIF(Tabella2[[#Headers],[#Data],[Age]],$H$76,Tabella2[[#Headers],[#Data],[Federal taxes]])</f>
        <v>6804.3246087429152</v>
      </c>
      <c r="I147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2" s="240">
        <f ca="1">Tabella8[[#This Row],[Colonna7]]*Tabella8[[#This Row],[Colonna4]]/100</f>
        <v>18853.772814600801</v>
      </c>
    </row>
    <row r="1473" spans="2:10">
      <c r="B1473" s="92" t="s">
        <v>143</v>
      </c>
      <c r="C1473" s="91" t="s">
        <v>620</v>
      </c>
      <c r="D1473" s="93">
        <v>112</v>
      </c>
      <c r="E1473" s="93">
        <v>119</v>
      </c>
      <c r="F1473" s="103">
        <f>IFERROR(INDEX(Tabella9[PLZ],MATCH(Tabella8[[#This Row],[Colonna2]],Tabella9[Ortschaftsname],0)), "Name not found")</f>
        <v>5064</v>
      </c>
      <c r="G1473" s="103"/>
      <c r="H1473" s="240">
        <f ca="1">SUMIF(Tabella2[[#Headers],[#Data],[Age]],$H$76,Tabella2[[#Headers],[#Data],[Federal taxes]])</f>
        <v>6804.3246087429152</v>
      </c>
      <c r="I147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3" s="240">
        <f ca="1">Tabella8[[#This Row],[Colonna7]]*Tabella8[[#This Row],[Colonna4]]/100</f>
        <v>19509.556216847785</v>
      </c>
    </row>
    <row r="1474" spans="2:10">
      <c r="B1474" s="92" t="s">
        <v>143</v>
      </c>
      <c r="C1474" s="91" t="s">
        <v>2678</v>
      </c>
      <c r="D1474" s="93">
        <v>112</v>
      </c>
      <c r="E1474" s="93">
        <v>116</v>
      </c>
      <c r="F1474" s="103">
        <v>5610</v>
      </c>
      <c r="G1474" s="103"/>
      <c r="H1474" s="240">
        <f ca="1">SUMIF(Tabella2[[#Headers],[#Data],[Age]],$H$76,Tabella2[[#Headers],[#Data],[Federal taxes]])</f>
        <v>6804.3246087429152</v>
      </c>
      <c r="I147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4" s="240">
        <f ca="1">Tabella8[[#This Row],[Colonna7]]*Tabella8[[#This Row],[Colonna4]]/100</f>
        <v>19017.718665162545</v>
      </c>
    </row>
    <row r="1475" spans="2:10">
      <c r="B1475" s="92" t="s">
        <v>143</v>
      </c>
      <c r="C1475" s="91" t="s">
        <v>606</v>
      </c>
      <c r="D1475" s="93">
        <v>112</v>
      </c>
      <c r="E1475" s="93">
        <v>116</v>
      </c>
      <c r="F1475" s="103">
        <f>IFERROR(INDEX(Tabella9[PLZ],MATCH(Tabella8[[#This Row],[Colonna2]],Tabella9[Ortschaftsname],0)), "Name not found")</f>
        <v>5512</v>
      </c>
      <c r="G1475" s="103"/>
      <c r="H1475" s="240">
        <f ca="1">SUMIF(Tabella2[[#Headers],[#Data],[Age]],$H$76,Tabella2[[#Headers],[#Data],[Federal taxes]])</f>
        <v>6804.3246087429152</v>
      </c>
      <c r="I147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5" s="240">
        <f ca="1">Tabella8[[#This Row],[Colonna7]]*Tabella8[[#This Row],[Colonna4]]/100</f>
        <v>19017.718665162545</v>
      </c>
    </row>
    <row r="1476" spans="2:10">
      <c r="B1476" s="92" t="s">
        <v>143</v>
      </c>
      <c r="C1476" s="91" t="s">
        <v>641</v>
      </c>
      <c r="D1476" s="93">
        <v>112</v>
      </c>
      <c r="E1476" s="93">
        <v>125</v>
      </c>
      <c r="F1476" s="103">
        <f>IFERROR(INDEX(Tabella9[PLZ],MATCH(Tabella8[[#This Row],[Colonna2]],Tabella9[Ortschaftsname],0)), "Name not found")</f>
        <v>5063</v>
      </c>
      <c r="G1476" s="103"/>
      <c r="H1476" s="240">
        <f ca="1">SUMIF(Tabella2[[#Headers],[#Data],[Age]],$H$76,Tabella2[[#Headers],[#Data],[Federal taxes]])</f>
        <v>6804.3246087429152</v>
      </c>
      <c r="I1476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6" s="240">
        <f ca="1">Tabella8[[#This Row],[Colonna7]]*Tabella8[[#This Row],[Colonna4]]/100</f>
        <v>20493.231320218259</v>
      </c>
    </row>
    <row r="1477" spans="2:10">
      <c r="B1477" s="92" t="s">
        <v>143</v>
      </c>
      <c r="C1477" s="91" t="s">
        <v>524</v>
      </c>
      <c r="D1477" s="93">
        <v>112</v>
      </c>
      <c r="E1477" s="93">
        <v>100</v>
      </c>
      <c r="F1477" s="103">
        <f>IFERROR(INDEX(Tabella9[PLZ],MATCH(Tabella8[[#This Row],[Colonna2]],Tabella9[Ortschaftsname],0)), "Name not found")</f>
        <v>5303</v>
      </c>
      <c r="G1477" s="103"/>
      <c r="H1477" s="240">
        <f ca="1">SUMIF(Tabella2[[#Headers],[#Data],[Age]],$H$76,Tabella2[[#Headers],[#Data],[Federal taxes]])</f>
        <v>6804.3246087429152</v>
      </c>
      <c r="I1477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7" s="240">
        <f ca="1">Tabella8[[#This Row],[Colonna7]]*Tabella8[[#This Row],[Colonna4]]/100</f>
        <v>16394.585056174608</v>
      </c>
    </row>
    <row r="1478" spans="2:10">
      <c r="B1478" s="92" t="s">
        <v>143</v>
      </c>
      <c r="C1478" s="91" t="s">
        <v>510</v>
      </c>
      <c r="D1478" s="93">
        <v>112</v>
      </c>
      <c r="E1478" s="93">
        <v>99</v>
      </c>
      <c r="F1478" s="103">
        <f>IFERROR(INDEX(Tabella9[PLZ],MATCH(Tabella8[[#This Row],[Colonna2]],Tabella9[Ortschaftsname],0)), "Name not found")</f>
        <v>5436</v>
      </c>
      <c r="G1478" s="103"/>
      <c r="H1478" s="240">
        <f ca="1">SUMIF(Tabella2[[#Headers],[#Data],[Age]],$H$76,Tabella2[[#Headers],[#Data],[Federal taxes]])</f>
        <v>6804.3246087429152</v>
      </c>
      <c r="I1478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8" s="240">
        <f ca="1">Tabella8[[#This Row],[Colonna7]]*Tabella8[[#This Row],[Colonna4]]/100</f>
        <v>16230.639205612861</v>
      </c>
    </row>
    <row r="1479" spans="2:10">
      <c r="B1479" s="92" t="s">
        <v>143</v>
      </c>
      <c r="C1479" s="91" t="s">
        <v>633</v>
      </c>
      <c r="D1479" s="93">
        <v>112</v>
      </c>
      <c r="E1479" s="93">
        <v>114</v>
      </c>
      <c r="F1479" s="103">
        <f>IFERROR(INDEX(Tabella9[PLZ],MATCH(Tabella8[[#This Row],[Colonna2]],Tabella9[Ortschaftsname],0)), "Name not found")</f>
        <v>5079</v>
      </c>
      <c r="G1479" s="103"/>
      <c r="H1479" s="240">
        <f ca="1">SUMIF(Tabella2[[#Headers],[#Data],[Age]],$H$76,Tabella2[[#Headers],[#Data],[Federal taxes]])</f>
        <v>6804.3246087429152</v>
      </c>
      <c r="I1479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79" s="240">
        <f ca="1">Tabella8[[#This Row],[Colonna7]]*Tabella8[[#This Row],[Colonna4]]/100</f>
        <v>18689.826964039054</v>
      </c>
    </row>
    <row r="1480" spans="2:10">
      <c r="B1480" s="92" t="s">
        <v>143</v>
      </c>
      <c r="C1480" s="91" t="s">
        <v>575</v>
      </c>
      <c r="D1480" s="93">
        <v>112</v>
      </c>
      <c r="E1480" s="93">
        <v>112</v>
      </c>
      <c r="F1480" s="103">
        <f>IFERROR(INDEX(Tabella9[PLZ],MATCH(Tabella8[[#This Row],[Colonna2]],Tabella9[Ortschaftsname],0)), "Name not found")</f>
        <v>4314</v>
      </c>
      <c r="G1480" s="103"/>
      <c r="H1480" s="240">
        <f ca="1">SUMIF(Tabella2[[#Headers],[#Data],[Age]],$H$76,Tabella2[[#Headers],[#Data],[Federal taxes]])</f>
        <v>6804.3246087429152</v>
      </c>
      <c r="I1480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0" s="240">
        <f ca="1">Tabella8[[#This Row],[Colonna7]]*Tabella8[[#This Row],[Colonna4]]/100</f>
        <v>18361.935262915562</v>
      </c>
    </row>
    <row r="1481" spans="2:10">
      <c r="B1481" s="92" t="s">
        <v>143</v>
      </c>
      <c r="C1481" s="91" t="s">
        <v>622</v>
      </c>
      <c r="D1481" s="93">
        <v>112</v>
      </c>
      <c r="E1481" s="93">
        <v>118</v>
      </c>
      <c r="F1481" s="103">
        <f>IFERROR(INDEX(Tabella9[PLZ],MATCH(Tabella8[[#This Row],[Colonna2]],Tabella9[Ortschaftsname],0)), "Name not found")</f>
        <v>5732</v>
      </c>
      <c r="G1481" s="103"/>
      <c r="H1481" s="240">
        <f ca="1">SUMIF(Tabella2[[#Headers],[#Data],[Age]],$H$76,Tabella2[[#Headers],[#Data],[Federal taxes]])</f>
        <v>6804.3246087429152</v>
      </c>
      <c r="I1481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1" s="240">
        <f ca="1">Tabella8[[#This Row],[Colonna7]]*Tabella8[[#This Row],[Colonna4]]/100</f>
        <v>19345.610366286037</v>
      </c>
    </row>
    <row r="1482" spans="2:10">
      <c r="B1482" s="92" t="s">
        <v>143</v>
      </c>
      <c r="C1482" s="91" t="s">
        <v>1619</v>
      </c>
      <c r="D1482" s="93">
        <v>112</v>
      </c>
      <c r="E1482" s="93">
        <v>99</v>
      </c>
      <c r="F1482" s="103">
        <f>IFERROR(INDEX(Tabella9[PLZ],MATCH(Tabella8[[#This Row],[Colonna2]],Tabella9[Ortschaftsname],0)), "Name not found")</f>
        <v>4800</v>
      </c>
      <c r="G1482" s="103"/>
      <c r="H1482" s="240">
        <f ca="1">SUMIF(Tabella2[[#Headers],[#Data],[Age]],$H$76,Tabella2[[#Headers],[#Data],[Federal taxes]])</f>
        <v>6804.3246087429152</v>
      </c>
      <c r="I1482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2" s="240">
        <f ca="1">Tabella8[[#This Row],[Colonna7]]*Tabella8[[#This Row],[Colonna4]]/100</f>
        <v>16230.639205612861</v>
      </c>
    </row>
    <row r="1483" spans="2:10">
      <c r="B1483" s="92" t="s">
        <v>143</v>
      </c>
      <c r="C1483" s="91" t="s">
        <v>527</v>
      </c>
      <c r="D1483" s="93">
        <v>112</v>
      </c>
      <c r="E1483" s="93">
        <v>79</v>
      </c>
      <c r="F1483" s="103">
        <f>IFERROR(INDEX(Tabella9[PLZ],MATCH(Tabella8[[#This Row],[Colonna2]],Tabella9[Ortschaftsname],0)), "Name not found")</f>
        <v>5621</v>
      </c>
      <c r="G1483" s="103"/>
      <c r="H1483" s="240">
        <f ca="1">SUMIF(Tabella2[[#Headers],[#Data],[Age]],$H$76,Tabella2[[#Headers],[#Data],[Federal taxes]])</f>
        <v>6804.3246087429152</v>
      </c>
      <c r="I1483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3" s="240">
        <f ca="1">Tabella8[[#This Row],[Colonna7]]*Tabella8[[#This Row],[Colonna4]]/100</f>
        <v>12951.72219437794</v>
      </c>
    </row>
    <row r="1484" spans="2:10">
      <c r="B1484" s="92" t="s">
        <v>143</v>
      </c>
      <c r="C1484" s="91" t="s">
        <v>2679</v>
      </c>
      <c r="D1484" s="93">
        <v>112</v>
      </c>
      <c r="E1484" s="93">
        <v>115</v>
      </c>
      <c r="F1484" s="103">
        <v>5330</v>
      </c>
      <c r="G1484" s="103"/>
      <c r="H1484" s="240">
        <f ca="1">SUMIF(Tabella2[[#Headers],[#Data],[Age]],$H$76,Tabella2[[#Headers],[#Data],[Federal taxes]])</f>
        <v>6804.3246087429152</v>
      </c>
      <c r="I1484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4" s="240">
        <f ca="1">Tabella8[[#This Row],[Colonna7]]*Tabella8[[#This Row],[Colonna4]]/100</f>
        <v>18853.772814600801</v>
      </c>
    </row>
    <row r="1485" spans="2:10">
      <c r="B1485" s="92" t="s">
        <v>143</v>
      </c>
      <c r="C1485" s="91" t="s">
        <v>654</v>
      </c>
      <c r="D1485" s="93">
        <v>112</v>
      </c>
      <c r="E1485" s="93">
        <v>119</v>
      </c>
      <c r="F1485" s="103">
        <f>IFERROR(INDEX(Tabella9[PLZ],MATCH(Tabella8[[#This Row],[Colonna2]],Tabella9[Ortschaftsname],0)), "Name not found")</f>
        <v>4315</v>
      </c>
      <c r="G1485" s="103"/>
      <c r="H1485" s="240">
        <f ca="1">SUMIF(Tabella2[[#Headers],[#Data],[Age]],$H$76,Tabella2[[#Headers],[#Data],[Federal taxes]])</f>
        <v>6804.3246087429152</v>
      </c>
      <c r="I1485" s="240">
        <f ca="1">IFERROR(INDEX(Tabella13[[TI]:[VS commun]], MATCH($H$76, Tabella13[Age], 0), MATCH(Tabella8[[#This Row],[Colonna1]], Tabella13[[#Headers], [TI]:[VS commun]], 0)), "Valore non trovato")*Tabella8[[#This Row],[Colonna3]]/100</f>
        <v>16394.585056174608</v>
      </c>
      <c r="J1485" s="240">
        <f ca="1">Tabella8[[#This Row],[Colonna7]]*Tabella8[[#This Row],[Colonna4]]/100</f>
        <v>19509.556216847785</v>
      </c>
    </row>
    <row r="1486" spans="2:10">
      <c r="B1486" s="92" t="s">
        <v>145</v>
      </c>
      <c r="C1486" s="91" t="s">
        <v>1911</v>
      </c>
      <c r="D1486" s="93">
        <v>109</v>
      </c>
      <c r="E1486" s="93">
        <v>155</v>
      </c>
      <c r="F1486" s="103">
        <f>IFERROR(INDEX(Tabella9[PLZ],MATCH(Tabella8[[#This Row],[Colonna2]],Tabella9[Ortschaftsname],0)), "Name not found")</f>
        <v>8355</v>
      </c>
      <c r="G1486" s="103"/>
      <c r="H1486" s="240">
        <f ca="1">SUMIF(Tabella2[[#Headers],[#Data],[Age]],$H$76,Tabella2[[#Headers],[#Data],[Federal taxes]])</f>
        <v>6804.3246087429152</v>
      </c>
      <c r="I148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86" s="240">
        <f ca="1">Tabella8[[#This Row],[Colonna7]]*Tabella8[[#This Row],[Colonna4]]/100</f>
        <v>15627.903347593967</v>
      </c>
    </row>
    <row r="1487" spans="2:10">
      <c r="B1487" s="92" t="s">
        <v>145</v>
      </c>
      <c r="C1487" s="91" t="s">
        <v>1938</v>
      </c>
      <c r="D1487" s="93">
        <v>109</v>
      </c>
      <c r="E1487" s="93">
        <v>149</v>
      </c>
      <c r="F1487" s="103">
        <f>IFERROR(INDEX(Tabella9[PLZ],MATCH(Tabella8[[#This Row],[Colonna2]],Tabella9[Ortschaftsname],0)), "Name not found")</f>
        <v>9556</v>
      </c>
      <c r="G1487" s="103"/>
      <c r="H1487" s="240">
        <f ca="1">SUMIF(Tabella2[[#Headers],[#Data],[Age]],$H$76,Tabella2[[#Headers],[#Data],[Federal taxes]])</f>
        <v>6804.3246087429152</v>
      </c>
      <c r="I148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87" s="240">
        <f ca="1">Tabella8[[#This Row],[Colonna7]]*Tabella8[[#This Row],[Colonna4]]/100</f>
        <v>15022.95225026775</v>
      </c>
    </row>
    <row r="1488" spans="2:10">
      <c r="B1488" s="92" t="s">
        <v>145</v>
      </c>
      <c r="C1488" s="91" t="s">
        <v>1944</v>
      </c>
      <c r="D1488" s="93">
        <v>109</v>
      </c>
      <c r="E1488" s="93">
        <v>141</v>
      </c>
      <c r="F1488" s="103">
        <f>IFERROR(INDEX(Tabella9[PLZ],MATCH(Tabella8[[#This Row],[Colonna2]],Tabella9[Ortschaftsname],0)), "Name not found")</f>
        <v>8595</v>
      </c>
      <c r="G1488" s="103"/>
      <c r="H1488" s="240">
        <f ca="1">SUMIF(Tabella2[[#Headers],[#Data],[Age]],$H$76,Tabella2[[#Headers],[#Data],[Federal taxes]])</f>
        <v>6804.3246087429152</v>
      </c>
      <c r="I148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88" s="240">
        <f ca="1">Tabella8[[#This Row],[Colonna7]]*Tabella8[[#This Row],[Colonna4]]/100</f>
        <v>14216.350787166124</v>
      </c>
    </row>
    <row r="1489" spans="2:10">
      <c r="B1489" s="92" t="s">
        <v>145</v>
      </c>
      <c r="C1489" s="91" t="s">
        <v>1961</v>
      </c>
      <c r="D1489" s="93">
        <v>109</v>
      </c>
      <c r="E1489" s="93">
        <v>163</v>
      </c>
      <c r="F1489" s="103">
        <f>IFERROR(INDEX(Tabella9[PLZ],MATCH(Tabella8[[#This Row],[Colonna2]],Tabella9[Ortschaftsname],0)), "Name not found")</f>
        <v>8514</v>
      </c>
      <c r="G1489" s="103"/>
      <c r="H1489" s="240">
        <f ca="1">SUMIF(Tabella2[[#Headers],[#Data],[Age]],$H$76,Tabella2[[#Headers],[#Data],[Federal taxes]])</f>
        <v>6804.3246087429152</v>
      </c>
      <c r="I148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89" s="240">
        <f ca="1">Tabella8[[#This Row],[Colonna7]]*Tabella8[[#This Row],[Colonna4]]/100</f>
        <v>16434.504810695591</v>
      </c>
    </row>
    <row r="1490" spans="2:10">
      <c r="B1490" s="92" t="s">
        <v>145</v>
      </c>
      <c r="C1490" s="91" t="s">
        <v>1908</v>
      </c>
      <c r="D1490" s="93">
        <v>109</v>
      </c>
      <c r="E1490" s="93">
        <v>156</v>
      </c>
      <c r="F1490" s="103">
        <f>IFERROR(INDEX(Tabella9[PLZ],MATCH(Tabella8[[#This Row],[Colonna2]],Tabella9[Ortschaftsname],0)), "Name not found")</f>
        <v>8580</v>
      </c>
      <c r="G1490" s="103"/>
      <c r="H1490" s="240">
        <f ca="1">SUMIF(Tabella2[[#Headers],[#Data],[Age]],$H$76,Tabella2[[#Headers],[#Data],[Federal taxes]])</f>
        <v>6804.3246087429152</v>
      </c>
      <c r="I149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0" s="240">
        <f ca="1">Tabella8[[#This Row],[Colonna7]]*Tabella8[[#This Row],[Colonna4]]/100</f>
        <v>15728.728530481669</v>
      </c>
    </row>
    <row r="1491" spans="2:10">
      <c r="B1491" s="92" t="s">
        <v>145</v>
      </c>
      <c r="C1491" s="91" t="s">
        <v>1907</v>
      </c>
      <c r="D1491" s="93">
        <v>109</v>
      </c>
      <c r="E1491" s="93">
        <v>183</v>
      </c>
      <c r="F1491" s="103">
        <f>IFERROR(INDEX(Tabella9[PLZ],MATCH(Tabella8[[#This Row],[Colonna2]],Tabella9[Ortschaftsname],0)), "Name not found")</f>
        <v>9320</v>
      </c>
      <c r="G1491" s="103"/>
      <c r="H1491" s="240">
        <f ca="1">SUMIF(Tabella2[[#Headers],[#Data],[Age]],$H$76,Tabella2[[#Headers],[#Data],[Federal taxes]])</f>
        <v>6804.3246087429152</v>
      </c>
      <c r="I149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1" s="240">
        <f ca="1">Tabella8[[#This Row],[Colonna7]]*Tabella8[[#This Row],[Colonna4]]/100</f>
        <v>18451.008468449651</v>
      </c>
    </row>
    <row r="1492" spans="2:10">
      <c r="B1492" s="92" t="s">
        <v>145</v>
      </c>
      <c r="C1492" s="91" t="s">
        <v>1949</v>
      </c>
      <c r="D1492" s="93">
        <v>109</v>
      </c>
      <c r="E1492" s="93">
        <v>143</v>
      </c>
      <c r="F1492" s="103">
        <v>8254</v>
      </c>
      <c r="G1492" s="103"/>
      <c r="H1492" s="240">
        <f ca="1">SUMIF(Tabella2[[#Headers],[#Data],[Age]],$H$76,Tabella2[[#Headers],[#Data],[Federal taxes]])</f>
        <v>6804.3246087429152</v>
      </c>
      <c r="I149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2" s="240">
        <f ca="1">Tabella8[[#This Row],[Colonna7]]*Tabella8[[#This Row],[Colonna4]]/100</f>
        <v>14418.001152941531</v>
      </c>
    </row>
    <row r="1493" spans="2:10">
      <c r="B1493" s="92" t="s">
        <v>145</v>
      </c>
      <c r="C1493" s="91" t="s">
        <v>1928</v>
      </c>
      <c r="D1493" s="93">
        <v>109</v>
      </c>
      <c r="E1493" s="93">
        <v>137</v>
      </c>
      <c r="F1493" s="103">
        <v>8572</v>
      </c>
      <c r="G1493" s="103"/>
      <c r="H1493" s="240">
        <f ca="1">SUMIF(Tabella2[[#Headers],[#Data],[Age]],$H$76,Tabella2[[#Headers],[#Data],[Federal taxes]])</f>
        <v>6804.3246087429152</v>
      </c>
      <c r="I149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3" s="240">
        <f ca="1">Tabella8[[#This Row],[Colonna7]]*Tabella8[[#This Row],[Colonna4]]/100</f>
        <v>13813.050055615313</v>
      </c>
    </row>
    <row r="1494" spans="2:10">
      <c r="B1494" s="92" t="s">
        <v>145</v>
      </c>
      <c r="C1494" s="91" t="s">
        <v>1975</v>
      </c>
      <c r="D1494" s="93">
        <v>109</v>
      </c>
      <c r="E1494" s="93">
        <v>129</v>
      </c>
      <c r="F1494" s="103">
        <f>IFERROR(INDEX(Tabella9[PLZ],MATCH(Tabella8[[#This Row],[Colonna2]],Tabella9[Ortschaftsname],0)), "Name not found")</f>
        <v>8267</v>
      </c>
      <c r="G1494" s="103"/>
      <c r="H1494" s="240">
        <f ca="1">SUMIF(Tabella2[[#Headers],[#Data],[Age]],$H$76,Tabella2[[#Headers],[#Data],[Federal taxes]])</f>
        <v>6804.3246087429152</v>
      </c>
      <c r="I149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4" s="240">
        <f ca="1">Tabella8[[#This Row],[Colonna7]]*Tabella8[[#This Row],[Colonna4]]/100</f>
        <v>13006.448592513689</v>
      </c>
    </row>
    <row r="1495" spans="2:10">
      <c r="B1495" s="92" t="s">
        <v>145</v>
      </c>
      <c r="C1495" s="91" t="s">
        <v>1965</v>
      </c>
      <c r="D1495" s="93">
        <v>109</v>
      </c>
      <c r="E1495" s="93">
        <v>135</v>
      </c>
      <c r="F1495" s="103">
        <f>IFERROR(INDEX(Tabella9[PLZ],MATCH(Tabella8[[#This Row],[Colonna2]],Tabella9[Ortschaftsname],0)), "Name not found")</f>
        <v>9553</v>
      </c>
      <c r="G1495" s="103"/>
      <c r="H1495" s="240">
        <f ca="1">SUMIF(Tabella2[[#Headers],[#Data],[Age]],$H$76,Tabella2[[#Headers],[#Data],[Federal taxes]])</f>
        <v>6804.3246087429152</v>
      </c>
      <c r="I149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5" s="240">
        <f ca="1">Tabella8[[#This Row],[Colonna7]]*Tabella8[[#This Row],[Colonna4]]/100</f>
        <v>13611.399689839905</v>
      </c>
    </row>
    <row r="1496" spans="2:10">
      <c r="B1496" s="92" t="s">
        <v>145</v>
      </c>
      <c r="C1496" s="91" t="s">
        <v>1932</v>
      </c>
      <c r="D1496" s="93">
        <v>109</v>
      </c>
      <c r="E1496" s="93">
        <v>150</v>
      </c>
      <c r="F1496" s="103">
        <v>8363</v>
      </c>
      <c r="G1496" s="103"/>
      <c r="H1496" s="240">
        <f ca="1">SUMIF(Tabella2[[#Headers],[#Data],[Age]],$H$76,Tabella2[[#Headers],[#Data],[Federal taxes]])</f>
        <v>6804.3246087429152</v>
      </c>
      <c r="I149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6" s="240">
        <f ca="1">Tabella8[[#This Row],[Colonna7]]*Tabella8[[#This Row],[Colonna4]]/100</f>
        <v>15123.777433155452</v>
      </c>
    </row>
    <row r="1497" spans="2:10">
      <c r="B1497" s="92" t="s">
        <v>145</v>
      </c>
      <c r="C1497" s="91" t="s">
        <v>1960</v>
      </c>
      <c r="D1497" s="93">
        <v>109</v>
      </c>
      <c r="E1497" s="93">
        <v>153</v>
      </c>
      <c r="F1497" s="103">
        <f>IFERROR(INDEX(Tabella9[PLZ],MATCH(Tabella8[[#This Row],[Colonna2]],Tabella9[Ortschaftsname],0)), "Name not found")</f>
        <v>8585</v>
      </c>
      <c r="G1497" s="103"/>
      <c r="H1497" s="240">
        <f ca="1">SUMIF(Tabella2[[#Headers],[#Data],[Age]],$H$76,Tabella2[[#Headers],[#Data],[Federal taxes]])</f>
        <v>6804.3246087429152</v>
      </c>
      <c r="I149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7" s="240">
        <f ca="1">Tabella8[[#This Row],[Colonna7]]*Tabella8[[#This Row],[Colonna4]]/100</f>
        <v>15426.252981818561</v>
      </c>
    </row>
    <row r="1498" spans="2:10">
      <c r="B1498" s="92" t="s">
        <v>145</v>
      </c>
      <c r="C1498" s="91" t="s">
        <v>1913</v>
      </c>
      <c r="D1498" s="93">
        <v>109</v>
      </c>
      <c r="E1498" s="93">
        <v>161</v>
      </c>
      <c r="F1498" s="103">
        <f>IFERROR(INDEX(Tabella9[PLZ],MATCH(Tabella8[[#This Row],[Colonna2]],Tabella9[Ortschaftsname],0)), "Name not found")</f>
        <v>9220</v>
      </c>
      <c r="G1498" s="103"/>
      <c r="H1498" s="240">
        <f ca="1">SUMIF(Tabella2[[#Headers],[#Data],[Age]],$H$76,Tabella2[[#Headers],[#Data],[Federal taxes]])</f>
        <v>6804.3246087429152</v>
      </c>
      <c r="I149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8" s="240">
        <f ca="1">Tabella8[[#This Row],[Colonna7]]*Tabella8[[#This Row],[Colonna4]]/100</f>
        <v>16232.854444920185</v>
      </c>
    </row>
    <row r="1499" spans="2:10">
      <c r="B1499" s="92" t="s">
        <v>145</v>
      </c>
      <c r="C1499" s="91" t="s">
        <v>1945</v>
      </c>
      <c r="D1499" s="93">
        <v>109</v>
      </c>
      <c r="E1499" s="93">
        <v>92</v>
      </c>
      <c r="F1499" s="103">
        <f>IFERROR(INDEX(Tabella9[PLZ],MATCH(Tabella8[[#This Row],[Colonna2]],Tabella9[Ortschaftsname],0)), "Name not found")</f>
        <v>8598</v>
      </c>
      <c r="G1499" s="103"/>
      <c r="H1499" s="240">
        <f ca="1">SUMIF(Tabella2[[#Headers],[#Data],[Age]],$H$76,Tabella2[[#Headers],[#Data],[Federal taxes]])</f>
        <v>6804.3246087429152</v>
      </c>
      <c r="I149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499" s="240">
        <f ca="1">Tabella8[[#This Row],[Colonna7]]*Tabella8[[#This Row],[Colonna4]]/100</f>
        <v>9275.9168256686771</v>
      </c>
    </row>
    <row r="1500" spans="2:10">
      <c r="B1500" s="92" t="s">
        <v>145</v>
      </c>
      <c r="C1500" s="91" t="s">
        <v>1978</v>
      </c>
      <c r="D1500" s="93">
        <v>109</v>
      </c>
      <c r="E1500" s="93">
        <v>147</v>
      </c>
      <c r="F1500" s="103">
        <f>IFERROR(INDEX(Tabella9[PLZ],MATCH(Tabella8[[#This Row],[Colonna2]],Tabella9[Ortschaftsname],0)), "Name not found")</f>
        <v>9502</v>
      </c>
      <c r="G1500" s="103"/>
      <c r="H1500" s="240">
        <f ca="1">SUMIF(Tabella2[[#Headers],[#Data],[Age]],$H$76,Tabella2[[#Headers],[#Data],[Federal taxes]])</f>
        <v>6804.3246087429152</v>
      </c>
      <c r="I150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0" s="240">
        <f ca="1">Tabella8[[#This Row],[Colonna7]]*Tabella8[[#This Row],[Colonna4]]/100</f>
        <v>14821.301884492343</v>
      </c>
    </row>
    <row r="1501" spans="2:10">
      <c r="B1501" s="92" t="s">
        <v>145</v>
      </c>
      <c r="C1501" s="91" t="s">
        <v>1943</v>
      </c>
      <c r="D1501" s="93">
        <v>109</v>
      </c>
      <c r="E1501" s="93">
        <v>146</v>
      </c>
      <c r="F1501" s="103">
        <f>IFERROR(INDEX(Tabella9[PLZ],MATCH(Tabella8[[#This Row],[Colonna2]],Tabella9[Ortschaftsname],0)), "Name not found")</f>
        <v>9565</v>
      </c>
      <c r="G1501" s="103"/>
      <c r="H1501" s="240">
        <f ca="1">SUMIF(Tabella2[[#Headers],[#Data],[Age]],$H$76,Tabella2[[#Headers],[#Data],[Federal taxes]])</f>
        <v>6804.3246087429152</v>
      </c>
      <c r="I150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1" s="240">
        <f ca="1">Tabella8[[#This Row],[Colonna7]]*Tabella8[[#This Row],[Colonna4]]/100</f>
        <v>14720.476701604641</v>
      </c>
    </row>
    <row r="1502" spans="2:10">
      <c r="B1502" s="92" t="s">
        <v>145</v>
      </c>
      <c r="C1502" s="91" t="s">
        <v>1921</v>
      </c>
      <c r="D1502" s="93">
        <v>109</v>
      </c>
      <c r="E1502" s="93">
        <v>151</v>
      </c>
      <c r="F1502" s="103">
        <v>8575</v>
      </c>
      <c r="G1502" s="103"/>
      <c r="H1502" s="240">
        <f ca="1">SUMIF(Tabella2[[#Headers],[#Data],[Age]],$H$76,Tabella2[[#Headers],[#Data],[Federal taxes]])</f>
        <v>6804.3246087429152</v>
      </c>
      <c r="I150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2" s="240">
        <f ca="1">Tabella8[[#This Row],[Colonna7]]*Tabella8[[#This Row],[Colonna4]]/100</f>
        <v>15224.602616043156</v>
      </c>
    </row>
    <row r="1503" spans="2:10">
      <c r="B1503" s="92" t="s">
        <v>145</v>
      </c>
      <c r="C1503" s="91" t="s">
        <v>1920</v>
      </c>
      <c r="D1503" s="93">
        <v>109</v>
      </c>
      <c r="E1503" s="93">
        <v>140</v>
      </c>
      <c r="F1503" s="103">
        <f>IFERROR(INDEX(Tabella9[PLZ],MATCH(Tabella8[[#This Row],[Colonna2]],Tabella9[Ortschaftsname],0)), "Name not found")</f>
        <v>8253</v>
      </c>
      <c r="G1503" s="103"/>
      <c r="H1503" s="240">
        <f ca="1">SUMIF(Tabella2[[#Headers],[#Data],[Age]],$H$76,Tabella2[[#Headers],[#Data],[Federal taxes]])</f>
        <v>6804.3246087429152</v>
      </c>
      <c r="I150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3" s="240">
        <f ca="1">Tabella8[[#This Row],[Colonna7]]*Tabella8[[#This Row],[Colonna4]]/100</f>
        <v>14115.525604278422</v>
      </c>
    </row>
    <row r="1504" spans="2:10">
      <c r="B1504" s="92" t="s">
        <v>145</v>
      </c>
      <c r="C1504" s="91" t="s">
        <v>1979</v>
      </c>
      <c r="D1504" s="93">
        <v>109</v>
      </c>
      <c r="E1504" s="93">
        <v>122</v>
      </c>
      <c r="F1504" s="103">
        <f>IFERROR(INDEX(Tabella9[PLZ],MATCH(Tabella8[[#This Row],[Colonna2]],Tabella9[Ortschaftsname],0)), "Name not found")</f>
        <v>8582</v>
      </c>
      <c r="G1504" s="103"/>
      <c r="H1504" s="240">
        <f ca="1">SUMIF(Tabella2[[#Headers],[#Data],[Age]],$H$76,Tabella2[[#Headers],[#Data],[Federal taxes]])</f>
        <v>6804.3246087429152</v>
      </c>
      <c r="I150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4" s="240">
        <f ca="1">Tabella8[[#This Row],[Colonna7]]*Tabella8[[#This Row],[Colonna4]]/100</f>
        <v>12300.672312299768</v>
      </c>
    </row>
    <row r="1505" spans="2:10">
      <c r="B1505" s="92" t="s">
        <v>145</v>
      </c>
      <c r="C1505" s="91" t="s">
        <v>1915</v>
      </c>
      <c r="D1505" s="93">
        <v>109</v>
      </c>
      <c r="E1505" s="93">
        <v>150</v>
      </c>
      <c r="F1505" s="103">
        <f>IFERROR(INDEX(Tabella9[PLZ],MATCH(Tabella8[[#This Row],[Colonna2]],Tabella9[Ortschaftsname],0)), "Name not found")</f>
        <v>9322</v>
      </c>
      <c r="G1505" s="103"/>
      <c r="H1505" s="240">
        <f ca="1">SUMIF(Tabella2[[#Headers],[#Data],[Age]],$H$76,Tabella2[[#Headers],[#Data],[Federal taxes]])</f>
        <v>6804.3246087429152</v>
      </c>
      <c r="I150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5" s="240">
        <f ca="1">Tabella8[[#This Row],[Colonna7]]*Tabella8[[#This Row],[Colonna4]]/100</f>
        <v>15123.777433155452</v>
      </c>
    </row>
    <row r="1506" spans="2:10">
      <c r="B1506" s="92" t="s">
        <v>145</v>
      </c>
      <c r="C1506" s="91" t="s">
        <v>1924</v>
      </c>
      <c r="D1506" s="93">
        <v>109</v>
      </c>
      <c r="E1506" s="93">
        <v>148</v>
      </c>
      <c r="F1506" s="103">
        <f>IFERROR(INDEX(Tabella9[PLZ],MATCH(Tabella8[[#This Row],[Colonna2]],Tabella9[Ortschaftsname],0)), "Name not found")</f>
        <v>8586</v>
      </c>
      <c r="G1506" s="103"/>
      <c r="H1506" s="240">
        <f ca="1">SUMIF(Tabella2[[#Headers],[#Data],[Age]],$H$76,Tabella2[[#Headers],[#Data],[Federal taxes]])</f>
        <v>6804.3246087429152</v>
      </c>
      <c r="I150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6" s="240">
        <f ca="1">Tabella8[[#This Row],[Colonna7]]*Tabella8[[#This Row],[Colonna4]]/100</f>
        <v>14922.127067380046</v>
      </c>
    </row>
    <row r="1507" spans="2:10">
      <c r="B1507" s="92" t="s">
        <v>145</v>
      </c>
      <c r="C1507" s="91" t="s">
        <v>1927</v>
      </c>
      <c r="D1507" s="93">
        <v>109</v>
      </c>
      <c r="E1507" s="93">
        <v>106</v>
      </c>
      <c r="F1507" s="103">
        <f>IFERROR(INDEX(Tabella9[PLZ],MATCH(Tabella8[[#This Row],[Colonna2]],Tabella9[Ortschaftsname],0)), "Name not found")</f>
        <v>8272</v>
      </c>
      <c r="G1507" s="103"/>
      <c r="H1507" s="240">
        <f ca="1">SUMIF(Tabella2[[#Headers],[#Data],[Age]],$H$76,Tabella2[[#Headers],[#Data],[Federal taxes]])</f>
        <v>6804.3246087429152</v>
      </c>
      <c r="I150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7" s="240">
        <f ca="1">Tabella8[[#This Row],[Colonna7]]*Tabella8[[#This Row],[Colonna4]]/100</f>
        <v>10687.46938609652</v>
      </c>
    </row>
    <row r="1508" spans="2:10">
      <c r="B1508" s="92" t="s">
        <v>145</v>
      </c>
      <c r="C1508" s="91" t="s">
        <v>1950</v>
      </c>
      <c r="D1508" s="93">
        <v>109</v>
      </c>
      <c r="E1508" s="93">
        <v>142</v>
      </c>
      <c r="F1508" s="103">
        <f>IFERROR(INDEX(Tabella9[PLZ],MATCH(Tabella8[[#This Row],[Colonna2]],Tabella9[Ortschaftsname],0)), "Name not found")</f>
        <v>8264</v>
      </c>
      <c r="G1508" s="103"/>
      <c r="H1508" s="240">
        <f ca="1">SUMIF(Tabella2[[#Headers],[#Data],[Age]],$H$76,Tabella2[[#Headers],[#Data],[Federal taxes]])</f>
        <v>6804.3246087429152</v>
      </c>
      <c r="I150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8" s="240">
        <f ca="1">Tabella8[[#This Row],[Colonna7]]*Tabella8[[#This Row],[Colonna4]]/100</f>
        <v>14317.17597005383</v>
      </c>
    </row>
    <row r="1509" spans="2:10">
      <c r="B1509" s="92" t="s">
        <v>145</v>
      </c>
      <c r="C1509" s="91" t="s">
        <v>1918</v>
      </c>
      <c r="D1509" s="93">
        <v>109</v>
      </c>
      <c r="E1509" s="93">
        <v>144</v>
      </c>
      <c r="F1509" s="103">
        <v>8360</v>
      </c>
      <c r="G1509" s="103"/>
      <c r="H1509" s="240">
        <f ca="1">SUMIF(Tabella2[[#Headers],[#Data],[Age]],$H$76,Tabella2[[#Headers],[#Data],[Federal taxes]])</f>
        <v>6804.3246087429152</v>
      </c>
      <c r="I150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09" s="240">
        <f ca="1">Tabella8[[#This Row],[Colonna7]]*Tabella8[[#This Row],[Colonna4]]/100</f>
        <v>14518.826335829233</v>
      </c>
    </row>
    <row r="1510" spans="2:10">
      <c r="B1510" s="92" t="s">
        <v>145</v>
      </c>
      <c r="C1510" s="91" t="s">
        <v>1934</v>
      </c>
      <c r="D1510" s="93">
        <v>109</v>
      </c>
      <c r="E1510" s="93">
        <v>143</v>
      </c>
      <c r="F1510" s="103">
        <f>IFERROR(INDEX(Tabella9[PLZ],MATCH(Tabella8[[#This Row],[Colonna2]],Tabella9[Ortschaftsname],0)), "Name not found")</f>
        <v>8552</v>
      </c>
      <c r="G1510" s="103"/>
      <c r="H1510" s="240">
        <f ca="1">SUMIF(Tabella2[[#Headers],[#Data],[Age]],$H$76,Tabella2[[#Headers],[#Data],[Federal taxes]])</f>
        <v>6804.3246087429152</v>
      </c>
      <c r="I151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0" s="240">
        <f ca="1">Tabella8[[#This Row],[Colonna7]]*Tabella8[[#This Row],[Colonna4]]/100</f>
        <v>14418.001152941531</v>
      </c>
    </row>
    <row r="1511" spans="2:10">
      <c r="B1511" s="92" t="s">
        <v>145</v>
      </c>
      <c r="C1511" s="91" t="s">
        <v>1937</v>
      </c>
      <c r="D1511" s="93">
        <v>109</v>
      </c>
      <c r="E1511" s="93">
        <v>155</v>
      </c>
      <c r="F1511" s="103">
        <f>IFERROR(INDEX(Tabella9[PLZ],MATCH(Tabella8[[#This Row],[Colonna2]],Tabella9[Ortschaftsname],0)), "Name not found")</f>
        <v>8376</v>
      </c>
      <c r="G1511" s="103"/>
      <c r="H1511" s="240">
        <f ca="1">SUMIF(Tabella2[[#Headers],[#Data],[Age]],$H$76,Tabella2[[#Headers],[#Data],[Federal taxes]])</f>
        <v>6804.3246087429152</v>
      </c>
      <c r="I151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1" s="240">
        <f ca="1">Tabella8[[#This Row],[Colonna7]]*Tabella8[[#This Row],[Colonna4]]/100</f>
        <v>15627.903347593967</v>
      </c>
    </row>
    <row r="1512" spans="2:10">
      <c r="B1512" s="92" t="s">
        <v>145</v>
      </c>
      <c r="C1512" s="91" t="s">
        <v>1905</v>
      </c>
      <c r="D1512" s="93">
        <v>109</v>
      </c>
      <c r="E1512" s="93">
        <v>144</v>
      </c>
      <c r="F1512" s="103">
        <f>IFERROR(INDEX(Tabella9[PLZ],MATCH(Tabella8[[#This Row],[Colonna2]],Tabella9[Ortschaftsname],0)), "Name not found")</f>
        <v>8500</v>
      </c>
      <c r="G1512" s="103"/>
      <c r="H1512" s="240">
        <f ca="1">SUMIF(Tabella2[[#Headers],[#Data],[Age]],$H$76,Tabella2[[#Headers],[#Data],[Federal taxes]])</f>
        <v>6804.3246087429152</v>
      </c>
      <c r="I151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2" s="240">
        <f ca="1">Tabella8[[#This Row],[Colonna7]]*Tabella8[[#This Row],[Colonna4]]/100</f>
        <v>14518.826335829233</v>
      </c>
    </row>
    <row r="1513" spans="2:10">
      <c r="B1513" s="92" t="s">
        <v>145</v>
      </c>
      <c r="C1513" s="91" t="s">
        <v>1919</v>
      </c>
      <c r="D1513" s="93">
        <v>109</v>
      </c>
      <c r="E1513" s="93">
        <v>132</v>
      </c>
      <c r="F1513" s="103">
        <f>IFERROR(INDEX(Tabella9[PLZ],MATCH(Tabella8[[#This Row],[Colonna2]],Tabella9[Ortschaftsname],0)), "Name not found")</f>
        <v>8547</v>
      </c>
      <c r="G1513" s="103"/>
      <c r="H1513" s="240">
        <f ca="1">SUMIF(Tabella2[[#Headers],[#Data],[Age]],$H$76,Tabella2[[#Headers],[#Data],[Federal taxes]])</f>
        <v>6804.3246087429152</v>
      </c>
      <c r="I151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3" s="240">
        <f ca="1">Tabella8[[#This Row],[Colonna7]]*Tabella8[[#This Row],[Colonna4]]/100</f>
        <v>13308.924141176796</v>
      </c>
    </row>
    <row r="1514" spans="2:10">
      <c r="B1514" s="92" t="s">
        <v>145</v>
      </c>
      <c r="C1514" s="91" t="s">
        <v>1984</v>
      </c>
      <c r="D1514" s="93">
        <v>109</v>
      </c>
      <c r="E1514" s="93">
        <v>129</v>
      </c>
      <c r="F1514" s="103">
        <f>IFERROR(INDEX(Tabella9[PLZ],MATCH(Tabella8[[#This Row],[Colonna2]],Tabella9[Ortschaftsname],0)), "Name not found")</f>
        <v>8274</v>
      </c>
      <c r="G1514" s="103"/>
      <c r="H1514" s="240">
        <f ca="1">SUMIF(Tabella2[[#Headers],[#Data],[Age]],$H$76,Tabella2[[#Headers],[#Data],[Federal taxes]])</f>
        <v>6804.3246087429152</v>
      </c>
      <c r="I151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4" s="240">
        <f ca="1">Tabella8[[#This Row],[Colonna7]]*Tabella8[[#This Row],[Colonna4]]/100</f>
        <v>13006.448592513689</v>
      </c>
    </row>
    <row r="1515" spans="2:10">
      <c r="B1515" s="92" t="s">
        <v>145</v>
      </c>
      <c r="C1515" s="91" t="s">
        <v>1955</v>
      </c>
      <c r="D1515" s="93">
        <v>109</v>
      </c>
      <c r="E1515" s="93">
        <v>142</v>
      </c>
      <c r="F1515" s="103">
        <f>IFERROR(INDEX(Tabella9[PLZ],MATCH(Tabella8[[#This Row],[Colonna2]],Tabella9[Ortschaftsname],0)), "Name not found")</f>
        <v>8594</v>
      </c>
      <c r="G1515" s="103"/>
      <c r="H1515" s="240">
        <f ca="1">SUMIF(Tabella2[[#Headers],[#Data],[Age]],$H$76,Tabella2[[#Headers],[#Data],[Federal taxes]])</f>
        <v>6804.3246087429152</v>
      </c>
      <c r="I151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5" s="240">
        <f ca="1">Tabella8[[#This Row],[Colonna7]]*Tabella8[[#This Row],[Colonna4]]/100</f>
        <v>14317.17597005383</v>
      </c>
    </row>
    <row r="1516" spans="2:10">
      <c r="B1516" s="92" t="s">
        <v>145</v>
      </c>
      <c r="C1516" s="91" t="s">
        <v>1947</v>
      </c>
      <c r="D1516" s="93">
        <v>109</v>
      </c>
      <c r="E1516" s="93">
        <v>145</v>
      </c>
      <c r="F1516" s="103">
        <v>9213</v>
      </c>
      <c r="G1516" s="103"/>
      <c r="H1516" s="240">
        <f ca="1">SUMIF(Tabella2[[#Headers],[#Data],[Age]],$H$76,Tabella2[[#Headers],[#Data],[Federal taxes]])</f>
        <v>6804.3246087429152</v>
      </c>
      <c r="I151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6" s="240">
        <f ca="1">Tabella8[[#This Row],[Colonna7]]*Tabella8[[#This Row],[Colonna4]]/100</f>
        <v>14619.651518716937</v>
      </c>
    </row>
    <row r="1517" spans="2:10">
      <c r="B1517" s="92" t="s">
        <v>145</v>
      </c>
      <c r="C1517" s="91" t="s">
        <v>1968</v>
      </c>
      <c r="D1517" s="93">
        <v>109</v>
      </c>
      <c r="E1517" s="93">
        <v>159</v>
      </c>
      <c r="F1517" s="103">
        <f>IFERROR(INDEX(Tabella9[PLZ],MATCH(Tabella8[[#This Row],[Colonna2]],Tabella9[Ortschaftsname],0)), "Name not found")</f>
        <v>8580</v>
      </c>
      <c r="G1517" s="103"/>
      <c r="H1517" s="240">
        <f ca="1">SUMIF(Tabella2[[#Headers],[#Data],[Age]],$H$76,Tabella2[[#Headers],[#Data],[Federal taxes]])</f>
        <v>6804.3246087429152</v>
      </c>
      <c r="I151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7" s="240">
        <f ca="1">Tabella8[[#This Row],[Colonna7]]*Tabella8[[#This Row],[Colonna4]]/100</f>
        <v>16031.204079144778</v>
      </c>
    </row>
    <row r="1518" spans="2:10">
      <c r="B1518" s="92" t="s">
        <v>145</v>
      </c>
      <c r="C1518" s="91" t="s">
        <v>1972</v>
      </c>
      <c r="D1518" s="93">
        <v>109</v>
      </c>
      <c r="E1518" s="93">
        <v>146</v>
      </c>
      <c r="F1518" s="103">
        <f>IFERROR(INDEX(Tabella9[PLZ],MATCH(Tabella8[[#This Row],[Colonna2]],Tabella9[Ortschaftsname],0)), "Name not found")</f>
        <v>8535</v>
      </c>
      <c r="G1518" s="103"/>
      <c r="H1518" s="240">
        <f ca="1">SUMIF(Tabella2[[#Headers],[#Data],[Age]],$H$76,Tabella2[[#Headers],[#Data],[Federal taxes]])</f>
        <v>6804.3246087429152</v>
      </c>
      <c r="I151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8" s="240">
        <f ca="1">Tabella8[[#This Row],[Colonna7]]*Tabella8[[#This Row],[Colonna4]]/100</f>
        <v>14720.476701604641</v>
      </c>
    </row>
    <row r="1519" spans="2:10">
      <c r="B1519" s="92" t="s">
        <v>145</v>
      </c>
      <c r="C1519" s="91" t="s">
        <v>1981</v>
      </c>
      <c r="D1519" s="93">
        <v>109</v>
      </c>
      <c r="E1519" s="93">
        <v>143</v>
      </c>
      <c r="F1519" s="103">
        <f>IFERROR(INDEX(Tabella9[PLZ],MATCH(Tabella8[[#This Row],[Colonna2]],Tabella9[Ortschaftsname],0)), "Name not found")</f>
        <v>9216</v>
      </c>
      <c r="G1519" s="103"/>
      <c r="H1519" s="240">
        <f ca="1">SUMIF(Tabella2[[#Headers],[#Data],[Age]],$H$76,Tabella2[[#Headers],[#Data],[Federal taxes]])</f>
        <v>6804.3246087429152</v>
      </c>
      <c r="I151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19" s="240">
        <f ca="1">Tabella8[[#This Row],[Colonna7]]*Tabella8[[#This Row],[Colonna4]]/100</f>
        <v>14418.001152941531</v>
      </c>
    </row>
    <row r="1520" spans="2:10">
      <c r="B1520" s="92" t="s">
        <v>145</v>
      </c>
      <c r="C1520" s="91" t="s">
        <v>1957</v>
      </c>
      <c r="D1520" s="93">
        <v>109</v>
      </c>
      <c r="E1520" s="93">
        <v>156</v>
      </c>
      <c r="F1520" s="103">
        <f>IFERROR(INDEX(Tabella9[PLZ],MATCH(Tabella8[[#This Row],[Colonna2]],Tabella9[Ortschaftsname],0)), "Name not found")</f>
        <v>8508</v>
      </c>
      <c r="G1520" s="103"/>
      <c r="H1520" s="240">
        <f ca="1">SUMIF(Tabella2[[#Headers],[#Data],[Age]],$H$76,Tabella2[[#Headers],[#Data],[Federal taxes]])</f>
        <v>6804.3246087429152</v>
      </c>
      <c r="I152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0" s="240">
        <f ca="1">Tabella8[[#This Row],[Colonna7]]*Tabella8[[#This Row],[Colonna4]]/100</f>
        <v>15728.728530481669</v>
      </c>
    </row>
    <row r="1521" spans="2:10">
      <c r="B1521" s="92" t="s">
        <v>145</v>
      </c>
      <c r="C1521" s="91" t="s">
        <v>1936</v>
      </c>
      <c r="D1521" s="93">
        <v>109</v>
      </c>
      <c r="E1521" s="93">
        <v>99</v>
      </c>
      <c r="F1521" s="103">
        <f>IFERROR(INDEX(Tabella9[PLZ],MATCH(Tabella8[[#This Row],[Colonna2]],Tabella9[Ortschaftsname],0)), "Name not found")</f>
        <v>9326</v>
      </c>
      <c r="G1521" s="103"/>
      <c r="H1521" s="240">
        <f ca="1">SUMIF(Tabella2[[#Headers],[#Data],[Age]],$H$76,Tabella2[[#Headers],[#Data],[Federal taxes]])</f>
        <v>6804.3246087429152</v>
      </c>
      <c r="I152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1" s="240">
        <f ca="1">Tabella8[[#This Row],[Colonna7]]*Tabella8[[#This Row],[Colonna4]]/100</f>
        <v>9981.6931058825976</v>
      </c>
    </row>
    <row r="1522" spans="2:10">
      <c r="B1522" s="92" t="s">
        <v>145</v>
      </c>
      <c r="C1522" s="91" t="s">
        <v>1977</v>
      </c>
      <c r="D1522" s="93">
        <v>109</v>
      </c>
      <c r="E1522" s="93">
        <v>155</v>
      </c>
      <c r="F1522" s="103">
        <f>IFERROR(INDEX(Tabella9[PLZ],MATCH(Tabella8[[#This Row],[Colonna2]],Tabella9[Ortschaftsname],0)), "Name not found")</f>
        <v>8553</v>
      </c>
      <c r="G1522" s="103"/>
      <c r="H1522" s="240">
        <f ca="1">SUMIF(Tabella2[[#Headers],[#Data],[Age]],$H$76,Tabella2[[#Headers],[#Data],[Federal taxes]])</f>
        <v>6804.3246087429152</v>
      </c>
      <c r="I152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2" s="240">
        <f ca="1">Tabella8[[#This Row],[Colonna7]]*Tabella8[[#This Row],[Colonna4]]/100</f>
        <v>15627.903347593967</v>
      </c>
    </row>
    <row r="1523" spans="2:10">
      <c r="B1523" s="92" t="s">
        <v>145</v>
      </c>
      <c r="C1523" s="91" t="s">
        <v>1952</v>
      </c>
      <c r="D1523" s="93">
        <v>109</v>
      </c>
      <c r="E1523" s="93">
        <v>143</v>
      </c>
      <c r="F1523" s="103">
        <f>IFERROR(INDEX(Tabella9[PLZ],MATCH(Tabella8[[#This Row],[Colonna2]],Tabella9[Ortschaftsname],0)), "Name not found")</f>
        <v>8536</v>
      </c>
      <c r="G1523" s="103"/>
      <c r="H1523" s="240">
        <f ca="1">SUMIF(Tabella2[[#Headers],[#Data],[Age]],$H$76,Tabella2[[#Headers],[#Data],[Federal taxes]])</f>
        <v>6804.3246087429152</v>
      </c>
      <c r="I152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3" s="240">
        <f ca="1">Tabella8[[#This Row],[Colonna7]]*Tabella8[[#This Row],[Colonna4]]/100</f>
        <v>14418.001152941531</v>
      </c>
    </row>
    <row r="1524" spans="2:10">
      <c r="B1524" s="92" t="s">
        <v>145</v>
      </c>
      <c r="C1524" s="91" t="s">
        <v>1940</v>
      </c>
      <c r="D1524" s="93">
        <v>109</v>
      </c>
      <c r="E1524" s="93">
        <v>151</v>
      </c>
      <c r="F1524" s="103">
        <v>8573</v>
      </c>
      <c r="G1524" s="103"/>
      <c r="H1524" s="240">
        <f ca="1">SUMIF(Tabella2[[#Headers],[#Data],[Age]],$H$76,Tabella2[[#Headers],[#Data],[Federal taxes]])</f>
        <v>6804.3246087429152</v>
      </c>
      <c r="I152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4" s="240">
        <f ca="1">Tabella8[[#This Row],[Colonna7]]*Tabella8[[#This Row],[Colonna4]]/100</f>
        <v>15224.602616043156</v>
      </c>
    </row>
    <row r="1525" spans="2:10">
      <c r="B1525" s="92" t="s">
        <v>145</v>
      </c>
      <c r="C1525" s="91" t="s">
        <v>1974</v>
      </c>
      <c r="D1525" s="93">
        <v>109</v>
      </c>
      <c r="E1525" s="93">
        <v>128</v>
      </c>
      <c r="F1525" s="103">
        <f>IFERROR(INDEX(Tabella9[PLZ],MATCH(Tabella8[[#This Row],[Colonna2]],Tabella9[Ortschaftsname],0)), "Name not found")</f>
        <v>8593</v>
      </c>
      <c r="G1525" s="103"/>
      <c r="H1525" s="240">
        <f ca="1">SUMIF(Tabella2[[#Headers],[#Data],[Age]],$H$76,Tabella2[[#Headers],[#Data],[Federal taxes]])</f>
        <v>6804.3246087429152</v>
      </c>
      <c r="I152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5" s="240">
        <f ca="1">Tabella8[[#This Row],[Colonna7]]*Tabella8[[#This Row],[Colonna4]]/100</f>
        <v>12905.623409625985</v>
      </c>
    </row>
    <row r="1526" spans="2:10">
      <c r="B1526" s="92" t="s">
        <v>145</v>
      </c>
      <c r="C1526" s="91" t="s">
        <v>1925</v>
      </c>
      <c r="D1526" s="93">
        <v>109</v>
      </c>
      <c r="E1526" s="93">
        <v>148</v>
      </c>
      <c r="F1526" s="103">
        <v>9214</v>
      </c>
      <c r="G1526" s="103"/>
      <c r="H1526" s="240">
        <f ca="1">SUMIF(Tabella2[[#Headers],[#Data],[Age]],$H$76,Tabella2[[#Headers],[#Data],[Federal taxes]])</f>
        <v>6804.3246087429152</v>
      </c>
      <c r="I152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6" s="240">
        <f ca="1">Tabella8[[#This Row],[Colonna7]]*Tabella8[[#This Row],[Colonna4]]/100</f>
        <v>14922.127067380046</v>
      </c>
    </row>
    <row r="1527" spans="2:10">
      <c r="B1527" s="92" t="s">
        <v>145</v>
      </c>
      <c r="C1527" s="91" t="s">
        <v>1906</v>
      </c>
      <c r="D1527" s="93">
        <v>109</v>
      </c>
      <c r="E1527" s="93">
        <v>132</v>
      </c>
      <c r="F1527" s="103">
        <f>IFERROR(INDEX(Tabella9[PLZ],MATCH(Tabella8[[#This Row],[Colonna2]],Tabella9[Ortschaftsname],0)), "Name not found")</f>
        <v>8280</v>
      </c>
      <c r="G1527" s="103"/>
      <c r="H1527" s="240">
        <f ca="1">SUMIF(Tabella2[[#Headers],[#Data],[Age]],$H$76,Tabella2[[#Headers],[#Data],[Federal taxes]])</f>
        <v>6804.3246087429152</v>
      </c>
      <c r="I152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7" s="240">
        <f ca="1">Tabella8[[#This Row],[Colonna7]]*Tabella8[[#This Row],[Colonna4]]/100</f>
        <v>13308.924141176796</v>
      </c>
    </row>
    <row r="1528" spans="2:10">
      <c r="B1528" s="92" t="s">
        <v>145</v>
      </c>
      <c r="C1528" s="91" t="s">
        <v>1963</v>
      </c>
      <c r="D1528" s="93">
        <v>109</v>
      </c>
      <c r="E1528" s="93">
        <v>149</v>
      </c>
      <c r="F1528" s="103">
        <f>IFERROR(INDEX(Tabella9[PLZ],MATCH(Tabella8[[#This Row],[Colonna2]],Tabella9[Ortschaftsname],0)), "Name not found")</f>
        <v>8585</v>
      </c>
      <c r="G1528" s="103"/>
      <c r="H1528" s="240">
        <f ca="1">SUMIF(Tabella2[[#Headers],[#Data],[Age]],$H$76,Tabella2[[#Headers],[#Data],[Federal taxes]])</f>
        <v>6804.3246087429152</v>
      </c>
      <c r="I152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8" s="240">
        <f ca="1">Tabella8[[#This Row],[Colonna7]]*Tabella8[[#This Row],[Colonna4]]/100</f>
        <v>15022.95225026775</v>
      </c>
    </row>
    <row r="1529" spans="2:10">
      <c r="B1529" s="92" t="s">
        <v>145</v>
      </c>
      <c r="C1529" s="91" t="s">
        <v>1951</v>
      </c>
      <c r="D1529" s="93">
        <v>109</v>
      </c>
      <c r="E1529" s="93">
        <v>147</v>
      </c>
      <c r="F1529" s="103">
        <f>IFERROR(INDEX(Tabella9[PLZ],MATCH(Tabella8[[#This Row],[Colonna2]],Tabella9[Ortschaftsname],0)), "Name not found")</f>
        <v>8574</v>
      </c>
      <c r="G1529" s="103"/>
      <c r="H1529" s="240">
        <f ca="1">SUMIF(Tabella2[[#Headers],[#Data],[Age]],$H$76,Tabella2[[#Headers],[#Data],[Federal taxes]])</f>
        <v>6804.3246087429152</v>
      </c>
      <c r="I152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29" s="240">
        <f ca="1">Tabella8[[#This Row],[Colonna7]]*Tabella8[[#This Row],[Colonna4]]/100</f>
        <v>14821.301884492343</v>
      </c>
    </row>
    <row r="1530" spans="2:10">
      <c r="B1530" s="92" t="s">
        <v>145</v>
      </c>
      <c r="C1530" s="91" t="s">
        <v>1966</v>
      </c>
      <c r="D1530" s="93">
        <v>109</v>
      </c>
      <c r="E1530" s="93">
        <v>140</v>
      </c>
      <c r="F1530" s="103">
        <f>IFERROR(INDEX(Tabella9[PLZ],MATCH(Tabella8[[#This Row],[Colonna2]],Tabella9[Ortschaftsname],0)), "Name not found")</f>
        <v>9506</v>
      </c>
      <c r="G1530" s="103"/>
      <c r="H1530" s="240">
        <f ca="1">SUMIF(Tabella2[[#Headers],[#Data],[Age]],$H$76,Tabella2[[#Headers],[#Data],[Federal taxes]])</f>
        <v>6804.3246087429152</v>
      </c>
      <c r="I153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0" s="240">
        <f ca="1">Tabella8[[#This Row],[Colonna7]]*Tabella8[[#This Row],[Colonna4]]/100</f>
        <v>14115.525604278422</v>
      </c>
    </row>
    <row r="1531" spans="2:10">
      <c r="B1531" s="92" t="s">
        <v>145</v>
      </c>
      <c r="C1531" s="91" t="s">
        <v>1980</v>
      </c>
      <c r="D1531" s="93">
        <v>109</v>
      </c>
      <c r="E1531" s="93">
        <v>139</v>
      </c>
      <c r="F1531" s="103">
        <f>IFERROR(INDEX(Tabella9[PLZ],MATCH(Tabella8[[#This Row],[Colonna2]],Tabella9[Ortschaftsname],0)), "Name not found")</f>
        <v>8265</v>
      </c>
      <c r="G1531" s="103"/>
      <c r="H1531" s="240">
        <f ca="1">SUMIF(Tabella2[[#Headers],[#Data],[Age]],$H$76,Tabella2[[#Headers],[#Data],[Federal taxes]])</f>
        <v>6804.3246087429152</v>
      </c>
      <c r="I153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1" s="240">
        <f ca="1">Tabella8[[#This Row],[Colonna7]]*Tabella8[[#This Row],[Colonna4]]/100</f>
        <v>14014.70042139072</v>
      </c>
    </row>
    <row r="1532" spans="2:10">
      <c r="B1532" s="92" t="s">
        <v>145</v>
      </c>
      <c r="C1532" s="91" t="s">
        <v>1931</v>
      </c>
      <c r="D1532" s="93">
        <v>109</v>
      </c>
      <c r="E1532" s="93">
        <v>156</v>
      </c>
      <c r="F1532" s="103">
        <f>IFERROR(INDEX(Tabella9[PLZ],MATCH(Tabella8[[#This Row],[Colonna2]],Tabella9[Ortschaftsname],0)), "Name not found")</f>
        <v>9548</v>
      </c>
      <c r="G1532" s="103"/>
      <c r="H1532" s="240">
        <f ca="1">SUMIF(Tabella2[[#Headers],[#Data],[Age]],$H$76,Tabella2[[#Headers],[#Data],[Federal taxes]])</f>
        <v>6804.3246087429152</v>
      </c>
      <c r="I153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2" s="240">
        <f ca="1">Tabella8[[#This Row],[Colonna7]]*Tabella8[[#This Row],[Colonna4]]/100</f>
        <v>15728.728530481669</v>
      </c>
    </row>
    <row r="1533" spans="2:10">
      <c r="B1533" s="92" t="s">
        <v>145</v>
      </c>
      <c r="C1533" s="91" t="s">
        <v>1933</v>
      </c>
      <c r="D1533" s="93">
        <v>109</v>
      </c>
      <c r="E1533" s="93">
        <v>151</v>
      </c>
      <c r="F1533" s="103">
        <f>IFERROR(INDEX(Tabella9[PLZ],MATCH(Tabella8[[#This Row],[Colonna2]],Tabella9[Ortschaftsname],0)), "Name not found")</f>
        <v>8560</v>
      </c>
      <c r="G1533" s="103"/>
      <c r="H1533" s="240">
        <f ca="1">SUMIF(Tabella2[[#Headers],[#Data],[Age]],$H$76,Tabella2[[#Headers],[#Data],[Federal taxes]])</f>
        <v>6804.3246087429152</v>
      </c>
      <c r="I153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3" s="240">
        <f ca="1">Tabella8[[#This Row],[Colonna7]]*Tabella8[[#This Row],[Colonna4]]/100</f>
        <v>15224.602616043156</v>
      </c>
    </row>
    <row r="1534" spans="2:10">
      <c r="B1534" s="92" t="s">
        <v>145</v>
      </c>
      <c r="C1534" s="91" t="s">
        <v>1930</v>
      </c>
      <c r="D1534" s="93">
        <v>109</v>
      </c>
      <c r="E1534" s="93">
        <v>140</v>
      </c>
      <c r="F1534" s="103">
        <v>8555</v>
      </c>
      <c r="G1534" s="103"/>
      <c r="H1534" s="240">
        <f ca="1">SUMIF(Tabella2[[#Headers],[#Data],[Age]],$H$76,Tabella2[[#Headers],[#Data],[Federal taxes]])</f>
        <v>6804.3246087429152</v>
      </c>
      <c r="I153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4" s="240">
        <f ca="1">Tabella8[[#This Row],[Colonna7]]*Tabella8[[#This Row],[Colonna4]]/100</f>
        <v>14115.525604278422</v>
      </c>
    </row>
    <row r="1535" spans="2:10">
      <c r="B1535" s="92" t="s">
        <v>145</v>
      </c>
      <c r="C1535" s="91" t="s">
        <v>1914</v>
      </c>
      <c r="D1535" s="93">
        <v>109</v>
      </c>
      <c r="E1535" s="93">
        <v>151</v>
      </c>
      <c r="F1535" s="103">
        <v>9542</v>
      </c>
      <c r="G1535" s="103"/>
      <c r="H1535" s="240">
        <f ca="1">SUMIF(Tabella2[[#Headers],[#Data],[Age]],$H$76,Tabella2[[#Headers],[#Data],[Federal taxes]])</f>
        <v>6804.3246087429152</v>
      </c>
      <c r="I153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5" s="240">
        <f ca="1">Tabella8[[#This Row],[Colonna7]]*Tabella8[[#This Row],[Colonna4]]/100</f>
        <v>15224.602616043156</v>
      </c>
    </row>
    <row r="1536" spans="2:10">
      <c r="B1536" s="92" t="s">
        <v>145</v>
      </c>
      <c r="C1536" s="91" t="s">
        <v>1926</v>
      </c>
      <c r="D1536" s="93">
        <v>109</v>
      </c>
      <c r="E1536" s="93">
        <v>117</v>
      </c>
      <c r="F1536" s="103">
        <f>IFERROR(INDEX(Tabella9[PLZ],MATCH(Tabella8[[#This Row],[Colonna2]],Tabella9[Ortschaftsname],0)), "Name not found")</f>
        <v>8596</v>
      </c>
      <c r="G1536" s="103"/>
      <c r="H1536" s="240">
        <f ca="1">SUMIF(Tabella2[[#Headers],[#Data],[Age]],$H$76,Tabella2[[#Headers],[#Data],[Federal taxes]])</f>
        <v>6804.3246087429152</v>
      </c>
      <c r="I153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6" s="240">
        <f ca="1">Tabella8[[#This Row],[Colonna7]]*Tabella8[[#This Row],[Colonna4]]/100</f>
        <v>11796.546397861252</v>
      </c>
    </row>
    <row r="1537" spans="2:10">
      <c r="B1537" s="92" t="s">
        <v>145</v>
      </c>
      <c r="C1537" s="91" t="s">
        <v>1973</v>
      </c>
      <c r="D1537" s="93">
        <v>109</v>
      </c>
      <c r="E1537" s="93">
        <v>124</v>
      </c>
      <c r="F1537" s="103">
        <v>8525</v>
      </c>
      <c r="G1537" s="103"/>
      <c r="H1537" s="240">
        <f ca="1">SUMIF(Tabella2[[#Headers],[#Data],[Age]],$H$76,Tabella2[[#Headers],[#Data],[Federal taxes]])</f>
        <v>6804.3246087429152</v>
      </c>
      <c r="I153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7" s="240">
        <f ca="1">Tabella8[[#This Row],[Colonna7]]*Tabella8[[#This Row],[Colonna4]]/100</f>
        <v>12502.322678075174</v>
      </c>
    </row>
    <row r="1538" spans="2:10">
      <c r="B1538" s="92" t="s">
        <v>145</v>
      </c>
      <c r="C1538" s="91" t="s">
        <v>1973</v>
      </c>
      <c r="D1538" s="93">
        <v>109</v>
      </c>
      <c r="E1538" s="93">
        <v>124</v>
      </c>
      <c r="F1538" s="103">
        <v>8526</v>
      </c>
      <c r="G1538" s="103"/>
      <c r="H1538" s="240">
        <f ca="1">SUMIF(Tabella2[[#Headers],[#Data],[Age]],$H$76,Tabella2[[#Headers],[#Data],[Federal taxes]])</f>
        <v>6804.3246087429152</v>
      </c>
      <c r="I153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8" s="240">
        <f ca="1">Tabella8[[#This Row],[Colonna7]]*Tabella8[[#This Row],[Colonna4]]/100</f>
        <v>12502.322678075174</v>
      </c>
    </row>
    <row r="1539" spans="2:10">
      <c r="B1539" s="92" t="s">
        <v>145</v>
      </c>
      <c r="C1539" s="91" t="s">
        <v>1946</v>
      </c>
      <c r="D1539" s="93">
        <v>109</v>
      </c>
      <c r="E1539" s="93">
        <v>169</v>
      </c>
      <c r="F1539" s="103">
        <f>IFERROR(INDEX(Tabella9[PLZ],MATCH(Tabella8[[#This Row],[Colonna2]],Tabella9[Ortschaftsname],0)), "Name not found")</f>
        <v>8505</v>
      </c>
      <c r="G1539" s="103"/>
      <c r="H1539" s="240">
        <f ca="1">SUMIF(Tabella2[[#Headers],[#Data],[Age]],$H$76,Tabella2[[#Headers],[#Data],[Federal taxes]])</f>
        <v>6804.3246087429152</v>
      </c>
      <c r="I153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39" s="240">
        <f ca="1">Tabella8[[#This Row],[Colonna7]]*Tabella8[[#This Row],[Colonna4]]/100</f>
        <v>17039.45590802181</v>
      </c>
    </row>
    <row r="1540" spans="2:10">
      <c r="B1540" s="92" t="s">
        <v>145</v>
      </c>
      <c r="C1540" s="91" t="s">
        <v>1983</v>
      </c>
      <c r="D1540" s="93">
        <v>109</v>
      </c>
      <c r="E1540" s="93">
        <v>163</v>
      </c>
      <c r="F1540" s="103">
        <f>IFERROR(INDEX(Tabella9[PLZ],MATCH(Tabella8[[#This Row],[Colonna2]],Tabella9[Ortschaftsname],0)), "Name not found")</f>
        <v>8558</v>
      </c>
      <c r="G1540" s="103"/>
      <c r="H1540" s="240">
        <f ca="1">SUMIF(Tabella2[[#Headers],[#Data],[Age]],$H$76,Tabella2[[#Headers],[#Data],[Federal taxes]])</f>
        <v>6804.3246087429152</v>
      </c>
      <c r="I154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0" s="240">
        <f ca="1">Tabella8[[#This Row],[Colonna7]]*Tabella8[[#This Row],[Colonna4]]/100</f>
        <v>16434.504810695591</v>
      </c>
    </row>
    <row r="1541" spans="2:10">
      <c r="B1541" s="92" t="s">
        <v>145</v>
      </c>
      <c r="C1541" s="91" t="s">
        <v>1935</v>
      </c>
      <c r="D1541" s="93">
        <v>109</v>
      </c>
      <c r="E1541" s="93">
        <v>147</v>
      </c>
      <c r="F1541" s="103">
        <v>9532</v>
      </c>
      <c r="G1541" s="103"/>
      <c r="H1541" s="240">
        <f ca="1">SUMIF(Tabella2[[#Headers],[#Data],[Age]],$H$76,Tabella2[[#Headers],[#Data],[Federal taxes]])</f>
        <v>6804.3246087429152</v>
      </c>
      <c r="I154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1" s="240">
        <f ca="1">Tabella8[[#This Row],[Colonna7]]*Tabella8[[#This Row],[Colonna4]]/100</f>
        <v>14821.301884492343</v>
      </c>
    </row>
    <row r="1542" spans="2:10">
      <c r="B1542" s="92" t="s">
        <v>145</v>
      </c>
      <c r="C1542" s="91" t="s">
        <v>1929</v>
      </c>
      <c r="D1542" s="93">
        <v>109</v>
      </c>
      <c r="E1542" s="93">
        <v>155</v>
      </c>
      <c r="F1542" s="103">
        <v>9325</v>
      </c>
      <c r="G1542" s="103"/>
      <c r="H1542" s="240">
        <f ca="1">SUMIF(Tabella2[[#Headers],[#Data],[Age]],$H$76,Tabella2[[#Headers],[#Data],[Federal taxes]])</f>
        <v>6804.3246087429152</v>
      </c>
      <c r="I154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2" s="240">
        <f ca="1">Tabella8[[#This Row],[Colonna7]]*Tabella8[[#This Row],[Colonna4]]/100</f>
        <v>15627.903347593967</v>
      </c>
    </row>
    <row r="1543" spans="2:10">
      <c r="B1543" s="92" t="s">
        <v>145</v>
      </c>
      <c r="C1543" s="91" t="s">
        <v>1910</v>
      </c>
      <c r="D1543" s="93">
        <v>109</v>
      </c>
      <c r="E1543" s="93">
        <v>162</v>
      </c>
      <c r="F1543" s="103">
        <f>IFERROR(INDEX(Tabella9[PLZ],MATCH(Tabella8[[#This Row],[Colonna2]],Tabella9[Ortschaftsname],0)), "Name not found")</f>
        <v>8590</v>
      </c>
      <c r="G1543" s="103"/>
      <c r="H1543" s="240">
        <f ca="1">SUMIF(Tabella2[[#Headers],[#Data],[Age]],$H$76,Tabella2[[#Headers],[#Data],[Federal taxes]])</f>
        <v>6804.3246087429152</v>
      </c>
      <c r="I154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3" s="240">
        <f ca="1">Tabella8[[#This Row],[Colonna7]]*Tabella8[[#This Row],[Colonna4]]/100</f>
        <v>16333.679627807887</v>
      </c>
    </row>
    <row r="1544" spans="2:10">
      <c r="B1544" s="92" t="s">
        <v>145</v>
      </c>
      <c r="C1544" s="91" t="s">
        <v>1964</v>
      </c>
      <c r="D1544" s="93">
        <v>109</v>
      </c>
      <c r="E1544" s="93">
        <v>115</v>
      </c>
      <c r="F1544" s="103">
        <f>IFERROR(INDEX(Tabella9[PLZ],MATCH(Tabella8[[#This Row],[Colonna2]],Tabella9[Ortschaftsname],0)), "Name not found")</f>
        <v>8268</v>
      </c>
      <c r="G1544" s="103"/>
      <c r="H1544" s="240">
        <f ca="1">SUMIF(Tabella2[[#Headers],[#Data],[Age]],$H$76,Tabella2[[#Headers],[#Data],[Federal taxes]])</f>
        <v>6804.3246087429152</v>
      </c>
      <c r="I154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4" s="240">
        <f ca="1">Tabella8[[#This Row],[Colonna7]]*Tabella8[[#This Row],[Colonna4]]/100</f>
        <v>11594.896032085848</v>
      </c>
    </row>
    <row r="1545" spans="2:10">
      <c r="B1545" s="92" t="s">
        <v>145</v>
      </c>
      <c r="C1545" s="91" t="s">
        <v>1959</v>
      </c>
      <c r="D1545" s="93">
        <v>109</v>
      </c>
      <c r="E1545" s="93">
        <v>153</v>
      </c>
      <c r="F1545" s="103">
        <f>IFERROR(INDEX(Tabella9[PLZ],MATCH(Tabella8[[#This Row],[Colonna2]],Tabella9[Ortschaftsname],0)), "Name not found")</f>
        <v>8599</v>
      </c>
      <c r="G1545" s="103"/>
      <c r="H1545" s="240">
        <f ca="1">SUMIF(Tabella2[[#Headers],[#Data],[Age]],$H$76,Tabella2[[#Headers],[#Data],[Federal taxes]])</f>
        <v>6804.3246087429152</v>
      </c>
      <c r="I154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5" s="240">
        <f ca="1">Tabella8[[#This Row],[Colonna7]]*Tabella8[[#This Row],[Colonna4]]/100</f>
        <v>15426.252981818561</v>
      </c>
    </row>
    <row r="1546" spans="2:10">
      <c r="B1546" s="92" t="s">
        <v>145</v>
      </c>
      <c r="C1546" s="91" t="s">
        <v>1953</v>
      </c>
      <c r="D1546" s="93">
        <v>109</v>
      </c>
      <c r="E1546" s="93">
        <v>141</v>
      </c>
      <c r="F1546" s="103">
        <v>8252</v>
      </c>
      <c r="G1546" s="103"/>
      <c r="H1546" s="240">
        <f ca="1">SUMIF(Tabella2[[#Headers],[#Data],[Age]],$H$76,Tabella2[[#Headers],[#Data],[Federal taxes]])</f>
        <v>6804.3246087429152</v>
      </c>
      <c r="I154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6" s="240">
        <f ca="1">Tabella8[[#This Row],[Colonna7]]*Tabella8[[#This Row],[Colonna4]]/100</f>
        <v>14216.350787166124</v>
      </c>
    </row>
    <row r="1547" spans="2:10">
      <c r="B1547" s="92" t="s">
        <v>145</v>
      </c>
      <c r="C1547" s="91" t="s">
        <v>1976</v>
      </c>
      <c r="D1547" s="93">
        <v>109</v>
      </c>
      <c r="E1547" s="93">
        <v>152</v>
      </c>
      <c r="F1547" s="103">
        <f>IFERROR(INDEX(Tabella9[PLZ],MATCH(Tabella8[[#This Row],[Colonna2]],Tabella9[Ortschaftsname],0)), "Name not found")</f>
        <v>8577</v>
      </c>
      <c r="G1547" s="103"/>
      <c r="H1547" s="240">
        <f ca="1">SUMIF(Tabella2[[#Headers],[#Data],[Age]],$H$76,Tabella2[[#Headers],[#Data],[Federal taxes]])</f>
        <v>6804.3246087429152</v>
      </c>
      <c r="I154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7" s="240">
        <f ca="1">Tabella8[[#This Row],[Colonna7]]*Tabella8[[#This Row],[Colonna4]]/100</f>
        <v>15325.427798930858</v>
      </c>
    </row>
    <row r="1548" spans="2:10">
      <c r="B1548" s="92" t="s">
        <v>145</v>
      </c>
      <c r="C1548" s="91" t="s">
        <v>1912</v>
      </c>
      <c r="D1548" s="93">
        <v>109</v>
      </c>
      <c r="E1548" s="93">
        <v>142</v>
      </c>
      <c r="F1548" s="103">
        <f>IFERROR(INDEX(Tabella9[PLZ],MATCH(Tabella8[[#This Row],[Colonna2]],Tabella9[Ortschaftsname],0)), "Name not found")</f>
        <v>8370</v>
      </c>
      <c r="G1548" s="103"/>
      <c r="H1548" s="240">
        <f ca="1">SUMIF(Tabella2[[#Headers],[#Data],[Age]],$H$76,Tabella2[[#Headers],[#Data],[Federal taxes]])</f>
        <v>6804.3246087429152</v>
      </c>
      <c r="I154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8" s="240">
        <f ca="1">Tabella8[[#This Row],[Colonna7]]*Tabella8[[#This Row],[Colonna4]]/100</f>
        <v>14317.17597005383</v>
      </c>
    </row>
    <row r="1549" spans="2:10">
      <c r="B1549" s="92" t="s">
        <v>145</v>
      </c>
      <c r="C1549" s="91" t="s">
        <v>1982</v>
      </c>
      <c r="D1549" s="93">
        <v>109</v>
      </c>
      <c r="E1549" s="93">
        <v>148</v>
      </c>
      <c r="F1549" s="103">
        <f>IFERROR(INDEX(Tabella9[PLZ],MATCH(Tabella8[[#This Row],[Colonna2]],Tabella9[Ortschaftsname],0)), "Name not found")</f>
        <v>8580</v>
      </c>
      <c r="G1549" s="103"/>
      <c r="H1549" s="240">
        <f ca="1">SUMIF(Tabella2[[#Headers],[#Data],[Age]],$H$76,Tabella2[[#Headers],[#Data],[Federal taxes]])</f>
        <v>6804.3246087429152</v>
      </c>
      <c r="I154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49" s="240">
        <f ca="1">Tabella8[[#This Row],[Colonna7]]*Tabella8[[#This Row],[Colonna4]]/100</f>
        <v>14922.127067380046</v>
      </c>
    </row>
    <row r="1550" spans="2:10">
      <c r="B1550" s="92" t="s">
        <v>145</v>
      </c>
      <c r="C1550" s="91" t="s">
        <v>1922</v>
      </c>
      <c r="D1550" s="93">
        <v>109</v>
      </c>
      <c r="E1550" s="93">
        <v>121</v>
      </c>
      <c r="F1550" s="103">
        <f>IFERROR(INDEX(Tabella9[PLZ],MATCH(Tabella8[[#This Row],[Colonna2]],Tabella9[Ortschaftsname],0)), "Name not found")</f>
        <v>8266</v>
      </c>
      <c r="G1550" s="103"/>
      <c r="H1550" s="240">
        <f ca="1">SUMIF(Tabella2[[#Headers],[#Data],[Age]],$H$76,Tabella2[[#Headers],[#Data],[Federal taxes]])</f>
        <v>6804.3246087429152</v>
      </c>
      <c r="I155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0" s="240">
        <f ca="1">Tabella8[[#This Row],[Colonna7]]*Tabella8[[#This Row],[Colonna4]]/100</f>
        <v>12199.847129412065</v>
      </c>
    </row>
    <row r="1551" spans="2:10">
      <c r="B1551" s="92" t="s">
        <v>145</v>
      </c>
      <c r="C1551" s="91" t="s">
        <v>1967</v>
      </c>
      <c r="D1551" s="93">
        <v>109</v>
      </c>
      <c r="E1551" s="93">
        <v>143</v>
      </c>
      <c r="F1551" s="103">
        <f>IFERROR(INDEX(Tabella9[PLZ],MATCH(Tabella8[[#This Row],[Colonna2]],Tabella9[Ortschaftsname],0)), "Name not found")</f>
        <v>9507</v>
      </c>
      <c r="G1551" s="103"/>
      <c r="H1551" s="240">
        <f ca="1">SUMIF(Tabella2[[#Headers],[#Data],[Age]],$H$76,Tabella2[[#Headers],[#Data],[Federal taxes]])</f>
        <v>6804.3246087429152</v>
      </c>
      <c r="I155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1" s="240">
        <f ca="1">Tabella8[[#This Row],[Colonna7]]*Tabella8[[#This Row],[Colonna4]]/100</f>
        <v>14418.001152941531</v>
      </c>
    </row>
    <row r="1552" spans="2:10">
      <c r="B1552" s="92" t="s">
        <v>145</v>
      </c>
      <c r="C1552" s="91" t="s">
        <v>1923</v>
      </c>
      <c r="D1552" s="93">
        <v>109</v>
      </c>
      <c r="E1552" s="93">
        <v>143</v>
      </c>
      <c r="F1552" s="103">
        <f>IFERROR(INDEX(Tabella9[PLZ],MATCH(Tabella8[[#This Row],[Colonna2]],Tabella9[Ortschaftsname],0)), "Name not found")</f>
        <v>8583</v>
      </c>
      <c r="G1552" s="103"/>
      <c r="H1552" s="240">
        <f ca="1">SUMIF(Tabella2[[#Headers],[#Data],[Age]],$H$76,Tabella2[[#Headers],[#Data],[Federal taxes]])</f>
        <v>6804.3246087429152</v>
      </c>
      <c r="I155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2" s="240">
        <f ca="1">Tabella8[[#This Row],[Colonna7]]*Tabella8[[#This Row],[Colonna4]]/100</f>
        <v>14418.001152941531</v>
      </c>
    </row>
    <row r="1553" spans="2:10">
      <c r="B1553" s="92" t="s">
        <v>145</v>
      </c>
      <c r="C1553" s="91" t="s">
        <v>1958</v>
      </c>
      <c r="D1553" s="93">
        <v>109</v>
      </c>
      <c r="E1553" s="93">
        <v>152</v>
      </c>
      <c r="F1553" s="103">
        <f>IFERROR(INDEX(Tabella9[PLZ],MATCH(Tabella8[[#This Row],[Colonna2]],Tabella9[Ortschaftsname],0)), "Name not found")</f>
        <v>8512</v>
      </c>
      <c r="G1553" s="103"/>
      <c r="H1553" s="240">
        <f ca="1">SUMIF(Tabella2[[#Headers],[#Data],[Age]],$H$76,Tabella2[[#Headers],[#Data],[Federal taxes]])</f>
        <v>6804.3246087429152</v>
      </c>
      <c r="I155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3" s="240">
        <f ca="1">Tabella8[[#This Row],[Colonna7]]*Tabella8[[#This Row],[Colonna4]]/100</f>
        <v>15325.427798930858</v>
      </c>
    </row>
    <row r="1554" spans="2:10">
      <c r="B1554" s="92" t="s">
        <v>145</v>
      </c>
      <c r="C1554" s="91" t="s">
        <v>1956</v>
      </c>
      <c r="D1554" s="93">
        <v>109</v>
      </c>
      <c r="E1554" s="93">
        <v>151</v>
      </c>
      <c r="F1554" s="103">
        <v>9555</v>
      </c>
      <c r="G1554" s="103"/>
      <c r="H1554" s="240">
        <f ca="1">SUMIF(Tabella2[[#Headers],[#Data],[Age]],$H$76,Tabella2[[#Headers],[#Data],[Federal taxes]])</f>
        <v>6804.3246087429152</v>
      </c>
      <c r="I155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4" s="240">
        <f ca="1">Tabella8[[#This Row],[Colonna7]]*Tabella8[[#This Row],[Colonna4]]/100</f>
        <v>15224.602616043156</v>
      </c>
    </row>
    <row r="1555" spans="2:10">
      <c r="B1555" s="92" t="s">
        <v>145</v>
      </c>
      <c r="C1555" s="91" t="s">
        <v>1917</v>
      </c>
      <c r="D1555" s="93">
        <v>109</v>
      </c>
      <c r="E1555" s="93">
        <v>115</v>
      </c>
      <c r="F1555" s="103">
        <f>IFERROR(INDEX(Tabella9[PLZ],MATCH(Tabella8[[#This Row],[Colonna2]],Tabella9[Ortschaftsname],0)), "Name not found")</f>
        <v>8274</v>
      </c>
      <c r="G1555" s="103"/>
      <c r="H1555" s="240">
        <f ca="1">SUMIF(Tabella2[[#Headers],[#Data],[Age]],$H$76,Tabella2[[#Headers],[#Data],[Federal taxes]])</f>
        <v>6804.3246087429152</v>
      </c>
      <c r="I155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5" s="240">
        <f ca="1">Tabella8[[#This Row],[Colonna7]]*Tabella8[[#This Row],[Colonna4]]/100</f>
        <v>11594.896032085848</v>
      </c>
    </row>
    <row r="1556" spans="2:10">
      <c r="B1556" s="92" t="s">
        <v>145</v>
      </c>
      <c r="C1556" s="91" t="s">
        <v>1970</v>
      </c>
      <c r="D1556" s="93">
        <v>109</v>
      </c>
      <c r="E1556" s="93">
        <v>142</v>
      </c>
      <c r="F1556" s="103">
        <v>8524</v>
      </c>
      <c r="G1556" s="103"/>
      <c r="H1556" s="240">
        <f ca="1">SUMIF(Tabella2[[#Headers],[#Data],[Age]],$H$76,Tabella2[[#Headers],[#Data],[Federal taxes]])</f>
        <v>6804.3246087429152</v>
      </c>
      <c r="I155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6" s="240">
        <f ca="1">Tabella8[[#This Row],[Colonna7]]*Tabella8[[#This Row],[Colonna4]]/100</f>
        <v>14317.17597005383</v>
      </c>
    </row>
    <row r="1557" spans="2:10">
      <c r="B1557" s="92" t="s">
        <v>145</v>
      </c>
      <c r="C1557" s="91" t="s">
        <v>1948</v>
      </c>
      <c r="D1557" s="93">
        <v>109</v>
      </c>
      <c r="E1557" s="93">
        <v>117</v>
      </c>
      <c r="F1557" s="103">
        <f>IFERROR(INDEX(Tabella9[PLZ],MATCH(Tabella8[[#This Row],[Colonna2]],Tabella9[Ortschaftsname],0)), "Name not found")</f>
        <v>8592</v>
      </c>
      <c r="G1557" s="103"/>
      <c r="H1557" s="240">
        <f ca="1">SUMIF(Tabella2[[#Headers],[#Data],[Age]],$H$76,Tabella2[[#Headers],[#Data],[Federal taxes]])</f>
        <v>6804.3246087429152</v>
      </c>
      <c r="I1557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7" s="240">
        <f ca="1">Tabella8[[#This Row],[Colonna7]]*Tabella8[[#This Row],[Colonna4]]/100</f>
        <v>11796.546397861252</v>
      </c>
    </row>
    <row r="1558" spans="2:10">
      <c r="B1558" s="92" t="s">
        <v>145</v>
      </c>
      <c r="C1558" s="91" t="s">
        <v>1954</v>
      </c>
      <c r="D1558" s="93">
        <v>109</v>
      </c>
      <c r="E1558" s="93">
        <v>151</v>
      </c>
      <c r="F1558" s="103">
        <f>IFERROR(INDEX(Tabella9[PLZ],MATCH(Tabella8[[#This Row],[Colonna2]],Tabella9[Ortschaftsname],0)), "Name not found")</f>
        <v>8259</v>
      </c>
      <c r="G1558" s="103"/>
      <c r="H1558" s="240">
        <f ca="1">SUMIF(Tabella2[[#Headers],[#Data],[Age]],$H$76,Tabella2[[#Headers],[#Data],[Federal taxes]])</f>
        <v>6804.3246087429152</v>
      </c>
      <c r="I1558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8" s="240">
        <f ca="1">Tabella8[[#This Row],[Colonna7]]*Tabella8[[#This Row],[Colonna4]]/100</f>
        <v>15224.602616043156</v>
      </c>
    </row>
    <row r="1559" spans="2:10">
      <c r="B1559" s="92" t="s">
        <v>145</v>
      </c>
      <c r="C1559" s="91" t="s">
        <v>1962</v>
      </c>
      <c r="D1559" s="93">
        <v>109</v>
      </c>
      <c r="E1559" s="93">
        <v>84</v>
      </c>
      <c r="F1559" s="103">
        <v>8532</v>
      </c>
      <c r="G1559" s="103"/>
      <c r="H1559" s="240">
        <f ca="1">SUMIF(Tabella2[[#Headers],[#Data],[Age]],$H$76,Tabella2[[#Headers],[#Data],[Federal taxes]])</f>
        <v>6804.3246087429152</v>
      </c>
      <c r="I1559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59" s="240">
        <f ca="1">Tabella8[[#This Row],[Colonna7]]*Tabella8[[#This Row],[Colonna4]]/100</f>
        <v>8469.3153625670529</v>
      </c>
    </row>
    <row r="1560" spans="2:10">
      <c r="B1560" s="92" t="s">
        <v>145</v>
      </c>
      <c r="C1560" s="91" t="s">
        <v>1909</v>
      </c>
      <c r="D1560" s="93">
        <v>109</v>
      </c>
      <c r="E1560" s="93">
        <v>137</v>
      </c>
      <c r="F1560" s="103">
        <f>IFERROR(INDEX(Tabella9[PLZ],MATCH(Tabella8[[#This Row],[Colonna2]],Tabella9[Ortschaftsname],0)), "Name not found")</f>
        <v>8570</v>
      </c>
      <c r="G1560" s="103"/>
      <c r="H1560" s="240">
        <f ca="1">SUMIF(Tabella2[[#Headers],[#Data],[Age]],$H$76,Tabella2[[#Headers],[#Data],[Federal taxes]])</f>
        <v>6804.3246087429152</v>
      </c>
      <c r="I1560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0" s="240">
        <f ca="1">Tabella8[[#This Row],[Colonna7]]*Tabella8[[#This Row],[Colonna4]]/100</f>
        <v>13813.050055615313</v>
      </c>
    </row>
    <row r="1561" spans="2:10">
      <c r="B1561" s="92" t="s">
        <v>145</v>
      </c>
      <c r="C1561" s="91" t="s">
        <v>1941</v>
      </c>
      <c r="D1561" s="93">
        <v>109</v>
      </c>
      <c r="E1561" s="93">
        <v>159</v>
      </c>
      <c r="F1561" s="103">
        <f>IFERROR(INDEX(Tabella9[PLZ],MATCH(Tabella8[[#This Row],[Colonna2]],Tabella9[Ortschaftsname],0)), "Name not found")</f>
        <v>8556</v>
      </c>
      <c r="G1561" s="103"/>
      <c r="H1561" s="240">
        <f ca="1">SUMIF(Tabella2[[#Headers],[#Data],[Age]],$H$76,Tabella2[[#Headers],[#Data],[Federal taxes]])</f>
        <v>6804.3246087429152</v>
      </c>
      <c r="I1561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1" s="240">
        <f ca="1">Tabella8[[#This Row],[Colonna7]]*Tabella8[[#This Row],[Colonna4]]/100</f>
        <v>16031.204079144778</v>
      </c>
    </row>
    <row r="1562" spans="2:10">
      <c r="B1562" s="92" t="s">
        <v>145</v>
      </c>
      <c r="C1562" s="91" t="s">
        <v>1939</v>
      </c>
      <c r="D1562" s="93">
        <v>109</v>
      </c>
      <c r="E1562" s="93">
        <v>137</v>
      </c>
      <c r="F1562" s="103">
        <v>9535</v>
      </c>
      <c r="G1562" s="103"/>
      <c r="H1562" s="240">
        <f ca="1">SUMIF(Tabella2[[#Headers],[#Data],[Age]],$H$76,Tabella2[[#Headers],[#Data],[Federal taxes]])</f>
        <v>6804.3246087429152</v>
      </c>
      <c r="I1562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2" s="240">
        <f ca="1">Tabella8[[#This Row],[Colonna7]]*Tabella8[[#This Row],[Colonna4]]/100</f>
        <v>13813.050055615313</v>
      </c>
    </row>
    <row r="1563" spans="2:10">
      <c r="B1563" s="92" t="s">
        <v>145</v>
      </c>
      <c r="C1563" s="91" t="s">
        <v>1969</v>
      </c>
      <c r="D1563" s="93">
        <v>109</v>
      </c>
      <c r="E1563" s="93">
        <v>146</v>
      </c>
      <c r="F1563" s="103">
        <f>IFERROR(INDEX(Tabella9[PLZ],MATCH(Tabella8[[#This Row],[Colonna2]],Tabella9[Ortschaftsname],0)), "Name not found")</f>
        <v>9514</v>
      </c>
      <c r="G1563" s="103"/>
      <c r="H1563" s="240">
        <f ca="1">SUMIF(Tabella2[[#Headers],[#Data],[Age]],$H$76,Tabella2[[#Headers],[#Data],[Federal taxes]])</f>
        <v>6804.3246087429152</v>
      </c>
      <c r="I1563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3" s="240">
        <f ca="1">Tabella8[[#This Row],[Colonna7]]*Tabella8[[#This Row],[Colonna4]]/100</f>
        <v>14720.476701604641</v>
      </c>
    </row>
    <row r="1564" spans="2:10">
      <c r="B1564" s="92" t="s">
        <v>145</v>
      </c>
      <c r="C1564" s="91" t="s">
        <v>1971</v>
      </c>
      <c r="D1564" s="93">
        <v>109</v>
      </c>
      <c r="E1564" s="93">
        <v>152</v>
      </c>
      <c r="F1564" s="103">
        <f>IFERROR(INDEX(Tabella9[PLZ],MATCH(Tabella8[[#This Row],[Colonna2]],Tabella9[Ortschaftsname],0)), "Name not found")</f>
        <v>8564</v>
      </c>
      <c r="G1564" s="103"/>
      <c r="H1564" s="240">
        <f ca="1">SUMIF(Tabella2[[#Headers],[#Data],[Age]],$H$76,Tabella2[[#Headers],[#Data],[Federal taxes]])</f>
        <v>6804.3246087429152</v>
      </c>
      <c r="I1564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4" s="240">
        <f ca="1">Tabella8[[#This Row],[Colonna7]]*Tabella8[[#This Row],[Colonna4]]/100</f>
        <v>15325.427798930858</v>
      </c>
    </row>
    <row r="1565" spans="2:10">
      <c r="B1565" s="92" t="s">
        <v>145</v>
      </c>
      <c r="C1565" s="91" t="s">
        <v>1916</v>
      </c>
      <c r="D1565" s="93">
        <v>109</v>
      </c>
      <c r="E1565" s="93">
        <v>142</v>
      </c>
      <c r="F1565" s="103">
        <f>IFERROR(INDEX(Tabella9[PLZ],MATCH(Tabella8[[#This Row],[Colonna2]],Tabella9[Ortschaftsname],0)), "Name not found")</f>
        <v>9545</v>
      </c>
      <c r="G1565" s="103"/>
      <c r="H1565" s="240">
        <f ca="1">SUMIF(Tabella2[[#Headers],[#Data],[Age]],$H$76,Tabella2[[#Headers],[#Data],[Federal taxes]])</f>
        <v>6804.3246087429152</v>
      </c>
      <c r="I1565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5" s="240">
        <f ca="1">Tabella8[[#This Row],[Colonna7]]*Tabella8[[#This Row],[Colonna4]]/100</f>
        <v>14317.17597005383</v>
      </c>
    </row>
    <row r="1566" spans="2:10">
      <c r="B1566" s="92" t="s">
        <v>145</v>
      </c>
      <c r="C1566" s="91" t="s">
        <v>1942</v>
      </c>
      <c r="D1566" s="93">
        <v>109</v>
      </c>
      <c r="E1566" s="93">
        <v>155</v>
      </c>
      <c r="F1566" s="103">
        <v>8588</v>
      </c>
      <c r="G1566" s="103"/>
      <c r="H1566" s="240">
        <f ca="1">SUMIF(Tabella2[[#Headers],[#Data],[Age]],$H$76,Tabella2[[#Headers],[#Data],[Federal taxes]])</f>
        <v>6804.3246087429152</v>
      </c>
      <c r="I1566" s="240">
        <f ca="1">IFERROR(INDEX(Tabella13[[TI]:[VS commun]], MATCH($H$76, Tabella13[Age], 0), MATCH(Tabella8[[#This Row],[Colonna1]], Tabella13[[#Headers], [TI]:[VS commun]], 0)), "Valore non trovato")*Tabella8[[#This Row],[Colonna3]]/100</f>
        <v>10082.518288770301</v>
      </c>
      <c r="J1566" s="240">
        <f ca="1">Tabella8[[#This Row],[Colonna7]]*Tabella8[[#This Row],[Colonna4]]/100</f>
        <v>15627.903347593967</v>
      </c>
    </row>
    <row r="1567" spans="2:10">
      <c r="B1567" s="92" t="s">
        <v>141</v>
      </c>
      <c r="C1567" s="91" t="s">
        <v>1474</v>
      </c>
      <c r="D1567" s="93">
        <v>100</v>
      </c>
      <c r="E1567" s="93">
        <v>95</v>
      </c>
      <c r="F1567" s="103">
        <f>IFERROR(INDEX(Tabella9[PLZ],MATCH(Tabella8[[#This Row],[Colonna2]],Tabella9[Ortschaftsname],0)), "Name not found")</f>
        <v>6716</v>
      </c>
      <c r="G1567" s="103"/>
      <c r="H1567" s="240">
        <f ca="1">SUMIF(Tabella2[[#Headers],[#Data],[Age]],$H$76,Tabella2[[#Headers],[#Data],[Federal taxes]])</f>
        <v>6804.3246087429152</v>
      </c>
      <c r="I156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67" s="240">
        <f ca="1">Tabella8[[#This Row],[Colonna7]]*Tabella8[[#This Row],[Colonna4]]/100</f>
        <v>14114.086598930859</v>
      </c>
    </row>
    <row r="1568" spans="2:10">
      <c r="B1568" s="92" t="s">
        <v>141</v>
      </c>
      <c r="C1568" s="91" t="s">
        <v>1447</v>
      </c>
      <c r="D1568" s="93">
        <v>100</v>
      </c>
      <c r="E1568" s="93">
        <v>82</v>
      </c>
      <c r="F1568" s="103">
        <f>IFERROR(INDEX(Tabella9[PLZ],MATCH(Tabella8[[#This Row],[Colonna2]],Tabella9[Ortschaftsname],0)), "Name not found")</f>
        <v>6982</v>
      </c>
      <c r="G1568" s="103"/>
      <c r="H1568" s="240">
        <f ca="1">SUMIF(Tabella2[[#Headers],[#Data],[Age]],$H$76,Tabella2[[#Headers],[#Data],[Federal taxes]])</f>
        <v>6804.3246087429152</v>
      </c>
      <c r="I156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68" s="240">
        <f ca="1">Tabella8[[#This Row],[Colonna7]]*Tabella8[[#This Row],[Colonna4]]/100</f>
        <v>12182.685274866637</v>
      </c>
    </row>
    <row r="1569" spans="2:10">
      <c r="B1569" s="92" t="s">
        <v>141</v>
      </c>
      <c r="C1569" s="91" t="s">
        <v>1483</v>
      </c>
      <c r="D1569" s="93">
        <v>100</v>
      </c>
      <c r="E1569" s="93">
        <v>88</v>
      </c>
      <c r="F1569" s="103">
        <f>IFERROR(INDEX(Tabella9[PLZ],MATCH(Tabella8[[#This Row],[Colonna2]],Tabella9[Ortschaftsname],0)), "Name not found")</f>
        <v>6780</v>
      </c>
      <c r="G1569" s="103"/>
      <c r="H1569" s="240">
        <f ca="1">SUMIF(Tabella2[[#Headers],[#Data],[Age]],$H$76,Tabella2[[#Headers],[#Data],[Federal taxes]])</f>
        <v>6804.3246087429152</v>
      </c>
      <c r="I156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69" s="240">
        <f ca="1">Tabella8[[#This Row],[Colonna7]]*Tabella8[[#This Row],[Colonna4]]/100</f>
        <v>13074.101270588586</v>
      </c>
    </row>
    <row r="1570" spans="2:10">
      <c r="B1570" s="92" t="s">
        <v>141</v>
      </c>
      <c r="C1570" s="91" t="s">
        <v>1489</v>
      </c>
      <c r="D1570" s="93">
        <v>100</v>
      </c>
      <c r="E1570" s="93">
        <v>90</v>
      </c>
      <c r="F1570" s="103">
        <v>6936</v>
      </c>
      <c r="G1570" s="103"/>
      <c r="H1570" s="240">
        <f ca="1">SUMIF(Tabella2[[#Headers],[#Data],[Age]],$H$76,Tabella2[[#Headers],[#Data],[Federal taxes]])</f>
        <v>6804.3246087429152</v>
      </c>
      <c r="I157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0" s="240">
        <f ca="1">Tabella8[[#This Row],[Colonna7]]*Tabella8[[#This Row],[Colonna4]]/100</f>
        <v>13371.239935829237</v>
      </c>
    </row>
    <row r="1571" spans="2:10">
      <c r="B1571" s="92" t="s">
        <v>141</v>
      </c>
      <c r="C1571" s="91" t="s">
        <v>1527</v>
      </c>
      <c r="D1571" s="93">
        <v>100</v>
      </c>
      <c r="E1571" s="93">
        <v>92</v>
      </c>
      <c r="F1571" s="103">
        <f>IFERROR(INDEX(Tabella9[PLZ],MATCH(Tabella8[[#This Row],[Colonna2]],Tabella9[Ortschaftsname],0)), "Name not found")</f>
        <v>6994</v>
      </c>
      <c r="G1571" s="103"/>
      <c r="H1571" s="240">
        <f ca="1">SUMIF(Tabella2[[#Headers],[#Data],[Age]],$H$76,Tabella2[[#Headers],[#Data],[Federal taxes]])</f>
        <v>6804.3246087429152</v>
      </c>
      <c r="I157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1" s="240">
        <f ca="1">Tabella8[[#This Row],[Colonna7]]*Tabella8[[#This Row],[Colonna4]]/100</f>
        <v>13668.378601069886</v>
      </c>
    </row>
    <row r="1572" spans="2:10">
      <c r="B1572" s="92" t="s">
        <v>141</v>
      </c>
      <c r="C1572" s="91" t="s">
        <v>1441</v>
      </c>
      <c r="D1572" s="93">
        <v>100</v>
      </c>
      <c r="E1572" s="93">
        <v>91</v>
      </c>
      <c r="F1572" s="103">
        <v>6517</v>
      </c>
      <c r="G1572" s="103"/>
      <c r="H1572" s="240">
        <f ca="1">SUMIF(Tabella2[[#Headers],[#Data],[Age]],$H$76,Tabella2[[#Headers],[#Data],[Federal taxes]])</f>
        <v>6804.3246087429152</v>
      </c>
      <c r="I157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2" s="240">
        <f ca="1">Tabella8[[#This Row],[Colonna7]]*Tabella8[[#This Row],[Colonna4]]/100</f>
        <v>13519.80926844956</v>
      </c>
    </row>
    <row r="1573" spans="2:10">
      <c r="B1573" s="92" t="s">
        <v>141</v>
      </c>
      <c r="C1573" s="91" t="s">
        <v>1500</v>
      </c>
      <c r="D1573" s="93">
        <v>100</v>
      </c>
      <c r="E1573" s="93">
        <v>95</v>
      </c>
      <c r="F1573" s="103">
        <f>IFERROR(INDEX(Tabella9[PLZ],MATCH(Tabella8[[#This Row],[Colonna2]],Tabella9[Ortschaftsname],0)), "Name not found")</f>
        <v>6822</v>
      </c>
      <c r="G1573" s="103"/>
      <c r="H1573" s="240">
        <f ca="1">SUMIF(Tabella2[[#Headers],[#Data],[Age]],$H$76,Tabella2[[#Headers],[#Data],[Federal taxes]])</f>
        <v>6804.3246087429152</v>
      </c>
      <c r="I157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3" s="240">
        <f ca="1">Tabella8[[#This Row],[Colonna7]]*Tabella8[[#This Row],[Colonna4]]/100</f>
        <v>14114.086598930859</v>
      </c>
    </row>
    <row r="1574" spans="2:10">
      <c r="B1574" s="92" t="s">
        <v>141</v>
      </c>
      <c r="C1574" s="91" t="s">
        <v>1439</v>
      </c>
      <c r="D1574" s="93">
        <v>100</v>
      </c>
      <c r="E1574" s="93">
        <v>75</v>
      </c>
      <c r="F1574" s="103">
        <f>IFERROR(INDEX(Tabella9[PLZ],MATCH(Tabella8[[#This Row],[Colonna2]],Tabella9[Ortschaftsname],0)), "Name not found")</f>
        <v>6612</v>
      </c>
      <c r="G1574" s="103"/>
      <c r="H1574" s="240">
        <f ca="1">SUMIF(Tabella2[[#Headers],[#Data],[Age]],$H$76,Tabella2[[#Headers],[#Data],[Federal taxes]])</f>
        <v>6804.3246087429152</v>
      </c>
      <c r="I157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4" s="240">
        <f ca="1">Tabella8[[#This Row],[Colonna7]]*Tabella8[[#This Row],[Colonna4]]/100</f>
        <v>11142.699946524364</v>
      </c>
    </row>
    <row r="1575" spans="2:10">
      <c r="B1575" s="92" t="s">
        <v>141</v>
      </c>
      <c r="C1575" s="91" t="s">
        <v>1531</v>
      </c>
      <c r="D1575" s="93">
        <v>100</v>
      </c>
      <c r="E1575" s="93">
        <v>100</v>
      </c>
      <c r="F1575" s="103">
        <f>IFERROR(INDEX(Tabella9[PLZ],MATCH(Tabella8[[#This Row],[Colonna2]],Tabella9[Ortschaftsname],0)), "Name not found")</f>
        <v>6999</v>
      </c>
      <c r="G1575" s="103"/>
      <c r="H1575" s="240">
        <f ca="1">SUMIF(Tabella2[[#Headers],[#Data],[Age]],$H$76,Tabella2[[#Headers],[#Data],[Federal taxes]])</f>
        <v>6804.3246087429152</v>
      </c>
      <c r="I157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5" s="240">
        <f ca="1">Tabella8[[#This Row],[Colonna7]]*Tabella8[[#This Row],[Colonna4]]/100</f>
        <v>14856.933262032484</v>
      </c>
    </row>
    <row r="1576" spans="2:10">
      <c r="B1576" s="92" t="s">
        <v>141</v>
      </c>
      <c r="C1576" s="91" t="s">
        <v>1485</v>
      </c>
      <c r="D1576" s="93">
        <v>100</v>
      </c>
      <c r="E1576" s="93">
        <v>95</v>
      </c>
      <c r="F1576" s="103">
        <v>6670</v>
      </c>
      <c r="G1576" s="103"/>
      <c r="H1576" s="240">
        <f ca="1">SUMIF(Tabella2[[#Headers],[#Data],[Age]],$H$76,Tabella2[[#Headers],[#Data],[Federal taxes]])</f>
        <v>6804.3246087429152</v>
      </c>
      <c r="I157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6" s="240">
        <f ca="1">Tabella8[[#This Row],[Colonna7]]*Tabella8[[#This Row],[Colonna4]]/100</f>
        <v>14114.086598930859</v>
      </c>
    </row>
    <row r="1577" spans="2:10">
      <c r="B1577" s="92" t="s">
        <v>141</v>
      </c>
      <c r="C1577" s="91" t="s">
        <v>1452</v>
      </c>
      <c r="D1577" s="93">
        <v>100</v>
      </c>
      <c r="E1577" s="93">
        <v>75</v>
      </c>
      <c r="F1577" s="103">
        <f>IFERROR(INDEX(Tabella9[PLZ],MATCH(Tabella8[[#This Row],[Colonna2]],Tabella9[Ortschaftsname],0)), "Name not found")</f>
        <v>6828</v>
      </c>
      <c r="G1577" s="103"/>
      <c r="H1577" s="240">
        <f ca="1">SUMIF(Tabella2[[#Headers],[#Data],[Age]],$H$76,Tabella2[[#Headers],[#Data],[Federal taxes]])</f>
        <v>6804.3246087429152</v>
      </c>
      <c r="I157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7" s="240">
        <f ca="1">Tabella8[[#This Row],[Colonna7]]*Tabella8[[#This Row],[Colonna4]]/100</f>
        <v>11142.699946524364</v>
      </c>
    </row>
    <row r="1578" spans="2:10">
      <c r="B1578" s="92" t="s">
        <v>141</v>
      </c>
      <c r="C1578" s="91" t="s">
        <v>1482</v>
      </c>
      <c r="D1578" s="93">
        <v>100</v>
      </c>
      <c r="E1578" s="93">
        <v>78</v>
      </c>
      <c r="F1578" s="103">
        <f>IFERROR(INDEX(Tabella9[PLZ],MATCH(Tabella8[[#This Row],[Colonna2]],Tabella9[Ortschaftsname],0)), "Name not found")</f>
        <v>6930</v>
      </c>
      <c r="G1578" s="103"/>
      <c r="H1578" s="240">
        <f ca="1">SUMIF(Tabella2[[#Headers],[#Data],[Age]],$H$76,Tabella2[[#Headers],[#Data],[Federal taxes]])</f>
        <v>6804.3246087429152</v>
      </c>
      <c r="I157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8" s="240">
        <f ca="1">Tabella8[[#This Row],[Colonna7]]*Tabella8[[#This Row],[Colonna4]]/100</f>
        <v>11588.407944385337</v>
      </c>
    </row>
    <row r="1579" spans="2:10">
      <c r="B1579" s="92" t="s">
        <v>141</v>
      </c>
      <c r="C1579" s="91" t="s">
        <v>1516</v>
      </c>
      <c r="D1579" s="93">
        <v>100</v>
      </c>
      <c r="E1579" s="93">
        <v>100</v>
      </c>
      <c r="F1579" s="103">
        <f>IFERROR(INDEX(Tabella9[PLZ],MATCH(Tabella8[[#This Row],[Colonna2]],Tabella9[Ortschaftsname],0)), "Name not found")</f>
        <v>6981</v>
      </c>
      <c r="G1579" s="103"/>
      <c r="H1579" s="240">
        <f ca="1">SUMIF(Tabella2[[#Headers],[#Data],[Age]],$H$76,Tabella2[[#Headers],[#Data],[Federal taxes]])</f>
        <v>6804.3246087429152</v>
      </c>
      <c r="I157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79" s="240">
        <f ca="1">Tabella8[[#This Row],[Colonna7]]*Tabella8[[#This Row],[Colonna4]]/100</f>
        <v>14856.933262032484</v>
      </c>
    </row>
    <row r="1580" spans="2:10">
      <c r="B1580" s="92" t="s">
        <v>141</v>
      </c>
      <c r="C1580" s="91" t="s">
        <v>1536</v>
      </c>
      <c r="D1580" s="93">
        <v>100</v>
      </c>
      <c r="E1580" s="93">
        <v>60</v>
      </c>
      <c r="F1580" s="103">
        <f>IFERROR(INDEX(Tabella9[PLZ],MATCH(Tabella8[[#This Row],[Colonna2]],Tabella9[Ortschaftsname],0)), "Name not found")</f>
        <v>6781</v>
      </c>
      <c r="G1580" s="103"/>
      <c r="H1580" s="240">
        <f ca="1">SUMIF(Tabella2[[#Headers],[#Data],[Age]],$H$76,Tabella2[[#Headers],[#Data],[Federal taxes]])</f>
        <v>6804.3246087429152</v>
      </c>
      <c r="I158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0" s="240">
        <f ca="1">Tabella8[[#This Row],[Colonna7]]*Tabella8[[#This Row],[Colonna4]]/100</f>
        <v>8914.15995721949</v>
      </c>
    </row>
    <row r="1581" spans="2:10">
      <c r="B1581" s="92" t="s">
        <v>141</v>
      </c>
      <c r="C1581" s="91" t="s">
        <v>1430</v>
      </c>
      <c r="D1581" s="93">
        <v>100</v>
      </c>
      <c r="E1581" s="93">
        <v>93</v>
      </c>
      <c r="F1581" s="103">
        <f>IFERROR(INDEX(Tabella9[PLZ],MATCH(Tabella8[[#This Row],[Colonna2]],Tabella9[Ortschaftsname],0)), "Name not found")</f>
        <v>6500</v>
      </c>
      <c r="G1581" s="103"/>
      <c r="H1581" s="240">
        <f ca="1">SUMIF(Tabella2[[#Headers],[#Data],[Age]],$H$76,Tabella2[[#Headers],[#Data],[Federal taxes]])</f>
        <v>6804.3246087429152</v>
      </c>
      <c r="I158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1" s="240">
        <f ca="1">Tabella8[[#This Row],[Colonna7]]*Tabella8[[#This Row],[Colonna4]]/100</f>
        <v>13816.94793369021</v>
      </c>
    </row>
    <row r="1582" spans="2:10">
      <c r="B1582" s="92" t="s">
        <v>141</v>
      </c>
      <c r="C1582" s="91" t="s">
        <v>1438</v>
      </c>
      <c r="D1582" s="93">
        <v>100</v>
      </c>
      <c r="E1582" s="93">
        <v>95</v>
      </c>
      <c r="F1582" s="103">
        <f>IFERROR(INDEX(Tabella9[PLZ],MATCH(Tabella8[[#This Row],[Colonna2]],Tabella9[Ortschaftsname],0)), "Name not found")</f>
        <v>6710</v>
      </c>
      <c r="G1582" s="103"/>
      <c r="H1582" s="240">
        <f ca="1">SUMIF(Tabella2[[#Headers],[#Data],[Age]],$H$76,Tabella2[[#Headers],[#Data],[Federal taxes]])</f>
        <v>6804.3246087429152</v>
      </c>
      <c r="I158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2" s="240">
        <f ca="1">Tabella8[[#This Row],[Colonna7]]*Tabella8[[#This Row],[Colonna4]]/100</f>
        <v>14114.086598930859</v>
      </c>
    </row>
    <row r="1583" spans="2:10">
      <c r="B1583" s="92" t="s">
        <v>141</v>
      </c>
      <c r="C1583" s="91" t="s">
        <v>1460</v>
      </c>
      <c r="D1583" s="93">
        <v>100</v>
      </c>
      <c r="E1583" s="93">
        <v>65</v>
      </c>
      <c r="F1583" s="103">
        <f>IFERROR(INDEX(Tabella9[PLZ],MATCH(Tabella8[[#This Row],[Colonna2]],Tabella9[Ortschaftsname],0)), "Name not found")</f>
        <v>6934</v>
      </c>
      <c r="G1583" s="103"/>
      <c r="H1583" s="240">
        <f ca="1">SUMIF(Tabella2[[#Headers],[#Data],[Age]],$H$76,Tabella2[[#Headers],[#Data],[Federal taxes]])</f>
        <v>6804.3246087429152</v>
      </c>
      <c r="I158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3" s="240">
        <f ca="1">Tabella8[[#This Row],[Colonna7]]*Tabella8[[#This Row],[Colonna4]]/100</f>
        <v>9657.0066203211136</v>
      </c>
    </row>
    <row r="1584" spans="2:10">
      <c r="B1584" s="92" t="s">
        <v>141</v>
      </c>
      <c r="C1584" s="91" t="s">
        <v>1501</v>
      </c>
      <c r="D1584" s="93">
        <v>100</v>
      </c>
      <c r="E1584" s="93">
        <v>69</v>
      </c>
      <c r="F1584" s="103">
        <f>IFERROR(INDEX(Tabella9[PLZ],MATCH(Tabella8[[#This Row],[Colonna2]],Tabella9[Ortschaftsname],0)), "Name not found")</f>
        <v>6816</v>
      </c>
      <c r="G1584" s="103"/>
      <c r="H1584" s="240">
        <f ca="1">SUMIF(Tabella2[[#Headers],[#Data],[Age]],$H$76,Tabella2[[#Headers],[#Data],[Federal taxes]])</f>
        <v>6804.3246087429152</v>
      </c>
      <c r="I158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4" s="240">
        <f ca="1">Tabella8[[#This Row],[Colonna7]]*Tabella8[[#This Row],[Colonna4]]/100</f>
        <v>10251.283950802414</v>
      </c>
    </row>
    <row r="1585" spans="2:10">
      <c r="B1585" s="92" t="s">
        <v>141</v>
      </c>
      <c r="C1585" s="91" t="s">
        <v>1475</v>
      </c>
      <c r="D1585" s="93">
        <v>100</v>
      </c>
      <c r="E1585" s="93">
        <v>90</v>
      </c>
      <c r="F1585" s="103">
        <v>6718</v>
      </c>
      <c r="G1585" s="103"/>
      <c r="H1585" s="240">
        <f ca="1">SUMIF(Tabella2[[#Headers],[#Data],[Age]],$H$76,Tabella2[[#Headers],[#Data],[Federal taxes]])</f>
        <v>6804.3246087429152</v>
      </c>
      <c r="I158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5" s="240">
        <f ca="1">Tabella8[[#This Row],[Colonna7]]*Tabella8[[#This Row],[Colonna4]]/100</f>
        <v>13371.239935829237</v>
      </c>
    </row>
    <row r="1586" spans="2:10">
      <c r="B1586" s="92" t="s">
        <v>141</v>
      </c>
      <c r="C1586" s="91" t="s">
        <v>1499</v>
      </c>
      <c r="D1586" s="93">
        <v>100</v>
      </c>
      <c r="E1586" s="93">
        <v>100</v>
      </c>
      <c r="F1586" s="103">
        <v>6743</v>
      </c>
      <c r="G1586" s="103"/>
      <c r="H1586" s="240">
        <f ca="1">SUMIF(Tabella2[[#Headers],[#Data],[Age]],$H$76,Tabella2[[#Headers],[#Data],[Federal taxes]])</f>
        <v>6804.3246087429152</v>
      </c>
      <c r="I158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6" s="240">
        <f ca="1">Tabella8[[#This Row],[Colonna7]]*Tabella8[[#This Row],[Colonna4]]/100</f>
        <v>14856.933262032484</v>
      </c>
    </row>
    <row r="1587" spans="2:10">
      <c r="B1587" s="92" t="s">
        <v>141</v>
      </c>
      <c r="C1587" s="91" t="s">
        <v>2680</v>
      </c>
      <c r="D1587" s="93">
        <v>100</v>
      </c>
      <c r="E1587" s="93">
        <v>100</v>
      </c>
      <c r="F1587" s="103">
        <f>IFERROR(INDEX(Tabella9[PLZ],MATCH(Tabella8[[#This Row],[Colonna2]],Tabella9[Ortschaftsname],0)), "Name not found")</f>
        <v>6685</v>
      </c>
      <c r="G1587" s="103"/>
      <c r="H1587" s="240">
        <f ca="1">SUMIF(Tabella2[[#Headers],[#Data],[Age]],$H$76,Tabella2[[#Headers],[#Data],[Federal taxes]])</f>
        <v>6804.3246087429152</v>
      </c>
      <c r="I158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7" s="240">
        <f ca="1">Tabella8[[#This Row],[Colonna7]]*Tabella8[[#This Row],[Colonna4]]/100</f>
        <v>14856.933262032484</v>
      </c>
    </row>
    <row r="1588" spans="2:10">
      <c r="B1588" s="92" t="s">
        <v>141</v>
      </c>
      <c r="C1588" s="91" t="s">
        <v>1470</v>
      </c>
      <c r="D1588" s="93">
        <v>100</v>
      </c>
      <c r="E1588" s="93">
        <v>95</v>
      </c>
      <c r="F1588" s="103">
        <v>6881</v>
      </c>
      <c r="G1588" s="103"/>
      <c r="H1588" s="240">
        <f ca="1">SUMIF(Tabella2[[#Headers],[#Data],[Age]],$H$76,Tabella2[[#Headers],[#Data],[Federal taxes]])</f>
        <v>6804.3246087429152</v>
      </c>
      <c r="I158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8" s="240">
        <f ca="1">Tabella8[[#This Row],[Colonna7]]*Tabella8[[#This Row],[Colonna4]]/100</f>
        <v>14114.086598930859</v>
      </c>
    </row>
    <row r="1589" spans="2:10">
      <c r="B1589" s="92" t="s">
        <v>141</v>
      </c>
      <c r="C1589" s="91" t="s">
        <v>1522</v>
      </c>
      <c r="D1589" s="93">
        <v>100</v>
      </c>
      <c r="E1589" s="93">
        <v>78</v>
      </c>
      <c r="F1589" s="103">
        <f>IFERROR(INDEX(Tabella9[PLZ],MATCH(Tabella8[[#This Row],[Colonna2]],Tabella9[Ortschaftsname],0)), "Name not found")</f>
        <v>6645</v>
      </c>
      <c r="G1589" s="103"/>
      <c r="H1589" s="240">
        <f ca="1">SUMIF(Tabella2[[#Headers],[#Data],[Age]],$H$76,Tabella2[[#Headers],[#Data],[Federal taxes]])</f>
        <v>6804.3246087429152</v>
      </c>
      <c r="I158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89" s="240">
        <f ca="1">Tabella8[[#This Row],[Colonna7]]*Tabella8[[#This Row],[Colonna4]]/100</f>
        <v>11588.407944385337</v>
      </c>
    </row>
    <row r="1590" spans="2:10">
      <c r="B1590" s="92" t="s">
        <v>141</v>
      </c>
      <c r="C1590" s="91" t="s">
        <v>1479</v>
      </c>
      <c r="D1590" s="93">
        <v>100</v>
      </c>
      <c r="E1590" s="93">
        <v>85</v>
      </c>
      <c r="F1590" s="103">
        <f>IFERROR(INDEX(Tabella9[PLZ],MATCH(Tabella8[[#This Row],[Colonna2]],Tabella9[Ortschaftsname],0)), "Name not found")</f>
        <v>6614</v>
      </c>
      <c r="G1590" s="103"/>
      <c r="H1590" s="240">
        <f ca="1">SUMIF(Tabella2[[#Headers],[#Data],[Age]],$H$76,Tabella2[[#Headers],[#Data],[Federal taxes]])</f>
        <v>6804.3246087429152</v>
      </c>
      <c r="I159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0" s="240">
        <f ca="1">Tabella8[[#This Row],[Colonna7]]*Tabella8[[#This Row],[Colonna4]]/100</f>
        <v>12628.393272727611</v>
      </c>
    </row>
    <row r="1591" spans="2:10">
      <c r="B1591" s="92" t="s">
        <v>141</v>
      </c>
      <c r="C1591" s="91" t="s">
        <v>1523</v>
      </c>
      <c r="D1591" s="93">
        <v>100</v>
      </c>
      <c r="E1591" s="93">
        <v>82</v>
      </c>
      <c r="F1591" s="103">
        <f>IFERROR(INDEX(Tabella9[PLZ],MATCH(Tabella8[[#This Row],[Colonna2]],Tabella9[Ortschaftsname],0)), "Name not found")</f>
        <v>6827</v>
      </c>
      <c r="G1591" s="103"/>
      <c r="H1591" s="240">
        <f ca="1">SUMIF(Tabella2[[#Headers],[#Data],[Age]],$H$76,Tabella2[[#Headers],[#Data],[Federal taxes]])</f>
        <v>6804.3246087429152</v>
      </c>
      <c r="I159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1" s="240">
        <f ca="1">Tabella8[[#This Row],[Colonna7]]*Tabella8[[#This Row],[Colonna4]]/100</f>
        <v>12182.685274866637</v>
      </c>
    </row>
    <row r="1592" spans="2:10">
      <c r="B1592" s="92" t="s">
        <v>141</v>
      </c>
      <c r="C1592" s="91" t="s">
        <v>1508</v>
      </c>
      <c r="D1592" s="93">
        <v>100</v>
      </c>
      <c r="E1592" s="93">
        <v>95</v>
      </c>
      <c r="F1592" s="103">
        <f>IFERROR(INDEX(Tabella9[PLZ],MATCH(Tabella8[[#This Row],[Colonna2]],Tabella9[Ortschaftsname],0)), "Name not found")</f>
        <v>6936</v>
      </c>
      <c r="G1592" s="103"/>
      <c r="H1592" s="240">
        <f ca="1">SUMIF(Tabella2[[#Headers],[#Data],[Age]],$H$76,Tabella2[[#Headers],[#Data],[Federal taxes]])</f>
        <v>6804.3246087429152</v>
      </c>
      <c r="I159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2" s="240">
        <f ca="1">Tabella8[[#This Row],[Colonna7]]*Tabella8[[#This Row],[Colonna4]]/100</f>
        <v>14114.086598930859</v>
      </c>
    </row>
    <row r="1593" spans="2:10">
      <c r="B1593" s="92" t="s">
        <v>141</v>
      </c>
      <c r="C1593" s="91" t="s">
        <v>1484</v>
      </c>
      <c r="D1593" s="93">
        <v>100</v>
      </c>
      <c r="E1593" s="93">
        <v>70</v>
      </c>
      <c r="F1593" s="103">
        <f>IFERROR(INDEX(Tabella9[PLZ],MATCH(Tabella8[[#This Row],[Colonna2]],Tabella9[Ortschaftsname],0)), "Name not found")</f>
        <v>6814</v>
      </c>
      <c r="G1593" s="103"/>
      <c r="H1593" s="240">
        <f ca="1">SUMIF(Tabella2[[#Headers],[#Data],[Age]],$H$76,Tabella2[[#Headers],[#Data],[Federal taxes]])</f>
        <v>6804.3246087429152</v>
      </c>
      <c r="I159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3" s="240">
        <f ca="1">Tabella8[[#This Row],[Colonna7]]*Tabella8[[#This Row],[Colonna4]]/100</f>
        <v>10399.853283422739</v>
      </c>
    </row>
    <row r="1594" spans="2:10">
      <c r="B1594" s="92" t="s">
        <v>141</v>
      </c>
      <c r="C1594" s="91" t="s">
        <v>1456</v>
      </c>
      <c r="D1594" s="93">
        <v>100</v>
      </c>
      <c r="E1594" s="93">
        <v>88</v>
      </c>
      <c r="F1594" s="103">
        <f>IFERROR(INDEX(Tabella9[PLZ],MATCH(Tabella8[[#This Row],[Colonna2]],Tabella9[Ortschaftsname],0)), "Name not found")</f>
        <v>6593</v>
      </c>
      <c r="G1594" s="103"/>
      <c r="H1594" s="240">
        <f ca="1">SUMIF(Tabella2[[#Headers],[#Data],[Age]],$H$76,Tabella2[[#Headers],[#Data],[Federal taxes]])</f>
        <v>6804.3246087429152</v>
      </c>
      <c r="I159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4" s="240">
        <f ca="1">Tabella8[[#This Row],[Colonna7]]*Tabella8[[#This Row],[Colonna4]]/100</f>
        <v>13074.101270588586</v>
      </c>
    </row>
    <row r="1595" spans="2:10">
      <c r="B1595" s="92" t="s">
        <v>141</v>
      </c>
      <c r="C1595" s="91" t="s">
        <v>1539</v>
      </c>
      <c r="D1595" s="93">
        <v>100</v>
      </c>
      <c r="E1595" s="93">
        <v>65</v>
      </c>
      <c r="F1595" s="103">
        <f>IFERROR(INDEX(Tabella9[PLZ],MATCH(Tabella8[[#This Row],[Colonna2]],Tabella9[Ortschaftsname],0)), "Name not found")</f>
        <v>6684</v>
      </c>
      <c r="G1595" s="103"/>
      <c r="H1595" s="240">
        <f ca="1">SUMIF(Tabella2[[#Headers],[#Data],[Age]],$H$76,Tabella2[[#Headers],[#Data],[Federal taxes]])</f>
        <v>6804.3246087429152</v>
      </c>
      <c r="I159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5" s="240">
        <f ca="1">Tabella8[[#This Row],[Colonna7]]*Tabella8[[#This Row],[Colonna4]]/100</f>
        <v>9657.0066203211136</v>
      </c>
    </row>
    <row r="1596" spans="2:10">
      <c r="B1596" s="92" t="s">
        <v>141</v>
      </c>
      <c r="C1596" s="91" t="s">
        <v>1468</v>
      </c>
      <c r="D1596" s="93">
        <v>100</v>
      </c>
      <c r="E1596" s="93">
        <v>78</v>
      </c>
      <c r="F1596" s="103">
        <f>IFERROR(INDEX(Tabella9[PLZ],MATCH(Tabella8[[#This Row],[Colonna2]],Tabella9[Ortschaftsname],0)), "Name not found")</f>
        <v>6952</v>
      </c>
      <c r="G1596" s="103"/>
      <c r="H1596" s="240">
        <f ca="1">SUMIF(Tabella2[[#Headers],[#Data],[Age]],$H$76,Tabella2[[#Headers],[#Data],[Federal taxes]])</f>
        <v>6804.3246087429152</v>
      </c>
      <c r="I159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6" s="240">
        <f ca="1">Tabella8[[#This Row],[Colonna7]]*Tabella8[[#This Row],[Colonna4]]/100</f>
        <v>11588.407944385337</v>
      </c>
    </row>
    <row r="1597" spans="2:10">
      <c r="B1597" s="92" t="s">
        <v>141</v>
      </c>
      <c r="C1597" s="91" t="s">
        <v>1435</v>
      </c>
      <c r="D1597" s="93">
        <v>100</v>
      </c>
      <c r="E1597" s="93">
        <v>94</v>
      </c>
      <c r="F1597" s="103">
        <v>6950</v>
      </c>
      <c r="G1597" s="103"/>
      <c r="H1597" s="240">
        <f ca="1">SUMIF(Tabella2[[#Headers],[#Data],[Age]],$H$76,Tabella2[[#Headers],[#Data],[Federal taxes]])</f>
        <v>6804.3246087429152</v>
      </c>
      <c r="I159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7" s="240">
        <f ca="1">Tabella8[[#This Row],[Colonna7]]*Tabella8[[#This Row],[Colonna4]]/100</f>
        <v>13965.517266310535</v>
      </c>
    </row>
    <row r="1598" spans="2:10">
      <c r="B1598" s="92" t="s">
        <v>141</v>
      </c>
      <c r="C1598" s="91" t="s">
        <v>1448</v>
      </c>
      <c r="D1598" s="93">
        <v>100</v>
      </c>
      <c r="E1598" s="93">
        <v>85</v>
      </c>
      <c r="F1598" s="103">
        <f>IFERROR(INDEX(Tabella9[PLZ],MATCH(Tabella8[[#This Row],[Colonna2]],Tabella9[Ortschaftsname],0)), "Name not found")</f>
        <v>6987</v>
      </c>
      <c r="G1598" s="103"/>
      <c r="H1598" s="240">
        <f ca="1">SUMIF(Tabella2[[#Headers],[#Data],[Age]],$H$76,Tabella2[[#Headers],[#Data],[Federal taxes]])</f>
        <v>6804.3246087429152</v>
      </c>
      <c r="I159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8" s="240">
        <f ca="1">Tabella8[[#This Row],[Colonna7]]*Tabella8[[#This Row],[Colonna4]]/100</f>
        <v>12628.393272727611</v>
      </c>
    </row>
    <row r="1599" spans="2:10">
      <c r="B1599" s="92" t="s">
        <v>141</v>
      </c>
      <c r="C1599" s="91" t="s">
        <v>1467</v>
      </c>
      <c r="D1599" s="93">
        <v>100</v>
      </c>
      <c r="E1599" s="93">
        <v>55</v>
      </c>
      <c r="F1599" s="103">
        <f>IFERROR(INDEX(Tabella9[PLZ],MATCH(Tabella8[[#This Row],[Colonna2]],Tabella9[Ortschaftsname],0)), "Name not found")</f>
        <v>6874</v>
      </c>
      <c r="G1599" s="103"/>
      <c r="H1599" s="240">
        <f ca="1">SUMIF(Tabella2[[#Headers],[#Data],[Age]],$H$76,Tabella2[[#Headers],[#Data],[Federal taxes]])</f>
        <v>6804.3246087429152</v>
      </c>
      <c r="I159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599" s="240">
        <f ca="1">Tabella8[[#This Row],[Colonna7]]*Tabella8[[#This Row],[Colonna4]]/100</f>
        <v>8171.3132941178665</v>
      </c>
    </row>
    <row r="1600" spans="2:10">
      <c r="B1600" s="92" t="s">
        <v>141</v>
      </c>
      <c r="C1600" s="91" t="s">
        <v>1497</v>
      </c>
      <c r="D1600" s="93">
        <v>100</v>
      </c>
      <c r="E1600" s="93">
        <v>95</v>
      </c>
      <c r="F1600" s="103">
        <v>6654</v>
      </c>
      <c r="G1600" s="103"/>
      <c r="H1600" s="240">
        <f ca="1">SUMIF(Tabella2[[#Headers],[#Data],[Age]],$H$76,Tabella2[[#Headers],[#Data],[Federal taxes]])</f>
        <v>6804.3246087429152</v>
      </c>
      <c r="I160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0" s="240">
        <f ca="1">Tabella8[[#This Row],[Colonna7]]*Tabella8[[#This Row],[Colonna4]]/100</f>
        <v>14114.086598930859</v>
      </c>
    </row>
    <row r="1601" spans="2:10">
      <c r="B1601" s="92" t="s">
        <v>141</v>
      </c>
      <c r="C1601" s="91" t="s">
        <v>1542</v>
      </c>
      <c r="D1601" s="93">
        <v>100</v>
      </c>
      <c r="E1601" s="93">
        <v>100</v>
      </c>
      <c r="F1601" s="103">
        <f>IFERROR(INDEX(Tabella9[PLZ],MATCH(Tabella8[[#This Row],[Colonna2]],Tabella9[Ortschaftsname],0)), "Name not found")</f>
        <v>6683</v>
      </c>
      <c r="G1601" s="103"/>
      <c r="H1601" s="240">
        <f ca="1">SUMIF(Tabella2[[#Headers],[#Data],[Age]],$H$76,Tabella2[[#Headers],[#Data],[Federal taxes]])</f>
        <v>6804.3246087429152</v>
      </c>
      <c r="I160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1" s="240">
        <f ca="1">Tabella8[[#This Row],[Colonna7]]*Tabella8[[#This Row],[Colonna4]]/100</f>
        <v>14856.933262032484</v>
      </c>
    </row>
    <row r="1602" spans="2:10">
      <c r="B1602" s="92" t="s">
        <v>141</v>
      </c>
      <c r="C1602" s="91" t="s">
        <v>1496</v>
      </c>
      <c r="D1602" s="93">
        <v>100</v>
      </c>
      <c r="E1602" s="93">
        <v>90</v>
      </c>
      <c r="F1602" s="103">
        <f>IFERROR(INDEX(Tabella9[PLZ],MATCH(Tabella8[[#This Row],[Colonna2]],Tabella9[Ortschaftsname],0)), "Name not found")</f>
        <v>6675</v>
      </c>
      <c r="G1602" s="103"/>
      <c r="H1602" s="240">
        <f ca="1">SUMIF(Tabella2[[#Headers],[#Data],[Age]],$H$76,Tabella2[[#Headers],[#Data],[Federal taxes]])</f>
        <v>6804.3246087429152</v>
      </c>
      <c r="I160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2" s="240">
        <f ca="1">Tabella8[[#This Row],[Colonna7]]*Tabella8[[#This Row],[Colonna4]]/100</f>
        <v>13371.239935829237</v>
      </c>
    </row>
    <row r="1603" spans="2:10">
      <c r="B1603" s="92" t="s">
        <v>141</v>
      </c>
      <c r="C1603" s="91" t="s">
        <v>1433</v>
      </c>
      <c r="D1603" s="93">
        <v>100</v>
      </c>
      <c r="E1603" s="93">
        <v>88</v>
      </c>
      <c r="F1603" s="103">
        <f>IFERROR(INDEX(Tabella9[PLZ],MATCH(Tabella8[[#This Row],[Colonna2]],Tabella9[Ortschaftsname],0)), "Name not found")</f>
        <v>6830</v>
      </c>
      <c r="G1603" s="103"/>
      <c r="H1603" s="240">
        <f ca="1">SUMIF(Tabella2[[#Headers],[#Data],[Age]],$H$76,Tabella2[[#Headers],[#Data],[Federal taxes]])</f>
        <v>6804.3246087429152</v>
      </c>
      <c r="I160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3" s="240">
        <f ca="1">Tabella8[[#This Row],[Colonna7]]*Tabella8[[#This Row],[Colonna4]]/100</f>
        <v>13074.101270588586</v>
      </c>
    </row>
    <row r="1604" spans="2:10">
      <c r="B1604" s="92" t="s">
        <v>141</v>
      </c>
      <c r="C1604" s="91" t="s">
        <v>1457</v>
      </c>
      <c r="D1604" s="93">
        <v>100</v>
      </c>
      <c r="E1604" s="93">
        <v>80</v>
      </c>
      <c r="F1604" s="103">
        <f>IFERROR(INDEX(Tabella9[PLZ],MATCH(Tabella8[[#This Row],[Colonna2]],Tabella9[Ortschaftsname],0)), "Name not found")</f>
        <v>6877</v>
      </c>
      <c r="G1604" s="103"/>
      <c r="H1604" s="240">
        <f ca="1">SUMIF(Tabella2[[#Headers],[#Data],[Age]],$H$76,Tabella2[[#Headers],[#Data],[Federal taxes]])</f>
        <v>6804.3246087429152</v>
      </c>
      <c r="I160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4" s="240">
        <f ca="1">Tabella8[[#This Row],[Colonna7]]*Tabella8[[#This Row],[Colonna4]]/100</f>
        <v>11885.546609625986</v>
      </c>
    </row>
    <row r="1605" spans="2:10">
      <c r="B1605" s="92" t="s">
        <v>141</v>
      </c>
      <c r="C1605" s="91" t="s">
        <v>1442</v>
      </c>
      <c r="D1605" s="93">
        <v>100</v>
      </c>
      <c r="E1605" s="93">
        <v>60</v>
      </c>
      <c r="F1605" s="103">
        <v>6926</v>
      </c>
      <c r="G1605" s="103"/>
      <c r="H1605" s="240">
        <f ca="1">SUMIF(Tabella2[[#Headers],[#Data],[Age]],$H$76,Tabella2[[#Headers],[#Data],[Federal taxes]])</f>
        <v>6804.3246087429152</v>
      </c>
      <c r="I160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5" s="240">
        <f ca="1">Tabella8[[#This Row],[Colonna7]]*Tabella8[[#This Row],[Colonna4]]/100</f>
        <v>8914.15995721949</v>
      </c>
    </row>
    <row r="1606" spans="2:10">
      <c r="B1606" s="92" t="s">
        <v>141</v>
      </c>
      <c r="C1606" s="91" t="s">
        <v>1471</v>
      </c>
      <c r="D1606" s="93">
        <v>100</v>
      </c>
      <c r="E1606" s="93">
        <v>75</v>
      </c>
      <c r="F1606" s="103">
        <f>IFERROR(INDEX(Tabella9[PLZ],MATCH(Tabella8[[#This Row],[Colonna2]],Tabella9[Ortschaftsname],0)), "Name not found")</f>
        <v>6949</v>
      </c>
      <c r="G1606" s="103"/>
      <c r="H1606" s="240">
        <f ca="1">SUMIF(Tabella2[[#Headers],[#Data],[Age]],$H$76,Tabella2[[#Headers],[#Data],[Federal taxes]])</f>
        <v>6804.3246087429152</v>
      </c>
      <c r="I160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6" s="240">
        <f ca="1">Tabella8[[#This Row],[Colonna7]]*Tabella8[[#This Row],[Colonna4]]/100</f>
        <v>11142.699946524364</v>
      </c>
    </row>
    <row r="1607" spans="2:10">
      <c r="B1607" s="92" t="s">
        <v>141</v>
      </c>
      <c r="C1607" s="91" t="s">
        <v>1458</v>
      </c>
      <c r="D1607" s="93">
        <v>100</v>
      </c>
      <c r="E1607" s="93">
        <v>88</v>
      </c>
      <c r="F1607" s="103">
        <v>6516</v>
      </c>
      <c r="G1607" s="103"/>
      <c r="H1607" s="240">
        <f ca="1">SUMIF(Tabella2[[#Headers],[#Data],[Age]],$H$76,Tabella2[[#Headers],[#Data],[Federal taxes]])</f>
        <v>6804.3246087429152</v>
      </c>
      <c r="I160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7" s="240">
        <f ca="1">Tabella8[[#This Row],[Colonna7]]*Tabella8[[#This Row],[Colonna4]]/100</f>
        <v>13074.101270588586</v>
      </c>
    </row>
    <row r="1608" spans="2:10">
      <c r="B1608" s="92" t="s">
        <v>141</v>
      </c>
      <c r="C1608" s="91" t="s">
        <v>1490</v>
      </c>
      <c r="D1608" s="93">
        <v>100</v>
      </c>
      <c r="E1608" s="93">
        <v>65</v>
      </c>
      <c r="F1608" s="103">
        <f>IFERROR(INDEX(Tabella9[PLZ],MATCH(Tabella8[[#This Row],[Colonna2]],Tabella9[Ortschaftsname],0)), "Name not found")</f>
        <v>6944</v>
      </c>
      <c r="G1608" s="103"/>
      <c r="H1608" s="240">
        <f ca="1">SUMIF(Tabella2[[#Headers],[#Data],[Age]],$H$76,Tabella2[[#Headers],[#Data],[Federal taxes]])</f>
        <v>6804.3246087429152</v>
      </c>
      <c r="I160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8" s="240">
        <f ca="1">Tabella8[[#This Row],[Colonna7]]*Tabella8[[#This Row],[Colonna4]]/100</f>
        <v>9657.0066203211136</v>
      </c>
    </row>
    <row r="1609" spans="2:10">
      <c r="B1609" s="92" t="s">
        <v>141</v>
      </c>
      <c r="C1609" s="91" t="s">
        <v>1519</v>
      </c>
      <c r="D1609" s="93">
        <v>100</v>
      </c>
      <c r="E1609" s="93">
        <v>100</v>
      </c>
      <c r="F1609" s="103">
        <f>IFERROR(INDEX(Tabella9[PLZ],MATCH(Tabella8[[#This Row],[Colonna2]],Tabella9[Ortschaftsname],0)), "Name not found")</f>
        <v>6986</v>
      </c>
      <c r="G1609" s="103"/>
      <c r="H1609" s="240">
        <f ca="1">SUMIF(Tabella2[[#Headers],[#Data],[Age]],$H$76,Tabella2[[#Headers],[#Data],[Federal taxes]])</f>
        <v>6804.3246087429152</v>
      </c>
      <c r="I160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09" s="240">
        <f ca="1">Tabella8[[#This Row],[Colonna7]]*Tabella8[[#This Row],[Colonna4]]/100</f>
        <v>14856.933262032484</v>
      </c>
    </row>
    <row r="1610" spans="2:10">
      <c r="B1610" s="92" t="s">
        <v>141</v>
      </c>
      <c r="C1610" s="91" t="s">
        <v>1535</v>
      </c>
      <c r="D1610" s="93">
        <v>100</v>
      </c>
      <c r="E1610" s="93">
        <v>70</v>
      </c>
      <c r="F1610" s="103">
        <f>IFERROR(INDEX(Tabella9[PLZ],MATCH(Tabella8[[#This Row],[Colonna2]],Tabella9[Ortschaftsname],0)), "Name not found")</f>
        <v>6774</v>
      </c>
      <c r="G1610" s="103"/>
      <c r="H1610" s="240">
        <f ca="1">SUMIF(Tabella2[[#Headers],[#Data],[Age]],$H$76,Tabella2[[#Headers],[#Data],[Federal taxes]])</f>
        <v>6804.3246087429152</v>
      </c>
      <c r="I161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0" s="240">
        <f ca="1">Tabella8[[#This Row],[Colonna7]]*Tabella8[[#This Row],[Colonna4]]/100</f>
        <v>10399.853283422739</v>
      </c>
    </row>
    <row r="1611" spans="2:10">
      <c r="B1611" s="92" t="s">
        <v>141</v>
      </c>
      <c r="C1611" s="91" t="s">
        <v>1455</v>
      </c>
      <c r="D1611" s="93">
        <v>100</v>
      </c>
      <c r="E1611" s="93">
        <v>94</v>
      </c>
      <c r="F1611" s="103">
        <f>IFERROR(INDEX(Tabella9[PLZ],MATCH(Tabella8[[#This Row],[Colonna2]],Tabella9[Ortschaftsname],0)), "Name not found")</f>
        <v>6760</v>
      </c>
      <c r="G1611" s="103"/>
      <c r="H1611" s="240">
        <f ca="1">SUMIF(Tabella2[[#Headers],[#Data],[Age]],$H$76,Tabella2[[#Headers],[#Data],[Federal taxes]])</f>
        <v>6804.3246087429152</v>
      </c>
      <c r="I161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1" s="240">
        <f ca="1">Tabella8[[#This Row],[Colonna7]]*Tabella8[[#This Row],[Colonna4]]/100</f>
        <v>13965.517266310535</v>
      </c>
    </row>
    <row r="1612" spans="2:10">
      <c r="B1612" s="92" t="s">
        <v>141</v>
      </c>
      <c r="C1612" s="91" t="s">
        <v>1440</v>
      </c>
      <c r="D1612" s="93">
        <v>100</v>
      </c>
      <c r="E1612" s="93">
        <v>85</v>
      </c>
      <c r="F1612" s="103">
        <v>6574</v>
      </c>
      <c r="G1612" s="103"/>
      <c r="H1612" s="240">
        <f ca="1">SUMIF(Tabella2[[#Headers],[#Data],[Age]],$H$76,Tabella2[[#Headers],[#Data],[Federal taxes]])</f>
        <v>6804.3246087429152</v>
      </c>
      <c r="I161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2" s="240">
        <f ca="1">Tabella8[[#This Row],[Colonna7]]*Tabella8[[#This Row],[Colonna4]]/100</f>
        <v>12628.393272727611</v>
      </c>
    </row>
    <row r="1613" spans="2:10">
      <c r="B1613" s="92" t="s">
        <v>141</v>
      </c>
      <c r="C1613" s="91" t="s">
        <v>1503</v>
      </c>
      <c r="D1613" s="93">
        <v>100</v>
      </c>
      <c r="E1613" s="93">
        <v>95</v>
      </c>
      <c r="F1613" s="103">
        <f>IFERROR(INDEX(Tabella9[PLZ],MATCH(Tabella8[[#This Row],[Colonna2]],Tabella9[Ortschaftsname],0)), "Name not found")</f>
        <v>6745</v>
      </c>
      <c r="G1613" s="103"/>
      <c r="H1613" s="240">
        <f ca="1">SUMIF(Tabella2[[#Headers],[#Data],[Age]],$H$76,Tabella2[[#Headers],[#Data],[Federal taxes]])</f>
        <v>6804.3246087429152</v>
      </c>
      <c r="I161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3" s="240">
        <f ca="1">Tabella8[[#This Row],[Colonna7]]*Tabella8[[#This Row],[Colonna4]]/100</f>
        <v>14114.086598930859</v>
      </c>
    </row>
    <row r="1614" spans="2:10">
      <c r="B1614" s="92" t="s">
        <v>141</v>
      </c>
      <c r="C1614" s="91" t="s">
        <v>1443</v>
      </c>
      <c r="D1614" s="93">
        <v>100</v>
      </c>
      <c r="E1614" s="93">
        <v>86</v>
      </c>
      <c r="F1614" s="103">
        <f>IFERROR(INDEX(Tabella9[PLZ],MATCH(Tabella8[[#This Row],[Colonna2]],Tabella9[Ortschaftsname],0)), "Name not found")</f>
        <v>6596</v>
      </c>
      <c r="G1614" s="103"/>
      <c r="H1614" s="240">
        <f ca="1">SUMIF(Tabella2[[#Headers],[#Data],[Age]],$H$76,Tabella2[[#Headers],[#Data],[Federal taxes]])</f>
        <v>6804.3246087429152</v>
      </c>
      <c r="I161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4" s="240">
        <f ca="1">Tabella8[[#This Row],[Colonna7]]*Tabella8[[#This Row],[Colonna4]]/100</f>
        <v>12776.962605347937</v>
      </c>
    </row>
    <row r="1615" spans="2:10">
      <c r="B1615" s="92" t="s">
        <v>141</v>
      </c>
      <c r="C1615" s="91" t="s">
        <v>1521</v>
      </c>
      <c r="D1615" s="93">
        <v>100</v>
      </c>
      <c r="E1615" s="93">
        <v>75</v>
      </c>
      <c r="F1615" s="103">
        <f>IFERROR(INDEX(Tabella9[PLZ],MATCH(Tabella8[[#This Row],[Colonna2]],Tabella9[Ortschaftsname],0)), "Name not found")</f>
        <v>6916</v>
      </c>
      <c r="G1615" s="103"/>
      <c r="H1615" s="240">
        <f ca="1">SUMIF(Tabella2[[#Headers],[#Data],[Age]],$H$76,Tabella2[[#Headers],[#Data],[Federal taxes]])</f>
        <v>6804.3246087429152</v>
      </c>
      <c r="I161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5" s="240">
        <f ca="1">Tabella8[[#This Row],[Colonna7]]*Tabella8[[#This Row],[Colonna4]]/100</f>
        <v>11142.699946524364</v>
      </c>
    </row>
    <row r="1616" spans="2:10">
      <c r="B1616" s="92" t="s">
        <v>141</v>
      </c>
      <c r="C1616" s="91" t="s">
        <v>1495</v>
      </c>
      <c r="D1616" s="93">
        <v>100</v>
      </c>
      <c r="E1616" s="93">
        <v>70</v>
      </c>
      <c r="F1616" s="103">
        <f>IFERROR(INDEX(Tabella9[PLZ],MATCH(Tabella8[[#This Row],[Colonna2]],Tabella9[Ortschaftsname],0)), "Name not found")</f>
        <v>6929</v>
      </c>
      <c r="G1616" s="103"/>
      <c r="H1616" s="240">
        <f ca="1">SUMIF(Tabella2[[#Headers],[#Data],[Age]],$H$76,Tabella2[[#Headers],[#Data],[Federal taxes]])</f>
        <v>6804.3246087429152</v>
      </c>
      <c r="I161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6" s="240">
        <f ca="1">Tabella8[[#This Row],[Colonna7]]*Tabella8[[#This Row],[Colonna4]]/100</f>
        <v>10399.853283422739</v>
      </c>
    </row>
    <row r="1617" spans="2:10">
      <c r="B1617" s="92" t="s">
        <v>141</v>
      </c>
      <c r="C1617" s="91" t="s">
        <v>1526</v>
      </c>
      <c r="D1617" s="93">
        <v>100</v>
      </c>
      <c r="E1617" s="93">
        <v>92</v>
      </c>
      <c r="F1617" s="103">
        <f>IFERROR(INDEX(Tabella9[PLZ],MATCH(Tabella8[[#This Row],[Colonna2]],Tabella9[Ortschaftsname],0)), "Name not found")</f>
        <v>6810</v>
      </c>
      <c r="G1617" s="103"/>
      <c r="H1617" s="240">
        <f ca="1">SUMIF(Tabella2[[#Headers],[#Data],[Age]],$H$76,Tabella2[[#Headers],[#Data],[Federal taxes]])</f>
        <v>6804.3246087429152</v>
      </c>
      <c r="I161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7" s="240">
        <f ca="1">Tabella8[[#This Row],[Colonna7]]*Tabella8[[#This Row],[Colonna4]]/100</f>
        <v>13668.378601069886</v>
      </c>
    </row>
    <row r="1618" spans="2:10">
      <c r="B1618" s="92" t="s">
        <v>141</v>
      </c>
      <c r="C1618" s="91" t="s">
        <v>1477</v>
      </c>
      <c r="D1618" s="93">
        <v>100</v>
      </c>
      <c r="E1618" s="93">
        <v>90</v>
      </c>
      <c r="F1618" s="103">
        <f>IFERROR(INDEX(Tabella9[PLZ],MATCH(Tabella8[[#This Row],[Colonna2]],Tabella9[Ortschaftsname],0)), "Name not found")</f>
        <v>6814</v>
      </c>
      <c r="G1618" s="103"/>
      <c r="H1618" s="240">
        <f ca="1">SUMIF(Tabella2[[#Headers],[#Data],[Age]],$H$76,Tabella2[[#Headers],[#Data],[Federal taxes]])</f>
        <v>6804.3246087429152</v>
      </c>
      <c r="I161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8" s="240">
        <f ca="1">Tabella8[[#This Row],[Colonna7]]*Tabella8[[#This Row],[Colonna4]]/100</f>
        <v>13371.239935829237</v>
      </c>
    </row>
    <row r="1619" spans="2:10">
      <c r="B1619" s="92" t="s">
        <v>141</v>
      </c>
      <c r="C1619" s="91" t="s">
        <v>1494</v>
      </c>
      <c r="D1619" s="93">
        <v>100</v>
      </c>
      <c r="E1619" s="93">
        <v>100</v>
      </c>
      <c r="F1619" s="103">
        <f>IFERROR(INDEX(Tabella9[PLZ],MATCH(Tabella8[[#This Row],[Colonna2]],Tabella9[Ortschaftsname],0)), "Name not found")</f>
        <v>6633</v>
      </c>
      <c r="G1619" s="103"/>
      <c r="H1619" s="240">
        <f ca="1">SUMIF(Tabella2[[#Headers],[#Data],[Age]],$H$76,Tabella2[[#Headers],[#Data],[Federal taxes]])</f>
        <v>6804.3246087429152</v>
      </c>
      <c r="I161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19" s="240">
        <f ca="1">Tabella8[[#This Row],[Colonna7]]*Tabella8[[#This Row],[Colonna4]]/100</f>
        <v>14856.933262032484</v>
      </c>
    </row>
    <row r="1620" spans="2:10">
      <c r="B1620" s="92" t="s">
        <v>141</v>
      </c>
      <c r="C1620" s="91" t="s">
        <v>1520</v>
      </c>
      <c r="D1620" s="93">
        <v>100</v>
      </c>
      <c r="E1620" s="93">
        <v>90</v>
      </c>
      <c r="F1620" s="103">
        <v>6685</v>
      </c>
      <c r="G1620" s="103"/>
      <c r="H1620" s="240">
        <f ca="1">SUMIF(Tabella2[[#Headers],[#Data],[Age]],$H$76,Tabella2[[#Headers],[#Data],[Federal taxes]])</f>
        <v>6804.3246087429152</v>
      </c>
      <c r="I162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0" s="240">
        <f ca="1">Tabella8[[#This Row],[Colonna7]]*Tabella8[[#This Row],[Colonna4]]/100</f>
        <v>13371.239935829237</v>
      </c>
    </row>
    <row r="1621" spans="2:10">
      <c r="B1621" s="92" t="s">
        <v>141</v>
      </c>
      <c r="C1621" s="91" t="s">
        <v>1543</v>
      </c>
      <c r="D1621" s="93">
        <v>100</v>
      </c>
      <c r="E1621" s="93">
        <v>65</v>
      </c>
      <c r="F1621" s="103">
        <f>IFERROR(INDEX(Tabella9[PLZ],MATCH(Tabella8[[#This Row],[Colonna2]],Tabella9[Ortschaftsname],0)), "Name not found")</f>
        <v>6682</v>
      </c>
      <c r="G1621" s="103"/>
      <c r="H1621" s="240">
        <f ca="1">SUMIF(Tabella2[[#Headers],[#Data],[Age]],$H$76,Tabella2[[#Headers],[#Data],[Federal taxes]])</f>
        <v>6804.3246087429152</v>
      </c>
      <c r="I162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1" s="240">
        <f ca="1">Tabella8[[#This Row],[Colonna7]]*Tabella8[[#This Row],[Colonna4]]/100</f>
        <v>9657.0066203211136</v>
      </c>
    </row>
    <row r="1622" spans="2:10">
      <c r="B1622" s="92" t="s">
        <v>141</v>
      </c>
      <c r="C1622" s="91" t="s">
        <v>1431</v>
      </c>
      <c r="D1622" s="93">
        <v>100</v>
      </c>
      <c r="E1622" s="93">
        <v>90</v>
      </c>
      <c r="F1622" s="103">
        <f>IFERROR(INDEX(Tabella9[PLZ],MATCH(Tabella8[[#This Row],[Colonna2]],Tabella9[Ortschaftsname],0)), "Name not found")</f>
        <v>6600</v>
      </c>
      <c r="G1622" s="103"/>
      <c r="H1622" s="240">
        <f ca="1">SUMIF(Tabella2[[#Headers],[#Data],[Age]],$H$76,Tabella2[[#Headers],[#Data],[Federal taxes]])</f>
        <v>6804.3246087429152</v>
      </c>
      <c r="I162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2" s="240">
        <f ca="1">Tabella8[[#This Row],[Colonna7]]*Tabella8[[#This Row],[Colonna4]]/100</f>
        <v>13371.239935829237</v>
      </c>
    </row>
    <row r="1623" spans="2:10">
      <c r="B1623" s="92" t="s">
        <v>141</v>
      </c>
      <c r="C1623" s="91" t="s">
        <v>1436</v>
      </c>
      <c r="D1623" s="93">
        <v>100</v>
      </c>
      <c r="E1623" s="93">
        <v>90</v>
      </c>
      <c r="F1623" s="103">
        <f>IFERROR(INDEX(Tabella9[PLZ],MATCH(Tabella8[[#This Row],[Colonna2]],Tabella9[Ortschaftsname],0)), "Name not found")</f>
        <v>6616</v>
      </c>
      <c r="G1623" s="103"/>
      <c r="H1623" s="240">
        <f ca="1">SUMIF(Tabella2[[#Headers],[#Data],[Age]],$H$76,Tabella2[[#Headers],[#Data],[Federal taxes]])</f>
        <v>6804.3246087429152</v>
      </c>
      <c r="I162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3" s="240">
        <f ca="1">Tabella8[[#This Row],[Colonna7]]*Tabella8[[#This Row],[Colonna4]]/100</f>
        <v>13371.239935829237</v>
      </c>
    </row>
    <row r="1624" spans="2:10">
      <c r="B1624" s="92" t="s">
        <v>141</v>
      </c>
      <c r="C1624" s="91" t="s">
        <v>1429</v>
      </c>
      <c r="D1624" s="93">
        <v>100</v>
      </c>
      <c r="E1624" s="93">
        <v>77</v>
      </c>
      <c r="F1624" s="103">
        <f>IFERROR(INDEX(Tabella9[PLZ],MATCH(Tabella8[[#This Row],[Colonna2]],Tabella9[Ortschaftsname],0)), "Name not found")</f>
        <v>6900</v>
      </c>
      <c r="G1624" s="103"/>
      <c r="H1624" s="240">
        <f ca="1">SUMIF(Tabella2[[#Headers],[#Data],[Age]],$H$76,Tabella2[[#Headers],[#Data],[Federal taxes]])</f>
        <v>6804.3246087429152</v>
      </c>
      <c r="I162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4" s="240">
        <f ca="1">Tabella8[[#This Row],[Colonna7]]*Tabella8[[#This Row],[Colonna4]]/100</f>
        <v>11439.838611765013</v>
      </c>
    </row>
    <row r="1625" spans="2:10">
      <c r="B1625" s="92" t="s">
        <v>141</v>
      </c>
      <c r="C1625" s="91" t="s">
        <v>1487</v>
      </c>
      <c r="D1625" s="93">
        <v>100</v>
      </c>
      <c r="E1625" s="93">
        <v>90</v>
      </c>
      <c r="F1625" s="103">
        <f>IFERROR(INDEX(Tabella9[PLZ],MATCH(Tabella8[[#This Row],[Colonna2]],Tabella9[Ortschaftsname],0)), "Name not found")</f>
        <v>6533</v>
      </c>
      <c r="G1625" s="103"/>
      <c r="H1625" s="240">
        <f ca="1">SUMIF(Tabella2[[#Headers],[#Data],[Age]],$H$76,Tabella2[[#Headers],[#Data],[Federal taxes]])</f>
        <v>6804.3246087429152</v>
      </c>
      <c r="I162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5" s="240">
        <f ca="1">Tabella8[[#This Row],[Colonna7]]*Tabella8[[#This Row],[Colonna4]]/100</f>
        <v>13371.239935829237</v>
      </c>
    </row>
    <row r="1626" spans="2:10">
      <c r="B1626" s="92" t="s">
        <v>141</v>
      </c>
      <c r="C1626" s="91" t="s">
        <v>1463</v>
      </c>
      <c r="D1626" s="93">
        <v>100</v>
      </c>
      <c r="E1626" s="93">
        <v>90</v>
      </c>
      <c r="F1626" s="103">
        <f>IFERROR(INDEX(Tabella9[PLZ],MATCH(Tabella8[[#This Row],[Colonna2]],Tabella9[Ortschaftsname],0)), "Name not found")</f>
        <v>6673</v>
      </c>
      <c r="G1626" s="103"/>
      <c r="H1626" s="240">
        <f ca="1">SUMIF(Tabella2[[#Headers],[#Data],[Age]],$H$76,Tabella2[[#Headers],[#Data],[Federal taxes]])</f>
        <v>6804.3246087429152</v>
      </c>
      <c r="I162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6" s="240">
        <f ca="1">Tabella8[[#This Row],[Colonna7]]*Tabella8[[#This Row],[Colonna4]]/100</f>
        <v>13371.239935829237</v>
      </c>
    </row>
    <row r="1627" spans="2:10">
      <c r="B1627" s="92" t="s">
        <v>141</v>
      </c>
      <c r="C1627" s="91" t="s">
        <v>1480</v>
      </c>
      <c r="D1627" s="93">
        <v>100</v>
      </c>
      <c r="E1627" s="93">
        <v>75</v>
      </c>
      <c r="F1627" s="103">
        <f>IFERROR(INDEX(Tabella9[PLZ],MATCH(Tabella8[[#This Row],[Colonna2]],Tabella9[Ortschaftsname],0)), "Name not found")</f>
        <v>6983</v>
      </c>
      <c r="G1627" s="103"/>
      <c r="H1627" s="240">
        <f ca="1">SUMIF(Tabella2[[#Headers],[#Data],[Age]],$H$76,Tabella2[[#Headers],[#Data],[Federal taxes]])</f>
        <v>6804.3246087429152</v>
      </c>
      <c r="I162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7" s="240">
        <f ca="1">Tabella8[[#This Row],[Colonna7]]*Tabella8[[#This Row],[Colonna4]]/100</f>
        <v>11142.699946524364</v>
      </c>
    </row>
    <row r="1628" spans="2:10">
      <c r="B1628" s="92" t="s">
        <v>141</v>
      </c>
      <c r="C1628" s="91" t="s">
        <v>1493</v>
      </c>
      <c r="D1628" s="93">
        <v>100</v>
      </c>
      <c r="E1628" s="93">
        <v>65</v>
      </c>
      <c r="F1628" s="103">
        <f>IFERROR(INDEX(Tabella9[PLZ],MATCH(Tabella8[[#This Row],[Colonna2]],Tabella9[Ortschaftsname],0)), "Name not found")</f>
        <v>6928</v>
      </c>
      <c r="G1628" s="103"/>
      <c r="H1628" s="240">
        <f ca="1">SUMIF(Tabella2[[#Headers],[#Data],[Age]],$H$76,Tabella2[[#Headers],[#Data],[Federal taxes]])</f>
        <v>6804.3246087429152</v>
      </c>
      <c r="I162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8" s="240">
        <f ca="1">Tabella8[[#This Row],[Colonna7]]*Tabella8[[#This Row],[Colonna4]]/100</f>
        <v>9657.0066203211136</v>
      </c>
    </row>
    <row r="1629" spans="2:10">
      <c r="B1629" s="92" t="s">
        <v>141</v>
      </c>
      <c r="C1629" s="91" t="s">
        <v>1437</v>
      </c>
      <c r="D1629" s="93">
        <v>100</v>
      </c>
      <c r="E1629" s="93">
        <v>77</v>
      </c>
      <c r="F1629" s="103">
        <f>IFERROR(INDEX(Tabella9[PLZ],MATCH(Tabella8[[#This Row],[Colonna2]],Tabella9[Ortschaftsname],0)), "Name not found")</f>
        <v>6900</v>
      </c>
      <c r="G1629" s="103"/>
      <c r="H1629" s="240">
        <f ca="1">SUMIF(Tabella2[[#Headers],[#Data],[Age]],$H$76,Tabella2[[#Headers],[#Data],[Federal taxes]])</f>
        <v>6804.3246087429152</v>
      </c>
      <c r="I162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29" s="240">
        <f ca="1">Tabella8[[#This Row],[Colonna7]]*Tabella8[[#This Row],[Colonna4]]/100</f>
        <v>11439.838611765013</v>
      </c>
    </row>
    <row r="1630" spans="2:10">
      <c r="B1630" s="92" t="s">
        <v>141</v>
      </c>
      <c r="C1630" s="91" t="s">
        <v>1476</v>
      </c>
      <c r="D1630" s="93">
        <v>100</v>
      </c>
      <c r="E1630" s="93">
        <v>70</v>
      </c>
      <c r="F1630" s="103">
        <f>IFERROR(INDEX(Tabella9[PLZ],MATCH(Tabella8[[#This Row],[Colonna2]],Tabella9[Ortschaftsname],0)), "Name not found")</f>
        <v>6815</v>
      </c>
      <c r="G1630" s="103"/>
      <c r="H1630" s="240">
        <f ca="1">SUMIF(Tabella2[[#Headers],[#Data],[Age]],$H$76,Tabella2[[#Headers],[#Data],[Federal taxes]])</f>
        <v>6804.3246087429152</v>
      </c>
      <c r="I163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0" s="240">
        <f ca="1">Tabella8[[#This Row],[Colonna7]]*Tabella8[[#This Row],[Colonna4]]/100</f>
        <v>10399.853283422739</v>
      </c>
    </row>
    <row r="1631" spans="2:10">
      <c r="B1631" s="92" t="s">
        <v>141</v>
      </c>
      <c r="C1631" s="91" t="s">
        <v>1432</v>
      </c>
      <c r="D1631" s="93">
        <v>100</v>
      </c>
      <c r="E1631" s="93">
        <v>77</v>
      </c>
      <c r="F1631" s="103">
        <f>IFERROR(INDEX(Tabella9[PLZ],MATCH(Tabella8[[#This Row],[Colonna2]],Tabella9[Ortschaftsname],0)), "Name not found")</f>
        <v>6850</v>
      </c>
      <c r="G1631" s="103"/>
      <c r="H1631" s="240">
        <f ca="1">SUMIF(Tabella2[[#Headers],[#Data],[Age]],$H$76,Tabella2[[#Headers],[#Data],[Federal taxes]])</f>
        <v>6804.3246087429152</v>
      </c>
      <c r="I163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1" s="240">
        <f ca="1">Tabella8[[#This Row],[Colonna7]]*Tabella8[[#This Row],[Colonna4]]/100</f>
        <v>11439.838611765013</v>
      </c>
    </row>
    <row r="1632" spans="2:10">
      <c r="B1632" s="92" t="s">
        <v>141</v>
      </c>
      <c r="C1632" s="91" t="s">
        <v>1533</v>
      </c>
      <c r="D1632" s="93">
        <v>100</v>
      </c>
      <c r="E1632" s="93">
        <v>100</v>
      </c>
      <c r="F1632" s="103">
        <f>IFERROR(INDEX(Tabella9[PLZ],MATCH(Tabella8[[#This Row],[Colonna2]],Tabella9[Ortschaftsname],0)), "Name not found")</f>
        <v>6647</v>
      </c>
      <c r="G1632" s="103"/>
      <c r="H1632" s="240">
        <f ca="1">SUMIF(Tabella2[[#Headers],[#Data],[Age]],$H$76,Tabella2[[#Headers],[#Data],[Federal taxes]])</f>
        <v>6804.3246087429152</v>
      </c>
      <c r="I163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2" s="240">
        <f ca="1">Tabella8[[#This Row],[Colonna7]]*Tabella8[[#This Row],[Colonna4]]/100</f>
        <v>14856.933262032484</v>
      </c>
    </row>
    <row r="1633" spans="2:10">
      <c r="B1633" s="92" t="s">
        <v>141</v>
      </c>
      <c r="C1633" s="91" t="s">
        <v>1492</v>
      </c>
      <c r="D1633" s="93">
        <v>100</v>
      </c>
      <c r="E1633" s="93">
        <v>60</v>
      </c>
      <c r="F1633" s="103">
        <v>6805</v>
      </c>
      <c r="G1633" s="103"/>
      <c r="H1633" s="240">
        <f ca="1">SUMIF(Tabella2[[#Headers],[#Data],[Age]],$H$76,Tabella2[[#Headers],[#Data],[Federal taxes]])</f>
        <v>6804.3246087429152</v>
      </c>
      <c r="I163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3" s="240">
        <f ca="1">Tabella8[[#This Row],[Colonna7]]*Tabella8[[#This Row],[Colonna4]]/100</f>
        <v>8914.15995721949</v>
      </c>
    </row>
    <row r="1634" spans="2:10">
      <c r="B1634" s="92" t="s">
        <v>141</v>
      </c>
      <c r="C1634" s="91" t="s">
        <v>1530</v>
      </c>
      <c r="D1634" s="93">
        <v>100</v>
      </c>
      <c r="E1634" s="93">
        <v>100</v>
      </c>
      <c r="F1634" s="103">
        <f>IFERROR(INDEX(Tabella9[PLZ],MATCH(Tabella8[[#This Row],[Colonna2]],Tabella9[Ortschaftsname],0)), "Name not found")</f>
        <v>6986</v>
      </c>
      <c r="G1634" s="103"/>
      <c r="H1634" s="240">
        <f ca="1">SUMIF(Tabella2[[#Headers],[#Data],[Age]],$H$76,Tabella2[[#Headers],[#Data],[Federal taxes]])</f>
        <v>6804.3246087429152</v>
      </c>
      <c r="I163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4" s="240">
        <f ca="1">Tabella8[[#This Row],[Colonna7]]*Tabella8[[#This Row],[Colonna4]]/100</f>
        <v>14856.933262032484</v>
      </c>
    </row>
    <row r="1635" spans="2:10">
      <c r="B1635" s="92" t="s">
        <v>141</v>
      </c>
      <c r="C1635" s="91" t="s">
        <v>1434</v>
      </c>
      <c r="D1635" s="93">
        <v>100</v>
      </c>
      <c r="E1635" s="93">
        <v>78</v>
      </c>
      <c r="F1635" s="103">
        <f>IFERROR(INDEX(Tabella9[PLZ],MATCH(Tabella8[[#This Row],[Colonna2]],Tabella9[Ortschaftsname],0)), "Name not found")</f>
        <v>6648</v>
      </c>
      <c r="G1635" s="103"/>
      <c r="H1635" s="240">
        <f ca="1">SUMIF(Tabella2[[#Headers],[#Data],[Age]],$H$76,Tabella2[[#Headers],[#Data],[Federal taxes]])</f>
        <v>6804.3246087429152</v>
      </c>
      <c r="I163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5" s="240">
        <f ca="1">Tabella8[[#This Row],[Colonna7]]*Tabella8[[#This Row],[Colonna4]]/100</f>
        <v>11588.407944385337</v>
      </c>
    </row>
    <row r="1636" spans="2:10">
      <c r="B1636" s="92" t="s">
        <v>141</v>
      </c>
      <c r="C1636" s="91" t="s">
        <v>1446</v>
      </c>
      <c r="D1636" s="93">
        <v>100</v>
      </c>
      <c r="E1636" s="93">
        <v>92</v>
      </c>
      <c r="F1636" s="103">
        <v>6802</v>
      </c>
      <c r="G1636" s="103"/>
      <c r="H1636" s="240">
        <f ca="1">SUMIF(Tabella2[[#Headers],[#Data],[Age]],$H$76,Tabella2[[#Headers],[#Data],[Federal taxes]])</f>
        <v>6804.3246087429152</v>
      </c>
      <c r="I163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6" s="240">
        <f ca="1">Tabella8[[#This Row],[Colonna7]]*Tabella8[[#This Row],[Colonna4]]/100</f>
        <v>13668.378601069886</v>
      </c>
    </row>
    <row r="1637" spans="2:10">
      <c r="B1637" s="92" t="s">
        <v>141</v>
      </c>
      <c r="C1637" s="91" t="s">
        <v>1445</v>
      </c>
      <c r="D1637" s="93">
        <v>100</v>
      </c>
      <c r="E1637" s="93">
        <v>82</v>
      </c>
      <c r="F1637" s="103">
        <f>IFERROR(INDEX(Tabella9[PLZ],MATCH(Tabella8[[#This Row],[Colonna2]],Tabella9[Ortschaftsname],0)), "Name not found")</f>
        <v>6834</v>
      </c>
      <c r="G1637" s="103"/>
      <c r="H1637" s="240">
        <f ca="1">SUMIF(Tabella2[[#Headers],[#Data],[Age]],$H$76,Tabella2[[#Headers],[#Data],[Federal taxes]])</f>
        <v>6804.3246087429152</v>
      </c>
      <c r="I163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7" s="240">
        <f ca="1">Tabella8[[#This Row],[Colonna7]]*Tabella8[[#This Row],[Colonna4]]/100</f>
        <v>12182.685274866637</v>
      </c>
    </row>
    <row r="1638" spans="2:10">
      <c r="B1638" s="92" t="s">
        <v>141</v>
      </c>
      <c r="C1638" s="91" t="s">
        <v>1512</v>
      </c>
      <c r="D1638" s="93">
        <v>100</v>
      </c>
      <c r="E1638" s="93">
        <v>80</v>
      </c>
      <c r="F1638" s="103">
        <f>IFERROR(INDEX(Tabella9[PLZ],MATCH(Tabella8[[#This Row],[Colonna2]],Tabella9[Ortschaftsname],0)), "Name not found")</f>
        <v>6922</v>
      </c>
      <c r="G1638" s="103"/>
      <c r="H1638" s="240">
        <f ca="1">SUMIF(Tabella2[[#Headers],[#Data],[Age]],$H$76,Tabella2[[#Headers],[#Data],[Federal taxes]])</f>
        <v>6804.3246087429152</v>
      </c>
      <c r="I163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8" s="240">
        <f ca="1">Tabella8[[#This Row],[Colonna7]]*Tabella8[[#This Row],[Colonna4]]/100</f>
        <v>11885.546609625986</v>
      </c>
    </row>
    <row r="1639" spans="2:10">
      <c r="B1639" s="92" t="s">
        <v>141</v>
      </c>
      <c r="C1639" s="91" t="s">
        <v>1459</v>
      </c>
      <c r="D1639" s="93">
        <v>100</v>
      </c>
      <c r="E1639" s="93">
        <v>73</v>
      </c>
      <c r="F1639" s="103">
        <f>IFERROR(INDEX(Tabella9[PLZ],MATCH(Tabella8[[#This Row],[Colonna2]],Tabella9[Ortschaftsname],0)), "Name not found")</f>
        <v>6600</v>
      </c>
      <c r="G1639" s="103"/>
      <c r="H1639" s="240">
        <f ca="1">SUMIF(Tabella2[[#Headers],[#Data],[Age]],$H$76,Tabella2[[#Headers],[#Data],[Federal taxes]])</f>
        <v>6804.3246087429152</v>
      </c>
      <c r="I163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39" s="240">
        <f ca="1">Tabella8[[#This Row],[Colonna7]]*Tabella8[[#This Row],[Colonna4]]/100</f>
        <v>10845.561281283713</v>
      </c>
    </row>
    <row r="1640" spans="2:10">
      <c r="B1640" s="92" t="s">
        <v>141</v>
      </c>
      <c r="C1640" s="91" t="s">
        <v>1507</v>
      </c>
      <c r="D1640" s="93">
        <v>100</v>
      </c>
      <c r="E1640" s="93">
        <v>75</v>
      </c>
      <c r="F1640" s="103">
        <f>IFERROR(INDEX(Tabella9[PLZ],MATCH(Tabella8[[#This Row],[Colonna2]],Tabella9[Ortschaftsname],0)), "Name not found")</f>
        <v>6933</v>
      </c>
      <c r="G1640" s="103"/>
      <c r="H1640" s="240">
        <f ca="1">SUMIF(Tabella2[[#Headers],[#Data],[Age]],$H$76,Tabella2[[#Headers],[#Data],[Federal taxes]])</f>
        <v>6804.3246087429152</v>
      </c>
      <c r="I164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0" s="240">
        <f ca="1">Tabella8[[#This Row],[Colonna7]]*Tabella8[[#This Row],[Colonna4]]/100</f>
        <v>11142.699946524364</v>
      </c>
    </row>
    <row r="1641" spans="2:10">
      <c r="B1641" s="92" t="s">
        <v>141</v>
      </c>
      <c r="C1641" s="91" t="s">
        <v>1529</v>
      </c>
      <c r="D1641" s="93">
        <v>100</v>
      </c>
      <c r="E1641" s="93">
        <v>90</v>
      </c>
      <c r="F1641" s="103">
        <f>IFERROR(INDEX(Tabella9[PLZ],MATCH(Tabella8[[#This Row],[Colonna2]],Tabella9[Ortschaftsname],0)), "Name not found")</f>
        <v>6991</v>
      </c>
      <c r="G1641" s="103"/>
      <c r="H1641" s="240">
        <f ca="1">SUMIF(Tabella2[[#Headers],[#Data],[Age]],$H$76,Tabella2[[#Headers],[#Data],[Federal taxes]])</f>
        <v>6804.3246087429152</v>
      </c>
      <c r="I164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1" s="240">
        <f ca="1">Tabella8[[#This Row],[Colonna7]]*Tabella8[[#This Row],[Colonna4]]/100</f>
        <v>13371.239935829237</v>
      </c>
    </row>
    <row r="1642" spans="2:10">
      <c r="B1642" s="92" t="s">
        <v>141</v>
      </c>
      <c r="C1642" s="91" t="s">
        <v>1506</v>
      </c>
      <c r="D1642" s="93">
        <v>100</v>
      </c>
      <c r="E1642" s="93">
        <v>95</v>
      </c>
      <c r="F1642" s="103">
        <f>IFERROR(INDEX(Tabella9[PLZ],MATCH(Tabella8[[#This Row],[Colonna2]],Tabella9[Ortschaftsname],0)), "Name not found")</f>
        <v>6986</v>
      </c>
      <c r="G1642" s="103"/>
      <c r="H1642" s="240">
        <f ca="1">SUMIF(Tabella2[[#Headers],[#Data],[Age]],$H$76,Tabella2[[#Headers],[#Data],[Federal taxes]])</f>
        <v>6804.3246087429152</v>
      </c>
      <c r="I164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2" s="240">
        <f ca="1">Tabella8[[#This Row],[Colonna7]]*Tabella8[[#This Row],[Colonna4]]/100</f>
        <v>14114.086598930859</v>
      </c>
    </row>
    <row r="1643" spans="2:10">
      <c r="B1643" s="92" t="s">
        <v>141</v>
      </c>
      <c r="C1643" s="91" t="s">
        <v>1465</v>
      </c>
      <c r="D1643" s="93">
        <v>100</v>
      </c>
      <c r="E1643" s="93">
        <v>65</v>
      </c>
      <c r="F1643" s="103">
        <f>IFERROR(INDEX(Tabella9[PLZ],MATCH(Tabella8[[#This Row],[Colonna2]],Tabella9[Ortschaftsname],0)), "Name not found")</f>
        <v>6883</v>
      </c>
      <c r="G1643" s="103"/>
      <c r="H1643" s="240">
        <f ca="1">SUMIF(Tabella2[[#Headers],[#Data],[Age]],$H$76,Tabella2[[#Headers],[#Data],[Federal taxes]])</f>
        <v>6804.3246087429152</v>
      </c>
      <c r="I164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3" s="240">
        <f ca="1">Tabella8[[#This Row],[Colonna7]]*Tabella8[[#This Row],[Colonna4]]/100</f>
        <v>9657.0066203211136</v>
      </c>
    </row>
    <row r="1644" spans="2:10">
      <c r="B1644" s="92" t="s">
        <v>141</v>
      </c>
      <c r="C1644" s="91" t="s">
        <v>1513</v>
      </c>
      <c r="D1644" s="93">
        <v>100</v>
      </c>
      <c r="E1644" s="93">
        <v>95</v>
      </c>
      <c r="F1644" s="103">
        <v>6661</v>
      </c>
      <c r="G1644" s="103"/>
      <c r="H1644" s="240">
        <f ca="1">SUMIF(Tabella2[[#Headers],[#Data],[Age]],$H$76,Tabella2[[#Headers],[#Data],[Federal taxes]])</f>
        <v>6804.3246087429152</v>
      </c>
      <c r="I164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4" s="240">
        <f ca="1">Tabella8[[#This Row],[Colonna7]]*Tabella8[[#This Row],[Colonna4]]/100</f>
        <v>14114.086598930859</v>
      </c>
    </row>
    <row r="1645" spans="2:10">
      <c r="B1645" s="92" t="s">
        <v>141</v>
      </c>
      <c r="C1645" s="91" t="s">
        <v>1486</v>
      </c>
      <c r="D1645" s="93">
        <v>100</v>
      </c>
      <c r="E1645" s="93">
        <v>70</v>
      </c>
      <c r="F1645" s="103">
        <f>IFERROR(INDEX(Tabella9[PLZ],MATCH(Tabella8[[#This Row],[Colonna2]],Tabella9[Ortschaftsname],0)), "Name not found")</f>
        <v>6945</v>
      </c>
      <c r="G1645" s="103"/>
      <c r="H1645" s="240">
        <f ca="1">SUMIF(Tabella2[[#Headers],[#Data],[Age]],$H$76,Tabella2[[#Headers],[#Data],[Federal taxes]])</f>
        <v>6804.3246087429152</v>
      </c>
      <c r="I164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5" s="240">
        <f ca="1">Tabella8[[#This Row],[Colonna7]]*Tabella8[[#This Row],[Colonna4]]/100</f>
        <v>10399.853283422739</v>
      </c>
    </row>
    <row r="1646" spans="2:10">
      <c r="B1646" s="92" t="s">
        <v>141</v>
      </c>
      <c r="C1646" s="91" t="s">
        <v>1511</v>
      </c>
      <c r="D1646" s="93">
        <v>100</v>
      </c>
      <c r="E1646" s="93">
        <v>82</v>
      </c>
      <c r="F1646" s="103">
        <f>IFERROR(INDEX(Tabella9[PLZ],MATCH(Tabella8[[#This Row],[Colonna2]],Tabella9[Ortschaftsname],0)), "Name not found")</f>
        <v>6644</v>
      </c>
      <c r="G1646" s="103"/>
      <c r="H1646" s="240">
        <f ca="1">SUMIF(Tabella2[[#Headers],[#Data],[Age]],$H$76,Tabella2[[#Headers],[#Data],[Federal taxes]])</f>
        <v>6804.3246087429152</v>
      </c>
      <c r="I164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6" s="240">
        <f ca="1">Tabella8[[#This Row],[Colonna7]]*Tabella8[[#This Row],[Colonna4]]/100</f>
        <v>12182.685274866637</v>
      </c>
    </row>
    <row r="1647" spans="2:10">
      <c r="B1647" s="92" t="s">
        <v>141</v>
      </c>
      <c r="C1647" s="91" t="s">
        <v>1450</v>
      </c>
      <c r="D1647" s="93">
        <v>100</v>
      </c>
      <c r="E1647" s="93">
        <v>58</v>
      </c>
      <c r="F1647" s="103">
        <f>IFERROR(INDEX(Tabella9[PLZ],MATCH(Tabella8[[#This Row],[Colonna2]],Tabella9[Ortschaftsname],0)), "Name not found")</f>
        <v>6900</v>
      </c>
      <c r="G1647" s="103"/>
      <c r="H1647" s="240">
        <f ca="1">SUMIF(Tabella2[[#Headers],[#Data],[Age]],$H$76,Tabella2[[#Headers],[#Data],[Federal taxes]])</f>
        <v>6804.3246087429152</v>
      </c>
      <c r="I164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7" s="240">
        <f ca="1">Tabella8[[#This Row],[Colonna7]]*Tabella8[[#This Row],[Colonna4]]/100</f>
        <v>8617.021291978841</v>
      </c>
    </row>
    <row r="1648" spans="2:10">
      <c r="B1648" s="92" t="s">
        <v>141</v>
      </c>
      <c r="C1648" s="91" t="s">
        <v>1528</v>
      </c>
      <c r="D1648" s="93">
        <v>100</v>
      </c>
      <c r="E1648" s="93">
        <v>90</v>
      </c>
      <c r="F1648" s="103">
        <f>IFERROR(INDEX(Tabella9[PLZ],MATCH(Tabella8[[#This Row],[Colonna2]],Tabella9[Ortschaftsname],0)), "Name not found")</f>
        <v>6744</v>
      </c>
      <c r="G1648" s="103"/>
      <c r="H1648" s="240">
        <f ca="1">SUMIF(Tabella2[[#Headers],[#Data],[Age]],$H$76,Tabella2[[#Headers],[#Data],[Federal taxes]])</f>
        <v>6804.3246087429152</v>
      </c>
      <c r="I164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8" s="240">
        <f ca="1">Tabella8[[#This Row],[Colonna7]]*Tabella8[[#This Row],[Colonna4]]/100</f>
        <v>13371.239935829237</v>
      </c>
    </row>
    <row r="1649" spans="2:10">
      <c r="B1649" s="92" t="s">
        <v>141</v>
      </c>
      <c r="C1649" s="91" t="s">
        <v>1510</v>
      </c>
      <c r="D1649" s="93">
        <v>100</v>
      </c>
      <c r="E1649" s="93">
        <v>95</v>
      </c>
      <c r="F1649" s="103">
        <f>IFERROR(INDEX(Tabella9[PLZ],MATCH(Tabella8[[#This Row],[Colonna2]],Tabella9[Ortschaftsname],0)), "Name not found")</f>
        <v>6742</v>
      </c>
      <c r="G1649" s="103"/>
      <c r="H1649" s="240">
        <f ca="1">SUMIF(Tabella2[[#Headers],[#Data],[Age]],$H$76,Tabella2[[#Headers],[#Data],[Federal taxes]])</f>
        <v>6804.3246087429152</v>
      </c>
      <c r="I164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49" s="240">
        <f ca="1">Tabella8[[#This Row],[Colonna7]]*Tabella8[[#This Row],[Colonna4]]/100</f>
        <v>14114.086598930859</v>
      </c>
    </row>
    <row r="1650" spans="2:10">
      <c r="B1650" s="92" t="s">
        <v>141</v>
      </c>
      <c r="C1650" s="91" t="s">
        <v>1473</v>
      </c>
      <c r="D1650" s="93">
        <v>100</v>
      </c>
      <c r="E1650" s="93">
        <v>85</v>
      </c>
      <c r="F1650" s="103">
        <f>IFERROR(INDEX(Tabella9[PLZ],MATCH(Tabella8[[#This Row],[Colonna2]],Tabella9[Ortschaftsname],0)), "Name not found")</f>
        <v>6946</v>
      </c>
      <c r="G1650" s="103"/>
      <c r="H1650" s="240">
        <f ca="1">SUMIF(Tabella2[[#Headers],[#Data],[Age]],$H$76,Tabella2[[#Headers],[#Data],[Federal taxes]])</f>
        <v>6804.3246087429152</v>
      </c>
      <c r="I165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0" s="240">
        <f ca="1">Tabella8[[#This Row],[Colonna7]]*Tabella8[[#This Row],[Colonna4]]/100</f>
        <v>12628.393272727611</v>
      </c>
    </row>
    <row r="1651" spans="2:10">
      <c r="B1651" s="92" t="s">
        <v>141</v>
      </c>
      <c r="C1651" s="91" t="s">
        <v>1481</v>
      </c>
      <c r="D1651" s="93">
        <v>100</v>
      </c>
      <c r="E1651" s="93">
        <v>56</v>
      </c>
      <c r="F1651" s="103">
        <f>IFERROR(INDEX(Tabella9[PLZ],MATCH(Tabella8[[#This Row],[Colonna2]],Tabella9[Ortschaftsname],0)), "Name not found")</f>
        <v>6948</v>
      </c>
      <c r="G1651" s="103"/>
      <c r="H1651" s="240">
        <f ca="1">SUMIF(Tabella2[[#Headers],[#Data],[Age]],$H$76,Tabella2[[#Headers],[#Data],[Federal taxes]])</f>
        <v>6804.3246087429152</v>
      </c>
      <c r="I165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1" s="240">
        <f ca="1">Tabella8[[#This Row],[Colonna7]]*Tabella8[[#This Row],[Colonna4]]/100</f>
        <v>8319.8826267381901</v>
      </c>
    </row>
    <row r="1652" spans="2:10">
      <c r="B1652" s="92" t="s">
        <v>141</v>
      </c>
      <c r="C1652" s="91" t="s">
        <v>1524</v>
      </c>
      <c r="D1652" s="93">
        <v>100</v>
      </c>
      <c r="E1652" s="93">
        <v>90</v>
      </c>
      <c r="F1652" s="103">
        <f>IFERROR(INDEX(Tabella9[PLZ],MATCH(Tabella8[[#This Row],[Colonna2]],Tabella9[Ortschaftsname],0)), "Name not found")</f>
        <v>6773</v>
      </c>
      <c r="G1652" s="103"/>
      <c r="H1652" s="240">
        <f ca="1">SUMIF(Tabella2[[#Headers],[#Data],[Age]],$H$76,Tabella2[[#Headers],[#Data],[Federal taxes]])</f>
        <v>6804.3246087429152</v>
      </c>
      <c r="I165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2" s="240">
        <f ca="1">Tabella8[[#This Row],[Colonna7]]*Tabella8[[#This Row],[Colonna4]]/100</f>
        <v>13371.239935829237</v>
      </c>
    </row>
    <row r="1653" spans="2:10">
      <c r="B1653" s="92" t="s">
        <v>141</v>
      </c>
      <c r="C1653" s="91" t="s">
        <v>1491</v>
      </c>
      <c r="D1653" s="93">
        <v>100</v>
      </c>
      <c r="E1653" s="93">
        <v>87</v>
      </c>
      <c r="F1653" s="103">
        <f>IFERROR(INDEX(Tabella9[PLZ],MATCH(Tabella8[[#This Row],[Colonna2]],Tabella9[Ortschaftsname],0)), "Name not found")</f>
        <v>6984</v>
      </c>
      <c r="G1653" s="103"/>
      <c r="H1653" s="240">
        <f ca="1">SUMIF(Tabella2[[#Headers],[#Data],[Age]],$H$76,Tabella2[[#Headers],[#Data],[Federal taxes]])</f>
        <v>6804.3246087429152</v>
      </c>
      <c r="I165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3" s="240">
        <f ca="1">Tabella8[[#This Row],[Colonna7]]*Tabella8[[#This Row],[Colonna4]]/100</f>
        <v>12925.531937968261</v>
      </c>
    </row>
    <row r="1654" spans="2:10">
      <c r="B1654" s="92" t="s">
        <v>141</v>
      </c>
      <c r="C1654" s="91" t="s">
        <v>1498</v>
      </c>
      <c r="D1654" s="93">
        <v>100</v>
      </c>
      <c r="E1654" s="93">
        <v>90</v>
      </c>
      <c r="F1654" s="103">
        <f>IFERROR(INDEX(Tabella9[PLZ],MATCH(Tabella8[[#This Row],[Colonna2]],Tabella9[Ortschaftsname],0)), "Name not found")</f>
        <v>6777</v>
      </c>
      <c r="G1654" s="103"/>
      <c r="H1654" s="240">
        <f ca="1">SUMIF(Tabella2[[#Headers],[#Data],[Age]],$H$76,Tabella2[[#Headers],[#Data],[Federal taxes]])</f>
        <v>6804.3246087429152</v>
      </c>
      <c r="I165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4" s="240">
        <f ca="1">Tabella8[[#This Row],[Colonna7]]*Tabella8[[#This Row],[Colonna4]]/100</f>
        <v>13371.239935829237</v>
      </c>
    </row>
    <row r="1655" spans="2:10">
      <c r="B1655" s="92" t="s">
        <v>141</v>
      </c>
      <c r="C1655" s="91" t="s">
        <v>1461</v>
      </c>
      <c r="D1655" s="93">
        <v>100</v>
      </c>
      <c r="E1655" s="93">
        <v>80</v>
      </c>
      <c r="F1655" s="103">
        <f>IFERROR(INDEX(Tabella9[PLZ],MATCH(Tabella8[[#This Row],[Colonna2]],Tabella9[Ortschaftsname],0)), "Name not found")</f>
        <v>6826</v>
      </c>
      <c r="G1655" s="103"/>
      <c r="H1655" s="240">
        <f ca="1">SUMIF(Tabella2[[#Headers],[#Data],[Age]],$H$76,Tabella2[[#Headers],[#Data],[Federal taxes]])</f>
        <v>6804.3246087429152</v>
      </c>
      <c r="I165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5" s="240">
        <f ca="1">Tabella8[[#This Row],[Colonna7]]*Tabella8[[#This Row],[Colonna4]]/100</f>
        <v>11885.546609625986</v>
      </c>
    </row>
    <row r="1656" spans="2:10">
      <c r="B1656" s="92" t="s">
        <v>141</v>
      </c>
      <c r="C1656" s="91" t="s">
        <v>1449</v>
      </c>
      <c r="D1656" s="93">
        <v>100</v>
      </c>
      <c r="E1656" s="93">
        <v>95</v>
      </c>
      <c r="F1656" s="103">
        <v>6707</v>
      </c>
      <c r="G1656" s="103"/>
      <c r="H1656" s="240">
        <f ca="1">SUMIF(Tabella2[[#Headers],[#Data],[Age]],$H$76,Tabella2[[#Headers],[#Data],[Federal taxes]])</f>
        <v>6804.3246087429152</v>
      </c>
      <c r="I165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6" s="240">
        <f ca="1">Tabella8[[#This Row],[Colonna7]]*Tabella8[[#This Row],[Colonna4]]/100</f>
        <v>14114.086598930859</v>
      </c>
    </row>
    <row r="1657" spans="2:10">
      <c r="B1657" s="92" t="s">
        <v>141</v>
      </c>
      <c r="C1657" s="91" t="s">
        <v>1517</v>
      </c>
      <c r="D1657" s="93">
        <v>100</v>
      </c>
      <c r="E1657" s="93">
        <v>75</v>
      </c>
      <c r="F1657" s="103">
        <f>IFERROR(INDEX(Tabella9[PLZ],MATCH(Tabella8[[#This Row],[Colonna2]],Tabella9[Ortschaftsname],0)), "Name not found")</f>
        <v>6622</v>
      </c>
      <c r="G1657" s="103"/>
      <c r="H1657" s="240">
        <f ca="1">SUMIF(Tabella2[[#Headers],[#Data],[Age]],$H$76,Tabella2[[#Headers],[#Data],[Federal taxes]])</f>
        <v>6804.3246087429152</v>
      </c>
      <c r="I165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7" s="240">
        <f ca="1">Tabella8[[#This Row],[Colonna7]]*Tabella8[[#This Row],[Colonna4]]/100</f>
        <v>11142.699946524364</v>
      </c>
    </row>
    <row r="1658" spans="2:10">
      <c r="B1658" s="92" t="s">
        <v>141</v>
      </c>
      <c r="C1658" s="91" t="s">
        <v>1464</v>
      </c>
      <c r="D1658" s="93">
        <v>100</v>
      </c>
      <c r="E1658" s="93">
        <v>70</v>
      </c>
      <c r="F1658" s="103">
        <v>6592</v>
      </c>
      <c r="G1658" s="103"/>
      <c r="H1658" s="240">
        <f ca="1">SUMIF(Tabella2[[#Headers],[#Data],[Age]],$H$76,Tabella2[[#Headers],[#Data],[Federal taxes]])</f>
        <v>6804.3246087429152</v>
      </c>
      <c r="I165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8" s="240">
        <f ca="1">Tabella8[[#This Row],[Colonna7]]*Tabella8[[#This Row],[Colonna4]]/100</f>
        <v>10399.853283422739</v>
      </c>
    </row>
    <row r="1659" spans="2:10">
      <c r="B1659" s="92" t="s">
        <v>141</v>
      </c>
      <c r="C1659" s="91" t="s">
        <v>1466</v>
      </c>
      <c r="D1659" s="93">
        <v>100</v>
      </c>
      <c r="E1659" s="93">
        <v>75</v>
      </c>
      <c r="F1659" s="103">
        <f>IFERROR(INDEX(Tabella9[PLZ],MATCH(Tabella8[[#This Row],[Colonna2]],Tabella9[Ortschaftsname],0)), "Name not found")</f>
        <v>6942</v>
      </c>
      <c r="G1659" s="103"/>
      <c r="H1659" s="240">
        <f ca="1">SUMIF(Tabella2[[#Headers],[#Data],[Age]],$H$76,Tabella2[[#Headers],[#Data],[Federal taxes]])</f>
        <v>6804.3246087429152</v>
      </c>
      <c r="I165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59" s="240">
        <f ca="1">Tabella8[[#This Row],[Colonna7]]*Tabella8[[#This Row],[Colonna4]]/100</f>
        <v>11142.699946524364</v>
      </c>
    </row>
    <row r="1660" spans="2:10">
      <c r="B1660" s="92" t="s">
        <v>141</v>
      </c>
      <c r="C1660" s="91" t="s">
        <v>1469</v>
      </c>
      <c r="D1660" s="93">
        <v>100</v>
      </c>
      <c r="E1660" s="93">
        <v>93</v>
      </c>
      <c r="F1660" s="103">
        <v>6705</v>
      </c>
      <c r="G1660" s="103"/>
      <c r="H1660" s="240">
        <f ca="1">SUMIF(Tabella2[[#Headers],[#Data],[Age]],$H$76,Tabella2[[#Headers],[#Data],[Federal taxes]])</f>
        <v>6804.3246087429152</v>
      </c>
      <c r="I166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0" s="240">
        <f ca="1">Tabella8[[#This Row],[Colonna7]]*Tabella8[[#This Row],[Colonna4]]/100</f>
        <v>13816.94793369021</v>
      </c>
    </row>
    <row r="1661" spans="2:10">
      <c r="B1661" s="92" t="s">
        <v>141</v>
      </c>
      <c r="C1661" s="91" t="s">
        <v>1478</v>
      </c>
      <c r="D1661" s="93">
        <v>100</v>
      </c>
      <c r="E1661" s="93">
        <v>65</v>
      </c>
      <c r="F1661" s="103">
        <f>IFERROR(INDEX(Tabella9[PLZ],MATCH(Tabella8[[#This Row],[Colonna2]],Tabella9[Ortschaftsname],0)), "Name not found")</f>
        <v>6924</v>
      </c>
      <c r="G1661" s="103"/>
      <c r="H1661" s="240">
        <f ca="1">SUMIF(Tabella2[[#Headers],[#Data],[Age]],$H$76,Tabella2[[#Headers],[#Data],[Federal taxes]])</f>
        <v>6804.3246087429152</v>
      </c>
      <c r="I166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1" s="240">
        <f ca="1">Tabella8[[#This Row],[Colonna7]]*Tabella8[[#This Row],[Colonna4]]/100</f>
        <v>9657.0066203211136</v>
      </c>
    </row>
    <row r="1662" spans="2:10">
      <c r="B1662" s="92" t="s">
        <v>141</v>
      </c>
      <c r="C1662" s="91" t="s">
        <v>1444</v>
      </c>
      <c r="D1662" s="93">
        <v>100</v>
      </c>
      <c r="E1662" s="93">
        <v>65</v>
      </c>
      <c r="F1662" s="103">
        <f>IFERROR(INDEX(Tabella9[PLZ],MATCH(Tabella8[[#This Row],[Colonna2]],Tabella9[Ortschaftsname],0)), "Name not found")</f>
        <v>6855</v>
      </c>
      <c r="G1662" s="103"/>
      <c r="H1662" s="240">
        <f ca="1">SUMIF(Tabella2[[#Headers],[#Data],[Age]],$H$76,Tabella2[[#Headers],[#Data],[Federal taxes]])</f>
        <v>6804.3246087429152</v>
      </c>
      <c r="I166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2" s="240">
        <f ca="1">Tabella8[[#This Row],[Colonna7]]*Tabella8[[#This Row],[Colonna4]]/100</f>
        <v>9657.0066203211136</v>
      </c>
    </row>
    <row r="1663" spans="2:10">
      <c r="B1663" s="92" t="s">
        <v>141</v>
      </c>
      <c r="C1663" s="91" t="s">
        <v>1453</v>
      </c>
      <c r="D1663" s="93">
        <v>100</v>
      </c>
      <c r="E1663" s="93">
        <v>93</v>
      </c>
      <c r="F1663" s="103">
        <v>6598</v>
      </c>
      <c r="G1663" s="103"/>
      <c r="H1663" s="240">
        <f ca="1">SUMIF(Tabella2[[#Headers],[#Data],[Age]],$H$76,Tabella2[[#Headers],[#Data],[Federal taxes]])</f>
        <v>6804.3246087429152</v>
      </c>
      <c r="I166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3" s="240">
        <f ca="1">Tabella8[[#This Row],[Colonna7]]*Tabella8[[#This Row],[Colonna4]]/100</f>
        <v>13816.94793369021</v>
      </c>
    </row>
    <row r="1664" spans="2:10">
      <c r="B1664" s="92" t="s">
        <v>141</v>
      </c>
      <c r="C1664" s="91" t="s">
        <v>1462</v>
      </c>
      <c r="D1664" s="93">
        <v>100</v>
      </c>
      <c r="E1664" s="93">
        <v>85</v>
      </c>
      <c r="F1664" s="103">
        <v>6552</v>
      </c>
      <c r="G1664" s="103"/>
      <c r="H1664" s="240">
        <f ca="1">SUMIF(Tabella2[[#Headers],[#Data],[Age]],$H$76,Tabella2[[#Headers],[#Data],[Federal taxes]])</f>
        <v>6804.3246087429152</v>
      </c>
      <c r="I1664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4" s="240">
        <f ca="1">Tabella8[[#This Row],[Colonna7]]*Tabella8[[#This Row],[Colonna4]]/100</f>
        <v>12628.393272727611</v>
      </c>
    </row>
    <row r="1665" spans="2:10">
      <c r="B1665" s="92" t="s">
        <v>141</v>
      </c>
      <c r="C1665" s="91" t="s">
        <v>1454</v>
      </c>
      <c r="D1665" s="93">
        <v>100</v>
      </c>
      <c r="E1665" s="93">
        <v>85</v>
      </c>
      <c r="F1665" s="103">
        <v>6807</v>
      </c>
      <c r="G1665" s="103"/>
      <c r="H1665" s="240">
        <f ca="1">SUMIF(Tabella2[[#Headers],[#Data],[Age]],$H$76,Tabella2[[#Headers],[#Data],[Federal taxes]])</f>
        <v>6804.3246087429152</v>
      </c>
      <c r="I1665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5" s="240">
        <f ca="1">Tabella8[[#This Row],[Colonna7]]*Tabella8[[#This Row],[Colonna4]]/100</f>
        <v>12628.393272727611</v>
      </c>
    </row>
    <row r="1666" spans="2:10">
      <c r="B1666" s="92" t="s">
        <v>141</v>
      </c>
      <c r="C1666" s="91" t="s">
        <v>2681</v>
      </c>
      <c r="D1666" s="93">
        <v>100</v>
      </c>
      <c r="E1666" s="93">
        <v>85</v>
      </c>
      <c r="F1666" s="103">
        <v>6988</v>
      </c>
      <c r="G1666" s="103"/>
      <c r="H1666" s="240">
        <f ca="1">SUMIF(Tabella2[[#Headers],[#Data],[Age]],$H$76,Tabella2[[#Headers],[#Data],[Federal taxes]])</f>
        <v>6804.3246087429152</v>
      </c>
      <c r="I1666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6" s="240">
        <f ca="1">Tabella8[[#This Row],[Colonna7]]*Tabella8[[#This Row],[Colonna4]]/100</f>
        <v>12628.393272727611</v>
      </c>
    </row>
    <row r="1667" spans="2:10">
      <c r="B1667" s="92" t="s">
        <v>141</v>
      </c>
      <c r="C1667" s="91" t="s">
        <v>1451</v>
      </c>
      <c r="D1667" s="93">
        <v>100</v>
      </c>
      <c r="E1667" s="93">
        <v>84</v>
      </c>
      <c r="F1667" s="103">
        <f>IFERROR(INDEX(Tabella9[PLZ],MATCH(Tabella8[[#This Row],[Colonna2]],Tabella9[Ortschaftsname],0)), "Name not found")</f>
        <v>6833</v>
      </c>
      <c r="G1667" s="103"/>
      <c r="H1667" s="240">
        <f ca="1">SUMIF(Tabella2[[#Headers],[#Data],[Age]],$H$76,Tabella2[[#Headers],[#Data],[Federal taxes]])</f>
        <v>6804.3246087429152</v>
      </c>
      <c r="I1667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7" s="240">
        <f ca="1">Tabella8[[#This Row],[Colonna7]]*Tabella8[[#This Row],[Colonna4]]/100</f>
        <v>12479.823940107286</v>
      </c>
    </row>
    <row r="1668" spans="2:10">
      <c r="B1668" s="92" t="s">
        <v>141</v>
      </c>
      <c r="C1668" s="91" t="s">
        <v>2682</v>
      </c>
      <c r="D1668" s="93">
        <v>100</v>
      </c>
      <c r="E1668" s="93">
        <v>80</v>
      </c>
      <c r="F1668" s="103">
        <v>6818</v>
      </c>
      <c r="G1668" s="103"/>
      <c r="H1668" s="240">
        <f ca="1">SUMIF(Tabella2[[#Headers],[#Data],[Age]],$H$76,Tabella2[[#Headers],[#Data],[Federal taxes]])</f>
        <v>6804.3246087429152</v>
      </c>
      <c r="I1668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8" s="240">
        <f ca="1">Tabella8[[#This Row],[Colonna7]]*Tabella8[[#This Row],[Colonna4]]/100</f>
        <v>11885.546609625986</v>
      </c>
    </row>
    <row r="1669" spans="2:10">
      <c r="B1669" s="92" t="s">
        <v>141</v>
      </c>
      <c r="C1669" s="91" t="s">
        <v>1518</v>
      </c>
      <c r="D1669" s="93">
        <v>100</v>
      </c>
      <c r="E1669" s="93">
        <v>80</v>
      </c>
      <c r="F1669" s="103">
        <f>IFERROR(INDEX(Tabella9[PLZ],MATCH(Tabella8[[#This Row],[Colonna2]],Tabella9[Ortschaftsname],0)), "Name not found")</f>
        <v>6992</v>
      </c>
      <c r="G1669" s="103"/>
      <c r="H1669" s="240">
        <f ca="1">SUMIF(Tabella2[[#Headers],[#Data],[Age]],$H$76,Tabella2[[#Headers],[#Data],[Federal taxes]])</f>
        <v>6804.3246087429152</v>
      </c>
      <c r="I1669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69" s="240">
        <f ca="1">Tabella8[[#This Row],[Colonna7]]*Tabella8[[#This Row],[Colonna4]]/100</f>
        <v>11885.546609625986</v>
      </c>
    </row>
    <row r="1670" spans="2:10">
      <c r="B1670" s="92" t="s">
        <v>141</v>
      </c>
      <c r="C1670" s="91" t="s">
        <v>2683</v>
      </c>
      <c r="D1670" s="93">
        <v>100</v>
      </c>
      <c r="E1670" s="93">
        <v>100</v>
      </c>
      <c r="F1670" s="103">
        <v>6634</v>
      </c>
      <c r="G1670" s="103"/>
      <c r="H1670" s="240">
        <f ca="1">SUMIF(Tabella2[[#Headers],[#Data],[Age]],$H$76,Tabella2[[#Headers],[#Data],[Federal taxes]])</f>
        <v>6804.3246087429152</v>
      </c>
      <c r="I1670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70" s="240">
        <f ca="1">Tabella8[[#This Row],[Colonna7]]*Tabella8[[#This Row],[Colonna4]]/100</f>
        <v>14856.933262032484</v>
      </c>
    </row>
    <row r="1671" spans="2:10">
      <c r="B1671" s="92" t="s">
        <v>141</v>
      </c>
      <c r="C1671" s="91" t="s">
        <v>2683</v>
      </c>
      <c r="D1671" s="93">
        <v>100</v>
      </c>
      <c r="E1671" s="93">
        <v>100</v>
      </c>
      <c r="F1671" s="103">
        <v>6635</v>
      </c>
      <c r="G1671" s="103"/>
      <c r="H1671" s="240">
        <f ca="1">SUMIF(Tabella2[[#Headers],[#Data],[Age]],$H$76,Tabella2[[#Headers],[#Data],[Federal taxes]])</f>
        <v>6804.3246087429152</v>
      </c>
      <c r="I1671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71" s="240">
        <f ca="1">Tabella8[[#This Row],[Colonna7]]*Tabella8[[#This Row],[Colonna4]]/100</f>
        <v>14856.933262032484</v>
      </c>
    </row>
    <row r="1672" spans="2:10">
      <c r="B1672" s="92" t="s">
        <v>141</v>
      </c>
      <c r="C1672" s="91" t="s">
        <v>1472</v>
      </c>
      <c r="D1672" s="93">
        <v>100</v>
      </c>
      <c r="E1672" s="93">
        <v>85</v>
      </c>
      <c r="F1672" s="103">
        <f>IFERROR(INDEX(Tabella9[PLZ],MATCH(Tabella8[[#This Row],[Colonna2]],Tabella9[Ortschaftsname],0)), "Name not found")</f>
        <v>6943</v>
      </c>
      <c r="G1672" s="103"/>
      <c r="H1672" s="240">
        <f ca="1">SUMIF(Tabella2[[#Headers],[#Data],[Age]],$H$76,Tabella2[[#Headers],[#Data],[Federal taxes]])</f>
        <v>6804.3246087429152</v>
      </c>
      <c r="I1672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72" s="240">
        <f ca="1">Tabella8[[#This Row],[Colonna7]]*Tabella8[[#This Row],[Colonna4]]/100</f>
        <v>12628.393272727611</v>
      </c>
    </row>
    <row r="1673" spans="2:10">
      <c r="B1673" s="92" t="s">
        <v>141</v>
      </c>
      <c r="C1673" s="91" t="s">
        <v>1525</v>
      </c>
      <c r="D1673" s="93">
        <v>100</v>
      </c>
      <c r="E1673" s="93">
        <v>65</v>
      </c>
      <c r="F1673" s="103">
        <f>IFERROR(INDEX(Tabella9[PLZ],MATCH(Tabella8[[#This Row],[Colonna2]],Tabella9[Ortschaftsname],0)), "Name not found")</f>
        <v>6921</v>
      </c>
      <c r="G1673" s="103"/>
      <c r="H1673" s="240">
        <f ca="1">SUMIF(Tabella2[[#Headers],[#Data],[Age]],$H$76,Tabella2[[#Headers],[#Data],[Federal taxes]])</f>
        <v>6804.3246087429152</v>
      </c>
      <c r="I1673" s="240">
        <f ca="1">IFERROR(INDEX(Tabella13[[TI]:[VS commun]], MATCH($H$76, Tabella13[Age], 0), MATCH(Tabella8[[#This Row],[Colonna1]], Tabella13[[#Headers], [TI]:[VS commun]], 0)), "Valore non trovato")*Tabella8[[#This Row],[Colonna3]]/100</f>
        <v>14856.933262032484</v>
      </c>
      <c r="J1673" s="240">
        <f ca="1">Tabella8[[#This Row],[Colonna7]]*Tabella8[[#This Row],[Colonna4]]/100</f>
        <v>9657.0066203211136</v>
      </c>
    </row>
    <row r="1674" spans="2:10">
      <c r="B1674" s="92" t="s">
        <v>139</v>
      </c>
      <c r="C1674" s="91" t="s">
        <v>375</v>
      </c>
      <c r="D1674" s="93">
        <v>155</v>
      </c>
      <c r="E1674" s="93">
        <v>60</v>
      </c>
      <c r="F1674" s="103">
        <f>IFERROR(INDEX(Tabella9[PLZ],MATCH(Tabella8[[#This Row],[Colonna2]],Tabella9[Ortschaftsname],0)), "Name not found")</f>
        <v>1123</v>
      </c>
      <c r="G1674" s="103"/>
      <c r="H1674" s="240">
        <f ca="1">SUMIF(Tabella2[[#Headers],[#Data],[Age]],$H$76,Tabella2[[#Headers],[#Data],[Federal taxes]])</f>
        <v>6804.3246087429152</v>
      </c>
      <c r="I167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4" s="240">
        <f ca="1">Tabella8[[#This Row],[Colonna7]]*Tabella8[[#This Row],[Colonna4]]/100</f>
        <v>13533.759047245623</v>
      </c>
    </row>
    <row r="1675" spans="2:10">
      <c r="B1675" s="92" t="s">
        <v>139</v>
      </c>
      <c r="C1675" s="91" t="s">
        <v>441</v>
      </c>
      <c r="D1675" s="93">
        <v>155</v>
      </c>
      <c r="E1675" s="93">
        <v>76</v>
      </c>
      <c r="F1675" s="103">
        <f>IFERROR(INDEX(Tabella9[PLZ],MATCH(Tabella8[[#This Row],[Colonna2]],Tabella9[Ortschaftsname],0)), "Name not found")</f>
        <v>1352</v>
      </c>
      <c r="G1675" s="103"/>
      <c r="H1675" s="240">
        <f ca="1">SUMIF(Tabella2[[#Headers],[#Data],[Age]],$H$76,Tabella2[[#Headers],[#Data],[Federal taxes]])</f>
        <v>6804.3246087429152</v>
      </c>
      <c r="I167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5" s="240">
        <f ca="1">Tabella8[[#This Row],[Colonna7]]*Tabella8[[#This Row],[Colonna4]]/100</f>
        <v>17142.761459844456</v>
      </c>
    </row>
    <row r="1676" spans="2:10">
      <c r="B1676" s="92" t="s">
        <v>139</v>
      </c>
      <c r="C1676" s="91" t="s">
        <v>197</v>
      </c>
      <c r="D1676" s="93">
        <v>155</v>
      </c>
      <c r="E1676" s="93">
        <v>66</v>
      </c>
      <c r="F1676" s="103">
        <f>IFERROR(INDEX(Tabella9[PLZ],MATCH(Tabella8[[#This Row],[Colonna2]],Tabella9[Ortschaftsname],0)), "Name not found")</f>
        <v>1860</v>
      </c>
      <c r="G1676" s="103"/>
      <c r="H1676" s="240">
        <f ca="1">SUMIF(Tabella2[[#Headers],[#Data],[Age]],$H$76,Tabella2[[#Headers],[#Data],[Federal taxes]])</f>
        <v>6804.3246087429152</v>
      </c>
      <c r="I167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6" s="240">
        <f ca="1">Tabella8[[#This Row],[Colonna7]]*Tabella8[[#This Row],[Colonna4]]/100</f>
        <v>14887.134951970185</v>
      </c>
    </row>
    <row r="1677" spans="2:10">
      <c r="B1677" s="92" t="s">
        <v>139</v>
      </c>
      <c r="C1677" s="91" t="s">
        <v>404</v>
      </c>
      <c r="D1677" s="93">
        <v>155</v>
      </c>
      <c r="E1677" s="93">
        <v>65</v>
      </c>
      <c r="F1677" s="103">
        <f>IFERROR(INDEX(Tabella9[PLZ],MATCH(Tabella8[[#This Row],[Colonna2]],Tabella9[Ortschaftsname],0)), "Name not found")</f>
        <v>1165</v>
      </c>
      <c r="G1677" s="103"/>
      <c r="H1677" s="240">
        <f ca="1">SUMIF(Tabella2[[#Headers],[#Data],[Age]],$H$76,Tabella2[[#Headers],[#Data],[Federal taxes]])</f>
        <v>6804.3246087429152</v>
      </c>
      <c r="I167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7" s="240">
        <f ca="1">Tabella8[[#This Row],[Colonna7]]*Tabella8[[#This Row],[Colonna4]]/100</f>
        <v>14661.572301182758</v>
      </c>
    </row>
    <row r="1678" spans="2:10">
      <c r="B1678" s="92" t="s">
        <v>139</v>
      </c>
      <c r="C1678" s="91" t="s">
        <v>462</v>
      </c>
      <c r="D1678" s="93">
        <v>155</v>
      </c>
      <c r="E1678" s="93">
        <v>68</v>
      </c>
      <c r="F1678" s="103">
        <f>IFERROR(INDEX(Tabella9[PLZ],MATCH(Tabella8[[#This Row],[Colonna2]],Tabella9[Ortschaftsname],0)), "Name not found")</f>
        <v>1277</v>
      </c>
      <c r="G1678" s="103"/>
      <c r="H1678" s="240">
        <f ca="1">SUMIF(Tabella2[[#Headers],[#Data],[Age]],$H$76,Tabella2[[#Headers],[#Data],[Federal taxes]])</f>
        <v>6804.3246087429152</v>
      </c>
      <c r="I167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8" s="240">
        <f ca="1">Tabella8[[#This Row],[Colonna7]]*Tabella8[[#This Row],[Colonna4]]/100</f>
        <v>15338.260253545039</v>
      </c>
    </row>
    <row r="1679" spans="2:10">
      <c r="B1679" s="92" t="s">
        <v>139</v>
      </c>
      <c r="C1679" s="91" t="s">
        <v>360</v>
      </c>
      <c r="D1679" s="93">
        <v>155</v>
      </c>
      <c r="E1679" s="93">
        <v>71</v>
      </c>
      <c r="F1679" s="103">
        <f>IFERROR(INDEX(Tabella9[PLZ],MATCH(Tabella8[[#This Row],[Colonna2]],Tabella9[Ortschaftsname],0)), "Name not found")</f>
        <v>1321</v>
      </c>
      <c r="G1679" s="103"/>
      <c r="H1679" s="240">
        <f ca="1">SUMIF(Tabella2[[#Headers],[#Data],[Age]],$H$76,Tabella2[[#Headers],[#Data],[Federal taxes]])</f>
        <v>6804.3246087429152</v>
      </c>
      <c r="I167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79" s="240">
        <f ca="1">Tabella8[[#This Row],[Colonna7]]*Tabella8[[#This Row],[Colonna4]]/100</f>
        <v>16014.94820590732</v>
      </c>
    </row>
    <row r="1680" spans="2:10">
      <c r="B1680" s="92" t="s">
        <v>139</v>
      </c>
      <c r="C1680" s="91" t="s">
        <v>251</v>
      </c>
      <c r="D1680" s="93">
        <v>155</v>
      </c>
      <c r="E1680" s="93">
        <v>64</v>
      </c>
      <c r="F1680" s="103">
        <f>IFERROR(INDEX(Tabella9[PLZ],MATCH(Tabella8[[#This Row],[Colonna2]],Tabella9[Ortschaftsname],0)), "Name not found")</f>
        <v>1273</v>
      </c>
      <c r="G1680" s="103"/>
      <c r="H1680" s="240">
        <f ca="1">SUMIF(Tabella2[[#Headers],[#Data],[Age]],$H$76,Tabella2[[#Headers],[#Data],[Federal taxes]])</f>
        <v>6804.3246087429152</v>
      </c>
      <c r="I168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0" s="240">
        <f ca="1">Tabella8[[#This Row],[Colonna7]]*Tabella8[[#This Row],[Colonna4]]/100</f>
        <v>14436.009650395332</v>
      </c>
    </row>
    <row r="1681" spans="2:10">
      <c r="B1681" s="92" t="s">
        <v>139</v>
      </c>
      <c r="C1681" s="91" t="s">
        <v>308</v>
      </c>
      <c r="D1681" s="93">
        <v>155</v>
      </c>
      <c r="E1681" s="93">
        <v>70</v>
      </c>
      <c r="F1681" s="103">
        <f>IFERROR(INDEX(Tabella9[PLZ],MATCH(Tabella8[[#This Row],[Colonna2]],Tabella9[Ortschaftsname],0)), "Name not found")</f>
        <v>1042</v>
      </c>
      <c r="G1681" s="103"/>
      <c r="H1681" s="240">
        <f ca="1">SUMIF(Tabella2[[#Headers],[#Data],[Age]],$H$76,Tabella2[[#Headers],[#Data],[Federal taxes]])</f>
        <v>6804.3246087429152</v>
      </c>
      <c r="I168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1" s="240">
        <f ca="1">Tabella8[[#This Row],[Colonna7]]*Tabella8[[#This Row],[Colonna4]]/100</f>
        <v>15789.385555119894</v>
      </c>
    </row>
    <row r="1682" spans="2:10">
      <c r="B1682" s="92" t="s">
        <v>139</v>
      </c>
      <c r="C1682" s="91" t="s">
        <v>238</v>
      </c>
      <c r="D1682" s="93">
        <v>155</v>
      </c>
      <c r="E1682" s="93">
        <v>68</v>
      </c>
      <c r="F1682" s="103">
        <f>IFERROR(INDEX(Tabella9[PLZ],MATCH(Tabella8[[#This Row],[Colonna2]],Tabella9[Ortschaftsname],0)), "Name not found")</f>
        <v>1170</v>
      </c>
      <c r="G1682" s="103"/>
      <c r="H1682" s="240">
        <f ca="1">SUMIF(Tabella2[[#Headers],[#Data],[Age]],$H$76,Tabella2[[#Headers],[#Data],[Federal taxes]])</f>
        <v>6804.3246087429152</v>
      </c>
      <c r="I168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2" s="240">
        <f ca="1">Tabella8[[#This Row],[Colonna7]]*Tabella8[[#This Row],[Colonna4]]/100</f>
        <v>15338.260253545039</v>
      </c>
    </row>
    <row r="1683" spans="2:10">
      <c r="B1683" s="92" t="s">
        <v>139</v>
      </c>
      <c r="C1683" s="91" t="s">
        <v>223</v>
      </c>
      <c r="D1683" s="93">
        <v>155</v>
      </c>
      <c r="E1683" s="93">
        <v>65</v>
      </c>
      <c r="F1683" s="103">
        <f>IFERROR(INDEX(Tabella9[PLZ],MATCH(Tabella8[[#This Row],[Colonna2]],Tabella9[Ortschaftsname],0)), "Name not found")</f>
        <v>1580</v>
      </c>
      <c r="G1683" s="103"/>
      <c r="H1683" s="240">
        <f ca="1">SUMIF(Tabella2[[#Headers],[#Data],[Age]],$H$76,Tabella2[[#Headers],[#Data],[Federal taxes]])</f>
        <v>6804.3246087429152</v>
      </c>
      <c r="I168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3" s="240">
        <f ca="1">Tabella8[[#This Row],[Colonna7]]*Tabella8[[#This Row],[Colonna4]]/100</f>
        <v>14661.572301182758</v>
      </c>
    </row>
    <row r="1684" spans="2:10">
      <c r="B1684" s="92" t="s">
        <v>139</v>
      </c>
      <c r="C1684" s="91" t="s">
        <v>305</v>
      </c>
      <c r="D1684" s="93">
        <v>155</v>
      </c>
      <c r="E1684" s="93">
        <v>65</v>
      </c>
      <c r="F1684" s="103">
        <f>IFERROR(INDEX(Tabella9[PLZ],MATCH(Tabella8[[#This Row],[Colonna2]],Tabella9[Ortschaftsname],0)), "Name not found")</f>
        <v>1338</v>
      </c>
      <c r="G1684" s="103"/>
      <c r="H1684" s="240">
        <f ca="1">SUMIF(Tabella2[[#Headers],[#Data],[Age]],$H$76,Tabella2[[#Headers],[#Data],[Federal taxes]])</f>
        <v>6804.3246087429152</v>
      </c>
      <c r="I168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4" s="240">
        <f ca="1">Tabella8[[#This Row],[Colonna7]]*Tabella8[[#This Row],[Colonna4]]/100</f>
        <v>14661.572301182758</v>
      </c>
    </row>
    <row r="1685" spans="2:10">
      <c r="B1685" s="92" t="s">
        <v>139</v>
      </c>
      <c r="C1685" s="91" t="s">
        <v>380</v>
      </c>
      <c r="D1685" s="93">
        <v>155</v>
      </c>
      <c r="E1685" s="93">
        <v>73</v>
      </c>
      <c r="F1685" s="103">
        <f>IFERROR(INDEX(Tabella9[PLZ],MATCH(Tabella8[[#This Row],[Colonna2]],Tabella9[Ortschaftsname],0)), "Name not found")</f>
        <v>1144</v>
      </c>
      <c r="G1685" s="103"/>
      <c r="H1685" s="240">
        <f ca="1">SUMIF(Tabella2[[#Headers],[#Data],[Age]],$H$76,Tabella2[[#Headers],[#Data],[Federal taxes]])</f>
        <v>6804.3246087429152</v>
      </c>
      <c r="I168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5" s="240">
        <f ca="1">Tabella8[[#This Row],[Colonna7]]*Tabella8[[#This Row],[Colonna4]]/100</f>
        <v>16466.073507482175</v>
      </c>
    </row>
    <row r="1686" spans="2:10">
      <c r="B1686" s="92" t="s">
        <v>139</v>
      </c>
      <c r="C1686" s="91" t="s">
        <v>287</v>
      </c>
      <c r="D1686" s="93">
        <v>155</v>
      </c>
      <c r="E1686" s="93">
        <v>72.5</v>
      </c>
      <c r="F1686" s="103">
        <f>IFERROR(INDEX(Tabella9[PLZ],MATCH(Tabella8[[#This Row],[Colonna2]],Tabella9[Ortschaftsname],0)), "Name not found")</f>
        <v>1269</v>
      </c>
      <c r="G1686" s="103"/>
      <c r="H1686" s="240">
        <f ca="1">SUMIF(Tabella2[[#Headers],[#Data],[Age]],$H$76,Tabella2[[#Headers],[#Data],[Federal taxes]])</f>
        <v>6804.3246087429152</v>
      </c>
      <c r="I168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6" s="240">
        <f ca="1">Tabella8[[#This Row],[Colonna7]]*Tabella8[[#This Row],[Colonna4]]/100</f>
        <v>16353.292182088462</v>
      </c>
    </row>
    <row r="1687" spans="2:10">
      <c r="B1687" s="92" t="s">
        <v>139</v>
      </c>
      <c r="C1687" s="91" t="s">
        <v>309</v>
      </c>
      <c r="D1687" s="93">
        <v>155</v>
      </c>
      <c r="E1687" s="93">
        <v>76.5</v>
      </c>
      <c r="F1687" s="103">
        <f>IFERROR(INDEX(Tabella9[PLZ],MATCH(Tabella8[[#This Row],[Colonna2]],Tabella9[Ortschaftsname],0)), "Name not found")</f>
        <v>1446</v>
      </c>
      <c r="G1687" s="103"/>
      <c r="H1687" s="240">
        <f ca="1">SUMIF(Tabella2[[#Headers],[#Data],[Age]],$H$76,Tabella2[[#Headers],[#Data],[Federal taxes]])</f>
        <v>6804.3246087429152</v>
      </c>
      <c r="I168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7" s="240">
        <f ca="1">Tabella8[[#This Row],[Colonna7]]*Tabella8[[#This Row],[Colonna4]]/100</f>
        <v>17255.542785238169</v>
      </c>
    </row>
    <row r="1688" spans="2:10">
      <c r="B1688" s="92" t="s">
        <v>139</v>
      </c>
      <c r="C1688" s="91" t="s">
        <v>327</v>
      </c>
      <c r="D1688" s="93">
        <v>155</v>
      </c>
      <c r="E1688" s="93">
        <v>72</v>
      </c>
      <c r="F1688" s="103">
        <f>IFERROR(INDEX(Tabella9[PLZ],MATCH(Tabella8[[#This Row],[Colonna2]],Tabella9[Ortschaftsname],0)), "Name not found")</f>
        <v>1372</v>
      </c>
      <c r="G1688" s="103"/>
      <c r="H1688" s="240">
        <f ca="1">SUMIF(Tabella2[[#Headers],[#Data],[Age]],$H$76,Tabella2[[#Headers],[#Data],[Federal taxes]])</f>
        <v>6804.3246087429152</v>
      </c>
      <c r="I168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8" s="240">
        <f ca="1">Tabella8[[#This Row],[Colonna7]]*Tabella8[[#This Row],[Colonna4]]/100</f>
        <v>16240.510856694747</v>
      </c>
    </row>
    <row r="1689" spans="2:10">
      <c r="B1689" s="92" t="s">
        <v>139</v>
      </c>
      <c r="C1689" s="91" t="s">
        <v>265</v>
      </c>
      <c r="D1689" s="93">
        <v>155</v>
      </c>
      <c r="E1689" s="93">
        <v>62.5</v>
      </c>
      <c r="F1689" s="103">
        <f>IFERROR(INDEX(Tabella9[PLZ],MATCH(Tabella8[[#This Row],[Colonna2]],Tabella9[Ortschaftsname],0)), "Name not found")</f>
        <v>1268</v>
      </c>
      <c r="G1689" s="103"/>
      <c r="H1689" s="240">
        <f ca="1">SUMIF(Tabella2[[#Headers],[#Data],[Age]],$H$76,Tabella2[[#Headers],[#Data],[Federal taxes]])</f>
        <v>6804.3246087429152</v>
      </c>
      <c r="I168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89" s="240">
        <f ca="1">Tabella8[[#This Row],[Colonna7]]*Tabella8[[#This Row],[Colonna4]]/100</f>
        <v>14097.665674214191</v>
      </c>
    </row>
    <row r="1690" spans="2:10">
      <c r="B1690" s="92" t="s">
        <v>139</v>
      </c>
      <c r="C1690" s="91" t="s">
        <v>230</v>
      </c>
      <c r="D1690" s="93">
        <v>155</v>
      </c>
      <c r="E1690" s="93">
        <v>72</v>
      </c>
      <c r="F1690" s="103">
        <f>IFERROR(INDEX(Tabella9[PLZ],MATCH(Tabella8[[#This Row],[Colonna2]],Tabella9[Ortschaftsname],0)), "Name not found")</f>
        <v>1092</v>
      </c>
      <c r="G1690" s="103"/>
      <c r="H1690" s="240">
        <f ca="1">SUMIF(Tabella2[[#Headers],[#Data],[Age]],$H$76,Tabella2[[#Headers],[#Data],[Federal taxes]])</f>
        <v>6804.3246087429152</v>
      </c>
      <c r="I169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0" s="240">
        <f ca="1">Tabella8[[#This Row],[Colonna7]]*Tabella8[[#This Row],[Colonna4]]/100</f>
        <v>16240.510856694747</v>
      </c>
    </row>
    <row r="1691" spans="2:10">
      <c r="B1691" s="92" t="s">
        <v>139</v>
      </c>
      <c r="C1691" s="91" t="s">
        <v>424</v>
      </c>
      <c r="D1691" s="93">
        <v>155</v>
      </c>
      <c r="E1691" s="93">
        <v>70</v>
      </c>
      <c r="F1691" s="103">
        <f>IFERROR(INDEX(Tabella9[PLZ],MATCH(Tabella8[[#This Row],[Colonna2]],Tabella9[Ortschaftsname],0)), "Name not found")</f>
        <v>1432</v>
      </c>
      <c r="G1691" s="103"/>
      <c r="H1691" s="240">
        <f ca="1">SUMIF(Tabella2[[#Headers],[#Data],[Age]],$H$76,Tabella2[[#Headers],[#Data],[Federal taxes]])</f>
        <v>6804.3246087429152</v>
      </c>
      <c r="I169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1" s="240">
        <f ca="1">Tabella8[[#This Row],[Colonna7]]*Tabella8[[#This Row],[Colonna4]]/100</f>
        <v>15789.385555119894</v>
      </c>
    </row>
    <row r="1692" spans="2:10">
      <c r="B1692" s="92" t="s">
        <v>139</v>
      </c>
      <c r="C1692" s="91" t="s">
        <v>294</v>
      </c>
      <c r="D1692" s="93">
        <v>155</v>
      </c>
      <c r="E1692" s="93">
        <v>79</v>
      </c>
      <c r="F1692" s="103">
        <f>IFERROR(INDEX(Tabella9[PLZ],MATCH(Tabella8[[#This Row],[Colonna2]],Tabella9[Ortschaftsname],0)), "Name not found")</f>
        <v>1038</v>
      </c>
      <c r="G1692" s="103"/>
      <c r="H1692" s="240">
        <f ca="1">SUMIF(Tabella2[[#Headers],[#Data],[Age]],$H$76,Tabella2[[#Headers],[#Data],[Federal taxes]])</f>
        <v>6804.3246087429152</v>
      </c>
      <c r="I169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2" s="240">
        <f ca="1">Tabella8[[#This Row],[Colonna7]]*Tabella8[[#This Row],[Colonna4]]/100</f>
        <v>17819.449412206737</v>
      </c>
    </row>
    <row r="1693" spans="2:10">
      <c r="B1693" s="92" t="s">
        <v>139</v>
      </c>
      <c r="C1693" s="91" t="s">
        <v>445</v>
      </c>
      <c r="D1693" s="93">
        <v>155</v>
      </c>
      <c r="E1693" s="93">
        <v>75.5</v>
      </c>
      <c r="F1693" s="103">
        <f>IFERROR(INDEX(Tabella9[PLZ],MATCH(Tabella8[[#This Row],[Colonna2]],Tabella9[Ortschaftsname],0)), "Name not found")</f>
        <v>1149</v>
      </c>
      <c r="G1693" s="103"/>
      <c r="H1693" s="240">
        <f ca="1">SUMIF(Tabella2[[#Headers],[#Data],[Age]],$H$76,Tabella2[[#Headers],[#Data],[Federal taxes]])</f>
        <v>6804.3246087429152</v>
      </c>
      <c r="I169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3" s="240">
        <f ca="1">Tabella8[[#This Row],[Colonna7]]*Tabella8[[#This Row],[Colonna4]]/100</f>
        <v>17029.980134450743</v>
      </c>
    </row>
    <row r="1694" spans="2:10">
      <c r="B1694" s="92" t="s">
        <v>139</v>
      </c>
      <c r="C1694" s="91" t="s">
        <v>371</v>
      </c>
      <c r="D1694" s="93">
        <v>155</v>
      </c>
      <c r="E1694" s="93">
        <v>70</v>
      </c>
      <c r="F1694" s="103">
        <f>IFERROR(INDEX(Tabella9[PLZ],MATCH(Tabella8[[#This Row],[Colonna2]],Tabella9[Ortschaftsname],0)), "Name not found")</f>
        <v>1042</v>
      </c>
      <c r="G1694" s="103"/>
      <c r="H1694" s="240">
        <f ca="1">SUMIF(Tabella2[[#Headers],[#Data],[Age]],$H$76,Tabella2[[#Headers],[#Data],[Federal taxes]])</f>
        <v>6804.3246087429152</v>
      </c>
      <c r="I169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4" s="240">
        <f ca="1">Tabella8[[#This Row],[Colonna7]]*Tabella8[[#This Row],[Colonna4]]/100</f>
        <v>15789.385555119894</v>
      </c>
    </row>
    <row r="1695" spans="2:10">
      <c r="B1695" s="92" t="s">
        <v>139</v>
      </c>
      <c r="C1695" s="91" t="s">
        <v>204</v>
      </c>
      <c r="D1695" s="93">
        <v>155</v>
      </c>
      <c r="E1695" s="93">
        <v>71</v>
      </c>
      <c r="F1695" s="103">
        <f>IFERROR(INDEX(Tabella9[PLZ],MATCH(Tabella8[[#This Row],[Colonna2]],Tabella9[Ortschaftsname],0)), "Name not found")</f>
        <v>1880</v>
      </c>
      <c r="G1695" s="103"/>
      <c r="H1695" s="240">
        <f ca="1">SUMIF(Tabella2[[#Headers],[#Data],[Age]],$H$76,Tabella2[[#Headers],[#Data],[Federal taxes]])</f>
        <v>6804.3246087429152</v>
      </c>
      <c r="I169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5" s="240">
        <f ca="1">Tabella8[[#This Row],[Colonna7]]*Tabella8[[#This Row],[Colonna4]]/100</f>
        <v>16014.94820590732</v>
      </c>
    </row>
    <row r="1696" spans="2:10">
      <c r="B1696" s="92" t="s">
        <v>139</v>
      </c>
      <c r="C1696" s="91" t="s">
        <v>461</v>
      </c>
      <c r="D1696" s="93">
        <v>155</v>
      </c>
      <c r="E1696" s="93">
        <v>72</v>
      </c>
      <c r="F1696" s="103">
        <f>IFERROR(INDEX(Tabella9[PLZ],MATCH(Tabella8[[#This Row],[Colonna2]],Tabella9[Ortschaftsname],0)), "Name not found")</f>
        <v>1407</v>
      </c>
      <c r="G1696" s="103"/>
      <c r="H1696" s="240">
        <f ca="1">SUMIF(Tabella2[[#Headers],[#Data],[Age]],$H$76,Tabella2[[#Headers],[#Data],[Federal taxes]])</f>
        <v>6804.3246087429152</v>
      </c>
      <c r="I169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6" s="240">
        <f ca="1">Tabella8[[#This Row],[Colonna7]]*Tabella8[[#This Row],[Colonna4]]/100</f>
        <v>16240.510856694747</v>
      </c>
    </row>
    <row r="1697" spans="2:10">
      <c r="B1697" s="92" t="s">
        <v>139</v>
      </c>
      <c r="C1697" s="91" t="s">
        <v>275</v>
      </c>
      <c r="D1697" s="93">
        <v>155</v>
      </c>
      <c r="E1697" s="93">
        <v>69</v>
      </c>
      <c r="F1697" s="103">
        <f>IFERROR(INDEX(Tabella9[PLZ],MATCH(Tabella8[[#This Row],[Colonna2]],Tabella9[Ortschaftsname],0)), "Name not found")</f>
        <v>1145</v>
      </c>
      <c r="G1697" s="103"/>
      <c r="H1697" s="240">
        <f ca="1">SUMIF(Tabella2[[#Headers],[#Data],[Age]],$H$76,Tabella2[[#Headers],[#Data],[Federal taxes]])</f>
        <v>6804.3246087429152</v>
      </c>
      <c r="I169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7" s="240">
        <f ca="1">Tabella8[[#This Row],[Colonna7]]*Tabella8[[#This Row],[Colonna4]]/100</f>
        <v>15563.822904332466</v>
      </c>
    </row>
    <row r="1698" spans="2:10">
      <c r="B1698" s="92" t="s">
        <v>139</v>
      </c>
      <c r="C1698" s="91" t="s">
        <v>2684</v>
      </c>
      <c r="D1698" s="93">
        <v>155</v>
      </c>
      <c r="E1698" s="93">
        <v>68.5</v>
      </c>
      <c r="F1698" s="103">
        <v>1807</v>
      </c>
      <c r="G1698" s="103"/>
      <c r="H1698" s="240">
        <f ca="1">SUMIF(Tabella2[[#Headers],[#Data],[Age]],$H$76,Tabella2[[#Headers],[#Data],[Federal taxes]])</f>
        <v>6804.3246087429152</v>
      </c>
      <c r="I169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8" s="240">
        <f ca="1">Tabella8[[#This Row],[Colonna7]]*Tabella8[[#This Row],[Colonna4]]/100</f>
        <v>15451.041578938753</v>
      </c>
    </row>
    <row r="1699" spans="2:10">
      <c r="B1699" s="92" t="s">
        <v>139</v>
      </c>
      <c r="C1699" s="91" t="s">
        <v>472</v>
      </c>
      <c r="D1699" s="93">
        <v>155</v>
      </c>
      <c r="E1699" s="93">
        <v>69</v>
      </c>
      <c r="F1699" s="103">
        <f>IFERROR(INDEX(Tabella9[PLZ],MATCH(Tabella8[[#This Row],[Colonna2]],Tabella9[Ortschaftsname],0)), "Name not found")</f>
        <v>1353</v>
      </c>
      <c r="G1699" s="103"/>
      <c r="H1699" s="240">
        <f ca="1">SUMIF(Tabella2[[#Headers],[#Data],[Age]],$H$76,Tabella2[[#Headers],[#Data],[Federal taxes]])</f>
        <v>6804.3246087429152</v>
      </c>
      <c r="I169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699" s="240">
        <f ca="1">Tabella8[[#This Row],[Colonna7]]*Tabella8[[#This Row],[Colonna4]]/100</f>
        <v>15563.822904332466</v>
      </c>
    </row>
    <row r="1700" spans="2:10">
      <c r="B1700" s="92" t="s">
        <v>139</v>
      </c>
      <c r="C1700" s="91" t="s">
        <v>330</v>
      </c>
      <c r="D1700" s="93">
        <v>155</v>
      </c>
      <c r="E1700" s="93">
        <v>71</v>
      </c>
      <c r="F1700" s="103">
        <f>IFERROR(INDEX(Tabella9[PLZ],MATCH(Tabella8[[#This Row],[Colonna2]],Tabella9[Ortschaftsname],0)), "Name not found")</f>
        <v>1279</v>
      </c>
      <c r="G1700" s="103"/>
      <c r="H1700" s="240">
        <f ca="1">SUMIF(Tabella2[[#Headers],[#Data],[Age]],$H$76,Tabella2[[#Headers],[#Data],[Federal taxes]])</f>
        <v>6804.3246087429152</v>
      </c>
      <c r="I170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0" s="240">
        <f ca="1">Tabella8[[#This Row],[Colonna7]]*Tabella8[[#This Row],[Colonna4]]/100</f>
        <v>16014.94820590732</v>
      </c>
    </row>
    <row r="1701" spans="2:10">
      <c r="B1701" s="92" t="s">
        <v>139</v>
      </c>
      <c r="C1701" s="91" t="s">
        <v>384</v>
      </c>
      <c r="D1701" s="93">
        <v>155</v>
      </c>
      <c r="E1701" s="93">
        <v>57</v>
      </c>
      <c r="F1701" s="103">
        <f>IFERROR(INDEX(Tabella9[PLZ],MATCH(Tabella8[[#This Row],[Colonna2]],Tabella9[Ortschaftsname],0)), "Name not found")</f>
        <v>1427</v>
      </c>
      <c r="G1701" s="103"/>
      <c r="H1701" s="240">
        <f ca="1">SUMIF(Tabella2[[#Headers],[#Data],[Age]],$H$76,Tabella2[[#Headers],[#Data],[Federal taxes]])</f>
        <v>6804.3246087429152</v>
      </c>
      <c r="I170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1" s="240">
        <f ca="1">Tabella8[[#This Row],[Colonna7]]*Tabella8[[#This Row],[Colonna4]]/100</f>
        <v>12857.071094883342</v>
      </c>
    </row>
    <row r="1702" spans="2:10">
      <c r="B1702" s="92" t="s">
        <v>139</v>
      </c>
      <c r="C1702" s="91" t="s">
        <v>299</v>
      </c>
      <c r="D1702" s="93">
        <v>155</v>
      </c>
      <c r="E1702" s="93">
        <v>57</v>
      </c>
      <c r="F1702" s="103">
        <f>IFERROR(INDEX(Tabella9[PLZ],MATCH(Tabella8[[#This Row],[Colonna2]],Tabella9[Ortschaftsname],0)), "Name not found")</f>
        <v>1277</v>
      </c>
      <c r="G1702" s="103"/>
      <c r="H1702" s="240">
        <f ca="1">SUMIF(Tabella2[[#Headers],[#Data],[Age]],$H$76,Tabella2[[#Headers],[#Data],[Federal taxes]])</f>
        <v>6804.3246087429152</v>
      </c>
      <c r="I170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2" s="240">
        <f ca="1">Tabella8[[#This Row],[Colonna7]]*Tabella8[[#This Row],[Colonna4]]/100</f>
        <v>12857.071094883342</v>
      </c>
    </row>
    <row r="1703" spans="2:10">
      <c r="B1703" s="92" t="s">
        <v>139</v>
      </c>
      <c r="C1703" s="91" t="s">
        <v>292</v>
      </c>
      <c r="D1703" s="93">
        <v>155</v>
      </c>
      <c r="E1703" s="93">
        <v>72.5</v>
      </c>
      <c r="F1703" s="103">
        <f>IFERROR(INDEX(Tabella9[PLZ],MATCH(Tabella8[[#This Row],[Colonna2]],Tabella9[Ortschaftsname],0)), "Name not found")</f>
        <v>1041</v>
      </c>
      <c r="G1703" s="103"/>
      <c r="H1703" s="240">
        <f ca="1">SUMIF(Tabella2[[#Headers],[#Data],[Age]],$H$76,Tabella2[[#Headers],[#Data],[Federal taxes]])</f>
        <v>6804.3246087429152</v>
      </c>
      <c r="I170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3" s="240">
        <f ca="1">Tabella8[[#This Row],[Colonna7]]*Tabella8[[#This Row],[Colonna4]]/100</f>
        <v>16353.292182088462</v>
      </c>
    </row>
    <row r="1704" spans="2:10">
      <c r="B1704" s="92" t="s">
        <v>139</v>
      </c>
      <c r="C1704" s="91" t="s">
        <v>391</v>
      </c>
      <c r="D1704" s="93">
        <v>155</v>
      </c>
      <c r="E1704" s="93">
        <v>64.5</v>
      </c>
      <c r="F1704" s="103">
        <f>IFERROR(INDEX(Tabella9[PLZ],MATCH(Tabella8[[#This Row],[Colonna2]],Tabella9[Ortschaftsname],0)), "Name not found")</f>
        <v>1172</v>
      </c>
      <c r="G1704" s="103"/>
      <c r="H1704" s="240">
        <f ca="1">SUMIF(Tabella2[[#Headers],[#Data],[Age]],$H$76,Tabella2[[#Headers],[#Data],[Federal taxes]])</f>
        <v>6804.3246087429152</v>
      </c>
      <c r="I170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4" s="240">
        <f ca="1">Tabella8[[#This Row],[Colonna7]]*Tabella8[[#This Row],[Colonna4]]/100</f>
        <v>14548.790975789043</v>
      </c>
    </row>
    <row r="1705" spans="2:10">
      <c r="B1705" s="92" t="s">
        <v>139</v>
      </c>
      <c r="C1705" s="91" t="s">
        <v>425</v>
      </c>
      <c r="D1705" s="93">
        <v>155</v>
      </c>
      <c r="E1705" s="93">
        <v>71.5</v>
      </c>
      <c r="F1705" s="103">
        <f>IFERROR(INDEX(Tabella9[PLZ],MATCH(Tabella8[[#This Row],[Colonna2]],Tabella9[Ortschaftsname],0)), "Name not found")</f>
        <v>1063</v>
      </c>
      <c r="G1705" s="103"/>
      <c r="H1705" s="240">
        <f ca="1">SUMIF(Tabella2[[#Headers],[#Data],[Age]],$H$76,Tabella2[[#Headers],[#Data],[Federal taxes]])</f>
        <v>6804.3246087429152</v>
      </c>
      <c r="I170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5" s="240">
        <f ca="1">Tabella8[[#This Row],[Colonna7]]*Tabella8[[#This Row],[Colonna4]]/100</f>
        <v>16127.729531301035</v>
      </c>
    </row>
    <row r="1706" spans="2:10">
      <c r="B1706" s="92" t="s">
        <v>139</v>
      </c>
      <c r="C1706" s="91" t="s">
        <v>216</v>
      </c>
      <c r="D1706" s="93">
        <v>155</v>
      </c>
      <c r="E1706" s="93">
        <v>62.5</v>
      </c>
      <c r="F1706" s="103">
        <v>1096</v>
      </c>
      <c r="G1706" s="103"/>
      <c r="H1706" s="240">
        <f ca="1">SUMIF(Tabella2[[#Headers],[#Data],[Age]],$H$76,Tabella2[[#Headers],[#Data],[Federal taxes]])</f>
        <v>6804.3246087429152</v>
      </c>
      <c r="I170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6" s="240">
        <f ca="1">Tabella8[[#This Row],[Colonna7]]*Tabella8[[#This Row],[Colonna4]]/100</f>
        <v>14097.665674214191</v>
      </c>
    </row>
    <row r="1707" spans="2:10">
      <c r="B1707" s="92" t="s">
        <v>139</v>
      </c>
      <c r="C1707" s="91" t="s">
        <v>412</v>
      </c>
      <c r="D1707" s="93">
        <v>155</v>
      </c>
      <c r="E1707" s="93">
        <v>65</v>
      </c>
      <c r="F1707" s="103">
        <f>IFERROR(INDEX(Tabella9[PLZ],MATCH(Tabella8[[#This Row],[Colonna2]],Tabella9[Ortschaftsname],0)), "Name not found")</f>
        <v>1035</v>
      </c>
      <c r="G1707" s="103"/>
      <c r="H1707" s="240">
        <f ca="1">SUMIF(Tabella2[[#Headers],[#Data],[Age]],$H$76,Tabella2[[#Headers],[#Data],[Federal taxes]])</f>
        <v>6804.3246087429152</v>
      </c>
      <c r="I170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7" s="240">
        <f ca="1">Tabella8[[#This Row],[Colonna7]]*Tabella8[[#This Row],[Colonna4]]/100</f>
        <v>14661.572301182758</v>
      </c>
    </row>
    <row r="1708" spans="2:10">
      <c r="B1708" s="92" t="s">
        <v>139</v>
      </c>
      <c r="C1708" s="91" t="s">
        <v>322</v>
      </c>
      <c r="D1708" s="93">
        <v>155</v>
      </c>
      <c r="E1708" s="93">
        <v>64</v>
      </c>
      <c r="F1708" s="103">
        <f>IFERROR(INDEX(Tabella9[PLZ],MATCH(Tabella8[[#This Row],[Colonna2]],Tabella9[Ortschaftsname],0)), "Name not found")</f>
        <v>1034</v>
      </c>
      <c r="G1708" s="103"/>
      <c r="H1708" s="240">
        <f ca="1">SUMIF(Tabella2[[#Headers],[#Data],[Age]],$H$76,Tabella2[[#Headers],[#Data],[Federal taxes]])</f>
        <v>6804.3246087429152</v>
      </c>
      <c r="I170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8" s="240">
        <f ca="1">Tabella8[[#This Row],[Colonna7]]*Tabella8[[#This Row],[Colonna4]]/100</f>
        <v>14436.009650395332</v>
      </c>
    </row>
    <row r="1709" spans="2:10">
      <c r="B1709" s="92" t="s">
        <v>139</v>
      </c>
      <c r="C1709" s="91" t="s">
        <v>374</v>
      </c>
      <c r="D1709" s="93">
        <v>155</v>
      </c>
      <c r="E1709" s="93">
        <v>68</v>
      </c>
      <c r="F1709" s="103">
        <f>IFERROR(INDEX(Tabella9[PLZ],MATCH(Tabella8[[#This Row],[Colonna2]],Tabella9[Ortschaftsname],0)), "Name not found")</f>
        <v>1121</v>
      </c>
      <c r="G1709" s="103"/>
      <c r="H1709" s="240">
        <f ca="1">SUMIF(Tabella2[[#Headers],[#Data],[Age]],$H$76,Tabella2[[#Headers],[#Data],[Federal taxes]])</f>
        <v>6804.3246087429152</v>
      </c>
      <c r="I170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09" s="240">
        <f ca="1">Tabella8[[#This Row],[Colonna7]]*Tabella8[[#This Row],[Colonna4]]/100</f>
        <v>15338.260253545039</v>
      </c>
    </row>
    <row r="1710" spans="2:10">
      <c r="B1710" s="92" t="s">
        <v>139</v>
      </c>
      <c r="C1710" s="91" t="s">
        <v>342</v>
      </c>
      <c r="D1710" s="93">
        <v>155</v>
      </c>
      <c r="E1710" s="93">
        <v>78</v>
      </c>
      <c r="F1710" s="103">
        <f>IFERROR(INDEX(Tabella9[PLZ],MATCH(Tabella8[[#This Row],[Colonna2]],Tabella9[Ortschaftsname],0)), "Name not found")</f>
        <v>1053</v>
      </c>
      <c r="G1710" s="103"/>
      <c r="H1710" s="240">
        <f ca="1">SUMIF(Tabella2[[#Headers],[#Data],[Age]],$H$76,Tabella2[[#Headers],[#Data],[Federal taxes]])</f>
        <v>6804.3246087429152</v>
      </c>
      <c r="I171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0" s="240">
        <f ca="1">Tabella8[[#This Row],[Colonna7]]*Tabella8[[#This Row],[Colonna4]]/100</f>
        <v>17593.886761419311</v>
      </c>
    </row>
    <row r="1711" spans="2:10">
      <c r="B1711" s="92" t="s">
        <v>139</v>
      </c>
      <c r="C1711" s="91" t="s">
        <v>450</v>
      </c>
      <c r="D1711" s="93">
        <v>155</v>
      </c>
      <c r="E1711" s="93">
        <v>70.5</v>
      </c>
      <c r="F1711" s="103">
        <f>IFERROR(INDEX(Tabella9[PLZ],MATCH(Tabella8[[#This Row],[Colonna2]],Tabella9[Ortschaftsname],0)), "Name not found")</f>
        <v>1329</v>
      </c>
      <c r="G1711" s="103"/>
      <c r="H1711" s="240">
        <f ca="1">SUMIF(Tabella2[[#Headers],[#Data],[Age]],$H$76,Tabella2[[#Headers],[#Data],[Federal taxes]])</f>
        <v>6804.3246087429152</v>
      </c>
      <c r="I171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1" s="240">
        <f ca="1">Tabella8[[#This Row],[Colonna7]]*Tabella8[[#This Row],[Colonna4]]/100</f>
        <v>15902.166880513607</v>
      </c>
    </row>
    <row r="1712" spans="2:10">
      <c r="B1712" s="92" t="s">
        <v>139</v>
      </c>
      <c r="C1712" s="91" t="s">
        <v>361</v>
      </c>
      <c r="D1712" s="93">
        <v>155</v>
      </c>
      <c r="E1712" s="93">
        <v>52</v>
      </c>
      <c r="F1712" s="103">
        <f>IFERROR(INDEX(Tabella9[PLZ],MATCH(Tabella8[[#This Row],[Colonna2]],Tabella9[Ortschaftsname],0)), "Name not found")</f>
        <v>1164</v>
      </c>
      <c r="G1712" s="103"/>
      <c r="H1712" s="240">
        <f ca="1">SUMIF(Tabella2[[#Headers],[#Data],[Age]],$H$76,Tabella2[[#Headers],[#Data],[Federal taxes]])</f>
        <v>6804.3246087429152</v>
      </c>
      <c r="I171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2" s="240">
        <f ca="1">Tabella8[[#This Row],[Colonna7]]*Tabella8[[#This Row],[Colonna4]]/100</f>
        <v>11729.257840946208</v>
      </c>
    </row>
    <row r="1713" spans="2:10">
      <c r="B1713" s="92" t="s">
        <v>139</v>
      </c>
      <c r="C1713" s="91" t="s">
        <v>359</v>
      </c>
      <c r="D1713" s="93">
        <v>155</v>
      </c>
      <c r="E1713" s="93">
        <v>72</v>
      </c>
      <c r="F1713" s="103">
        <f>IFERROR(INDEX(Tabella9[PLZ],MATCH(Tabella8[[#This Row],[Colonna2]],Tabella9[Ortschaftsname],0)), "Name not found")</f>
        <v>1453</v>
      </c>
      <c r="G1713" s="103"/>
      <c r="H1713" s="240">
        <f ca="1">SUMIF(Tabella2[[#Headers],[#Data],[Age]],$H$76,Tabella2[[#Headers],[#Data],[Federal taxes]])</f>
        <v>6804.3246087429152</v>
      </c>
      <c r="I171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3" s="240">
        <f ca="1">Tabella8[[#This Row],[Colonna7]]*Tabella8[[#This Row],[Colonna4]]/100</f>
        <v>16240.510856694747</v>
      </c>
    </row>
    <row r="1714" spans="2:10">
      <c r="B1714" s="92" t="s">
        <v>139</v>
      </c>
      <c r="C1714" s="91" t="s">
        <v>386</v>
      </c>
      <c r="D1714" s="93">
        <v>155</v>
      </c>
      <c r="E1714" s="93">
        <v>62</v>
      </c>
      <c r="F1714" s="103">
        <f>IFERROR(INDEX(Tabella9[PLZ],MATCH(Tabella8[[#This Row],[Colonna2]],Tabella9[Ortschaftsname],0)), "Name not found")</f>
        <v>1195</v>
      </c>
      <c r="G1714" s="103"/>
      <c r="H1714" s="240">
        <f ca="1">SUMIF(Tabella2[[#Headers],[#Data],[Age]],$H$76,Tabella2[[#Headers],[#Data],[Federal taxes]])</f>
        <v>6804.3246087429152</v>
      </c>
      <c r="I171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4" s="240">
        <f ca="1">Tabella8[[#This Row],[Colonna7]]*Tabella8[[#This Row],[Colonna4]]/100</f>
        <v>13984.884348820477</v>
      </c>
    </row>
    <row r="1715" spans="2:10">
      <c r="B1715" s="92" t="s">
        <v>139</v>
      </c>
      <c r="C1715" s="91" t="s">
        <v>348</v>
      </c>
      <c r="D1715" s="93">
        <v>155</v>
      </c>
      <c r="E1715" s="93">
        <v>71</v>
      </c>
      <c r="F1715" s="103">
        <f>IFERROR(INDEX(Tabella9[PLZ],MATCH(Tabella8[[#This Row],[Colonna2]],Tabella9[Ortschaftsname],0)), "Name not found")</f>
        <v>1183</v>
      </c>
      <c r="G1715" s="103"/>
      <c r="H1715" s="240">
        <f ca="1">SUMIF(Tabella2[[#Headers],[#Data],[Age]],$H$76,Tabella2[[#Headers],[#Data],[Federal taxes]])</f>
        <v>6804.3246087429152</v>
      </c>
      <c r="I171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5" s="240">
        <f ca="1">Tabella8[[#This Row],[Colonna7]]*Tabella8[[#This Row],[Colonna4]]/100</f>
        <v>16014.94820590732</v>
      </c>
    </row>
    <row r="1716" spans="2:10">
      <c r="B1716" s="92" t="s">
        <v>139</v>
      </c>
      <c r="C1716" s="91" t="s">
        <v>432</v>
      </c>
      <c r="D1716" s="93">
        <v>155</v>
      </c>
      <c r="E1716" s="93">
        <v>75</v>
      </c>
      <c r="F1716" s="103">
        <f>IFERROR(INDEX(Tabella9[PLZ],MATCH(Tabella8[[#This Row],[Colonna2]],Tabella9[Ortschaftsname],0)), "Name not found")</f>
        <v>1268</v>
      </c>
      <c r="G1716" s="103"/>
      <c r="H1716" s="240">
        <f ca="1">SUMIF(Tabella2[[#Headers],[#Data],[Age]],$H$76,Tabella2[[#Headers],[#Data],[Federal taxes]])</f>
        <v>6804.3246087429152</v>
      </c>
      <c r="I171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6" s="240">
        <f ca="1">Tabella8[[#This Row],[Colonna7]]*Tabella8[[#This Row],[Colonna4]]/100</f>
        <v>16917.19880905703</v>
      </c>
    </row>
    <row r="1717" spans="2:10">
      <c r="B1717" s="92" t="s">
        <v>139</v>
      </c>
      <c r="C1717" s="91" t="s">
        <v>201</v>
      </c>
      <c r="D1717" s="93">
        <v>155</v>
      </c>
      <c r="E1717" s="93">
        <v>62.5</v>
      </c>
      <c r="F1717" s="103">
        <f>IFERROR(INDEX(Tabella9[PLZ],MATCH(Tabella8[[#This Row],[Colonna2]],Tabella9[Ortschaftsname],0)), "Name not found")</f>
        <v>1030</v>
      </c>
      <c r="G1717" s="103"/>
      <c r="H1717" s="240">
        <f ca="1">SUMIF(Tabella2[[#Headers],[#Data],[Age]],$H$76,Tabella2[[#Headers],[#Data],[Federal taxes]])</f>
        <v>6804.3246087429152</v>
      </c>
      <c r="I171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7" s="240">
        <f ca="1">Tabella8[[#This Row],[Colonna7]]*Tabella8[[#This Row],[Colonna4]]/100</f>
        <v>14097.665674214191</v>
      </c>
    </row>
    <row r="1718" spans="2:10">
      <c r="B1718" s="92" t="s">
        <v>139</v>
      </c>
      <c r="C1718" s="91" t="s">
        <v>467</v>
      </c>
      <c r="D1718" s="93">
        <v>155</v>
      </c>
      <c r="E1718" s="93">
        <v>78.5</v>
      </c>
      <c r="F1718" s="103">
        <f>IFERROR(INDEX(Tabella9[PLZ],MATCH(Tabella8[[#This Row],[Colonna2]],Tabella9[Ortschaftsname],0)), "Name not found")</f>
        <v>1514</v>
      </c>
      <c r="G1718" s="103"/>
      <c r="H1718" s="240">
        <f ca="1">SUMIF(Tabella2[[#Headers],[#Data],[Age]],$H$76,Tabella2[[#Headers],[#Data],[Federal taxes]])</f>
        <v>6804.3246087429152</v>
      </c>
      <c r="I171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8" s="240">
        <f ca="1">Tabella8[[#This Row],[Colonna7]]*Tabella8[[#This Row],[Colonna4]]/100</f>
        <v>17706.668086813021</v>
      </c>
    </row>
    <row r="1719" spans="2:10">
      <c r="B1719" s="92" t="s">
        <v>139</v>
      </c>
      <c r="C1719" s="91" t="s">
        <v>378</v>
      </c>
      <c r="D1719" s="93">
        <v>155</v>
      </c>
      <c r="E1719" s="93">
        <v>66</v>
      </c>
      <c r="F1719" s="103">
        <f>IFERROR(INDEX(Tabella9[PLZ],MATCH(Tabella8[[#This Row],[Colonna2]],Tabella9[Ortschaftsname],0)), "Name not found")</f>
        <v>1436</v>
      </c>
      <c r="G1719" s="103"/>
      <c r="H1719" s="240">
        <f ca="1">SUMIF(Tabella2[[#Headers],[#Data],[Age]],$H$76,Tabella2[[#Headers],[#Data],[Federal taxes]])</f>
        <v>6804.3246087429152</v>
      </c>
      <c r="I171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19" s="240">
        <f ca="1">Tabella8[[#This Row],[Colonna7]]*Tabella8[[#This Row],[Colonna4]]/100</f>
        <v>14887.134951970185</v>
      </c>
    </row>
    <row r="1720" spans="2:10">
      <c r="B1720" s="92" t="s">
        <v>139</v>
      </c>
      <c r="C1720" s="91" t="s">
        <v>313</v>
      </c>
      <c r="D1720" s="93">
        <v>155</v>
      </c>
      <c r="E1720" s="93">
        <v>65</v>
      </c>
      <c r="F1720" s="103">
        <f>IFERROR(INDEX(Tabella9[PLZ],MATCH(Tabella8[[#This Row],[Colonna2]],Tabella9[Ortschaftsname],0)), "Name not found")</f>
        <v>1424</v>
      </c>
      <c r="G1720" s="103"/>
      <c r="H1720" s="240">
        <f ca="1">SUMIF(Tabella2[[#Headers],[#Data],[Age]],$H$76,Tabella2[[#Headers],[#Data],[Federal taxes]])</f>
        <v>6804.3246087429152</v>
      </c>
      <c r="I172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0" s="240">
        <f ca="1">Tabella8[[#This Row],[Colonna7]]*Tabella8[[#This Row],[Colonna4]]/100</f>
        <v>14661.572301182758</v>
      </c>
    </row>
    <row r="1721" spans="2:10">
      <c r="B1721" s="92" t="s">
        <v>139</v>
      </c>
      <c r="C1721" s="91" t="s">
        <v>486</v>
      </c>
      <c r="D1721" s="93">
        <v>155</v>
      </c>
      <c r="E1721" s="93">
        <v>77</v>
      </c>
      <c r="F1721" s="103">
        <f>IFERROR(INDEX(Tabella9[PLZ],MATCH(Tabella8[[#This Row],[Colonna2]],Tabella9[Ortschaftsname],0)), "Name not found")</f>
        <v>1537</v>
      </c>
      <c r="G1721" s="103"/>
      <c r="H1721" s="240">
        <f ca="1">SUMIF(Tabella2[[#Headers],[#Data],[Age]],$H$76,Tabella2[[#Headers],[#Data],[Federal taxes]])</f>
        <v>6804.3246087429152</v>
      </c>
      <c r="I172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1" s="240">
        <f ca="1">Tabella8[[#This Row],[Colonna7]]*Tabella8[[#This Row],[Colonna4]]/100</f>
        <v>17368.324110631882</v>
      </c>
    </row>
    <row r="1722" spans="2:10">
      <c r="B1722" s="92" t="s">
        <v>139</v>
      </c>
      <c r="C1722" s="91" t="s">
        <v>356</v>
      </c>
      <c r="D1722" s="93">
        <v>155</v>
      </c>
      <c r="E1722" s="93">
        <v>70</v>
      </c>
      <c r="F1722" s="103">
        <f>IFERROR(INDEX(Tabella9[PLZ],MATCH(Tabella8[[#This Row],[Colonna2]],Tabella9[Ortschaftsname],0)), "Name not found")</f>
        <v>1443</v>
      </c>
      <c r="G1722" s="103"/>
      <c r="H1722" s="240">
        <f ca="1">SUMIF(Tabella2[[#Headers],[#Data],[Age]],$H$76,Tabella2[[#Headers],[#Data],[Federal taxes]])</f>
        <v>6804.3246087429152</v>
      </c>
      <c r="I172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2" s="240">
        <f ca="1">Tabella8[[#This Row],[Colonna7]]*Tabella8[[#This Row],[Colonna4]]/100</f>
        <v>15789.385555119894</v>
      </c>
    </row>
    <row r="1723" spans="2:10">
      <c r="B1723" s="92" t="s">
        <v>139</v>
      </c>
      <c r="C1723" s="91" t="s">
        <v>243</v>
      </c>
      <c r="D1723" s="93">
        <v>155</v>
      </c>
      <c r="E1723" s="93">
        <v>68</v>
      </c>
      <c r="F1723" s="103">
        <f>IFERROR(INDEX(Tabella9[PLZ],MATCH(Tabella8[[#This Row],[Colonna2]],Tabella9[Ortschaftsname],0)), "Name not found")</f>
        <v>1803</v>
      </c>
      <c r="G1723" s="103"/>
      <c r="H1723" s="240">
        <f ca="1">SUMIF(Tabella2[[#Headers],[#Data],[Age]],$H$76,Tabella2[[#Headers],[#Data],[Federal taxes]])</f>
        <v>6804.3246087429152</v>
      </c>
      <c r="I172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3" s="240">
        <f ca="1">Tabella8[[#This Row],[Colonna7]]*Tabella8[[#This Row],[Colonna4]]/100</f>
        <v>15338.260253545039</v>
      </c>
    </row>
    <row r="1724" spans="2:10">
      <c r="B1724" s="92" t="s">
        <v>139</v>
      </c>
      <c r="C1724" s="91" t="s">
        <v>289</v>
      </c>
      <c r="D1724" s="93">
        <v>155</v>
      </c>
      <c r="E1724" s="93">
        <v>58</v>
      </c>
      <c r="F1724" s="103">
        <f>IFERROR(INDEX(Tabella9[PLZ],MATCH(Tabella8[[#This Row],[Colonna2]],Tabella9[Ortschaftsname],0)), "Name not found")</f>
        <v>1279</v>
      </c>
      <c r="G1724" s="103"/>
      <c r="H1724" s="240">
        <f ca="1">SUMIF(Tabella2[[#Headers],[#Data],[Age]],$H$76,Tabella2[[#Headers],[#Data],[Federal taxes]])</f>
        <v>6804.3246087429152</v>
      </c>
      <c r="I172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4" s="240">
        <f ca="1">Tabella8[[#This Row],[Colonna7]]*Tabella8[[#This Row],[Colonna4]]/100</f>
        <v>13082.633745670768</v>
      </c>
    </row>
    <row r="1725" spans="2:10">
      <c r="B1725" s="92" t="s">
        <v>139</v>
      </c>
      <c r="C1725" s="91" t="s">
        <v>325</v>
      </c>
      <c r="D1725" s="93">
        <v>155</v>
      </c>
      <c r="E1725" s="93">
        <v>68</v>
      </c>
      <c r="F1725" s="103">
        <f>IFERROR(INDEX(Tabella9[PLZ],MATCH(Tabella8[[#This Row],[Colonna2]],Tabella9[Ortschaftsname],0)), "Name not found")</f>
        <v>1290</v>
      </c>
      <c r="G1725" s="103"/>
      <c r="H1725" s="240">
        <f ca="1">SUMIF(Tabella2[[#Headers],[#Data],[Age]],$H$76,Tabella2[[#Headers],[#Data],[Federal taxes]])</f>
        <v>6804.3246087429152</v>
      </c>
      <c r="I172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5" s="240">
        <f ca="1">Tabella8[[#This Row],[Colonna7]]*Tabella8[[#This Row],[Colonna4]]/100</f>
        <v>15338.260253545039</v>
      </c>
    </row>
    <row r="1726" spans="2:10">
      <c r="B1726" s="92" t="s">
        <v>139</v>
      </c>
      <c r="C1726" s="91" t="s">
        <v>447</v>
      </c>
      <c r="D1726" s="93">
        <v>155</v>
      </c>
      <c r="E1726" s="93">
        <v>75</v>
      </c>
      <c r="F1726" s="103">
        <f>IFERROR(INDEX(Tabella9[PLZ],MATCH(Tabella8[[#This Row],[Colonna2]],Tabella9[Ortschaftsname],0)), "Name not found")</f>
        <v>1464</v>
      </c>
      <c r="G1726" s="103"/>
      <c r="H1726" s="240">
        <f ca="1">SUMIF(Tabella2[[#Headers],[#Data],[Age]],$H$76,Tabella2[[#Headers],[#Data],[Federal taxes]])</f>
        <v>6804.3246087429152</v>
      </c>
      <c r="I172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6" s="240">
        <f ca="1">Tabella8[[#This Row],[Colonna7]]*Tabella8[[#This Row],[Colonna4]]/100</f>
        <v>16917.19880905703</v>
      </c>
    </row>
    <row r="1727" spans="2:10">
      <c r="B1727" s="92" t="s">
        <v>139</v>
      </c>
      <c r="C1727" s="91" t="s">
        <v>482</v>
      </c>
      <c r="D1727" s="93">
        <v>155</v>
      </c>
      <c r="E1727" s="93">
        <v>75</v>
      </c>
      <c r="F1727" s="103">
        <f>IFERROR(INDEX(Tabella9[PLZ],MATCH(Tabella8[[#This Row],[Colonna2]],Tabella9[Ortschaftsname],0)), "Name not found")</f>
        <v>1148</v>
      </c>
      <c r="G1727" s="103"/>
      <c r="H1727" s="240">
        <f ca="1">SUMIF(Tabella2[[#Headers],[#Data],[Age]],$H$76,Tabella2[[#Headers],[#Data],[Federal taxes]])</f>
        <v>6804.3246087429152</v>
      </c>
      <c r="I172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7" s="240">
        <f ca="1">Tabella8[[#This Row],[Colonna7]]*Tabella8[[#This Row],[Colonna4]]/100</f>
        <v>16917.19880905703</v>
      </c>
    </row>
    <row r="1728" spans="2:10">
      <c r="B1728" s="92" t="s">
        <v>139</v>
      </c>
      <c r="C1728" s="91" t="s">
        <v>205</v>
      </c>
      <c r="D1728" s="93">
        <v>155</v>
      </c>
      <c r="E1728" s="93">
        <v>77.5</v>
      </c>
      <c r="F1728" s="103">
        <f>IFERROR(INDEX(Tabella9[PLZ],MATCH(Tabella8[[#This Row],[Colonna2]],Tabella9[Ortschaftsname],0)), "Name not found")</f>
        <v>1022</v>
      </c>
      <c r="G1728" s="103"/>
      <c r="H1728" s="240">
        <f ca="1">SUMIF(Tabella2[[#Headers],[#Data],[Age]],$H$76,Tabella2[[#Headers],[#Data],[Federal taxes]])</f>
        <v>6804.3246087429152</v>
      </c>
      <c r="I172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8" s="240">
        <f ca="1">Tabella8[[#This Row],[Colonna7]]*Tabella8[[#This Row],[Colonna4]]/100</f>
        <v>17481.105436025598</v>
      </c>
    </row>
    <row r="1729" spans="2:10">
      <c r="B1729" s="92" t="s">
        <v>139</v>
      </c>
      <c r="C1729" s="91" t="s">
        <v>463</v>
      </c>
      <c r="D1729" s="93">
        <v>155</v>
      </c>
      <c r="E1729" s="93">
        <v>70</v>
      </c>
      <c r="F1729" s="103">
        <f>IFERROR(INDEX(Tabella9[PLZ],MATCH(Tabella8[[#This Row],[Colonna2]],Tabella9[Ortschaftsname],0)), "Name not found")</f>
        <v>1512</v>
      </c>
      <c r="G1729" s="103"/>
      <c r="H1729" s="240">
        <f ca="1">SUMIF(Tabella2[[#Headers],[#Data],[Age]],$H$76,Tabella2[[#Headers],[#Data],[Federal taxes]])</f>
        <v>6804.3246087429152</v>
      </c>
      <c r="I172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29" s="240">
        <f ca="1">Tabella8[[#This Row],[Colonna7]]*Tabella8[[#This Row],[Colonna4]]/100</f>
        <v>15789.385555119894</v>
      </c>
    </row>
    <row r="1730" spans="2:10">
      <c r="B1730" s="92" t="s">
        <v>139</v>
      </c>
      <c r="C1730" s="91" t="s">
        <v>219</v>
      </c>
      <c r="D1730" s="93">
        <v>155</v>
      </c>
      <c r="E1730" s="93">
        <v>70.5</v>
      </c>
      <c r="F1730" s="103">
        <f>IFERROR(INDEX(Tabella9[PLZ],MATCH(Tabella8[[#This Row],[Colonna2]],Tabella9[Ortschaftsname],0)), "Name not found")</f>
        <v>1373</v>
      </c>
      <c r="G1730" s="103"/>
      <c r="H1730" s="240">
        <f ca="1">SUMIF(Tabella2[[#Headers],[#Data],[Age]],$H$76,Tabella2[[#Headers],[#Data],[Federal taxes]])</f>
        <v>6804.3246087429152</v>
      </c>
      <c r="I173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0" s="240">
        <f ca="1">Tabella8[[#This Row],[Colonna7]]*Tabella8[[#This Row],[Colonna4]]/100</f>
        <v>15902.166880513607</v>
      </c>
    </row>
    <row r="1731" spans="2:10">
      <c r="B1731" s="92" t="s">
        <v>139</v>
      </c>
      <c r="C1731" s="91" t="s">
        <v>352</v>
      </c>
      <c r="D1731" s="93">
        <v>155</v>
      </c>
      <c r="E1731" s="93">
        <v>67</v>
      </c>
      <c r="F1731" s="103">
        <f>IFERROR(INDEX(Tabella9[PLZ],MATCH(Tabella8[[#This Row],[Colonna2]],Tabella9[Ortschaftsname],0)), "Name not found")</f>
        <v>1400</v>
      </c>
      <c r="G1731" s="103"/>
      <c r="H1731" s="240">
        <f ca="1">SUMIF(Tabella2[[#Headers],[#Data],[Age]],$H$76,Tabella2[[#Headers],[#Data],[Federal taxes]])</f>
        <v>6804.3246087429152</v>
      </c>
      <c r="I173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1" s="240">
        <f ca="1">Tabella8[[#This Row],[Colonna7]]*Tabella8[[#This Row],[Colonna4]]/100</f>
        <v>15112.697602757611</v>
      </c>
    </row>
    <row r="1732" spans="2:10">
      <c r="B1732" s="92" t="s">
        <v>139</v>
      </c>
      <c r="C1732" s="91" t="s">
        <v>222</v>
      </c>
      <c r="D1732" s="93">
        <v>155</v>
      </c>
      <c r="E1732" s="93">
        <v>73</v>
      </c>
      <c r="F1732" s="103">
        <f>IFERROR(INDEX(Tabella9[PLZ],MATCH(Tabella8[[#This Row],[Colonna2]],Tabella9[Ortschaftsname],0)), "Name not found")</f>
        <v>1033</v>
      </c>
      <c r="G1732" s="103"/>
      <c r="H1732" s="240">
        <f ca="1">SUMIF(Tabella2[[#Headers],[#Data],[Age]],$H$76,Tabella2[[#Headers],[#Data],[Federal taxes]])</f>
        <v>6804.3246087429152</v>
      </c>
      <c r="I173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2" s="240">
        <f ca="1">Tabella8[[#This Row],[Colonna7]]*Tabella8[[#This Row],[Colonna4]]/100</f>
        <v>16466.073507482175</v>
      </c>
    </row>
    <row r="1733" spans="2:10">
      <c r="B1733" s="92" t="s">
        <v>139</v>
      </c>
      <c r="C1733" s="91" t="s">
        <v>416</v>
      </c>
      <c r="D1733" s="93">
        <v>155</v>
      </c>
      <c r="E1733" s="93">
        <v>65</v>
      </c>
      <c r="F1733" s="103">
        <f>IFERROR(INDEX(Tabella9[PLZ],MATCH(Tabella8[[#This Row],[Colonna2]],Tabella9[Ortschaftsname],0)), "Name not found")</f>
        <v>1846</v>
      </c>
      <c r="G1733" s="103"/>
      <c r="H1733" s="240">
        <f ca="1">SUMIF(Tabella2[[#Headers],[#Data],[Age]],$H$76,Tabella2[[#Headers],[#Data],[Federal taxes]])</f>
        <v>6804.3246087429152</v>
      </c>
      <c r="I173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3" s="240">
        <f ca="1">Tabella8[[#This Row],[Colonna7]]*Tabella8[[#This Row],[Colonna4]]/100</f>
        <v>14661.572301182758</v>
      </c>
    </row>
    <row r="1734" spans="2:10">
      <c r="B1734" s="92" t="s">
        <v>139</v>
      </c>
      <c r="C1734" s="91" t="s">
        <v>448</v>
      </c>
      <c r="D1734" s="93">
        <v>155</v>
      </c>
      <c r="E1734" s="93">
        <v>70</v>
      </c>
      <c r="F1734" s="103">
        <f>IFERROR(INDEX(Tabella9[PLZ],MATCH(Tabella8[[#This Row],[Colonna2]],Tabella9[Ortschaftsname],0)), "Name not found")</f>
        <v>1316</v>
      </c>
      <c r="G1734" s="103"/>
      <c r="H1734" s="240">
        <f ca="1">SUMIF(Tabella2[[#Headers],[#Data],[Age]],$H$76,Tabella2[[#Headers],[#Data],[Federal taxes]])</f>
        <v>6804.3246087429152</v>
      </c>
      <c r="I173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4" s="240">
        <f ca="1">Tabella8[[#This Row],[Colonna7]]*Tabella8[[#This Row],[Colonna4]]/100</f>
        <v>15789.385555119894</v>
      </c>
    </row>
    <row r="1735" spans="2:10">
      <c r="B1735" s="92" t="s">
        <v>139</v>
      </c>
      <c r="C1735" s="91" t="s">
        <v>398</v>
      </c>
      <c r="D1735" s="93">
        <v>155</v>
      </c>
      <c r="E1735" s="93">
        <v>68.5</v>
      </c>
      <c r="F1735" s="103">
        <f>IFERROR(INDEX(Tabella9[PLZ],MATCH(Tabella8[[#This Row],[Colonna2]],Tabella9[Ortschaftsname],0)), "Name not found")</f>
        <v>1545</v>
      </c>
      <c r="G1735" s="103"/>
      <c r="H1735" s="240">
        <f ca="1">SUMIF(Tabella2[[#Headers],[#Data],[Age]],$H$76,Tabella2[[#Headers],[#Data],[Federal taxes]])</f>
        <v>6804.3246087429152</v>
      </c>
      <c r="I173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5" s="240">
        <f ca="1">Tabella8[[#This Row],[Colonna7]]*Tabella8[[#This Row],[Colonna4]]/100</f>
        <v>15451.041578938753</v>
      </c>
    </row>
    <row r="1736" spans="2:10">
      <c r="B1736" s="92" t="s">
        <v>139</v>
      </c>
      <c r="C1736" s="91" t="s">
        <v>259</v>
      </c>
      <c r="D1736" s="93">
        <v>155</v>
      </c>
      <c r="E1736" s="93">
        <v>67.5</v>
      </c>
      <c r="F1736" s="103">
        <f>IFERROR(INDEX(Tabella9[PLZ],MATCH(Tabella8[[#This Row],[Colonna2]],Tabella9[Ortschaftsname],0)), "Name not found")</f>
        <v>1071</v>
      </c>
      <c r="G1736" s="103"/>
      <c r="H1736" s="240">
        <f ca="1">SUMIF(Tabella2[[#Headers],[#Data],[Age]],$H$76,Tabella2[[#Headers],[#Data],[Federal taxes]])</f>
        <v>6804.3246087429152</v>
      </c>
      <c r="I173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6" s="240">
        <f ca="1">Tabella8[[#This Row],[Colonna7]]*Tabella8[[#This Row],[Colonna4]]/100</f>
        <v>15225.478928151326</v>
      </c>
    </row>
    <row r="1737" spans="2:10">
      <c r="B1737" s="92" t="s">
        <v>139</v>
      </c>
      <c r="C1737" s="91" t="s">
        <v>437</v>
      </c>
      <c r="D1737" s="93">
        <v>155</v>
      </c>
      <c r="E1737" s="93">
        <v>62</v>
      </c>
      <c r="F1737" s="103">
        <f>IFERROR(INDEX(Tabella9[PLZ],MATCH(Tabella8[[#This Row],[Colonna2]],Tabella9[Ortschaftsname],0)), "Name not found")</f>
        <v>1134</v>
      </c>
      <c r="G1737" s="103"/>
      <c r="H1737" s="240">
        <f ca="1">SUMIF(Tabella2[[#Headers],[#Data],[Age]],$H$76,Tabella2[[#Headers],[#Data],[Federal taxes]])</f>
        <v>6804.3246087429152</v>
      </c>
      <c r="I173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7" s="240">
        <f ca="1">Tabella8[[#This Row],[Colonna7]]*Tabella8[[#This Row],[Colonna4]]/100</f>
        <v>13984.884348820477</v>
      </c>
    </row>
    <row r="1738" spans="2:10">
      <c r="B1738" s="92" t="s">
        <v>139</v>
      </c>
      <c r="C1738" s="91" t="s">
        <v>231</v>
      </c>
      <c r="D1738" s="93">
        <v>155</v>
      </c>
      <c r="E1738" s="93">
        <v>81.5</v>
      </c>
      <c r="F1738" s="103">
        <f>IFERROR(INDEX(Tabella9[PLZ],MATCH(Tabella8[[#This Row],[Colonna2]],Tabella9[Ortschaftsname],0)), "Name not found")</f>
        <v>1660</v>
      </c>
      <c r="G1738" s="103"/>
      <c r="H1738" s="240">
        <f ca="1">SUMIF(Tabella2[[#Headers],[#Data],[Age]],$H$76,Tabella2[[#Headers],[#Data],[Federal taxes]])</f>
        <v>6804.3246087429152</v>
      </c>
      <c r="I173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8" s="240">
        <f ca="1">Tabella8[[#This Row],[Colonna7]]*Tabella8[[#This Row],[Colonna4]]/100</f>
        <v>18383.356039175305</v>
      </c>
    </row>
    <row r="1739" spans="2:10">
      <c r="B1739" s="92" t="s">
        <v>139</v>
      </c>
      <c r="C1739" s="91" t="s">
        <v>293</v>
      </c>
      <c r="D1739" s="93">
        <v>155</v>
      </c>
      <c r="E1739" s="93">
        <v>59</v>
      </c>
      <c r="F1739" s="103">
        <f>IFERROR(INDEX(Tabella9[PLZ],MATCH(Tabella8[[#This Row],[Colonna2]],Tabella9[Ortschaftsname],0)), "Name not found")</f>
        <v>1275</v>
      </c>
      <c r="G1739" s="103"/>
      <c r="H1739" s="240">
        <f ca="1">SUMIF(Tabella2[[#Headers],[#Data],[Age]],$H$76,Tabella2[[#Headers],[#Data],[Federal taxes]])</f>
        <v>6804.3246087429152</v>
      </c>
      <c r="I173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39" s="240">
        <f ca="1">Tabella8[[#This Row],[Colonna7]]*Tabella8[[#This Row],[Colonna4]]/100</f>
        <v>13308.196396458196</v>
      </c>
    </row>
    <row r="1740" spans="2:10">
      <c r="B1740" s="92" t="s">
        <v>139</v>
      </c>
      <c r="C1740" s="91" t="s">
        <v>484</v>
      </c>
      <c r="D1740" s="93">
        <v>155</v>
      </c>
      <c r="E1740" s="93">
        <v>75</v>
      </c>
      <c r="F1740" s="103">
        <f>IFERROR(INDEX(Tabella9[PLZ],MATCH(Tabella8[[#This Row],[Colonna2]],Tabella9[Ortschaftsname],0)), "Name not found")</f>
        <v>1464</v>
      </c>
      <c r="G1740" s="103"/>
      <c r="H1740" s="240">
        <f ca="1">SUMIF(Tabella2[[#Headers],[#Data],[Age]],$H$76,Tabella2[[#Headers],[#Data],[Federal taxes]])</f>
        <v>6804.3246087429152</v>
      </c>
      <c r="I174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0" s="240">
        <f ca="1">Tabella8[[#This Row],[Colonna7]]*Tabella8[[#This Row],[Colonna4]]/100</f>
        <v>16917.19880905703</v>
      </c>
    </row>
    <row r="1741" spans="2:10">
      <c r="B1741" s="92" t="s">
        <v>139</v>
      </c>
      <c r="C1741" s="91" t="s">
        <v>473</v>
      </c>
      <c r="D1741" s="93">
        <v>155</v>
      </c>
      <c r="E1741" s="93">
        <v>72</v>
      </c>
      <c r="F1741" s="103">
        <f>IFERROR(INDEX(Tabella9[PLZ],MATCH(Tabella8[[#This Row],[Colonna2]],Tabella9[Ortschaftsname],0)), "Name not found")</f>
        <v>1127</v>
      </c>
      <c r="G1741" s="103"/>
      <c r="H1741" s="240">
        <f ca="1">SUMIF(Tabella2[[#Headers],[#Data],[Age]],$H$76,Tabella2[[#Headers],[#Data],[Federal taxes]])</f>
        <v>6804.3246087429152</v>
      </c>
      <c r="I174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1" s="240">
        <f ca="1">Tabella8[[#This Row],[Colonna7]]*Tabella8[[#This Row],[Colonna4]]/100</f>
        <v>16240.510856694747</v>
      </c>
    </row>
    <row r="1742" spans="2:10">
      <c r="B1742" s="92" t="s">
        <v>139</v>
      </c>
      <c r="C1742" s="91" t="s">
        <v>389</v>
      </c>
      <c r="D1742" s="93">
        <v>155</v>
      </c>
      <c r="E1742" s="93">
        <v>49</v>
      </c>
      <c r="F1742" s="103">
        <f>IFERROR(INDEX(Tabella9[PLZ],MATCH(Tabella8[[#This Row],[Colonna2]],Tabella9[Ortschaftsname],0)), "Name not found")</f>
        <v>1267</v>
      </c>
      <c r="G1742" s="103"/>
      <c r="H1742" s="240">
        <f ca="1">SUMIF(Tabella2[[#Headers],[#Data],[Age]],$H$76,Tabella2[[#Headers],[#Data],[Federal taxes]])</f>
        <v>6804.3246087429152</v>
      </c>
      <c r="I174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2" s="240">
        <f ca="1">Tabella8[[#This Row],[Colonna7]]*Tabella8[[#This Row],[Colonna4]]/100</f>
        <v>11052.569888583925</v>
      </c>
    </row>
    <row r="1743" spans="2:10">
      <c r="B1743" s="92" t="s">
        <v>139</v>
      </c>
      <c r="C1743" s="91" t="s">
        <v>245</v>
      </c>
      <c r="D1743" s="93">
        <v>155</v>
      </c>
      <c r="E1743" s="93">
        <v>57</v>
      </c>
      <c r="F1743" s="103">
        <f>IFERROR(INDEX(Tabella9[PLZ],MATCH(Tabella8[[#This Row],[Colonna2]],Tabella9[Ortschaftsname],0)), "Name not found")</f>
        <v>1291</v>
      </c>
      <c r="G1743" s="103"/>
      <c r="H1743" s="240">
        <f ca="1">SUMIF(Tabella2[[#Headers],[#Data],[Age]],$H$76,Tabella2[[#Headers],[#Data],[Federal taxes]])</f>
        <v>6804.3246087429152</v>
      </c>
      <c r="I174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3" s="240">
        <f ca="1">Tabella8[[#This Row],[Colonna7]]*Tabella8[[#This Row],[Colonna4]]/100</f>
        <v>12857.071094883342</v>
      </c>
    </row>
    <row r="1744" spans="2:10">
      <c r="B1744" s="92" t="s">
        <v>139</v>
      </c>
      <c r="C1744" s="91" t="s">
        <v>324</v>
      </c>
      <c r="D1744" s="93">
        <v>155</v>
      </c>
      <c r="E1744" s="93">
        <v>71</v>
      </c>
      <c r="F1744" s="103">
        <f>IFERROR(INDEX(Tabella9[PLZ],MATCH(Tabella8[[#This Row],[Colonna2]],Tabella9[Ortschaftsname],0)), "Name not found")</f>
        <v>1426</v>
      </c>
      <c r="G1744" s="103"/>
      <c r="H1744" s="240">
        <f ca="1">SUMIF(Tabella2[[#Headers],[#Data],[Age]],$H$76,Tabella2[[#Headers],[#Data],[Federal taxes]])</f>
        <v>6804.3246087429152</v>
      </c>
      <c r="I174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4" s="240">
        <f ca="1">Tabella8[[#This Row],[Colonna7]]*Tabella8[[#This Row],[Colonna4]]/100</f>
        <v>16014.94820590732</v>
      </c>
    </row>
    <row r="1745" spans="2:10">
      <c r="B1745" s="92" t="s">
        <v>139</v>
      </c>
      <c r="C1745" s="91" t="s">
        <v>239</v>
      </c>
      <c r="D1745" s="93">
        <v>155</v>
      </c>
      <c r="E1745" s="93">
        <v>57</v>
      </c>
      <c r="F1745" s="103">
        <f>IFERROR(INDEX(Tabella9[PLZ],MATCH(Tabella8[[#This Row],[Colonna2]],Tabella9[Ortschaftsname],0)), "Name not found")</f>
        <v>1296</v>
      </c>
      <c r="G1745" s="103"/>
      <c r="H1745" s="240">
        <f ca="1">SUMIF(Tabella2[[#Headers],[#Data],[Age]],$H$76,Tabella2[[#Headers],[#Data],[Federal taxes]])</f>
        <v>6804.3246087429152</v>
      </c>
      <c r="I174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5" s="240">
        <f ca="1">Tabella8[[#This Row],[Colonna7]]*Tabella8[[#This Row],[Colonna4]]/100</f>
        <v>12857.071094883342</v>
      </c>
    </row>
    <row r="1746" spans="2:10">
      <c r="B1746" s="92" t="s">
        <v>139</v>
      </c>
      <c r="C1746" s="91" t="s">
        <v>405</v>
      </c>
      <c r="D1746" s="93">
        <v>155</v>
      </c>
      <c r="E1746" s="93">
        <v>74</v>
      </c>
      <c r="F1746" s="103">
        <f>IFERROR(INDEX(Tabella9[PLZ],MATCH(Tabella8[[#This Row],[Colonna2]],Tabella9[Ortschaftsname],0)), "Name not found")</f>
        <v>1856</v>
      </c>
      <c r="G1746" s="103"/>
      <c r="H1746" s="240">
        <f ca="1">SUMIF(Tabella2[[#Headers],[#Data],[Age]],$H$76,Tabella2[[#Headers],[#Data],[Federal taxes]])</f>
        <v>6804.3246087429152</v>
      </c>
      <c r="I174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6" s="240">
        <f ca="1">Tabella8[[#This Row],[Colonna7]]*Tabella8[[#This Row],[Colonna4]]/100</f>
        <v>16691.636158269601</v>
      </c>
    </row>
    <row r="1747" spans="2:10">
      <c r="B1747" s="92" t="s">
        <v>139</v>
      </c>
      <c r="C1747" s="91" t="s">
        <v>400</v>
      </c>
      <c r="D1747" s="93">
        <v>155</v>
      </c>
      <c r="E1747" s="93">
        <v>75</v>
      </c>
      <c r="F1747" s="103">
        <f>IFERROR(INDEX(Tabella9[PLZ],MATCH(Tabella8[[#This Row],[Colonna2]],Tabella9[Ortschaftsname],0)), "Name not found")</f>
        <v>1082</v>
      </c>
      <c r="G1747" s="103"/>
      <c r="H1747" s="240">
        <f ca="1">SUMIF(Tabella2[[#Headers],[#Data],[Age]],$H$76,Tabella2[[#Headers],[#Data],[Federal taxes]])</f>
        <v>6804.3246087429152</v>
      </c>
      <c r="I174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7" s="240">
        <f ca="1">Tabella8[[#This Row],[Colonna7]]*Tabella8[[#This Row],[Colonna4]]/100</f>
        <v>16917.19880905703</v>
      </c>
    </row>
    <row r="1748" spans="2:10">
      <c r="B1748" s="92" t="s">
        <v>139</v>
      </c>
      <c r="C1748" s="91" t="s">
        <v>426</v>
      </c>
      <c r="D1748" s="93">
        <v>155</v>
      </c>
      <c r="E1748" s="93">
        <v>69</v>
      </c>
      <c r="F1748" s="103">
        <f>IFERROR(INDEX(Tabella9[PLZ],MATCH(Tabella8[[#This Row],[Colonna2]],Tabella9[Ortschaftsname],0)), "Name not found")</f>
        <v>1426</v>
      </c>
      <c r="G1748" s="103"/>
      <c r="H1748" s="240">
        <f ca="1">SUMIF(Tabella2[[#Headers],[#Data],[Age]],$H$76,Tabella2[[#Headers],[#Data],[Federal taxes]])</f>
        <v>6804.3246087429152</v>
      </c>
      <c r="I174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8" s="240">
        <f ca="1">Tabella8[[#This Row],[Colonna7]]*Tabella8[[#This Row],[Colonna4]]/100</f>
        <v>15563.822904332466</v>
      </c>
    </row>
    <row r="1749" spans="2:10">
      <c r="B1749" s="92" t="s">
        <v>139</v>
      </c>
      <c r="C1749" s="91" t="s">
        <v>257</v>
      </c>
      <c r="D1749" s="93">
        <v>155</v>
      </c>
      <c r="E1749" s="93">
        <v>65</v>
      </c>
      <c r="F1749" s="103">
        <f>IFERROR(INDEX(Tabella9[PLZ],MATCH(Tabella8[[#This Row],[Colonna2]],Tabella9[Ortschaftsname],0)), "Name not found")</f>
        <v>1562</v>
      </c>
      <c r="G1749" s="103"/>
      <c r="H1749" s="240">
        <f ca="1">SUMIF(Tabella2[[#Headers],[#Data],[Age]],$H$76,Tabella2[[#Headers],[#Data],[Federal taxes]])</f>
        <v>6804.3246087429152</v>
      </c>
      <c r="I174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49" s="240">
        <f ca="1">Tabella8[[#This Row],[Colonna7]]*Tabella8[[#This Row],[Colonna4]]/100</f>
        <v>14661.572301182758</v>
      </c>
    </row>
    <row r="1750" spans="2:10">
      <c r="B1750" s="92" t="s">
        <v>139</v>
      </c>
      <c r="C1750" s="91" t="s">
        <v>258</v>
      </c>
      <c r="D1750" s="93">
        <v>155</v>
      </c>
      <c r="E1750" s="93">
        <v>67.5</v>
      </c>
      <c r="F1750" s="103">
        <f>IFERROR(INDEX(Tabella9[PLZ],MATCH(Tabella8[[#This Row],[Colonna2]],Tabella9[Ortschaftsname],0)), "Name not found")</f>
        <v>1802</v>
      </c>
      <c r="G1750" s="103"/>
      <c r="H1750" s="240">
        <f ca="1">SUMIF(Tabella2[[#Headers],[#Data],[Age]],$H$76,Tabella2[[#Headers],[#Data],[Federal taxes]])</f>
        <v>6804.3246087429152</v>
      </c>
      <c r="I175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0" s="240">
        <f ca="1">Tabella8[[#This Row],[Colonna7]]*Tabella8[[#This Row],[Colonna4]]/100</f>
        <v>15225.478928151326</v>
      </c>
    </row>
    <row r="1751" spans="2:10">
      <c r="B1751" s="92" t="s">
        <v>139</v>
      </c>
      <c r="C1751" s="91" t="s">
        <v>232</v>
      </c>
      <c r="D1751" s="93">
        <v>155</v>
      </c>
      <c r="E1751" s="93">
        <v>64.5</v>
      </c>
      <c r="F1751" s="103">
        <f>IFERROR(INDEX(Tabella9[PLZ],MATCH(Tabella8[[#This Row],[Colonna2]],Tabella9[Ortschaftsname],0)), "Name not found")</f>
        <v>1804</v>
      </c>
      <c r="G1751" s="103"/>
      <c r="H1751" s="240">
        <f ca="1">SUMIF(Tabella2[[#Headers],[#Data],[Age]],$H$76,Tabella2[[#Headers],[#Data],[Federal taxes]])</f>
        <v>6804.3246087429152</v>
      </c>
      <c r="I175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1" s="240">
        <f ca="1">Tabella8[[#This Row],[Colonna7]]*Tabella8[[#This Row],[Colonna4]]/100</f>
        <v>14548.790975789043</v>
      </c>
    </row>
    <row r="1752" spans="2:10">
      <c r="B1752" s="92" t="s">
        <v>139</v>
      </c>
      <c r="C1752" s="91" t="s">
        <v>228</v>
      </c>
      <c r="D1752" s="93">
        <v>155</v>
      </c>
      <c r="E1752" s="93">
        <v>68</v>
      </c>
      <c r="F1752" s="103">
        <v>1304</v>
      </c>
      <c r="G1752" s="103"/>
      <c r="H1752" s="240">
        <f ca="1">SUMIF(Tabella2[[#Headers],[#Data],[Age]],$H$76,Tabella2[[#Headers],[#Data],[Federal taxes]])</f>
        <v>6804.3246087429152</v>
      </c>
      <c r="I175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2" s="240">
        <f ca="1">Tabella8[[#This Row],[Colonna7]]*Tabella8[[#This Row],[Colonna4]]/100</f>
        <v>15338.260253545039</v>
      </c>
    </row>
    <row r="1753" spans="2:10">
      <c r="B1753" s="92" t="s">
        <v>139</v>
      </c>
      <c r="C1753" s="91" t="s">
        <v>2685</v>
      </c>
      <c r="D1753" s="93">
        <v>155</v>
      </c>
      <c r="E1753" s="93">
        <v>59</v>
      </c>
      <c r="F1753" s="103">
        <v>1299</v>
      </c>
      <c r="G1753" s="103"/>
      <c r="H1753" s="240">
        <f ca="1">SUMIF(Tabella2[[#Headers],[#Data],[Age]],$H$76,Tabella2[[#Headers],[#Data],[Federal taxes]])</f>
        <v>6804.3246087429152</v>
      </c>
      <c r="I175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3" s="240">
        <f ca="1">Tabella8[[#This Row],[Colonna7]]*Tabella8[[#This Row],[Colonna4]]/100</f>
        <v>13308.196396458196</v>
      </c>
    </row>
    <row r="1754" spans="2:10">
      <c r="B1754" s="92" t="s">
        <v>139</v>
      </c>
      <c r="C1754" s="91" t="s">
        <v>297</v>
      </c>
      <c r="D1754" s="93">
        <v>155</v>
      </c>
      <c r="E1754" s="93">
        <v>66.5</v>
      </c>
      <c r="F1754" s="103">
        <f>IFERROR(INDEX(Tabella9[PLZ],MATCH(Tabella8[[#This Row],[Colonna2]],Tabella9[Ortschaftsname],0)), "Name not found")</f>
        <v>1263</v>
      </c>
      <c r="G1754" s="103"/>
      <c r="H1754" s="240">
        <f ca="1">SUMIF(Tabella2[[#Headers],[#Data],[Age]],$H$76,Tabella2[[#Headers],[#Data],[Federal taxes]])</f>
        <v>6804.3246087429152</v>
      </c>
      <c r="I175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4" s="240">
        <f ca="1">Tabella8[[#This Row],[Colonna7]]*Tabella8[[#This Row],[Colonna4]]/100</f>
        <v>14999.916277363898</v>
      </c>
    </row>
    <row r="1755" spans="2:10">
      <c r="B1755" s="92" t="s">
        <v>139</v>
      </c>
      <c r="C1755" s="91" t="s">
        <v>203</v>
      </c>
      <c r="D1755" s="93">
        <v>155</v>
      </c>
      <c r="E1755" s="93">
        <v>63.5</v>
      </c>
      <c r="F1755" s="103">
        <f>IFERROR(INDEX(Tabella9[PLZ],MATCH(Tabella8[[#This Row],[Colonna2]],Tabella9[Ortschaftsname],0)), "Name not found")</f>
        <v>1023</v>
      </c>
      <c r="G1755" s="103"/>
      <c r="H1755" s="240">
        <f ca="1">SUMIF(Tabella2[[#Headers],[#Data],[Age]],$H$76,Tabella2[[#Headers],[#Data],[Federal taxes]])</f>
        <v>6804.3246087429152</v>
      </c>
      <c r="I175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5" s="240">
        <f ca="1">Tabella8[[#This Row],[Colonna7]]*Tabella8[[#This Row],[Colonna4]]/100</f>
        <v>14323.228325001619</v>
      </c>
    </row>
    <row r="1756" spans="2:10">
      <c r="B1756" s="92" t="s">
        <v>139</v>
      </c>
      <c r="C1756" s="91" t="s">
        <v>421</v>
      </c>
      <c r="D1756" s="93">
        <v>155</v>
      </c>
      <c r="E1756" s="93">
        <v>75</v>
      </c>
      <c r="F1756" s="103">
        <f>IFERROR(INDEX(Tabella9[PLZ],MATCH(Tabella8[[#This Row],[Colonna2]],Tabella9[Ortschaftsname],0)), "Name not found")</f>
        <v>1406</v>
      </c>
      <c r="G1756" s="103"/>
      <c r="H1756" s="240">
        <f ca="1">SUMIF(Tabella2[[#Headers],[#Data],[Age]],$H$76,Tabella2[[#Headers],[#Data],[Federal taxes]])</f>
        <v>6804.3246087429152</v>
      </c>
      <c r="I175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6" s="240">
        <f ca="1">Tabella8[[#This Row],[Colonna7]]*Tabella8[[#This Row],[Colonna4]]/100</f>
        <v>16917.19880905703</v>
      </c>
    </row>
    <row r="1757" spans="2:10">
      <c r="B1757" s="92" t="s">
        <v>139</v>
      </c>
      <c r="C1757" s="91" t="s">
        <v>422</v>
      </c>
      <c r="D1757" s="93">
        <v>155</v>
      </c>
      <c r="E1757" s="93">
        <v>74</v>
      </c>
      <c r="F1757" s="103">
        <f>IFERROR(INDEX(Tabella9[PLZ],MATCH(Tabella8[[#This Row],[Colonna2]],Tabella9[Ortschaftsname],0)), "Name not found")</f>
        <v>1322</v>
      </c>
      <c r="G1757" s="103"/>
      <c r="H1757" s="240">
        <f ca="1">SUMIF(Tabella2[[#Headers],[#Data],[Age]],$H$76,Tabella2[[#Headers],[#Data],[Federal taxes]])</f>
        <v>6804.3246087429152</v>
      </c>
      <c r="I175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7" s="240">
        <f ca="1">Tabella8[[#This Row],[Colonna7]]*Tabella8[[#This Row],[Colonna4]]/100</f>
        <v>16691.636158269601</v>
      </c>
    </row>
    <row r="1758" spans="2:10">
      <c r="B1758" s="92" t="s">
        <v>139</v>
      </c>
      <c r="C1758" s="91" t="s">
        <v>392</v>
      </c>
      <c r="D1758" s="93">
        <v>155</v>
      </c>
      <c r="E1758" s="93">
        <v>76</v>
      </c>
      <c r="F1758" s="103">
        <f>IFERROR(INDEX(Tabella9[PLZ],MATCH(Tabella8[[#This Row],[Colonna2]],Tabella9[Ortschaftsname],0)), "Name not found")</f>
        <v>1148</v>
      </c>
      <c r="G1758" s="103"/>
      <c r="H1758" s="240">
        <f ca="1">SUMIF(Tabella2[[#Headers],[#Data],[Age]],$H$76,Tabella2[[#Headers],[#Data],[Federal taxes]])</f>
        <v>6804.3246087429152</v>
      </c>
      <c r="I175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8" s="240">
        <f ca="1">Tabella8[[#This Row],[Colonna7]]*Tabella8[[#This Row],[Colonna4]]/100</f>
        <v>17142.761459844456</v>
      </c>
    </row>
    <row r="1759" spans="2:10">
      <c r="B1759" s="92" t="s">
        <v>139</v>
      </c>
      <c r="C1759" s="91" t="s">
        <v>453</v>
      </c>
      <c r="D1759" s="93">
        <v>155</v>
      </c>
      <c r="E1759" s="93">
        <v>77</v>
      </c>
      <c r="F1759" s="103">
        <f>IFERROR(INDEX(Tabella9[PLZ],MATCH(Tabella8[[#This Row],[Colonna2]],Tabella9[Ortschaftsname],0)), "Name not found")</f>
        <v>1404</v>
      </c>
      <c r="G1759" s="103"/>
      <c r="H1759" s="240">
        <f ca="1">SUMIF(Tabella2[[#Headers],[#Data],[Age]],$H$76,Tabella2[[#Headers],[#Data],[Federal taxes]])</f>
        <v>6804.3246087429152</v>
      </c>
      <c r="I175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59" s="240">
        <f ca="1">Tabella8[[#This Row],[Colonna7]]*Tabella8[[#This Row],[Colonna4]]/100</f>
        <v>17368.324110631882</v>
      </c>
    </row>
    <row r="1760" spans="2:10">
      <c r="B1760" s="92" t="s">
        <v>139</v>
      </c>
      <c r="C1760" s="91" t="s">
        <v>274</v>
      </c>
      <c r="D1760" s="93">
        <v>155</v>
      </c>
      <c r="E1760" s="93">
        <v>59</v>
      </c>
      <c r="F1760" s="103">
        <f>IFERROR(INDEX(Tabella9[PLZ],MATCH(Tabella8[[#This Row],[Colonna2]],Tabella9[Ortschaftsname],0)), "Name not found")</f>
        <v>1588</v>
      </c>
      <c r="G1760" s="103"/>
      <c r="H1760" s="240">
        <f ca="1">SUMIF(Tabella2[[#Headers],[#Data],[Age]],$H$76,Tabella2[[#Headers],[#Data],[Federal taxes]])</f>
        <v>6804.3246087429152</v>
      </c>
      <c r="I176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0" s="240">
        <f ca="1">Tabella8[[#This Row],[Colonna7]]*Tabella8[[#This Row],[Colonna4]]/100</f>
        <v>13308.196396458196</v>
      </c>
    </row>
    <row r="1761" spans="2:10">
      <c r="B1761" s="92" t="s">
        <v>139</v>
      </c>
      <c r="C1761" s="91" t="s">
        <v>248</v>
      </c>
      <c r="D1761" s="93">
        <v>155</v>
      </c>
      <c r="E1761" s="93">
        <v>76</v>
      </c>
      <c r="F1761" s="103">
        <v>1053</v>
      </c>
      <c r="G1761" s="103"/>
      <c r="H1761" s="240">
        <f ca="1">SUMIF(Tabella2[[#Headers],[#Data],[Age]],$H$76,Tabella2[[#Headers],[#Data],[Federal taxes]])</f>
        <v>6804.3246087429152</v>
      </c>
      <c r="I176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1" s="240">
        <f ca="1">Tabella8[[#This Row],[Colonna7]]*Tabella8[[#This Row],[Colonna4]]/100</f>
        <v>17142.761459844456</v>
      </c>
    </row>
    <row r="1762" spans="2:10">
      <c r="B1762" s="92" t="s">
        <v>139</v>
      </c>
      <c r="C1762" s="91" t="s">
        <v>440</v>
      </c>
      <c r="D1762" s="93">
        <v>155</v>
      </c>
      <c r="E1762" s="93">
        <v>73</v>
      </c>
      <c r="F1762" s="103">
        <f>IFERROR(INDEX(Tabella9[PLZ],MATCH(Tabella8[[#This Row],[Colonna2]],Tabella9[Ortschaftsname],0)), "Name not found")</f>
        <v>1521</v>
      </c>
      <c r="G1762" s="103"/>
      <c r="H1762" s="240">
        <f ca="1">SUMIF(Tabella2[[#Headers],[#Data],[Age]],$H$76,Tabella2[[#Headers],[#Data],[Federal taxes]])</f>
        <v>6804.3246087429152</v>
      </c>
      <c r="I176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2" s="240">
        <f ca="1">Tabella8[[#This Row],[Colonna7]]*Tabella8[[#This Row],[Colonna4]]/100</f>
        <v>16466.073507482175</v>
      </c>
    </row>
    <row r="1763" spans="2:10">
      <c r="B1763" s="92" t="s">
        <v>139</v>
      </c>
      <c r="C1763" s="91" t="s">
        <v>319</v>
      </c>
      <c r="D1763" s="93">
        <v>155</v>
      </c>
      <c r="E1763" s="93">
        <v>66</v>
      </c>
      <c r="F1763" s="103">
        <f>IFERROR(INDEX(Tabella9[PLZ],MATCH(Tabella8[[#This Row],[Colonna2]],Tabella9[Ortschaftsname],0)), "Name not found")</f>
        <v>1306</v>
      </c>
      <c r="G1763" s="103"/>
      <c r="H1763" s="240">
        <f ca="1">SUMIF(Tabella2[[#Headers],[#Data],[Age]],$H$76,Tabella2[[#Headers],[#Data],[Federal taxes]])</f>
        <v>6804.3246087429152</v>
      </c>
      <c r="I176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3" s="240">
        <f ca="1">Tabella8[[#This Row],[Colonna7]]*Tabella8[[#This Row],[Colonna4]]/100</f>
        <v>14887.134951970185</v>
      </c>
    </row>
    <row r="1764" spans="2:10">
      <c r="B1764" s="92" t="s">
        <v>139</v>
      </c>
      <c r="C1764" s="91" t="s">
        <v>346</v>
      </c>
      <c r="D1764" s="93">
        <v>155</v>
      </c>
      <c r="E1764" s="93">
        <v>65</v>
      </c>
      <c r="F1764" s="103">
        <f>IFERROR(INDEX(Tabella9[PLZ],MATCH(Tabella8[[#This Row],[Colonna2]],Tabella9[Ortschaftsname],0)), "Name not found")</f>
        <v>1135</v>
      </c>
      <c r="G1764" s="103"/>
      <c r="H1764" s="240">
        <f ca="1">SUMIF(Tabella2[[#Headers],[#Data],[Age]],$H$76,Tabella2[[#Headers],[#Data],[Federal taxes]])</f>
        <v>6804.3246087429152</v>
      </c>
      <c r="I176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4" s="240">
        <f ca="1">Tabella8[[#This Row],[Colonna7]]*Tabella8[[#This Row],[Colonna4]]/100</f>
        <v>14661.572301182758</v>
      </c>
    </row>
    <row r="1765" spans="2:10">
      <c r="B1765" s="92" t="s">
        <v>139</v>
      </c>
      <c r="C1765" s="91" t="s">
        <v>271</v>
      </c>
      <c r="D1765" s="93">
        <v>155</v>
      </c>
      <c r="E1765" s="93">
        <v>62</v>
      </c>
      <c r="F1765" s="103">
        <f>IFERROR(INDEX(Tabella9[PLZ],MATCH(Tabella8[[#This Row],[Colonna2]],Tabella9[Ortschaftsname],0)), "Name not found")</f>
        <v>1026</v>
      </c>
      <c r="G1765" s="103"/>
      <c r="H1765" s="240">
        <f ca="1">SUMIF(Tabella2[[#Headers],[#Data],[Age]],$H$76,Tabella2[[#Headers],[#Data],[Federal taxes]])</f>
        <v>6804.3246087429152</v>
      </c>
      <c r="I176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5" s="240">
        <f ca="1">Tabella8[[#This Row],[Colonna7]]*Tabella8[[#This Row],[Colonna4]]/100</f>
        <v>13984.884348820477</v>
      </c>
    </row>
    <row r="1766" spans="2:10">
      <c r="B1766" s="92" t="s">
        <v>139</v>
      </c>
      <c r="C1766" s="91" t="s">
        <v>459</v>
      </c>
      <c r="D1766" s="93">
        <v>155</v>
      </c>
      <c r="E1766" s="93">
        <v>75</v>
      </c>
      <c r="F1766" s="103">
        <f>IFERROR(INDEX(Tabella9[PLZ],MATCH(Tabella8[[#This Row],[Colonna2]],Tabella9[Ortschaftsname],0)), "Name not found")</f>
        <v>1304</v>
      </c>
      <c r="G1766" s="103"/>
      <c r="H1766" s="240">
        <f ca="1">SUMIF(Tabella2[[#Headers],[#Data],[Age]],$H$76,Tabella2[[#Headers],[#Data],[Federal taxes]])</f>
        <v>6804.3246087429152</v>
      </c>
      <c r="I176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6" s="240">
        <f ca="1">Tabella8[[#This Row],[Colonna7]]*Tabella8[[#This Row],[Colonna4]]/100</f>
        <v>16917.19880905703</v>
      </c>
    </row>
    <row r="1767" spans="2:10">
      <c r="B1767" s="92" t="s">
        <v>139</v>
      </c>
      <c r="C1767" s="91" t="s">
        <v>451</v>
      </c>
      <c r="D1767" s="93">
        <v>155</v>
      </c>
      <c r="E1767" s="93">
        <v>78</v>
      </c>
      <c r="F1767" s="103">
        <v>1682</v>
      </c>
      <c r="G1767" s="103"/>
      <c r="H1767" s="240">
        <f ca="1">SUMIF(Tabella2[[#Headers],[#Data],[Age]],$H$76,Tabella2[[#Headers],[#Data],[Federal taxes]])</f>
        <v>6804.3246087429152</v>
      </c>
      <c r="I176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7" s="240">
        <f ca="1">Tabella8[[#This Row],[Colonna7]]*Tabella8[[#This Row],[Colonna4]]/100</f>
        <v>17593.886761419311</v>
      </c>
    </row>
    <row r="1768" spans="2:10">
      <c r="B1768" s="92" t="s">
        <v>139</v>
      </c>
      <c r="C1768" s="91" t="s">
        <v>343</v>
      </c>
      <c r="D1768" s="93">
        <v>155</v>
      </c>
      <c r="E1768" s="93">
        <v>73</v>
      </c>
      <c r="F1768" s="103">
        <f>IFERROR(INDEX(Tabella9[PLZ],MATCH(Tabella8[[#This Row],[Colonna2]],Tabella9[Ortschaftsname],0)), "Name not found")</f>
        <v>1407</v>
      </c>
      <c r="G1768" s="103"/>
      <c r="H1768" s="240">
        <f ca="1">SUMIF(Tabella2[[#Headers],[#Data],[Age]],$H$76,Tabella2[[#Headers],[#Data],[Federal taxes]])</f>
        <v>6804.3246087429152</v>
      </c>
      <c r="I176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8" s="240">
        <f ca="1">Tabella8[[#This Row],[Colonna7]]*Tabella8[[#This Row],[Colonna4]]/100</f>
        <v>16466.073507482175</v>
      </c>
    </row>
    <row r="1769" spans="2:10">
      <c r="B1769" s="92" t="s">
        <v>139</v>
      </c>
      <c r="C1769" s="91" t="s">
        <v>307</v>
      </c>
      <c r="D1769" s="93">
        <v>155</v>
      </c>
      <c r="E1769" s="93">
        <v>66</v>
      </c>
      <c r="F1769" s="103">
        <f>IFERROR(INDEX(Tabella9[PLZ],MATCH(Tabella8[[#This Row],[Colonna2]],Tabella9[Ortschaftsname],0)), "Name not found")</f>
        <v>1266</v>
      </c>
      <c r="G1769" s="103"/>
      <c r="H1769" s="240">
        <f ca="1">SUMIF(Tabella2[[#Headers],[#Data],[Age]],$H$76,Tabella2[[#Headers],[#Data],[Federal taxes]])</f>
        <v>6804.3246087429152</v>
      </c>
      <c r="I176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69" s="240">
        <f ca="1">Tabella8[[#This Row],[Colonna7]]*Tabella8[[#This Row],[Colonna4]]/100</f>
        <v>14887.134951970185</v>
      </c>
    </row>
    <row r="1770" spans="2:10">
      <c r="B1770" s="92" t="s">
        <v>139</v>
      </c>
      <c r="C1770" s="91" t="s">
        <v>362</v>
      </c>
      <c r="D1770" s="93">
        <v>155</v>
      </c>
      <c r="E1770" s="93">
        <v>53</v>
      </c>
      <c r="F1770" s="103">
        <f>IFERROR(INDEX(Tabella9[PLZ],MATCH(Tabella8[[#This Row],[Colonna2]],Tabella9[Ortschaftsname],0)), "Name not found")</f>
        <v>1195</v>
      </c>
      <c r="G1770" s="103"/>
      <c r="H1770" s="240">
        <f ca="1">SUMIF(Tabella2[[#Headers],[#Data],[Age]],$H$76,Tabella2[[#Headers],[#Data],[Federal taxes]])</f>
        <v>6804.3246087429152</v>
      </c>
      <c r="I177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0" s="240">
        <f ca="1">Tabella8[[#This Row],[Colonna7]]*Tabella8[[#This Row],[Colonna4]]/100</f>
        <v>11954.820491733633</v>
      </c>
    </row>
    <row r="1771" spans="2:10">
      <c r="B1771" s="92" t="s">
        <v>139</v>
      </c>
      <c r="C1771" s="91" t="s">
        <v>480</v>
      </c>
      <c r="D1771" s="93">
        <v>155</v>
      </c>
      <c r="E1771" s="93">
        <v>78</v>
      </c>
      <c r="F1771" s="103">
        <f>IFERROR(INDEX(Tabella9[PLZ],MATCH(Tabella8[[#This Row],[Colonna2]],Tabella9[Ortschaftsname],0)), "Name not found")</f>
        <v>1415</v>
      </c>
      <c r="G1771" s="103"/>
      <c r="H1771" s="240">
        <f ca="1">SUMIF(Tabella2[[#Headers],[#Data],[Age]],$H$76,Tabella2[[#Headers],[#Data],[Federal taxes]])</f>
        <v>6804.3246087429152</v>
      </c>
      <c r="I177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1" s="240">
        <f ca="1">Tabella8[[#This Row],[Colonna7]]*Tabella8[[#This Row],[Colonna4]]/100</f>
        <v>17593.886761419311</v>
      </c>
    </row>
    <row r="1772" spans="2:10">
      <c r="B1772" s="92" t="s">
        <v>139</v>
      </c>
      <c r="C1772" s="91" t="s">
        <v>211</v>
      </c>
      <c r="D1772" s="93">
        <v>155</v>
      </c>
      <c r="E1772" s="93">
        <v>72.5</v>
      </c>
      <c r="F1772" s="103">
        <f>IFERROR(INDEX(Tabella9[PLZ],MATCH(Tabella8[[#This Row],[Colonna2]],Tabella9[Ortschaftsname],0)), "Name not found")</f>
        <v>1040</v>
      </c>
      <c r="G1772" s="103"/>
      <c r="H1772" s="240">
        <f ca="1">SUMIF(Tabella2[[#Headers],[#Data],[Age]],$H$76,Tabella2[[#Headers],[#Data],[Federal taxes]])</f>
        <v>6804.3246087429152</v>
      </c>
      <c r="I177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2" s="240">
        <f ca="1">Tabella8[[#This Row],[Colonna7]]*Tabella8[[#This Row],[Colonna4]]/100</f>
        <v>16353.292182088462</v>
      </c>
    </row>
    <row r="1773" spans="2:10">
      <c r="B1773" s="92" t="s">
        <v>139</v>
      </c>
      <c r="C1773" s="91" t="s">
        <v>247</v>
      </c>
      <c r="D1773" s="93">
        <v>155</v>
      </c>
      <c r="E1773" s="93">
        <v>60.5</v>
      </c>
      <c r="F1773" s="103">
        <f>IFERROR(INDEX(Tabella9[PLZ],MATCH(Tabella8[[#This Row],[Colonna2]],Tabella9[Ortschaftsname],0)), "Name not found")</f>
        <v>1026</v>
      </c>
      <c r="G1773" s="103"/>
      <c r="H1773" s="240">
        <f ca="1">SUMIF(Tabella2[[#Headers],[#Data],[Age]],$H$76,Tabella2[[#Headers],[#Data],[Federal taxes]])</f>
        <v>6804.3246087429152</v>
      </c>
      <c r="I177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3" s="240">
        <f ca="1">Tabella8[[#This Row],[Colonna7]]*Tabella8[[#This Row],[Colonna4]]/100</f>
        <v>13646.540372639336</v>
      </c>
    </row>
    <row r="1774" spans="2:10">
      <c r="B1774" s="92" t="s">
        <v>139</v>
      </c>
      <c r="C1774" s="91" t="s">
        <v>250</v>
      </c>
      <c r="D1774" s="93">
        <v>155</v>
      </c>
      <c r="E1774" s="93">
        <v>66</v>
      </c>
      <c r="F1774" s="103">
        <f>IFERROR(INDEX(Tabella9[PLZ],MATCH(Tabella8[[#This Row],[Colonna2]],Tabella9[Ortschaftsname],0)), "Name not found")</f>
        <v>1112</v>
      </c>
      <c r="G1774" s="103"/>
      <c r="H1774" s="240">
        <f ca="1">SUMIF(Tabella2[[#Headers],[#Data],[Age]],$H$76,Tabella2[[#Headers],[#Data],[Federal taxes]])</f>
        <v>6804.3246087429152</v>
      </c>
      <c r="I177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4" s="240">
        <f ca="1">Tabella8[[#This Row],[Colonna7]]*Tabella8[[#This Row],[Colonna4]]/100</f>
        <v>14887.134951970185</v>
      </c>
    </row>
    <row r="1775" spans="2:10">
      <c r="B1775" s="92" t="s">
        <v>139</v>
      </c>
      <c r="C1775" s="91" t="s">
        <v>304</v>
      </c>
      <c r="D1775" s="93">
        <v>155</v>
      </c>
      <c r="E1775" s="93">
        <v>46</v>
      </c>
      <c r="F1775" s="103">
        <f>IFERROR(INDEX(Tabella9[PLZ],MATCH(Tabella8[[#This Row],[Colonna2]],Tabella9[Ortschaftsname],0)), "Name not found")</f>
        <v>1312</v>
      </c>
      <c r="G1775" s="103"/>
      <c r="H1775" s="240">
        <f ca="1">SUMIF(Tabella2[[#Headers],[#Data],[Age]],$H$76,Tabella2[[#Headers],[#Data],[Federal taxes]])</f>
        <v>6804.3246087429152</v>
      </c>
      <c r="I177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5" s="240">
        <f ca="1">Tabella8[[#This Row],[Colonna7]]*Tabella8[[#This Row],[Colonna4]]/100</f>
        <v>10375.881936221644</v>
      </c>
    </row>
    <row r="1776" spans="2:10">
      <c r="B1776" s="92" t="s">
        <v>139</v>
      </c>
      <c r="C1776" s="91" t="s">
        <v>194</v>
      </c>
      <c r="D1776" s="93">
        <v>155</v>
      </c>
      <c r="E1776" s="93">
        <v>62.5</v>
      </c>
      <c r="F1776" s="103">
        <v>1024</v>
      </c>
      <c r="G1776" s="103"/>
      <c r="H1776" s="240">
        <f ca="1">SUMIF(Tabella2[[#Headers],[#Data],[Age]],$H$76,Tabella2[[#Headers],[#Data],[Federal taxes]])</f>
        <v>6804.3246087429152</v>
      </c>
      <c r="I177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6" s="240">
        <f ca="1">Tabella8[[#This Row],[Colonna7]]*Tabella8[[#This Row],[Colonna4]]/100</f>
        <v>14097.665674214191</v>
      </c>
    </row>
    <row r="1777" spans="2:10">
      <c r="B1777" s="92" t="s">
        <v>139</v>
      </c>
      <c r="C1777" s="91" t="s">
        <v>200</v>
      </c>
      <c r="D1777" s="93">
        <v>155</v>
      </c>
      <c r="E1777" s="93">
        <v>64.5</v>
      </c>
      <c r="F1777" s="103">
        <f>IFERROR(INDEX(Tabella9[PLZ],MATCH(Tabella8[[#This Row],[Colonna2]],Tabella9[Ortschaftsname],0)), "Name not found")</f>
        <v>1066</v>
      </c>
      <c r="G1777" s="103"/>
      <c r="H1777" s="240">
        <f ca="1">SUMIF(Tabella2[[#Headers],[#Data],[Age]],$H$76,Tabella2[[#Headers],[#Data],[Federal taxes]])</f>
        <v>6804.3246087429152</v>
      </c>
      <c r="I177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7" s="240">
        <f ca="1">Tabella8[[#This Row],[Colonna7]]*Tabella8[[#This Row],[Colonna4]]/100</f>
        <v>14548.790975789043</v>
      </c>
    </row>
    <row r="1778" spans="2:10">
      <c r="B1778" s="92" t="s">
        <v>139</v>
      </c>
      <c r="C1778" s="91" t="s">
        <v>430</v>
      </c>
      <c r="D1778" s="93">
        <v>155</v>
      </c>
      <c r="E1778" s="93">
        <v>73.5</v>
      </c>
      <c r="F1778" s="103">
        <v>1434</v>
      </c>
      <c r="G1778" s="103"/>
      <c r="H1778" s="240">
        <f ca="1">SUMIF(Tabella2[[#Headers],[#Data],[Age]],$H$76,Tabella2[[#Headers],[#Data],[Federal taxes]])</f>
        <v>6804.3246087429152</v>
      </c>
      <c r="I177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8" s="240">
        <f ca="1">Tabella8[[#This Row],[Colonna7]]*Tabella8[[#This Row],[Colonna4]]/100</f>
        <v>16578.854832875888</v>
      </c>
    </row>
    <row r="1779" spans="2:10">
      <c r="B1779" s="92" t="s">
        <v>139</v>
      </c>
      <c r="C1779" s="91" t="s">
        <v>354</v>
      </c>
      <c r="D1779" s="93">
        <v>155</v>
      </c>
      <c r="E1779" s="93">
        <v>66.5</v>
      </c>
      <c r="F1779" s="103">
        <f>IFERROR(INDEX(Tabella9[PLZ],MATCH(Tabella8[[#This Row],[Colonna2]],Tabella9[Ortschaftsname],0)), "Name not found")</f>
        <v>1186</v>
      </c>
      <c r="G1779" s="103"/>
      <c r="H1779" s="240">
        <f ca="1">SUMIF(Tabella2[[#Headers],[#Data],[Age]],$H$76,Tabella2[[#Headers],[#Data],[Federal taxes]])</f>
        <v>6804.3246087429152</v>
      </c>
      <c r="I177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79" s="240">
        <f ca="1">Tabella8[[#This Row],[Colonna7]]*Tabella8[[#This Row],[Colonna4]]/100</f>
        <v>14999.916277363898</v>
      </c>
    </row>
    <row r="1780" spans="2:10">
      <c r="B1780" s="92" t="s">
        <v>139</v>
      </c>
      <c r="C1780" s="91" t="s">
        <v>323</v>
      </c>
      <c r="D1780" s="93">
        <v>155</v>
      </c>
      <c r="E1780" s="93">
        <v>74</v>
      </c>
      <c r="F1780" s="103">
        <f>IFERROR(INDEX(Tabella9[PLZ],MATCH(Tabella8[[#This Row],[Colonna2]],Tabella9[Ortschaftsname],0)), "Name not found")</f>
        <v>1417</v>
      </c>
      <c r="G1780" s="103"/>
      <c r="H1780" s="240">
        <f ca="1">SUMIF(Tabella2[[#Headers],[#Data],[Age]],$H$76,Tabella2[[#Headers],[#Data],[Federal taxes]])</f>
        <v>6804.3246087429152</v>
      </c>
      <c r="I178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0" s="240">
        <f ca="1">Tabella8[[#This Row],[Colonna7]]*Tabella8[[#This Row],[Colonna4]]/100</f>
        <v>16691.636158269601</v>
      </c>
    </row>
    <row r="1781" spans="2:10">
      <c r="B1781" s="92" t="s">
        <v>139</v>
      </c>
      <c r="C1781" s="91" t="s">
        <v>301</v>
      </c>
      <c r="D1781" s="93">
        <v>155</v>
      </c>
      <c r="E1781" s="93">
        <v>73</v>
      </c>
      <c r="F1781" s="103">
        <f>IFERROR(INDEX(Tabella9[PLZ],MATCH(Tabella8[[#This Row],[Colonna2]],Tabella9[Ortschaftsname],0)), "Name not found")</f>
        <v>1037</v>
      </c>
      <c r="G1781" s="103"/>
      <c r="H1781" s="240">
        <f ca="1">SUMIF(Tabella2[[#Headers],[#Data],[Age]],$H$76,Tabella2[[#Headers],[#Data],[Federal taxes]])</f>
        <v>6804.3246087429152</v>
      </c>
      <c r="I178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1" s="240">
        <f ca="1">Tabella8[[#This Row],[Colonna7]]*Tabella8[[#This Row],[Colonna4]]/100</f>
        <v>16466.073507482175</v>
      </c>
    </row>
    <row r="1782" spans="2:10">
      <c r="B1782" s="92" t="s">
        <v>139</v>
      </c>
      <c r="C1782" s="91" t="s">
        <v>242</v>
      </c>
      <c r="D1782" s="93">
        <v>155</v>
      </c>
      <c r="E1782" s="93">
        <v>60</v>
      </c>
      <c r="F1782" s="103">
        <f>IFERROR(INDEX(Tabella9[PLZ],MATCH(Tabella8[[#This Row],[Colonna2]],Tabella9[Ortschaftsname],0)), "Name not found")</f>
        <v>1163</v>
      </c>
      <c r="G1782" s="103"/>
      <c r="H1782" s="240">
        <f ca="1">SUMIF(Tabella2[[#Headers],[#Data],[Age]],$H$76,Tabella2[[#Headers],[#Data],[Federal taxes]])</f>
        <v>6804.3246087429152</v>
      </c>
      <c r="I178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2" s="240">
        <f ca="1">Tabella8[[#This Row],[Colonna7]]*Tabella8[[#This Row],[Colonna4]]/100</f>
        <v>13533.759047245623</v>
      </c>
    </row>
    <row r="1783" spans="2:10">
      <c r="B1783" s="92" t="s">
        <v>139</v>
      </c>
      <c r="C1783" s="91" t="s">
        <v>272</v>
      </c>
      <c r="D1783" s="93">
        <v>155</v>
      </c>
      <c r="E1783" s="93">
        <v>59.5</v>
      </c>
      <c r="F1783" s="103">
        <f>IFERROR(INDEX(Tabella9[PLZ],MATCH(Tabella8[[#This Row],[Colonna2]],Tabella9[Ortschaftsname],0)), "Name not found")</f>
        <v>1262</v>
      </c>
      <c r="G1783" s="103"/>
      <c r="H1783" s="240">
        <f ca="1">SUMIF(Tabella2[[#Headers],[#Data],[Age]],$H$76,Tabella2[[#Headers],[#Data],[Federal taxes]])</f>
        <v>6804.3246087429152</v>
      </c>
      <c r="I178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3" s="240">
        <f ca="1">Tabella8[[#This Row],[Colonna7]]*Tabella8[[#This Row],[Colonna4]]/100</f>
        <v>13420.977721851908</v>
      </c>
    </row>
    <row r="1784" spans="2:10">
      <c r="B1784" s="92" t="s">
        <v>139</v>
      </c>
      <c r="C1784" s="91" t="s">
        <v>332</v>
      </c>
      <c r="D1784" s="93">
        <v>155</v>
      </c>
      <c r="E1784" s="93">
        <v>65</v>
      </c>
      <c r="F1784" s="103">
        <f>IFERROR(INDEX(Tabella9[PLZ],MATCH(Tabella8[[#This Row],[Colonna2]],Tabella9[Ortschaftsname],0)), "Name not found")</f>
        <v>1595</v>
      </c>
      <c r="G1784" s="103"/>
      <c r="H1784" s="240">
        <f ca="1">SUMIF(Tabella2[[#Headers],[#Data],[Age]],$H$76,Tabella2[[#Headers],[#Data],[Federal taxes]])</f>
        <v>6804.3246087429152</v>
      </c>
      <c r="I178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4" s="240">
        <f ca="1">Tabella8[[#This Row],[Colonna7]]*Tabella8[[#This Row],[Colonna4]]/100</f>
        <v>14661.572301182758</v>
      </c>
    </row>
    <row r="1785" spans="2:10">
      <c r="B1785" s="92" t="s">
        <v>139</v>
      </c>
      <c r="C1785" s="91" t="s">
        <v>439</v>
      </c>
      <c r="D1785" s="93">
        <v>155</v>
      </c>
      <c r="E1785" s="93">
        <v>76</v>
      </c>
      <c r="F1785" s="103">
        <f>IFERROR(INDEX(Tabella9[PLZ],MATCH(Tabella8[[#This Row],[Colonna2]],Tabella9[Ortschaftsname],0)), "Name not found")</f>
        <v>1313</v>
      </c>
      <c r="G1785" s="103"/>
      <c r="H1785" s="240">
        <f ca="1">SUMIF(Tabella2[[#Headers],[#Data],[Age]],$H$76,Tabella2[[#Headers],[#Data],[Federal taxes]])</f>
        <v>6804.3246087429152</v>
      </c>
      <c r="I178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5" s="240">
        <f ca="1">Tabella8[[#This Row],[Colonna7]]*Tabella8[[#This Row],[Colonna4]]/100</f>
        <v>17142.761459844456</v>
      </c>
    </row>
    <row r="1786" spans="2:10">
      <c r="B1786" s="92" t="s">
        <v>139</v>
      </c>
      <c r="C1786" s="91" t="s">
        <v>353</v>
      </c>
      <c r="D1786" s="93">
        <v>155</v>
      </c>
      <c r="E1786" s="93">
        <v>75</v>
      </c>
      <c r="F1786" s="103">
        <f>IFERROR(INDEX(Tabella9[PLZ],MATCH(Tabella8[[#This Row],[Colonna2]],Tabella9[Ortschaftsname],0)), "Name not found")</f>
        <v>1044</v>
      </c>
      <c r="G1786" s="103"/>
      <c r="H1786" s="240">
        <f ca="1">SUMIF(Tabella2[[#Headers],[#Data],[Age]],$H$76,Tabella2[[#Headers],[#Data],[Federal taxes]])</f>
        <v>6804.3246087429152</v>
      </c>
      <c r="I178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6" s="240">
        <f ca="1">Tabella8[[#This Row],[Colonna7]]*Tabella8[[#This Row],[Colonna4]]/100</f>
        <v>16917.19880905703</v>
      </c>
    </row>
    <row r="1787" spans="2:10">
      <c r="B1787" s="92" t="s">
        <v>139</v>
      </c>
      <c r="C1787" s="91" t="s">
        <v>406</v>
      </c>
      <c r="D1787" s="93">
        <v>155</v>
      </c>
      <c r="E1787" s="93">
        <v>69</v>
      </c>
      <c r="F1787" s="103">
        <f>IFERROR(INDEX(Tabella9[PLZ],MATCH(Tabella8[[#This Row],[Colonna2]],Tabella9[Ortschaftsname],0)), "Name not found")</f>
        <v>1420</v>
      </c>
      <c r="G1787" s="103"/>
      <c r="H1787" s="240">
        <f ca="1">SUMIF(Tabella2[[#Headers],[#Data],[Age]],$H$76,Tabella2[[#Headers],[#Data],[Federal taxes]])</f>
        <v>6804.3246087429152</v>
      </c>
      <c r="I178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7" s="240">
        <f ca="1">Tabella8[[#This Row],[Colonna7]]*Tabella8[[#This Row],[Colonna4]]/100</f>
        <v>15563.822904332466</v>
      </c>
    </row>
    <row r="1788" spans="2:10">
      <c r="B1788" s="92" t="s">
        <v>139</v>
      </c>
      <c r="C1788" s="91" t="s">
        <v>466</v>
      </c>
      <c r="D1788" s="93">
        <v>155</v>
      </c>
      <c r="E1788" s="93">
        <v>69</v>
      </c>
      <c r="F1788" s="103">
        <f>IFERROR(INDEX(Tabella9[PLZ],MATCH(Tabella8[[#This Row],[Colonna2]],Tabella9[Ortschaftsname],0)), "Name not found")</f>
        <v>1421</v>
      </c>
      <c r="G1788" s="103"/>
      <c r="H1788" s="240">
        <f ca="1">SUMIF(Tabella2[[#Headers],[#Data],[Age]],$H$76,Tabella2[[#Headers],[#Data],[Federal taxes]])</f>
        <v>6804.3246087429152</v>
      </c>
      <c r="I178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8" s="240">
        <f ca="1">Tabella8[[#This Row],[Colonna7]]*Tabella8[[#This Row],[Colonna4]]/100</f>
        <v>15563.822904332466</v>
      </c>
    </row>
    <row r="1789" spans="2:10">
      <c r="B1789" s="92" t="s">
        <v>139</v>
      </c>
      <c r="C1789" s="91" t="s">
        <v>261</v>
      </c>
      <c r="D1789" s="93">
        <v>155</v>
      </c>
      <c r="E1789" s="93">
        <v>69</v>
      </c>
      <c r="F1789" s="103">
        <f>IFERROR(INDEX(Tabella9[PLZ],MATCH(Tabella8[[#This Row],[Colonna2]],Tabella9[Ortschaftsname],0)), "Name not found")</f>
        <v>1072</v>
      </c>
      <c r="G1789" s="103"/>
      <c r="H1789" s="240">
        <f ca="1">SUMIF(Tabella2[[#Headers],[#Data],[Age]],$H$76,Tabella2[[#Headers],[#Data],[Federal taxes]])</f>
        <v>6804.3246087429152</v>
      </c>
      <c r="I178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89" s="240">
        <f ca="1">Tabella8[[#This Row],[Colonna7]]*Tabella8[[#This Row],[Colonna4]]/100</f>
        <v>15563.822904332466</v>
      </c>
    </row>
    <row r="1790" spans="2:10">
      <c r="B1790" s="92" t="s">
        <v>139</v>
      </c>
      <c r="C1790" s="91" t="s">
        <v>229</v>
      </c>
      <c r="D1790" s="93">
        <v>155</v>
      </c>
      <c r="E1790" s="93">
        <v>57</v>
      </c>
      <c r="F1790" s="103">
        <f>IFERROR(INDEX(Tabella9[PLZ],MATCH(Tabella8[[#This Row],[Colonna2]],Tabella9[Ortschaftsname],0)), "Name not found")</f>
        <v>1297</v>
      </c>
      <c r="G1790" s="103"/>
      <c r="H1790" s="240">
        <f ca="1">SUMIF(Tabella2[[#Headers],[#Data],[Age]],$H$76,Tabella2[[#Headers],[#Data],[Federal taxes]])</f>
        <v>6804.3246087429152</v>
      </c>
      <c r="I179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0" s="240">
        <f ca="1">Tabella8[[#This Row],[Colonna7]]*Tabella8[[#This Row],[Colonna4]]/100</f>
        <v>12857.071094883342</v>
      </c>
    </row>
    <row r="1791" spans="2:10">
      <c r="B1791" s="92" t="s">
        <v>139</v>
      </c>
      <c r="C1791" s="91" t="s">
        <v>254</v>
      </c>
      <c r="D1791" s="93">
        <v>155</v>
      </c>
      <c r="E1791" s="93">
        <v>72</v>
      </c>
      <c r="F1791" s="103">
        <f>IFERROR(INDEX(Tabella9[PLZ],MATCH(Tabella8[[#This Row],[Colonna2]],Tabella9[Ortschaftsname],0)), "Name not found")</f>
        <v>1055</v>
      </c>
      <c r="G1791" s="103"/>
      <c r="H1791" s="240">
        <f ca="1">SUMIF(Tabella2[[#Headers],[#Data],[Age]],$H$76,Tabella2[[#Headers],[#Data],[Federal taxes]])</f>
        <v>6804.3246087429152</v>
      </c>
      <c r="I179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1" s="240">
        <f ca="1">Tabella8[[#This Row],[Colonna7]]*Tabella8[[#This Row],[Colonna4]]/100</f>
        <v>16240.510856694747</v>
      </c>
    </row>
    <row r="1792" spans="2:10">
      <c r="B1792" s="92" t="s">
        <v>139</v>
      </c>
      <c r="C1792" s="91" t="s">
        <v>331</v>
      </c>
      <c r="D1792" s="93">
        <v>155</v>
      </c>
      <c r="E1792" s="93">
        <v>64</v>
      </c>
      <c r="F1792" s="103">
        <f>IFERROR(INDEX(Tabella9[PLZ],MATCH(Tabella8[[#This Row],[Colonna2]],Tabella9[Ortschaftsname],0)), "Name not found")</f>
        <v>1173</v>
      </c>
      <c r="G1792" s="103"/>
      <c r="H1792" s="240">
        <f ca="1">SUMIF(Tabella2[[#Headers],[#Data],[Age]],$H$76,Tabella2[[#Headers],[#Data],[Federal taxes]])</f>
        <v>6804.3246087429152</v>
      </c>
      <c r="I179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2" s="240">
        <f ca="1">Tabella8[[#This Row],[Colonna7]]*Tabella8[[#This Row],[Colonna4]]/100</f>
        <v>14436.009650395332</v>
      </c>
    </row>
    <row r="1793" spans="2:10">
      <c r="B1793" s="92" t="s">
        <v>139</v>
      </c>
      <c r="C1793" s="91" t="s">
        <v>264</v>
      </c>
      <c r="D1793" s="93">
        <v>155</v>
      </c>
      <c r="E1793" s="93">
        <v>52</v>
      </c>
      <c r="F1793" s="103">
        <f>IFERROR(INDEX(Tabella9[PLZ],MATCH(Tabella8[[#This Row],[Colonna2]],Tabella9[Ortschaftsname],0)), "Name not found")</f>
        <v>1272</v>
      </c>
      <c r="G1793" s="103"/>
      <c r="H1793" s="240">
        <f ca="1">SUMIF(Tabella2[[#Headers],[#Data],[Age]],$H$76,Tabella2[[#Headers],[#Data],[Federal taxes]])</f>
        <v>6804.3246087429152</v>
      </c>
      <c r="I179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3" s="240">
        <f ca="1">Tabella8[[#This Row],[Colonna7]]*Tabella8[[#This Row],[Colonna4]]/100</f>
        <v>11729.257840946208</v>
      </c>
    </row>
    <row r="1794" spans="2:10">
      <c r="B1794" s="92" t="s">
        <v>139</v>
      </c>
      <c r="C1794" s="91" t="s">
        <v>409</v>
      </c>
      <c r="D1794" s="93">
        <v>155</v>
      </c>
      <c r="E1794" s="93">
        <v>68</v>
      </c>
      <c r="F1794" s="103">
        <f>IFERROR(INDEX(Tabella9[PLZ],MATCH(Tabella8[[#This Row],[Colonna2]],Tabella9[Ortschaftsname],0)), "Name not found")</f>
        <v>1429</v>
      </c>
      <c r="G1794" s="103"/>
      <c r="H1794" s="240">
        <f ca="1">SUMIF(Tabella2[[#Headers],[#Data],[Age]],$H$76,Tabella2[[#Headers],[#Data],[Federal taxes]])</f>
        <v>6804.3246087429152</v>
      </c>
      <c r="I179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4" s="240">
        <f ca="1">Tabella8[[#This Row],[Colonna7]]*Tabella8[[#This Row],[Colonna4]]/100</f>
        <v>15338.260253545039</v>
      </c>
    </row>
    <row r="1795" spans="2:10">
      <c r="B1795" s="92" t="s">
        <v>139</v>
      </c>
      <c r="C1795" s="91" t="s">
        <v>288</v>
      </c>
      <c r="D1795" s="93">
        <v>155</v>
      </c>
      <c r="E1795" s="93">
        <v>64.5</v>
      </c>
      <c r="F1795" s="103">
        <f>IFERROR(INDEX(Tabella9[PLZ],MATCH(Tabella8[[#This Row],[Colonna2]],Tabella9[Ortschaftsname],0)), "Name not found")</f>
        <v>1182</v>
      </c>
      <c r="G1795" s="103"/>
      <c r="H1795" s="240">
        <f ca="1">SUMIF(Tabella2[[#Headers],[#Data],[Age]],$H$76,Tabella2[[#Headers],[#Data],[Federal taxes]])</f>
        <v>6804.3246087429152</v>
      </c>
      <c r="I179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5" s="240">
        <f ca="1">Tabella8[[#This Row],[Colonna7]]*Tabella8[[#This Row],[Colonna4]]/100</f>
        <v>14548.790975789043</v>
      </c>
    </row>
    <row r="1796" spans="2:10">
      <c r="B1796" s="92" t="s">
        <v>139</v>
      </c>
      <c r="C1796" s="91" t="s">
        <v>263</v>
      </c>
      <c r="D1796" s="93">
        <v>155</v>
      </c>
      <c r="E1796" s="93">
        <v>73</v>
      </c>
      <c r="F1796" s="103">
        <f>IFERROR(INDEX(Tabella9[PLZ],MATCH(Tabella8[[#This Row],[Colonna2]],Tabella9[Ortschaftsname],0)), "Name not found")</f>
        <v>1188</v>
      </c>
      <c r="G1796" s="103"/>
      <c r="H1796" s="240">
        <f ca="1">SUMIF(Tabella2[[#Headers],[#Data],[Age]],$H$76,Tabella2[[#Headers],[#Data],[Federal taxes]])</f>
        <v>6804.3246087429152</v>
      </c>
      <c r="I179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6" s="240">
        <f ca="1">Tabella8[[#This Row],[Colonna7]]*Tabella8[[#This Row],[Colonna4]]/100</f>
        <v>16466.073507482175</v>
      </c>
    </row>
    <row r="1797" spans="2:10">
      <c r="B1797" s="92" t="s">
        <v>139</v>
      </c>
      <c r="C1797" s="91" t="s">
        <v>295</v>
      </c>
      <c r="D1797" s="93">
        <v>155</v>
      </c>
      <c r="E1797" s="93">
        <v>60</v>
      </c>
      <c r="F1797" s="103">
        <f>IFERROR(INDEX(Tabella9[PLZ],MATCH(Tabella8[[#This Row],[Colonna2]],Tabella9[Ortschaftsname],0)), "Name not found")</f>
        <v>1276</v>
      </c>
      <c r="G1797" s="103"/>
      <c r="H1797" s="240">
        <f ca="1">SUMIF(Tabella2[[#Headers],[#Data],[Age]],$H$76,Tabella2[[#Headers],[#Data],[Federal taxes]])</f>
        <v>6804.3246087429152</v>
      </c>
      <c r="I179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7" s="240">
        <f ca="1">Tabella8[[#This Row],[Colonna7]]*Tabella8[[#This Row],[Colonna4]]/100</f>
        <v>13533.759047245623</v>
      </c>
    </row>
    <row r="1798" spans="2:10">
      <c r="B1798" s="92" t="s">
        <v>139</v>
      </c>
      <c r="C1798" s="91" t="s">
        <v>320</v>
      </c>
      <c r="D1798" s="93">
        <v>155</v>
      </c>
      <c r="E1798" s="93">
        <v>67</v>
      </c>
      <c r="F1798" s="103">
        <f>IFERROR(INDEX(Tabella9[PLZ],MATCH(Tabella8[[#This Row],[Colonna2]],Tabella9[Ortschaftsname],0)), "Name not found")</f>
        <v>1271</v>
      </c>
      <c r="G1798" s="103"/>
      <c r="H1798" s="240">
        <f ca="1">SUMIF(Tabella2[[#Headers],[#Data],[Age]],$H$76,Tabella2[[#Headers],[#Data],[Federal taxes]])</f>
        <v>6804.3246087429152</v>
      </c>
      <c r="I179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8" s="240">
        <f ca="1">Tabella8[[#This Row],[Colonna7]]*Tabella8[[#This Row],[Colonna4]]/100</f>
        <v>15112.697602757611</v>
      </c>
    </row>
    <row r="1799" spans="2:10">
      <c r="B1799" s="92" t="s">
        <v>139</v>
      </c>
      <c r="C1799" s="91" t="s">
        <v>193</v>
      </c>
      <c r="D1799" s="93">
        <v>155</v>
      </c>
      <c r="E1799" s="93">
        <v>61</v>
      </c>
      <c r="F1799" s="103">
        <f>IFERROR(INDEX(Tabella9[PLZ],MATCH(Tabella8[[#This Row],[Colonna2]],Tabella9[Ortschaftsname],0)), "Name not found")</f>
        <v>1196</v>
      </c>
      <c r="G1799" s="103"/>
      <c r="H1799" s="240">
        <f ca="1">SUMIF(Tabella2[[#Headers],[#Data],[Age]],$H$76,Tabella2[[#Headers],[#Data],[Federal taxes]])</f>
        <v>6804.3246087429152</v>
      </c>
      <c r="I179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799" s="240">
        <f ca="1">Tabella8[[#This Row],[Colonna7]]*Tabella8[[#This Row],[Colonna4]]/100</f>
        <v>13759.321698033051</v>
      </c>
    </row>
    <row r="1800" spans="2:10">
      <c r="B1800" s="92" t="s">
        <v>139</v>
      </c>
      <c r="C1800" s="91" t="s">
        <v>329</v>
      </c>
      <c r="D1800" s="93">
        <v>155</v>
      </c>
      <c r="E1800" s="93">
        <v>74</v>
      </c>
      <c r="F1800" s="103">
        <f>IFERROR(INDEX(Tabella9[PLZ],MATCH(Tabella8[[#This Row],[Colonna2]],Tabella9[Ortschaftsname],0)), "Name not found")</f>
        <v>1124</v>
      </c>
      <c r="G1800" s="103"/>
      <c r="H1800" s="240">
        <f ca="1">SUMIF(Tabella2[[#Headers],[#Data],[Age]],$H$76,Tabella2[[#Headers],[#Data],[Federal taxes]])</f>
        <v>6804.3246087429152</v>
      </c>
      <c r="I180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0" s="240">
        <f ca="1">Tabella8[[#This Row],[Colonna7]]*Tabella8[[#This Row],[Colonna4]]/100</f>
        <v>16691.636158269601</v>
      </c>
    </row>
    <row r="1801" spans="2:10">
      <c r="B1801" s="92" t="s">
        <v>139</v>
      </c>
      <c r="C1801" s="91" t="s">
        <v>303</v>
      </c>
      <c r="D1801" s="93">
        <v>155</v>
      </c>
      <c r="E1801" s="93">
        <v>75.5</v>
      </c>
      <c r="F1801" s="103">
        <v>1376</v>
      </c>
      <c r="G1801" s="103"/>
      <c r="H1801" s="240">
        <f ca="1">SUMIF(Tabella2[[#Headers],[#Data],[Age]],$H$76,Tabella2[[#Headers],[#Data],[Federal taxes]])</f>
        <v>6804.3246087429152</v>
      </c>
      <c r="I180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1" s="240">
        <f ca="1">Tabella8[[#This Row],[Colonna7]]*Tabella8[[#This Row],[Colonna4]]/100</f>
        <v>17029.980134450743</v>
      </c>
    </row>
    <row r="1802" spans="2:10">
      <c r="B1802" s="92" t="s">
        <v>139</v>
      </c>
      <c r="C1802" s="91" t="s">
        <v>415</v>
      </c>
      <c r="D1802" s="93">
        <v>155</v>
      </c>
      <c r="E1802" s="93">
        <v>70</v>
      </c>
      <c r="F1802" s="103">
        <f>IFERROR(INDEX(Tabella9[PLZ],MATCH(Tabella8[[#This Row],[Colonna2]],Tabella9[Ortschaftsname],0)), "Name not found")</f>
        <v>1117</v>
      </c>
      <c r="G1802" s="103"/>
      <c r="H1802" s="240">
        <f ca="1">SUMIF(Tabella2[[#Headers],[#Data],[Age]],$H$76,Tabella2[[#Headers],[#Data],[Federal taxes]])</f>
        <v>6804.3246087429152</v>
      </c>
      <c r="I180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2" s="240">
        <f ca="1">Tabella8[[#This Row],[Colonna7]]*Tabella8[[#This Row],[Colonna4]]/100</f>
        <v>15789.385555119894</v>
      </c>
    </row>
    <row r="1803" spans="2:10">
      <c r="B1803" s="92" t="s">
        <v>139</v>
      </c>
      <c r="C1803" s="91" t="s">
        <v>334</v>
      </c>
      <c r="D1803" s="93">
        <v>155</v>
      </c>
      <c r="E1803" s="93">
        <v>72</v>
      </c>
      <c r="F1803" s="103">
        <f>IFERROR(INDEX(Tabella9[PLZ],MATCH(Tabella8[[#This Row],[Colonna2]],Tabella9[Ortschaftsname],0)), "Name not found")</f>
        <v>1543</v>
      </c>
      <c r="G1803" s="103"/>
      <c r="H1803" s="240">
        <f ca="1">SUMIF(Tabella2[[#Headers],[#Data],[Age]],$H$76,Tabella2[[#Headers],[#Data],[Federal taxes]])</f>
        <v>6804.3246087429152</v>
      </c>
      <c r="I180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3" s="240">
        <f ca="1">Tabella8[[#This Row],[Colonna7]]*Tabella8[[#This Row],[Colonna4]]/100</f>
        <v>16240.510856694747</v>
      </c>
    </row>
    <row r="1804" spans="2:10">
      <c r="B1804" s="92" t="s">
        <v>139</v>
      </c>
      <c r="C1804" s="91" t="s">
        <v>460</v>
      </c>
      <c r="D1804" s="93">
        <v>155</v>
      </c>
      <c r="E1804" s="93">
        <v>70</v>
      </c>
      <c r="F1804" s="103">
        <f>IFERROR(INDEX(Tabella9[PLZ],MATCH(Tabella8[[#This Row],[Colonna2]],Tabella9[Ortschaftsname],0)), "Name not found")</f>
        <v>1421</v>
      </c>
      <c r="G1804" s="103"/>
      <c r="H1804" s="240">
        <f ca="1">SUMIF(Tabella2[[#Headers],[#Data],[Age]],$H$76,Tabella2[[#Headers],[#Data],[Federal taxes]])</f>
        <v>6804.3246087429152</v>
      </c>
      <c r="I180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4" s="240">
        <f ca="1">Tabella8[[#This Row],[Colonna7]]*Tabella8[[#This Row],[Colonna4]]/100</f>
        <v>15789.385555119894</v>
      </c>
    </row>
    <row r="1805" spans="2:10">
      <c r="B1805" s="92" t="s">
        <v>139</v>
      </c>
      <c r="C1805" s="91" t="s">
        <v>236</v>
      </c>
      <c r="D1805" s="93">
        <v>155</v>
      </c>
      <c r="E1805" s="93">
        <v>69</v>
      </c>
      <c r="F1805" s="103">
        <f>IFERROR(INDEX(Tabella9[PLZ],MATCH(Tabella8[[#This Row],[Colonna2]],Tabella9[Ortschaftsname],0)), "Name not found")</f>
        <v>1422</v>
      </c>
      <c r="G1805" s="103"/>
      <c r="H1805" s="240">
        <f ca="1">SUMIF(Tabella2[[#Headers],[#Data],[Age]],$H$76,Tabella2[[#Headers],[#Data],[Federal taxes]])</f>
        <v>6804.3246087429152</v>
      </c>
      <c r="I180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5" s="240">
        <f ca="1">Tabella8[[#This Row],[Colonna7]]*Tabella8[[#This Row],[Colonna4]]/100</f>
        <v>15563.822904332466</v>
      </c>
    </row>
    <row r="1806" spans="2:10">
      <c r="B1806" s="92" t="s">
        <v>139</v>
      </c>
      <c r="C1806" s="91" t="s">
        <v>420</v>
      </c>
      <c r="D1806" s="93">
        <v>155</v>
      </c>
      <c r="E1806" s="93">
        <v>62</v>
      </c>
      <c r="F1806" s="103">
        <f>IFERROR(INDEX(Tabella9[PLZ],MATCH(Tabella8[[#This Row],[Colonna2]],Tabella9[Ortschaftsname],0)), "Name not found")</f>
        <v>1274</v>
      </c>
      <c r="G1806" s="103"/>
      <c r="H1806" s="240">
        <f ca="1">SUMIF(Tabella2[[#Headers],[#Data],[Age]],$H$76,Tabella2[[#Headers],[#Data],[Federal taxes]])</f>
        <v>6804.3246087429152</v>
      </c>
      <c r="I180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6" s="240">
        <f ca="1">Tabella8[[#This Row],[Colonna7]]*Tabella8[[#This Row],[Colonna4]]/100</f>
        <v>13984.884348820477</v>
      </c>
    </row>
    <row r="1807" spans="2:10">
      <c r="B1807" s="92" t="s">
        <v>139</v>
      </c>
      <c r="C1807" s="91" t="s">
        <v>286</v>
      </c>
      <c r="D1807" s="93">
        <v>155</v>
      </c>
      <c r="E1807" s="93">
        <v>73.5</v>
      </c>
      <c r="F1807" s="103">
        <f>IFERROR(INDEX(Tabella9[PLZ],MATCH(Tabella8[[#This Row],[Colonna2]],Tabella9[Ortschaftsname],0)), "Name not found")</f>
        <v>1882</v>
      </c>
      <c r="G1807" s="103"/>
      <c r="H1807" s="240">
        <f ca="1">SUMIF(Tabella2[[#Headers],[#Data],[Age]],$H$76,Tabella2[[#Headers],[#Data],[Federal taxes]])</f>
        <v>6804.3246087429152</v>
      </c>
      <c r="I180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7" s="240">
        <f ca="1">Tabella8[[#This Row],[Colonna7]]*Tabella8[[#This Row],[Colonna4]]/100</f>
        <v>16578.854832875888</v>
      </c>
    </row>
    <row r="1808" spans="2:10">
      <c r="B1808" s="92" t="s">
        <v>139</v>
      </c>
      <c r="C1808" s="91" t="s">
        <v>2686</v>
      </c>
      <c r="D1808" s="93">
        <v>155</v>
      </c>
      <c r="E1808" s="93">
        <v>71</v>
      </c>
      <c r="F1808" s="103">
        <v>1143</v>
      </c>
      <c r="G1808" s="103"/>
      <c r="H1808" s="240">
        <f ca="1">SUMIF(Tabella2[[#Headers],[#Data],[Age]],$H$76,Tabella2[[#Headers],[#Data],[Federal taxes]])</f>
        <v>6804.3246087429152</v>
      </c>
      <c r="I180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8" s="240">
        <f ca="1">Tabella8[[#This Row],[Colonna7]]*Tabella8[[#This Row],[Colonna4]]/100</f>
        <v>16014.94820590732</v>
      </c>
    </row>
    <row r="1809" spans="2:10">
      <c r="B1809" s="92" t="s">
        <v>139</v>
      </c>
      <c r="C1809" s="91" t="s">
        <v>431</v>
      </c>
      <c r="D1809" s="93">
        <v>155</v>
      </c>
      <c r="E1809" s="93">
        <v>69</v>
      </c>
      <c r="F1809" s="103">
        <f>IFERROR(INDEX(Tabella9[PLZ],MATCH(Tabella8[[#This Row],[Colonna2]],Tabella9[Ortschaftsname],0)), "Name not found")</f>
        <v>1525</v>
      </c>
      <c r="G1809" s="103"/>
      <c r="H1809" s="240">
        <f ca="1">SUMIF(Tabella2[[#Headers],[#Data],[Age]],$H$76,Tabella2[[#Headers],[#Data],[Federal taxes]])</f>
        <v>6804.3246087429152</v>
      </c>
      <c r="I180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09" s="240">
        <f ca="1">Tabella8[[#This Row],[Colonna7]]*Tabella8[[#This Row],[Colonna4]]/100</f>
        <v>15563.822904332466</v>
      </c>
    </row>
    <row r="1810" spans="2:10">
      <c r="B1810" s="92" t="s">
        <v>139</v>
      </c>
      <c r="C1810" s="91" t="s">
        <v>423</v>
      </c>
      <c r="D1810" s="93">
        <v>155</v>
      </c>
      <c r="E1810" s="93">
        <v>73.5</v>
      </c>
      <c r="F1810" s="103">
        <f>IFERROR(INDEX(Tabella9[PLZ],MATCH(Tabella8[[#This Row],[Colonna2]],Tabella9[Ortschaftsname],0)), "Name not found")</f>
        <v>1513</v>
      </c>
      <c r="G1810" s="103"/>
      <c r="H1810" s="240">
        <f ca="1">SUMIF(Tabella2[[#Headers],[#Data],[Age]],$H$76,Tabella2[[#Headers],[#Data],[Federal taxes]])</f>
        <v>6804.3246087429152</v>
      </c>
      <c r="I181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0" s="240">
        <f ca="1">Tabella8[[#This Row],[Colonna7]]*Tabella8[[#This Row],[Colonna4]]/100</f>
        <v>16578.854832875888</v>
      </c>
    </row>
    <row r="1811" spans="2:10">
      <c r="B1811" s="92" t="s">
        <v>139</v>
      </c>
      <c r="C1811" s="91" t="s">
        <v>276</v>
      </c>
      <c r="D1811" s="93">
        <v>155</v>
      </c>
      <c r="E1811" s="93">
        <v>69.5</v>
      </c>
      <c r="F1811" s="103">
        <f>IFERROR(INDEX(Tabella9[PLZ],MATCH(Tabella8[[#This Row],[Colonna2]],Tabella9[Ortschaftsname],0)), "Name not found")</f>
        <v>1805</v>
      </c>
      <c r="G1811" s="103"/>
      <c r="H1811" s="240">
        <f ca="1">SUMIF(Tabella2[[#Headers],[#Data],[Age]],$H$76,Tabella2[[#Headers],[#Data],[Federal taxes]])</f>
        <v>6804.3246087429152</v>
      </c>
      <c r="I181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1" s="240">
        <f ca="1">Tabella8[[#This Row],[Colonna7]]*Tabella8[[#This Row],[Colonna4]]/100</f>
        <v>15676.604229726179</v>
      </c>
    </row>
    <row r="1812" spans="2:10">
      <c r="B1812" s="92" t="s">
        <v>139</v>
      </c>
      <c r="C1812" s="91" t="s">
        <v>277</v>
      </c>
      <c r="D1812" s="93">
        <v>155</v>
      </c>
      <c r="E1812" s="93">
        <v>70.5</v>
      </c>
      <c r="F1812" s="103">
        <v>1062</v>
      </c>
      <c r="G1812" s="103"/>
      <c r="H1812" s="240">
        <f ca="1">SUMIF(Tabella2[[#Headers],[#Data],[Age]],$H$76,Tabella2[[#Headers],[#Data],[Federal taxes]])</f>
        <v>6804.3246087429152</v>
      </c>
      <c r="I181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2" s="240">
        <f ca="1">Tabella8[[#This Row],[Colonna7]]*Tabella8[[#This Row],[Colonna4]]/100</f>
        <v>15902.166880513607</v>
      </c>
    </row>
    <row r="1813" spans="2:10">
      <c r="B1813" s="92" t="s">
        <v>139</v>
      </c>
      <c r="C1813" s="91" t="s">
        <v>246</v>
      </c>
      <c r="D1813" s="93">
        <v>155</v>
      </c>
      <c r="E1813" s="93">
        <v>71</v>
      </c>
      <c r="F1813" s="103">
        <v>1084</v>
      </c>
      <c r="G1813" s="103"/>
      <c r="H1813" s="240">
        <f ca="1">SUMIF(Tabella2[[#Headers],[#Data],[Age]],$H$76,Tabella2[[#Headers],[#Data],[Federal taxes]])</f>
        <v>6804.3246087429152</v>
      </c>
      <c r="I181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3" s="240">
        <f ca="1">Tabella8[[#This Row],[Colonna7]]*Tabella8[[#This Row],[Colonna4]]/100</f>
        <v>16014.94820590732</v>
      </c>
    </row>
    <row r="1814" spans="2:10">
      <c r="B1814" s="92" t="s">
        <v>139</v>
      </c>
      <c r="C1814" s="91" t="s">
        <v>281</v>
      </c>
      <c r="D1814" s="93">
        <v>155</v>
      </c>
      <c r="E1814" s="93">
        <v>59</v>
      </c>
      <c r="F1814" s="103">
        <f>IFERROR(INDEX(Tabella9[PLZ],MATCH(Tabella8[[#This Row],[Colonna2]],Tabella9[Ortschaftsname],0)), "Name not found")</f>
        <v>1008</v>
      </c>
      <c r="G1814" s="103"/>
      <c r="H1814" s="240">
        <f ca="1">SUMIF(Tabella2[[#Headers],[#Data],[Age]],$H$76,Tabella2[[#Headers],[#Data],[Federal taxes]])</f>
        <v>6804.3246087429152</v>
      </c>
      <c r="I181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4" s="240">
        <f ca="1">Tabella8[[#This Row],[Colonna7]]*Tabella8[[#This Row],[Colonna4]]/100</f>
        <v>13308.196396458196</v>
      </c>
    </row>
    <row r="1815" spans="2:10">
      <c r="B1815" s="92" t="s">
        <v>139</v>
      </c>
      <c r="C1815" s="91" t="s">
        <v>443</v>
      </c>
      <c r="D1815" s="93">
        <v>155</v>
      </c>
      <c r="E1815" s="93">
        <v>79</v>
      </c>
      <c r="F1815" s="103">
        <f>IFERROR(INDEX(Tabella9[PLZ],MATCH(Tabella8[[#This Row],[Colonna2]],Tabella9[Ortschaftsname],0)), "Name not found")</f>
        <v>1326</v>
      </c>
      <c r="G1815" s="103"/>
      <c r="H1815" s="240">
        <f ca="1">SUMIF(Tabella2[[#Headers],[#Data],[Age]],$H$76,Tabella2[[#Headers],[#Data],[Federal taxes]])</f>
        <v>6804.3246087429152</v>
      </c>
      <c r="I181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5" s="240">
        <f ca="1">Tabella8[[#This Row],[Colonna7]]*Tabella8[[#This Row],[Colonna4]]/100</f>
        <v>17819.449412206737</v>
      </c>
    </row>
    <row r="1816" spans="2:10">
      <c r="B1816" s="92" t="s">
        <v>139</v>
      </c>
      <c r="C1816" s="91" t="s">
        <v>279</v>
      </c>
      <c r="D1816" s="93">
        <v>155</v>
      </c>
      <c r="E1816" s="93">
        <v>76</v>
      </c>
      <c r="F1816" s="103">
        <f>IFERROR(INDEX(Tabella9[PLZ],MATCH(Tabella8[[#This Row],[Colonna2]],Tabella9[Ortschaftsname],0)), "Name not found")</f>
        <v>1344</v>
      </c>
      <c r="G1816" s="103"/>
      <c r="H1816" s="240">
        <f ca="1">SUMIF(Tabella2[[#Headers],[#Data],[Age]],$H$76,Tabella2[[#Headers],[#Data],[Federal taxes]])</f>
        <v>6804.3246087429152</v>
      </c>
      <c r="I181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6" s="240">
        <f ca="1">Tabella8[[#This Row],[Colonna7]]*Tabella8[[#This Row],[Colonna4]]/100</f>
        <v>17142.761459844456</v>
      </c>
    </row>
    <row r="1817" spans="2:10">
      <c r="B1817" s="92" t="s">
        <v>139</v>
      </c>
      <c r="C1817" s="91" t="s">
        <v>455</v>
      </c>
      <c r="D1817" s="93">
        <v>155</v>
      </c>
      <c r="E1817" s="93">
        <v>80</v>
      </c>
      <c r="F1817" s="103">
        <f>IFERROR(INDEX(Tabella9[PLZ],MATCH(Tabella8[[#This Row],[Colonna2]],Tabella9[Ortschaftsname],0)), "Name not found")</f>
        <v>1355</v>
      </c>
      <c r="G1817" s="103"/>
      <c r="H1817" s="240">
        <f ca="1">SUMIF(Tabella2[[#Headers],[#Data],[Age]],$H$76,Tabella2[[#Headers],[#Data],[Federal taxes]])</f>
        <v>6804.3246087429152</v>
      </c>
      <c r="I181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7" s="240">
        <f ca="1">Tabella8[[#This Row],[Colonna7]]*Tabella8[[#This Row],[Colonna4]]/100</f>
        <v>18045.012062994163</v>
      </c>
    </row>
    <row r="1818" spans="2:10">
      <c r="B1818" s="92" t="s">
        <v>139</v>
      </c>
      <c r="C1818" s="91" t="s">
        <v>318</v>
      </c>
      <c r="D1818" s="93">
        <v>155</v>
      </c>
      <c r="E1818" s="93">
        <v>75</v>
      </c>
      <c r="F1818" s="103">
        <f>IFERROR(INDEX(Tabella9[PLZ],MATCH(Tabella8[[#This Row],[Colonna2]],Tabella9[Ortschaftsname],0)), "Name not found")</f>
        <v>1148</v>
      </c>
      <c r="G1818" s="103"/>
      <c r="H1818" s="240">
        <f ca="1">SUMIF(Tabella2[[#Headers],[#Data],[Age]],$H$76,Tabella2[[#Headers],[#Data],[Federal taxes]])</f>
        <v>6804.3246087429152</v>
      </c>
      <c r="I181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8" s="240">
        <f ca="1">Tabella8[[#This Row],[Colonna7]]*Tabella8[[#This Row],[Colonna4]]/100</f>
        <v>16917.19880905703</v>
      </c>
    </row>
    <row r="1819" spans="2:10">
      <c r="B1819" s="92" t="s">
        <v>139</v>
      </c>
      <c r="C1819" s="91" t="s">
        <v>408</v>
      </c>
      <c r="D1819" s="93">
        <v>155</v>
      </c>
      <c r="E1819" s="93">
        <v>76</v>
      </c>
      <c r="F1819" s="103">
        <f>IFERROR(INDEX(Tabella9[PLZ],MATCH(Tabella8[[#This Row],[Colonna2]],Tabella9[Ortschaftsname],0)), "Name not found")</f>
        <v>1308</v>
      </c>
      <c r="G1819" s="103"/>
      <c r="H1819" s="240">
        <f ca="1">SUMIF(Tabella2[[#Headers],[#Data],[Age]],$H$76,Tabella2[[#Headers],[#Data],[Federal taxes]])</f>
        <v>6804.3246087429152</v>
      </c>
      <c r="I181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19" s="240">
        <f ca="1">Tabella8[[#This Row],[Colonna7]]*Tabella8[[#This Row],[Colonna4]]/100</f>
        <v>17142.761459844456</v>
      </c>
    </row>
    <row r="1820" spans="2:10">
      <c r="B1820" s="92" t="s">
        <v>139</v>
      </c>
      <c r="C1820" s="91" t="s">
        <v>477</v>
      </c>
      <c r="D1820" s="93">
        <v>155</v>
      </c>
      <c r="E1820" s="93">
        <v>83</v>
      </c>
      <c r="F1820" s="103">
        <f>IFERROR(INDEX(Tabella9[PLZ],MATCH(Tabella8[[#This Row],[Colonna2]],Tabella9[Ortschaftsname],0)), "Name not found")</f>
        <v>1148</v>
      </c>
      <c r="G1820" s="103"/>
      <c r="H1820" s="240">
        <f ca="1">SUMIF(Tabella2[[#Headers],[#Data],[Age]],$H$76,Tabella2[[#Headers],[#Data],[Federal taxes]])</f>
        <v>6804.3246087429152</v>
      </c>
      <c r="I182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0" s="240">
        <f ca="1">Tabella8[[#This Row],[Colonna7]]*Tabella8[[#This Row],[Colonna4]]/100</f>
        <v>18721.700015356444</v>
      </c>
    </row>
    <row r="1821" spans="2:10">
      <c r="B1821" s="92" t="s">
        <v>139</v>
      </c>
      <c r="C1821" s="91" t="s">
        <v>296</v>
      </c>
      <c r="D1821" s="93">
        <v>155</v>
      </c>
      <c r="E1821" s="93">
        <v>63.5</v>
      </c>
      <c r="F1821" s="103">
        <f>IFERROR(INDEX(Tabella9[PLZ],MATCH(Tabella8[[#This Row],[Colonna2]],Tabella9[Ortschaftsname],0)), "Name not found")</f>
        <v>1278</v>
      </c>
      <c r="G1821" s="103"/>
      <c r="H1821" s="240">
        <f ca="1">SUMIF(Tabella2[[#Headers],[#Data],[Age]],$H$76,Tabella2[[#Headers],[#Data],[Federal taxes]])</f>
        <v>6804.3246087429152</v>
      </c>
      <c r="I182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1" s="240">
        <f ca="1">Tabella8[[#This Row],[Colonna7]]*Tabella8[[#This Row],[Colonna4]]/100</f>
        <v>14323.228325001619</v>
      </c>
    </row>
    <row r="1822" spans="2:10">
      <c r="B1822" s="92" t="s">
        <v>139</v>
      </c>
      <c r="C1822" s="91" t="s">
        <v>253</v>
      </c>
      <c r="D1822" s="93">
        <v>155</v>
      </c>
      <c r="E1822" s="93">
        <v>70</v>
      </c>
      <c r="F1822" s="103">
        <f>IFERROR(INDEX(Tabella9[PLZ],MATCH(Tabella8[[#This Row],[Colonna2]],Tabella9[Ortschaftsname],0)), "Name not found")</f>
        <v>1315</v>
      </c>
      <c r="G1822" s="103"/>
      <c r="H1822" s="240">
        <f ca="1">SUMIF(Tabella2[[#Headers],[#Data],[Age]],$H$76,Tabella2[[#Headers],[#Data],[Federal taxes]])</f>
        <v>6804.3246087429152</v>
      </c>
      <c r="I182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2" s="240">
        <f ca="1">Tabella8[[#This Row],[Colonna7]]*Tabella8[[#This Row],[Colonna4]]/100</f>
        <v>15789.385555119894</v>
      </c>
    </row>
    <row r="1823" spans="2:10">
      <c r="B1823" s="92" t="s">
        <v>139</v>
      </c>
      <c r="C1823" s="91" t="s">
        <v>196</v>
      </c>
      <c r="D1823" s="93">
        <v>155</v>
      </c>
      <c r="E1823" s="93">
        <v>64</v>
      </c>
      <c r="F1823" s="103">
        <f>IFERROR(INDEX(Tabella9[PLZ],MATCH(Tabella8[[#This Row],[Colonna2]],Tabella9[Ortschaftsname],0)), "Name not found")</f>
        <v>1814</v>
      </c>
      <c r="G1823" s="103"/>
      <c r="H1823" s="240">
        <f ca="1">SUMIF(Tabella2[[#Headers],[#Data],[Age]],$H$76,Tabella2[[#Headers],[#Data],[Federal taxes]])</f>
        <v>6804.3246087429152</v>
      </c>
      <c r="I182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3" s="240">
        <f ca="1">Tabella8[[#This Row],[Colonna7]]*Tabella8[[#This Row],[Colonna4]]/100</f>
        <v>14436.009650395332</v>
      </c>
    </row>
    <row r="1824" spans="2:10">
      <c r="B1824" s="92" t="s">
        <v>139</v>
      </c>
      <c r="C1824" s="91" t="s">
        <v>182</v>
      </c>
      <c r="D1824" s="93">
        <v>155</v>
      </c>
      <c r="E1824" s="93">
        <v>78.5</v>
      </c>
      <c r="F1824" s="103">
        <f>IFERROR(INDEX(Tabella9[PLZ],MATCH(Tabella8[[#This Row],[Colonna2]],Tabella9[Ortschaftsname],0)), "Name not found")</f>
        <v>1003</v>
      </c>
      <c r="G1824" s="103"/>
      <c r="H1824" s="240">
        <f ca="1">SUMIF(Tabella2[[#Headers],[#Data],[Age]],$H$76,Tabella2[[#Headers],[#Data],[Federal taxes]])</f>
        <v>6804.3246087429152</v>
      </c>
      <c r="I182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4" s="240">
        <f ca="1">Tabella8[[#This Row],[Colonna7]]*Tabella8[[#This Row],[Colonna4]]/100</f>
        <v>17706.668086813021</v>
      </c>
    </row>
    <row r="1825" spans="2:10">
      <c r="B1825" s="92" t="s">
        <v>139</v>
      </c>
      <c r="C1825" s="91" t="s">
        <v>328</v>
      </c>
      <c r="D1825" s="93">
        <v>155</v>
      </c>
      <c r="E1825" s="93">
        <v>71.5</v>
      </c>
      <c r="F1825" s="103">
        <v>1892</v>
      </c>
      <c r="G1825" s="103"/>
      <c r="H1825" s="240">
        <f ca="1">SUMIF(Tabella2[[#Headers],[#Data],[Age]],$H$76,Tabella2[[#Headers],[#Data],[Federal taxes]])</f>
        <v>6804.3246087429152</v>
      </c>
      <c r="I182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5" s="240">
        <f ca="1">Tabella8[[#This Row],[Colonna7]]*Tabella8[[#This Row],[Colonna4]]/100</f>
        <v>16127.729531301035</v>
      </c>
    </row>
    <row r="1826" spans="2:10">
      <c r="B1826" s="92" t="s">
        <v>139</v>
      </c>
      <c r="C1826" s="91" t="s">
        <v>315</v>
      </c>
      <c r="D1826" s="93">
        <v>155</v>
      </c>
      <c r="E1826" s="93">
        <v>73</v>
      </c>
      <c r="F1826" s="103">
        <f>IFERROR(INDEX(Tabella9[PLZ],MATCH(Tabella8[[#This Row],[Colonna2]],Tabella9[Ortschaftsname],0)), "Name not found")</f>
        <v>1175</v>
      </c>
      <c r="G1826" s="103"/>
      <c r="H1826" s="240">
        <f ca="1">SUMIF(Tabella2[[#Headers],[#Data],[Age]],$H$76,Tabella2[[#Headers],[#Data],[Federal taxes]])</f>
        <v>6804.3246087429152</v>
      </c>
      <c r="I182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6" s="240">
        <f ca="1">Tabella8[[#This Row],[Colonna7]]*Tabella8[[#This Row],[Colonna4]]/100</f>
        <v>16466.073507482175</v>
      </c>
    </row>
    <row r="1827" spans="2:10">
      <c r="B1827" s="92" t="s">
        <v>139</v>
      </c>
      <c r="C1827" s="91" t="s">
        <v>220</v>
      </c>
      <c r="D1827" s="93">
        <v>155</v>
      </c>
      <c r="E1827" s="93">
        <v>58.5</v>
      </c>
      <c r="F1827" s="103">
        <v>1347</v>
      </c>
      <c r="G1827" s="103"/>
      <c r="H1827" s="240">
        <f ca="1">SUMIF(Tabella2[[#Headers],[#Data],[Age]],$H$76,Tabella2[[#Headers],[#Data],[Federal taxes]])</f>
        <v>6804.3246087429152</v>
      </c>
      <c r="I182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7" s="240">
        <f ca="1">Tabella8[[#This Row],[Colonna7]]*Tabella8[[#This Row],[Colonna4]]/100</f>
        <v>13195.415071064483</v>
      </c>
    </row>
    <row r="1828" spans="2:10">
      <c r="B1828" s="92" t="s">
        <v>139</v>
      </c>
      <c r="C1828" s="91" t="s">
        <v>336</v>
      </c>
      <c r="D1828" s="93">
        <v>155</v>
      </c>
      <c r="E1828" s="93">
        <v>70</v>
      </c>
      <c r="F1828" s="103">
        <f>IFERROR(INDEX(Tabella9[PLZ],MATCH(Tabella8[[#This Row],[Colonna2]],Tabella9[Ortschaftsname],0)), "Name not found")</f>
        <v>1345</v>
      </c>
      <c r="G1828" s="103"/>
      <c r="H1828" s="240">
        <f ca="1">SUMIF(Tabella2[[#Headers],[#Data],[Age]],$H$76,Tabella2[[#Headers],[#Data],[Federal taxes]])</f>
        <v>6804.3246087429152</v>
      </c>
      <c r="I182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8" s="240">
        <f ca="1">Tabella8[[#This Row],[Colonna7]]*Tabella8[[#This Row],[Colonna4]]/100</f>
        <v>15789.385555119894</v>
      </c>
    </row>
    <row r="1829" spans="2:10">
      <c r="B1829" s="92" t="s">
        <v>139</v>
      </c>
      <c r="C1829" s="91" t="s">
        <v>202</v>
      </c>
      <c r="D1829" s="93">
        <v>155</v>
      </c>
      <c r="E1829" s="93">
        <v>72</v>
      </c>
      <c r="F1829" s="103">
        <f>IFERROR(INDEX(Tabella9[PLZ],MATCH(Tabella8[[#This Row],[Colonna2]],Tabella9[Ortschaftsname],0)), "Name not found")</f>
        <v>1052</v>
      </c>
      <c r="G1829" s="103"/>
      <c r="H1829" s="240">
        <f ca="1">SUMIF(Tabella2[[#Headers],[#Data],[Age]],$H$76,Tabella2[[#Headers],[#Data],[Federal taxes]])</f>
        <v>6804.3246087429152</v>
      </c>
      <c r="I182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29" s="240">
        <f ca="1">Tabella8[[#This Row],[Colonna7]]*Tabella8[[#This Row],[Colonna4]]/100</f>
        <v>16240.510856694747</v>
      </c>
    </row>
    <row r="1830" spans="2:10">
      <c r="B1830" s="92" t="s">
        <v>139</v>
      </c>
      <c r="C1830" s="91" t="s">
        <v>291</v>
      </c>
      <c r="D1830" s="93">
        <v>155</v>
      </c>
      <c r="E1830" s="93">
        <v>71</v>
      </c>
      <c r="F1830" s="103">
        <f>IFERROR(INDEX(Tabella9[PLZ],MATCH(Tabella8[[#This Row],[Colonna2]],Tabella9[Ortschaftsname],0)), "Name not found")</f>
        <v>1261</v>
      </c>
      <c r="G1830" s="103"/>
      <c r="H1830" s="240">
        <f ca="1">SUMIF(Tabella2[[#Headers],[#Data],[Age]],$H$76,Tabella2[[#Headers],[#Data],[Federal taxes]])</f>
        <v>6804.3246087429152</v>
      </c>
      <c r="I183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0" s="240">
        <f ca="1">Tabella8[[#This Row],[Colonna7]]*Tabella8[[#This Row],[Colonna4]]/100</f>
        <v>16014.94820590732</v>
      </c>
    </row>
    <row r="1831" spans="2:10">
      <c r="B1831" s="92" t="s">
        <v>139</v>
      </c>
      <c r="C1831" s="91" t="s">
        <v>475</v>
      </c>
      <c r="D1831" s="93">
        <v>155</v>
      </c>
      <c r="E1831" s="93">
        <v>80</v>
      </c>
      <c r="F1831" s="103">
        <f>IFERROR(INDEX(Tabella9[PLZ],MATCH(Tabella8[[#This Row],[Colonna2]],Tabella9[Ortschaftsname],0)), "Name not found")</f>
        <v>1356</v>
      </c>
      <c r="G1831" s="103"/>
      <c r="H1831" s="240">
        <f ca="1">SUMIF(Tabella2[[#Headers],[#Data],[Age]],$H$76,Tabella2[[#Headers],[#Data],[Federal taxes]])</f>
        <v>6804.3246087429152</v>
      </c>
      <c r="I183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1" s="240">
        <f ca="1">Tabella8[[#This Row],[Colonna7]]*Tabella8[[#This Row],[Colonna4]]/100</f>
        <v>18045.012062994163</v>
      </c>
    </row>
    <row r="1832" spans="2:10">
      <c r="B1832" s="92" t="s">
        <v>139</v>
      </c>
      <c r="C1832" s="91" t="s">
        <v>226</v>
      </c>
      <c r="D1832" s="93">
        <v>155</v>
      </c>
      <c r="E1832" s="93">
        <v>78</v>
      </c>
      <c r="F1832" s="103">
        <f>IFERROR(INDEX(Tabella9[PLZ],MATCH(Tabella8[[#This Row],[Colonna2]],Tabella9[Ortschaftsname],0)), "Name not found")</f>
        <v>1854</v>
      </c>
      <c r="G1832" s="103"/>
      <c r="H1832" s="240">
        <f ca="1">SUMIF(Tabella2[[#Headers],[#Data],[Age]],$H$76,Tabella2[[#Headers],[#Data],[Federal taxes]])</f>
        <v>6804.3246087429152</v>
      </c>
      <c r="I183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2" s="240">
        <f ca="1">Tabella8[[#This Row],[Colonna7]]*Tabella8[[#This Row],[Colonna4]]/100</f>
        <v>17593.886761419311</v>
      </c>
    </row>
    <row r="1833" spans="2:10">
      <c r="B1833" s="92" t="s">
        <v>139</v>
      </c>
      <c r="C1833" s="91" t="s">
        <v>413</v>
      </c>
      <c r="D1833" s="93">
        <v>155</v>
      </c>
      <c r="E1833" s="93">
        <v>78.5</v>
      </c>
      <c r="F1833" s="103">
        <f>IFERROR(INDEX(Tabella9[PLZ],MATCH(Tabella8[[#This Row],[Colonna2]],Tabella9[Ortschaftsname],0)), "Name not found")</f>
        <v>1357</v>
      </c>
      <c r="G1833" s="103"/>
      <c r="H1833" s="240">
        <f ca="1">SUMIF(Tabella2[[#Headers],[#Data],[Age]],$H$76,Tabella2[[#Headers],[#Data],[Federal taxes]])</f>
        <v>6804.3246087429152</v>
      </c>
      <c r="I183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3" s="240">
        <f ca="1">Tabella8[[#This Row],[Colonna7]]*Tabella8[[#This Row],[Colonna4]]/100</f>
        <v>17706.668086813021</v>
      </c>
    </row>
    <row r="1834" spans="2:10">
      <c r="B1834" s="92" t="s">
        <v>139</v>
      </c>
      <c r="C1834" s="91" t="s">
        <v>256</v>
      </c>
      <c r="D1834" s="93">
        <v>155</v>
      </c>
      <c r="E1834" s="93">
        <v>55</v>
      </c>
      <c r="F1834" s="103">
        <f>IFERROR(INDEX(Tabella9[PLZ],MATCH(Tabella8[[#This Row],[Colonna2]],Tabella9[Ortschaftsname],0)), "Name not found")</f>
        <v>1027</v>
      </c>
      <c r="G1834" s="103"/>
      <c r="H1834" s="240">
        <f ca="1">SUMIF(Tabella2[[#Headers],[#Data],[Age]],$H$76,Tabella2[[#Headers],[#Data],[Federal taxes]])</f>
        <v>6804.3246087429152</v>
      </c>
      <c r="I183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4" s="240">
        <f ca="1">Tabella8[[#This Row],[Colonna7]]*Tabella8[[#This Row],[Colonna4]]/100</f>
        <v>12405.945793308487</v>
      </c>
    </row>
    <row r="1835" spans="2:10">
      <c r="B1835" s="92" t="s">
        <v>139</v>
      </c>
      <c r="C1835" s="91" t="s">
        <v>396</v>
      </c>
      <c r="D1835" s="93">
        <v>155</v>
      </c>
      <c r="E1835" s="93">
        <v>77.5</v>
      </c>
      <c r="F1835" s="103">
        <f>IFERROR(INDEX(Tabella9[PLZ],MATCH(Tabella8[[#This Row],[Colonna2]],Tabella9[Ortschaftsname],0)), "Name not found")</f>
        <v>1261</v>
      </c>
      <c r="G1835" s="103"/>
      <c r="H1835" s="240">
        <f ca="1">SUMIF(Tabella2[[#Headers],[#Data],[Age]],$H$76,Tabella2[[#Headers],[#Data],[Federal taxes]])</f>
        <v>6804.3246087429152</v>
      </c>
      <c r="I183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5" s="240">
        <f ca="1">Tabella8[[#This Row],[Colonna7]]*Tabella8[[#This Row],[Colonna4]]/100</f>
        <v>17481.105436025598</v>
      </c>
    </row>
    <row r="1836" spans="2:10">
      <c r="B1836" s="92" t="s">
        <v>139</v>
      </c>
      <c r="C1836" s="91" t="s">
        <v>483</v>
      </c>
      <c r="D1836" s="93">
        <v>155</v>
      </c>
      <c r="E1836" s="93">
        <v>75</v>
      </c>
      <c r="F1836" s="103">
        <f>IFERROR(INDEX(Tabella9[PLZ],MATCH(Tabella8[[#This Row],[Colonna2]],Tabella9[Ortschaftsname],0)), "Name not found")</f>
        <v>1682</v>
      </c>
      <c r="G1836" s="103"/>
      <c r="H1836" s="240">
        <f ca="1">SUMIF(Tabella2[[#Headers],[#Data],[Age]],$H$76,Tabella2[[#Headers],[#Data],[Federal taxes]])</f>
        <v>6804.3246087429152</v>
      </c>
      <c r="I183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6" s="240">
        <f ca="1">Tabella8[[#This Row],[Colonna7]]*Tabella8[[#This Row],[Colonna4]]/100</f>
        <v>16917.19880905703</v>
      </c>
    </row>
    <row r="1837" spans="2:10">
      <c r="B1837" s="92" t="s">
        <v>139</v>
      </c>
      <c r="C1837" s="91" t="s">
        <v>224</v>
      </c>
      <c r="D1837" s="93">
        <v>155</v>
      </c>
      <c r="E1837" s="93">
        <v>69.5</v>
      </c>
      <c r="F1837" s="103">
        <f>IFERROR(INDEX(Tabella9[PLZ],MATCH(Tabella8[[#This Row],[Colonna2]],Tabella9[Ortschaftsname],0)), "Name not found")</f>
        <v>1522</v>
      </c>
      <c r="G1837" s="103"/>
      <c r="H1837" s="240">
        <f ca="1">SUMIF(Tabella2[[#Headers],[#Data],[Age]],$H$76,Tabella2[[#Headers],[#Data],[Federal taxes]])</f>
        <v>6804.3246087429152</v>
      </c>
      <c r="I183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7" s="240">
        <f ca="1">Tabella8[[#This Row],[Colonna7]]*Tabella8[[#This Row],[Colonna4]]/100</f>
        <v>15676.604229726179</v>
      </c>
    </row>
    <row r="1838" spans="2:10">
      <c r="B1838" s="92" t="s">
        <v>139</v>
      </c>
      <c r="C1838" s="91" t="s">
        <v>366</v>
      </c>
      <c r="D1838" s="93">
        <v>155</v>
      </c>
      <c r="E1838" s="93">
        <v>58.5</v>
      </c>
      <c r="F1838" s="103">
        <f>IFERROR(INDEX(Tabella9[PLZ],MATCH(Tabella8[[#This Row],[Colonna2]],Tabella9[Ortschaftsname],0)), "Name not found")</f>
        <v>1184</v>
      </c>
      <c r="G1838" s="103"/>
      <c r="H1838" s="240">
        <f ca="1">SUMIF(Tabella2[[#Headers],[#Data],[Age]],$H$76,Tabella2[[#Headers],[#Data],[Federal taxes]])</f>
        <v>6804.3246087429152</v>
      </c>
      <c r="I183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8" s="240">
        <f ca="1">Tabella8[[#This Row],[Colonna7]]*Tabella8[[#This Row],[Colonna4]]/100</f>
        <v>13195.415071064483</v>
      </c>
    </row>
    <row r="1839" spans="2:10">
      <c r="B1839" s="92" t="s">
        <v>139</v>
      </c>
      <c r="C1839" s="91" t="s">
        <v>344</v>
      </c>
      <c r="D1839" s="93">
        <v>155</v>
      </c>
      <c r="E1839" s="93">
        <v>61</v>
      </c>
      <c r="F1839" s="103">
        <v>1132</v>
      </c>
      <c r="G1839" s="103"/>
      <c r="H1839" s="240">
        <f ca="1">SUMIF(Tabella2[[#Headers],[#Data],[Age]],$H$76,Tabella2[[#Headers],[#Data],[Federal taxes]])</f>
        <v>6804.3246087429152</v>
      </c>
      <c r="I183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39" s="240">
        <f ca="1">Tabella8[[#This Row],[Colonna7]]*Tabella8[[#This Row],[Colonna4]]/100</f>
        <v>13759.321698033051</v>
      </c>
    </row>
    <row r="1840" spans="2:10">
      <c r="B1840" s="92" t="s">
        <v>139</v>
      </c>
      <c r="C1840" s="91" t="s">
        <v>399</v>
      </c>
      <c r="D1840" s="93">
        <v>155</v>
      </c>
      <c r="E1840" s="93">
        <v>75</v>
      </c>
      <c r="F1840" s="103">
        <f>IFERROR(INDEX(Tabella9[PLZ],MATCH(Tabella8[[#This Row],[Colonna2]],Tabella9[Ortschaftsname],0)), "Name not found")</f>
        <v>1307</v>
      </c>
      <c r="G1840" s="103"/>
      <c r="H1840" s="240">
        <f ca="1">SUMIF(Tabella2[[#Headers],[#Data],[Age]],$H$76,Tabella2[[#Headers],[#Data],[Federal taxes]])</f>
        <v>6804.3246087429152</v>
      </c>
      <c r="I184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0" s="240">
        <f ca="1">Tabella8[[#This Row],[Colonna7]]*Tabella8[[#This Row],[Colonna4]]/100</f>
        <v>16917.19880905703</v>
      </c>
    </row>
    <row r="1841" spans="2:10">
      <c r="B1841" s="92" t="s">
        <v>139</v>
      </c>
      <c r="C1841" s="91" t="s">
        <v>357</v>
      </c>
      <c r="D1841" s="93">
        <v>155</v>
      </c>
      <c r="E1841" s="93">
        <v>61.5</v>
      </c>
      <c r="F1841" s="103">
        <f>IFERROR(INDEX(Tabella9[PLZ],MATCH(Tabella8[[#This Row],[Colonna2]],Tabella9[Ortschaftsname],0)), "Name not found")</f>
        <v>1167</v>
      </c>
      <c r="G1841" s="103"/>
      <c r="H1841" s="240">
        <f ca="1">SUMIF(Tabella2[[#Headers],[#Data],[Age]],$H$76,Tabella2[[#Headers],[#Data],[Federal taxes]])</f>
        <v>6804.3246087429152</v>
      </c>
      <c r="I184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1" s="240">
        <f ca="1">Tabella8[[#This Row],[Colonna7]]*Tabella8[[#This Row],[Colonna4]]/100</f>
        <v>13872.103023426764</v>
      </c>
    </row>
    <row r="1842" spans="2:10">
      <c r="B1842" s="92" t="s">
        <v>139</v>
      </c>
      <c r="C1842" s="91" t="s">
        <v>198</v>
      </c>
      <c r="D1842" s="93">
        <v>155</v>
      </c>
      <c r="E1842" s="93">
        <v>54</v>
      </c>
      <c r="F1842" s="103">
        <f>IFERROR(INDEX(Tabella9[PLZ],MATCH(Tabella8[[#This Row],[Colonna2]],Tabella9[Ortschaftsname],0)), "Name not found")</f>
        <v>1095</v>
      </c>
      <c r="G1842" s="103"/>
      <c r="H1842" s="240">
        <f ca="1">SUMIF(Tabella2[[#Headers],[#Data],[Age]],$H$76,Tabella2[[#Headers],[#Data],[Federal taxes]])</f>
        <v>6804.3246087429152</v>
      </c>
      <c r="I184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2" s="240">
        <f ca="1">Tabella8[[#This Row],[Colonna7]]*Tabella8[[#This Row],[Colonna4]]/100</f>
        <v>12180.383142521059</v>
      </c>
    </row>
    <row r="1843" spans="2:10">
      <c r="B1843" s="92" t="s">
        <v>139</v>
      </c>
      <c r="C1843" s="91" t="s">
        <v>395</v>
      </c>
      <c r="D1843" s="93">
        <v>155</v>
      </c>
      <c r="E1843" s="93">
        <v>74.5</v>
      </c>
      <c r="F1843" s="103">
        <f>IFERROR(INDEX(Tabella9[PLZ],MATCH(Tabella8[[#This Row],[Colonna2]],Tabella9[Ortschaftsname],0)), "Name not found")</f>
        <v>1613</v>
      </c>
      <c r="G1843" s="103"/>
      <c r="H1843" s="240">
        <f ca="1">SUMIF(Tabella2[[#Headers],[#Data],[Age]],$H$76,Tabella2[[#Headers],[#Data],[Federal taxes]])</f>
        <v>6804.3246087429152</v>
      </c>
      <c r="I184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3" s="240">
        <f ca="1">Tabella8[[#This Row],[Colonna7]]*Tabella8[[#This Row],[Colonna4]]/100</f>
        <v>16804.417483663314</v>
      </c>
    </row>
    <row r="1844" spans="2:10">
      <c r="B1844" s="92" t="s">
        <v>139</v>
      </c>
      <c r="C1844" s="91" t="s">
        <v>402</v>
      </c>
      <c r="D1844" s="93">
        <v>155</v>
      </c>
      <c r="E1844" s="93">
        <v>77.5</v>
      </c>
      <c r="F1844" s="103">
        <f>IFERROR(INDEX(Tabella9[PLZ],MATCH(Tabella8[[#This Row],[Colonna2]],Tabella9[Ortschaftsname],0)), "Name not found")</f>
        <v>1261</v>
      </c>
      <c r="G1844" s="103"/>
      <c r="H1844" s="240">
        <f ca="1">SUMIF(Tabella2[[#Headers],[#Data],[Age]],$H$76,Tabella2[[#Headers],[#Data],[Federal taxes]])</f>
        <v>6804.3246087429152</v>
      </c>
      <c r="I184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4" s="240">
        <f ca="1">Tabella8[[#This Row],[Colonna7]]*Tabella8[[#This Row],[Colonna4]]/100</f>
        <v>17481.105436025598</v>
      </c>
    </row>
    <row r="1845" spans="2:10">
      <c r="B1845" s="92" t="s">
        <v>139</v>
      </c>
      <c r="C1845" s="91" t="s">
        <v>364</v>
      </c>
      <c r="D1845" s="93">
        <v>155</v>
      </c>
      <c r="E1845" s="93">
        <v>72</v>
      </c>
      <c r="F1845" s="103">
        <f>IFERROR(INDEX(Tabella9[PLZ],MATCH(Tabella8[[#This Row],[Colonna2]],Tabella9[Ortschaftsname],0)), "Name not found")</f>
        <v>1438</v>
      </c>
      <c r="G1845" s="103"/>
      <c r="H1845" s="240">
        <f ca="1">SUMIF(Tabella2[[#Headers],[#Data],[Age]],$H$76,Tabella2[[#Headers],[#Data],[Federal taxes]])</f>
        <v>6804.3246087429152</v>
      </c>
      <c r="I184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5" s="240">
        <f ca="1">Tabella8[[#This Row],[Colonna7]]*Tabella8[[#This Row],[Colonna4]]/100</f>
        <v>16240.510856694747</v>
      </c>
    </row>
    <row r="1846" spans="2:10">
      <c r="B1846" s="92" t="s">
        <v>139</v>
      </c>
      <c r="C1846" s="91" t="s">
        <v>489</v>
      </c>
      <c r="D1846" s="93">
        <v>155</v>
      </c>
      <c r="E1846" s="93">
        <v>70</v>
      </c>
      <c r="F1846" s="103">
        <f>IFERROR(INDEX(Tabella9[PLZ],MATCH(Tabella8[[#This Row],[Colonna2]],Tabella9[Ortschaftsname],0)), "Name not found")</f>
        <v>1453</v>
      </c>
      <c r="G1846" s="103"/>
      <c r="H1846" s="240">
        <f ca="1">SUMIF(Tabella2[[#Headers],[#Data],[Age]],$H$76,Tabella2[[#Headers],[#Data],[Federal taxes]])</f>
        <v>6804.3246087429152</v>
      </c>
      <c r="I184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6" s="240">
        <f ca="1">Tabella8[[#This Row],[Colonna7]]*Tabella8[[#This Row],[Colonna4]]/100</f>
        <v>15789.385555119894</v>
      </c>
    </row>
    <row r="1847" spans="2:10">
      <c r="B1847" s="92" t="s">
        <v>139</v>
      </c>
      <c r="C1847" s="91" t="s">
        <v>493</v>
      </c>
      <c r="D1847" s="93">
        <v>155</v>
      </c>
      <c r="E1847" s="93">
        <v>77</v>
      </c>
      <c r="F1847" s="103">
        <f>IFERROR(INDEX(Tabella9[PLZ],MATCH(Tabella8[[#This Row],[Colonna2]],Tabella9[Ortschaftsname],0)), "Name not found")</f>
        <v>1148</v>
      </c>
      <c r="G1847" s="103"/>
      <c r="H1847" s="240">
        <f ca="1">SUMIF(Tabella2[[#Headers],[#Data],[Age]],$H$76,Tabella2[[#Headers],[#Data],[Federal taxes]])</f>
        <v>6804.3246087429152</v>
      </c>
      <c r="I184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7" s="240">
        <f ca="1">Tabella8[[#This Row],[Colonna7]]*Tabella8[[#This Row],[Colonna4]]/100</f>
        <v>17368.324110631882</v>
      </c>
    </row>
    <row r="1848" spans="2:10">
      <c r="B1848" s="92" t="s">
        <v>139</v>
      </c>
      <c r="C1848" s="91" t="s">
        <v>349</v>
      </c>
      <c r="D1848" s="93">
        <v>155</v>
      </c>
      <c r="E1848" s="93">
        <v>59.5</v>
      </c>
      <c r="F1848" s="103">
        <v>1031</v>
      </c>
      <c r="G1848" s="103"/>
      <c r="H1848" s="240">
        <f ca="1">SUMIF(Tabella2[[#Headers],[#Data],[Age]],$H$76,Tabella2[[#Headers],[#Data],[Federal taxes]])</f>
        <v>6804.3246087429152</v>
      </c>
      <c r="I184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8" s="240">
        <f ca="1">Tabella8[[#This Row],[Colonna7]]*Tabella8[[#This Row],[Colonna4]]/100</f>
        <v>13420.977721851908</v>
      </c>
    </row>
    <row r="1849" spans="2:10">
      <c r="B1849" s="92" t="s">
        <v>139</v>
      </c>
      <c r="C1849" s="91" t="s">
        <v>262</v>
      </c>
      <c r="D1849" s="93">
        <v>155</v>
      </c>
      <c r="E1849" s="93">
        <v>53</v>
      </c>
      <c r="F1849" s="103">
        <f>IFERROR(INDEX(Tabella9[PLZ],MATCH(Tabella8[[#This Row],[Colonna2]],Tabella9[Ortschaftsname],0)), "Name not found")</f>
        <v>1295</v>
      </c>
      <c r="G1849" s="103"/>
      <c r="H1849" s="240">
        <f ca="1">SUMIF(Tabella2[[#Headers],[#Data],[Age]],$H$76,Tabella2[[#Headers],[#Data],[Federal taxes]])</f>
        <v>6804.3246087429152</v>
      </c>
      <c r="I184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49" s="240">
        <f ca="1">Tabella8[[#This Row],[Colonna7]]*Tabella8[[#This Row],[Colonna4]]/100</f>
        <v>11954.820491733633</v>
      </c>
    </row>
    <row r="1850" spans="2:10">
      <c r="B1850" s="92" t="s">
        <v>139</v>
      </c>
      <c r="C1850" s="91" t="s">
        <v>435</v>
      </c>
      <c r="D1850" s="93">
        <v>155</v>
      </c>
      <c r="E1850" s="93">
        <v>69</v>
      </c>
      <c r="F1850" s="103">
        <f>IFERROR(INDEX(Tabella9[PLZ],MATCH(Tabella8[[#This Row],[Colonna2]],Tabella9[Ortschaftsname],0)), "Name not found")</f>
        <v>1565</v>
      </c>
      <c r="G1850" s="103"/>
      <c r="H1850" s="240">
        <f ca="1">SUMIF(Tabella2[[#Headers],[#Data],[Age]],$H$76,Tabella2[[#Headers],[#Data],[Federal taxes]])</f>
        <v>6804.3246087429152</v>
      </c>
      <c r="I185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0" s="240">
        <f ca="1">Tabella8[[#This Row],[Colonna7]]*Tabella8[[#This Row],[Colonna4]]/100</f>
        <v>15563.822904332466</v>
      </c>
    </row>
    <row r="1851" spans="2:10">
      <c r="B1851" s="92" t="s">
        <v>139</v>
      </c>
      <c r="C1851" s="91" t="s">
        <v>442</v>
      </c>
      <c r="D1851" s="93">
        <v>155</v>
      </c>
      <c r="E1851" s="93">
        <v>76</v>
      </c>
      <c r="F1851" s="103">
        <v>1148</v>
      </c>
      <c r="G1851" s="103"/>
      <c r="H1851" s="240">
        <f ca="1">SUMIF(Tabella2[[#Headers],[#Data],[Age]],$H$76,Tabella2[[#Headers],[#Data],[Federal taxes]])</f>
        <v>6804.3246087429152</v>
      </c>
      <c r="I185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1" s="240">
        <f ca="1">Tabella8[[#This Row],[Colonna7]]*Tabella8[[#This Row],[Colonna4]]/100</f>
        <v>17142.761459844456</v>
      </c>
    </row>
    <row r="1852" spans="2:10">
      <c r="B1852" s="92" t="s">
        <v>139</v>
      </c>
      <c r="C1852" s="91" t="s">
        <v>446</v>
      </c>
      <c r="D1852" s="93">
        <v>155</v>
      </c>
      <c r="E1852" s="93">
        <v>74</v>
      </c>
      <c r="F1852" s="103">
        <v>1146</v>
      </c>
      <c r="G1852" s="103"/>
      <c r="H1852" s="240">
        <f ca="1">SUMIF(Tabella2[[#Headers],[#Data],[Age]],$H$76,Tabella2[[#Headers],[#Data],[Federal taxes]])</f>
        <v>6804.3246087429152</v>
      </c>
      <c r="I185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2" s="240">
        <f ca="1">Tabella8[[#This Row],[Colonna7]]*Tabella8[[#This Row],[Colonna4]]/100</f>
        <v>16691.636158269601</v>
      </c>
    </row>
    <row r="1853" spans="2:10">
      <c r="B1853" s="92" t="s">
        <v>139</v>
      </c>
      <c r="C1853" s="91" t="s">
        <v>458</v>
      </c>
      <c r="D1853" s="93">
        <v>155</v>
      </c>
      <c r="E1853" s="93">
        <v>81</v>
      </c>
      <c r="F1853" s="103">
        <f>IFERROR(INDEX(Tabella9[PLZ],MATCH(Tabella8[[#This Row],[Colonna2]],Tabella9[Ortschaftsname],0)), "Name not found")</f>
        <v>1415</v>
      </c>
      <c r="G1853" s="103"/>
      <c r="H1853" s="240">
        <f ca="1">SUMIF(Tabella2[[#Headers],[#Data],[Age]],$H$76,Tabella2[[#Headers],[#Data],[Federal taxes]])</f>
        <v>6804.3246087429152</v>
      </c>
      <c r="I185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3" s="240">
        <f ca="1">Tabella8[[#This Row],[Colonna7]]*Tabella8[[#This Row],[Colonna4]]/100</f>
        <v>18270.574713781589</v>
      </c>
    </row>
    <row r="1854" spans="2:10">
      <c r="B1854" s="92" t="s">
        <v>139</v>
      </c>
      <c r="C1854" s="91" t="s">
        <v>410</v>
      </c>
      <c r="D1854" s="93">
        <v>155</v>
      </c>
      <c r="E1854" s="93">
        <v>76</v>
      </c>
      <c r="F1854" s="103">
        <f>IFERROR(INDEX(Tabella9[PLZ],MATCH(Tabella8[[#This Row],[Colonna2]],Tabella9[Ortschaftsname],0)), "Name not found")</f>
        <v>1148</v>
      </c>
      <c r="G1854" s="103"/>
      <c r="H1854" s="240">
        <f ca="1">SUMIF(Tabella2[[#Headers],[#Data],[Age]],$H$76,Tabella2[[#Headers],[#Data],[Federal taxes]])</f>
        <v>6804.3246087429152</v>
      </c>
      <c r="I185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4" s="240">
        <f ca="1">Tabella8[[#This Row],[Colonna7]]*Tabella8[[#This Row],[Colonna4]]/100</f>
        <v>17142.761459844456</v>
      </c>
    </row>
    <row r="1855" spans="2:10">
      <c r="B1855" s="92" t="s">
        <v>139</v>
      </c>
      <c r="C1855" s="91" t="s">
        <v>249</v>
      </c>
      <c r="D1855" s="93">
        <v>155</v>
      </c>
      <c r="E1855" s="93">
        <v>63.5</v>
      </c>
      <c r="F1855" s="103">
        <f>IFERROR(INDEX(Tabella9[PLZ],MATCH(Tabella8[[#This Row],[Colonna2]],Tabella9[Ortschaftsname],0)), "Name not found")</f>
        <v>1185</v>
      </c>
      <c r="G1855" s="103"/>
      <c r="H1855" s="240">
        <f ca="1">SUMIF(Tabella2[[#Headers],[#Data],[Age]],$H$76,Tabella2[[#Headers],[#Data],[Federal taxes]])</f>
        <v>6804.3246087429152</v>
      </c>
      <c r="I185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5" s="240">
        <f ca="1">Tabella8[[#This Row],[Colonna7]]*Tabella8[[#This Row],[Colonna4]]/100</f>
        <v>14323.228325001619</v>
      </c>
    </row>
    <row r="1856" spans="2:10">
      <c r="B1856" s="92" t="s">
        <v>139</v>
      </c>
      <c r="C1856" s="91" t="s">
        <v>350</v>
      </c>
      <c r="D1856" s="93">
        <v>155</v>
      </c>
      <c r="E1856" s="93">
        <v>64.5</v>
      </c>
      <c r="F1856" s="103">
        <f>IFERROR(INDEX(Tabella9[PLZ],MATCH(Tabella8[[#This Row],[Colonna2]],Tabella9[Ortschaftsname],0)), "Name not found")</f>
        <v>1442</v>
      </c>
      <c r="G1856" s="103"/>
      <c r="H1856" s="240">
        <f ca="1">SUMIF(Tabella2[[#Headers],[#Data],[Age]],$H$76,Tabella2[[#Headers],[#Data],[Federal taxes]])</f>
        <v>6804.3246087429152</v>
      </c>
      <c r="I185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6" s="240">
        <f ca="1">Tabella8[[#This Row],[Colonna7]]*Tabella8[[#This Row],[Colonna4]]/100</f>
        <v>14548.790975789043</v>
      </c>
    </row>
    <row r="1857" spans="2:10">
      <c r="B1857" s="92" t="s">
        <v>139</v>
      </c>
      <c r="C1857" s="91" t="s">
        <v>252</v>
      </c>
      <c r="D1857" s="93">
        <v>155</v>
      </c>
      <c r="E1857" s="93">
        <v>70</v>
      </c>
      <c r="F1857" s="103">
        <v>1410</v>
      </c>
      <c r="G1857" s="103"/>
      <c r="H1857" s="240">
        <f ca="1">SUMIF(Tabella2[[#Headers],[#Data],[Age]],$H$76,Tabella2[[#Headers],[#Data],[Federal taxes]])</f>
        <v>6804.3246087429152</v>
      </c>
      <c r="I185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7" s="240">
        <f ca="1">Tabella8[[#This Row],[Colonna7]]*Tabella8[[#This Row],[Colonna4]]/100</f>
        <v>15789.385555119894</v>
      </c>
    </row>
    <row r="1858" spans="2:10">
      <c r="B1858" s="92" t="s">
        <v>139</v>
      </c>
      <c r="C1858" s="91" t="s">
        <v>390</v>
      </c>
      <c r="D1858" s="93">
        <v>155</v>
      </c>
      <c r="E1858" s="93">
        <v>72</v>
      </c>
      <c r="F1858" s="103">
        <f>IFERROR(INDEX(Tabella9[PLZ],MATCH(Tabella8[[#This Row],[Colonna2]],Tabella9[Ortschaftsname],0)), "Name not found")</f>
        <v>1354</v>
      </c>
      <c r="G1858" s="103"/>
      <c r="H1858" s="240">
        <f ca="1">SUMIF(Tabella2[[#Headers],[#Data],[Age]],$H$76,Tabella2[[#Headers],[#Data],[Federal taxes]])</f>
        <v>6804.3246087429152</v>
      </c>
      <c r="I185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8" s="240">
        <f ca="1">Tabella8[[#This Row],[Colonna7]]*Tabella8[[#This Row],[Colonna4]]/100</f>
        <v>16240.510856694747</v>
      </c>
    </row>
    <row r="1859" spans="2:10">
      <c r="B1859" s="92" t="s">
        <v>139</v>
      </c>
      <c r="C1859" s="91" t="s">
        <v>268</v>
      </c>
      <c r="D1859" s="93">
        <v>155</v>
      </c>
      <c r="E1859" s="93">
        <v>72.5</v>
      </c>
      <c r="F1859" s="103">
        <v>1041</v>
      </c>
      <c r="G1859" s="103"/>
      <c r="H1859" s="240">
        <f ca="1">SUMIF(Tabella2[[#Headers],[#Data],[Age]],$H$76,Tabella2[[#Headers],[#Data],[Federal taxes]])</f>
        <v>6804.3246087429152</v>
      </c>
      <c r="I185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59" s="240">
        <f ca="1">Tabella8[[#This Row],[Colonna7]]*Tabella8[[#This Row],[Colonna4]]/100</f>
        <v>16353.292182088462</v>
      </c>
    </row>
    <row r="1860" spans="2:10">
      <c r="B1860" s="92" t="s">
        <v>139</v>
      </c>
      <c r="C1860" s="91" t="s">
        <v>358</v>
      </c>
      <c r="D1860" s="93">
        <v>155</v>
      </c>
      <c r="E1860" s="93">
        <v>74.5</v>
      </c>
      <c r="F1860" s="103">
        <f>IFERROR(INDEX(Tabella9[PLZ],MATCH(Tabella8[[#This Row],[Colonna2]],Tabella9[Ortschaftsname],0)), "Name not found")</f>
        <v>1081</v>
      </c>
      <c r="G1860" s="103"/>
      <c r="H1860" s="240">
        <f ca="1">SUMIF(Tabella2[[#Headers],[#Data],[Age]],$H$76,Tabella2[[#Headers],[#Data],[Federal taxes]])</f>
        <v>6804.3246087429152</v>
      </c>
      <c r="I186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0" s="240">
        <f ca="1">Tabella8[[#This Row],[Colonna7]]*Tabella8[[#This Row],[Colonna4]]/100</f>
        <v>16804.417483663314</v>
      </c>
    </row>
    <row r="1861" spans="2:10">
      <c r="B1861" s="92" t="s">
        <v>139</v>
      </c>
      <c r="C1861" s="91" t="s">
        <v>186</v>
      </c>
      <c r="D1861" s="93">
        <v>155</v>
      </c>
      <c r="E1861" s="93">
        <v>65</v>
      </c>
      <c r="F1861" s="103">
        <f>IFERROR(INDEX(Tabella9[PLZ],MATCH(Tabella8[[#This Row],[Colonna2]],Tabella9[Ortschaftsname],0)), "Name not found")</f>
        <v>1820</v>
      </c>
      <c r="G1861" s="103"/>
      <c r="H1861" s="240">
        <f ca="1">SUMIF(Tabella2[[#Headers],[#Data],[Age]],$H$76,Tabella2[[#Headers],[#Data],[Federal taxes]])</f>
        <v>6804.3246087429152</v>
      </c>
      <c r="I186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1" s="240">
        <f ca="1">Tabella8[[#This Row],[Colonna7]]*Tabella8[[#This Row],[Colonna4]]/100</f>
        <v>14661.572301182758</v>
      </c>
    </row>
    <row r="1862" spans="2:10">
      <c r="B1862" s="92" t="s">
        <v>139</v>
      </c>
      <c r="C1862" s="91" t="s">
        <v>321</v>
      </c>
      <c r="D1862" s="93">
        <v>155</v>
      </c>
      <c r="E1862" s="93">
        <v>64</v>
      </c>
      <c r="F1862" s="103">
        <f>IFERROR(INDEX(Tabella9[PLZ],MATCH(Tabella8[[#This Row],[Colonna2]],Tabella9[Ortschaftsname],0)), "Name not found")</f>
        <v>1147</v>
      </c>
      <c r="G1862" s="103"/>
      <c r="H1862" s="240">
        <f ca="1">SUMIF(Tabella2[[#Headers],[#Data],[Age]],$H$76,Tabella2[[#Headers],[#Data],[Federal taxes]])</f>
        <v>6804.3246087429152</v>
      </c>
      <c r="I186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2" s="240">
        <f ca="1">Tabella8[[#This Row],[Colonna7]]*Tabella8[[#This Row],[Colonna4]]/100</f>
        <v>14436.009650395332</v>
      </c>
    </row>
    <row r="1863" spans="2:10">
      <c r="B1863" s="92" t="s">
        <v>139</v>
      </c>
      <c r="C1863" s="91" t="s">
        <v>192</v>
      </c>
      <c r="D1863" s="93">
        <v>155</v>
      </c>
      <c r="E1863" s="93">
        <v>67</v>
      </c>
      <c r="F1863" s="103">
        <f>IFERROR(INDEX(Tabella9[PLZ],MATCH(Tabella8[[#This Row],[Colonna2]],Tabella9[Ortschaftsname],0)), "Name not found")</f>
        <v>1110</v>
      </c>
      <c r="G1863" s="103"/>
      <c r="H1863" s="240">
        <f ca="1">SUMIF(Tabella2[[#Headers],[#Data],[Age]],$H$76,Tabella2[[#Headers],[#Data],[Federal taxes]])</f>
        <v>6804.3246087429152</v>
      </c>
      <c r="I186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3" s="240">
        <f ca="1">Tabella8[[#This Row],[Colonna7]]*Tabella8[[#This Row],[Colonna4]]/100</f>
        <v>15112.697602757611</v>
      </c>
    </row>
    <row r="1864" spans="2:10">
      <c r="B1864" s="92" t="s">
        <v>139</v>
      </c>
      <c r="C1864" s="91" t="s">
        <v>306</v>
      </c>
      <c r="D1864" s="93">
        <v>155</v>
      </c>
      <c r="E1864" s="93">
        <v>74</v>
      </c>
      <c r="F1864" s="103">
        <v>1054</v>
      </c>
      <c r="G1864" s="103"/>
      <c r="H1864" s="240">
        <f ca="1">SUMIF(Tabella2[[#Headers],[#Data],[Age]],$H$76,Tabella2[[#Headers],[#Data],[Federal taxes]])</f>
        <v>6804.3246087429152</v>
      </c>
      <c r="I186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4" s="240">
        <f ca="1">Tabella8[[#This Row],[Colonna7]]*Tabella8[[#This Row],[Colonna4]]/100</f>
        <v>16691.636158269601</v>
      </c>
    </row>
    <row r="1865" spans="2:10">
      <c r="B1865" s="92" t="s">
        <v>139</v>
      </c>
      <c r="C1865" s="91" t="s">
        <v>210</v>
      </c>
      <c r="D1865" s="93">
        <v>155</v>
      </c>
      <c r="E1865" s="93">
        <v>72.5</v>
      </c>
      <c r="F1865" s="103">
        <f>IFERROR(INDEX(Tabella9[PLZ],MATCH(Tabella8[[#This Row],[Colonna2]],Tabella9[Ortschaftsname],0)), "Name not found")</f>
        <v>1510</v>
      </c>
      <c r="G1865" s="103"/>
      <c r="H1865" s="240">
        <f ca="1">SUMIF(Tabella2[[#Headers],[#Data],[Age]],$H$76,Tabella2[[#Headers],[#Data],[Federal taxes]])</f>
        <v>6804.3246087429152</v>
      </c>
      <c r="I186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5" s="240">
        <f ca="1">Tabella8[[#This Row],[Colonna7]]*Tabella8[[#This Row],[Colonna4]]/100</f>
        <v>16353.292182088462</v>
      </c>
    </row>
    <row r="1866" spans="2:10">
      <c r="B1866" s="92" t="s">
        <v>139</v>
      </c>
      <c r="C1866" s="91" t="s">
        <v>476</v>
      </c>
      <c r="D1866" s="93">
        <v>155</v>
      </c>
      <c r="E1866" s="93">
        <v>80</v>
      </c>
      <c r="F1866" s="103">
        <f>IFERROR(INDEX(Tabella9[PLZ],MATCH(Tabella8[[#This Row],[Colonna2]],Tabella9[Ortschaftsname],0)), "Name not found")</f>
        <v>1428</v>
      </c>
      <c r="G1866" s="103"/>
      <c r="H1866" s="240">
        <f ca="1">SUMIF(Tabella2[[#Headers],[#Data],[Age]],$H$76,Tabella2[[#Headers],[#Data],[Federal taxes]])</f>
        <v>6804.3246087429152</v>
      </c>
      <c r="I186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6" s="240">
        <f ca="1">Tabella8[[#This Row],[Colonna7]]*Tabella8[[#This Row],[Colonna4]]/100</f>
        <v>18045.012062994163</v>
      </c>
    </row>
    <row r="1867" spans="2:10">
      <c r="B1867" s="92" t="s">
        <v>139</v>
      </c>
      <c r="C1867" s="91" t="s">
        <v>491</v>
      </c>
      <c r="D1867" s="93">
        <v>155</v>
      </c>
      <c r="E1867" s="93">
        <v>76</v>
      </c>
      <c r="F1867" s="103">
        <f>IFERROR(INDEX(Tabella9[PLZ],MATCH(Tabella8[[#This Row],[Colonna2]],Tabella9[Ortschaftsname],0)), "Name not found")</f>
        <v>1431</v>
      </c>
      <c r="G1867" s="103"/>
      <c r="H1867" s="240">
        <f ca="1">SUMIF(Tabella2[[#Headers],[#Data],[Age]],$H$76,Tabella2[[#Headers],[#Data],[Federal taxes]])</f>
        <v>6804.3246087429152</v>
      </c>
      <c r="I186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7" s="240">
        <f ca="1">Tabella8[[#This Row],[Colonna7]]*Tabella8[[#This Row],[Colonna4]]/100</f>
        <v>17142.761459844456</v>
      </c>
    </row>
    <row r="1868" spans="2:10">
      <c r="B1868" s="92" t="s">
        <v>139</v>
      </c>
      <c r="C1868" s="91" t="s">
        <v>310</v>
      </c>
      <c r="D1868" s="93">
        <v>155</v>
      </c>
      <c r="E1868" s="93">
        <v>75</v>
      </c>
      <c r="F1868" s="103">
        <f>IFERROR(INDEX(Tabella9[PLZ],MATCH(Tabella8[[#This Row],[Colonna2]],Tabella9[Ortschaftsname],0)), "Name not found")</f>
        <v>1845</v>
      </c>
      <c r="G1868" s="103"/>
      <c r="H1868" s="240">
        <f ca="1">SUMIF(Tabella2[[#Headers],[#Data],[Age]],$H$76,Tabella2[[#Headers],[#Data],[Federal taxes]])</f>
        <v>6804.3246087429152</v>
      </c>
      <c r="I186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8" s="240">
        <f ca="1">Tabella8[[#This Row],[Colonna7]]*Tabella8[[#This Row],[Colonna4]]/100</f>
        <v>16917.19880905703</v>
      </c>
    </row>
    <row r="1869" spans="2:10">
      <c r="B1869" s="92" t="s">
        <v>139</v>
      </c>
      <c r="C1869" s="91" t="s">
        <v>188</v>
      </c>
      <c r="D1869" s="93">
        <v>155</v>
      </c>
      <c r="E1869" s="93">
        <v>61</v>
      </c>
      <c r="F1869" s="103">
        <f>IFERROR(INDEX(Tabella9[PLZ],MATCH(Tabella8[[#This Row],[Colonna2]],Tabella9[Ortschaftsname],0)), "Name not found")</f>
        <v>1260</v>
      </c>
      <c r="G1869" s="103"/>
      <c r="H1869" s="240">
        <f ca="1">SUMIF(Tabella2[[#Headers],[#Data],[Age]],$H$76,Tabella2[[#Headers],[#Data],[Federal taxes]])</f>
        <v>6804.3246087429152</v>
      </c>
      <c r="I186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69" s="240">
        <f ca="1">Tabella8[[#This Row],[Colonna7]]*Tabella8[[#This Row],[Colonna4]]/100</f>
        <v>13759.321698033051</v>
      </c>
    </row>
    <row r="1870" spans="2:10">
      <c r="B1870" s="92" t="s">
        <v>139</v>
      </c>
      <c r="C1870" s="91" t="s">
        <v>444</v>
      </c>
      <c r="D1870" s="93">
        <v>155</v>
      </c>
      <c r="E1870" s="93">
        <v>78</v>
      </c>
      <c r="F1870" s="103">
        <f>IFERROR(INDEX(Tabella9[PLZ],MATCH(Tabella8[[#This Row],[Colonna2]],Tabella9[Ortschaftsname],0)), "Name not found")</f>
        <v>1045</v>
      </c>
      <c r="G1870" s="103"/>
      <c r="H1870" s="240">
        <f ca="1">SUMIF(Tabella2[[#Headers],[#Data],[Age]],$H$76,Tabella2[[#Headers],[#Data],[Federal taxes]])</f>
        <v>6804.3246087429152</v>
      </c>
      <c r="I187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0" s="240">
        <f ca="1">Tabella8[[#This Row],[Colonna7]]*Tabella8[[#This Row],[Colonna4]]/100</f>
        <v>17593.886761419311</v>
      </c>
    </row>
    <row r="1871" spans="2:10">
      <c r="B1871" s="92" t="s">
        <v>139</v>
      </c>
      <c r="C1871" s="91" t="s">
        <v>206</v>
      </c>
      <c r="D1871" s="93">
        <v>155</v>
      </c>
      <c r="E1871" s="93">
        <v>68</v>
      </c>
      <c r="F1871" s="103">
        <v>1867</v>
      </c>
      <c r="G1871" s="103"/>
      <c r="H1871" s="240">
        <f ca="1">SUMIF(Tabella2[[#Headers],[#Data],[Age]],$H$76,Tabella2[[#Headers],[#Data],[Federal taxes]])</f>
        <v>6804.3246087429152</v>
      </c>
      <c r="I187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1" s="240">
        <f ca="1">Tabella8[[#This Row],[Colonna7]]*Tabella8[[#This Row],[Colonna4]]/100</f>
        <v>15338.260253545039</v>
      </c>
    </row>
    <row r="1872" spans="2:10">
      <c r="B1872" s="92" t="s">
        <v>139</v>
      </c>
      <c r="C1872" s="91" t="s">
        <v>394</v>
      </c>
      <c r="D1872" s="93">
        <v>155</v>
      </c>
      <c r="E1872" s="93">
        <v>63.5</v>
      </c>
      <c r="F1872" s="103">
        <v>1425</v>
      </c>
      <c r="G1872" s="103"/>
      <c r="H1872" s="240">
        <f ca="1">SUMIF(Tabella2[[#Headers],[#Data],[Age]],$H$76,Tabella2[[#Headers],[#Data],[Federal taxes]])</f>
        <v>6804.3246087429152</v>
      </c>
      <c r="I187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2" s="240">
        <f ca="1">Tabella8[[#This Row],[Colonna7]]*Tabella8[[#This Row],[Colonna4]]/100</f>
        <v>14323.228325001619</v>
      </c>
    </row>
    <row r="1873" spans="2:10">
      <c r="B1873" s="92" t="s">
        <v>139</v>
      </c>
      <c r="C1873" s="91" t="s">
        <v>470</v>
      </c>
      <c r="D1873" s="93">
        <v>155</v>
      </c>
      <c r="E1873" s="93">
        <v>79</v>
      </c>
      <c r="F1873" s="103">
        <f>IFERROR(INDEX(Tabella9[PLZ],MATCH(Tabella8[[#This Row],[Colonna2]],Tabella9[Ortschaftsname],0)), "Name not found")</f>
        <v>1047</v>
      </c>
      <c r="G1873" s="103"/>
      <c r="H1873" s="240">
        <f ca="1">SUMIF(Tabella2[[#Headers],[#Data],[Age]],$H$76,Tabella2[[#Headers],[#Data],[Federal taxes]])</f>
        <v>6804.3246087429152</v>
      </c>
      <c r="I187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3" s="240">
        <f ca="1">Tabella8[[#This Row],[Colonna7]]*Tabella8[[#This Row],[Colonna4]]/100</f>
        <v>17819.449412206737</v>
      </c>
    </row>
    <row r="1874" spans="2:10">
      <c r="B1874" s="92" t="s">
        <v>139</v>
      </c>
      <c r="C1874" s="91" t="s">
        <v>207</v>
      </c>
      <c r="D1874" s="93">
        <v>155</v>
      </c>
      <c r="E1874" s="93">
        <v>75.5</v>
      </c>
      <c r="F1874" s="103">
        <f>IFERROR(INDEX(Tabella9[PLZ],MATCH(Tabella8[[#This Row],[Colonna2]],Tabella9[Ortschaftsname],0)), "Name not found")</f>
        <v>1350</v>
      </c>
      <c r="G1874" s="103"/>
      <c r="H1874" s="240">
        <f ca="1">SUMIF(Tabella2[[#Headers],[#Data],[Age]],$H$76,Tabella2[[#Headers],[#Data],[Federal taxes]])</f>
        <v>6804.3246087429152</v>
      </c>
      <c r="I187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4" s="240">
        <f ca="1">Tabella8[[#This Row],[Colonna7]]*Tabella8[[#This Row],[Colonna4]]/100</f>
        <v>17029.980134450743</v>
      </c>
    </row>
    <row r="1875" spans="2:10">
      <c r="B1875" s="92" t="s">
        <v>139</v>
      </c>
      <c r="C1875" s="91" t="s">
        <v>438</v>
      </c>
      <c r="D1875" s="93">
        <v>155</v>
      </c>
      <c r="E1875" s="93">
        <v>74</v>
      </c>
      <c r="F1875" s="103">
        <f>IFERROR(INDEX(Tabella9[PLZ],MATCH(Tabella8[[#This Row],[Colonna2]],Tabella9[Ortschaftsname],0)), "Name not found")</f>
        <v>1430</v>
      </c>
      <c r="G1875" s="103"/>
      <c r="H1875" s="240">
        <f ca="1">SUMIF(Tabella2[[#Headers],[#Data],[Age]],$H$76,Tabella2[[#Headers],[#Data],[Federal taxes]])</f>
        <v>6804.3246087429152</v>
      </c>
      <c r="I187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5" s="240">
        <f ca="1">Tabella8[[#This Row],[Colonna7]]*Tabella8[[#This Row],[Colonna4]]/100</f>
        <v>16691.636158269601</v>
      </c>
    </row>
    <row r="1876" spans="2:10">
      <c r="B1876" s="92" t="s">
        <v>139</v>
      </c>
      <c r="C1876" s="91" t="s">
        <v>302</v>
      </c>
      <c r="D1876" s="93">
        <v>155</v>
      </c>
      <c r="E1876" s="93">
        <v>77</v>
      </c>
      <c r="F1876" s="103">
        <v>1866</v>
      </c>
      <c r="G1876" s="103"/>
      <c r="H1876" s="240">
        <f ca="1">SUMIF(Tabella2[[#Headers],[#Data],[Age]],$H$76,Tabella2[[#Headers],[#Data],[Federal taxes]])</f>
        <v>6804.3246087429152</v>
      </c>
      <c r="I187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6" s="240">
        <f ca="1">Tabella8[[#This Row],[Colonna7]]*Tabella8[[#This Row],[Colonna4]]/100</f>
        <v>17368.324110631882</v>
      </c>
    </row>
    <row r="1877" spans="2:10">
      <c r="B1877" s="92" t="s">
        <v>139</v>
      </c>
      <c r="C1877" s="91" t="s">
        <v>282</v>
      </c>
      <c r="D1877" s="93">
        <v>155</v>
      </c>
      <c r="E1877" s="93">
        <v>76</v>
      </c>
      <c r="F1877" s="103">
        <v>1865</v>
      </c>
      <c r="G1877" s="103"/>
      <c r="H1877" s="240">
        <f ca="1">SUMIF(Tabella2[[#Headers],[#Data],[Age]],$H$76,Tabella2[[#Headers],[#Data],[Federal taxes]])</f>
        <v>6804.3246087429152</v>
      </c>
      <c r="I187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7" s="240">
        <f ca="1">Tabella8[[#This Row],[Colonna7]]*Tabella8[[#This Row],[Colonna4]]/100</f>
        <v>17142.761459844456</v>
      </c>
    </row>
    <row r="1878" spans="2:10">
      <c r="B1878" s="92" t="s">
        <v>139</v>
      </c>
      <c r="C1878" s="91" t="s">
        <v>433</v>
      </c>
      <c r="D1878" s="93">
        <v>155</v>
      </c>
      <c r="E1878" s="93">
        <v>73</v>
      </c>
      <c r="F1878" s="103">
        <f>IFERROR(INDEX(Tabella9[PLZ],MATCH(Tabella8[[#This Row],[Colonna2]],Tabella9[Ortschaftsname],0)), "Name not found")</f>
        <v>1317</v>
      </c>
      <c r="G1878" s="103"/>
      <c r="H1878" s="240">
        <f ca="1">SUMIF(Tabella2[[#Headers],[#Data],[Age]],$H$76,Tabella2[[#Headers],[#Data],[Federal taxes]])</f>
        <v>6804.3246087429152</v>
      </c>
      <c r="I187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8" s="240">
        <f ca="1">Tabella8[[#This Row],[Colonna7]]*Tabella8[[#This Row],[Colonna4]]/100</f>
        <v>16466.073507482175</v>
      </c>
    </row>
    <row r="1879" spans="2:10">
      <c r="B1879" s="92" t="s">
        <v>139</v>
      </c>
      <c r="C1879" s="91" t="s">
        <v>214</v>
      </c>
      <c r="D1879" s="93">
        <v>155</v>
      </c>
      <c r="E1879" s="93">
        <v>69</v>
      </c>
      <c r="F1879" s="103">
        <v>1607</v>
      </c>
      <c r="G1879" s="103"/>
      <c r="H1879" s="240">
        <f ca="1">SUMIF(Tabella2[[#Headers],[#Data],[Age]],$H$76,Tabella2[[#Headers],[#Data],[Federal taxes]])</f>
        <v>6804.3246087429152</v>
      </c>
      <c r="I187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79" s="240">
        <f ca="1">Tabella8[[#This Row],[Colonna7]]*Tabella8[[#This Row],[Colonna4]]/100</f>
        <v>15563.822904332466</v>
      </c>
    </row>
    <row r="1880" spans="2:10">
      <c r="B1880" s="92" t="s">
        <v>139</v>
      </c>
      <c r="C1880" s="91" t="s">
        <v>214</v>
      </c>
      <c r="D1880" s="93">
        <v>155</v>
      </c>
      <c r="E1880" s="93">
        <v>69</v>
      </c>
      <c r="F1880" s="103">
        <v>1610</v>
      </c>
      <c r="G1880" s="103"/>
      <c r="H1880" s="240">
        <f ca="1">SUMIF(Tabella2[[#Headers],[#Data],[Age]],$H$76,Tabella2[[#Headers],[#Data],[Federal taxes]])</f>
        <v>6804.3246087429152</v>
      </c>
      <c r="I188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0" s="240">
        <f ca="1">Tabella8[[#This Row],[Colonna7]]*Tabella8[[#This Row],[Colonna4]]/100</f>
        <v>15563.822904332466</v>
      </c>
    </row>
    <row r="1881" spans="2:10">
      <c r="B1881" s="92" t="s">
        <v>139</v>
      </c>
      <c r="C1881" s="91" t="s">
        <v>471</v>
      </c>
      <c r="D1881" s="93">
        <v>155</v>
      </c>
      <c r="E1881" s="93">
        <v>79</v>
      </c>
      <c r="F1881" s="103">
        <f>IFERROR(INDEX(Tabella9[PLZ],MATCH(Tabella8[[#This Row],[Colonna2]],Tabella9[Ortschaftsname],0)), "Name not found")</f>
        <v>1413</v>
      </c>
      <c r="G1881" s="103"/>
      <c r="H1881" s="240">
        <f ca="1">SUMIF(Tabella2[[#Headers],[#Data],[Age]],$H$76,Tabella2[[#Headers],[#Data],[Federal taxes]])</f>
        <v>6804.3246087429152</v>
      </c>
      <c r="I188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1" s="240">
        <f ca="1">Tabella8[[#This Row],[Colonna7]]*Tabella8[[#This Row],[Colonna4]]/100</f>
        <v>17819.449412206737</v>
      </c>
    </row>
    <row r="1882" spans="2:10">
      <c r="B1882" s="92" t="s">
        <v>139</v>
      </c>
      <c r="C1882" s="91" t="s">
        <v>370</v>
      </c>
      <c r="D1882" s="93">
        <v>155</v>
      </c>
      <c r="E1882" s="93">
        <v>71</v>
      </c>
      <c r="F1882" s="103">
        <f>IFERROR(INDEX(Tabella9[PLZ],MATCH(Tabella8[[#This Row],[Colonna2]],Tabella9[Ortschaftsname],0)), "Name not found")</f>
        <v>1377</v>
      </c>
      <c r="G1882" s="103"/>
      <c r="H1882" s="240">
        <f ca="1">SUMIF(Tabella2[[#Headers],[#Data],[Age]],$H$76,Tabella2[[#Headers],[#Data],[Federal taxes]])</f>
        <v>6804.3246087429152</v>
      </c>
      <c r="I188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2" s="240">
        <f ca="1">Tabella8[[#This Row],[Colonna7]]*Tabella8[[#This Row],[Colonna4]]/100</f>
        <v>16014.94820590732</v>
      </c>
    </row>
    <row r="1883" spans="2:10">
      <c r="B1883" s="92" t="s">
        <v>139</v>
      </c>
      <c r="C1883" s="91" t="s">
        <v>377</v>
      </c>
      <c r="D1883" s="93">
        <v>155</v>
      </c>
      <c r="E1883" s="93">
        <v>76</v>
      </c>
      <c r="F1883" s="103">
        <f>IFERROR(INDEX(Tabella9[PLZ],MATCH(Tabella8[[#This Row],[Colonna2]],Tabella9[Ortschaftsname],0)), "Name not found")</f>
        <v>1416</v>
      </c>
      <c r="G1883" s="103"/>
      <c r="H1883" s="240">
        <f ca="1">SUMIF(Tabella2[[#Headers],[#Data],[Age]],$H$76,Tabella2[[#Headers],[#Data],[Federal taxes]])</f>
        <v>6804.3246087429152</v>
      </c>
      <c r="I188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3" s="240">
        <f ca="1">Tabella8[[#This Row],[Colonna7]]*Tabella8[[#This Row],[Colonna4]]/100</f>
        <v>17142.761459844456</v>
      </c>
    </row>
    <row r="1884" spans="2:10">
      <c r="B1884" s="92" t="s">
        <v>139</v>
      </c>
      <c r="C1884" s="91" t="s">
        <v>280</v>
      </c>
      <c r="D1884" s="93">
        <v>155</v>
      </c>
      <c r="E1884" s="93">
        <v>66.5</v>
      </c>
      <c r="F1884" s="103">
        <f>IFERROR(INDEX(Tabella9[PLZ],MATCH(Tabella8[[#This Row],[Colonna2]],Tabella9[Ortschaftsname],0)), "Name not found")</f>
        <v>1094</v>
      </c>
      <c r="G1884" s="103"/>
      <c r="H1884" s="240">
        <f ca="1">SUMIF(Tabella2[[#Headers],[#Data],[Age]],$H$76,Tabella2[[#Headers],[#Data],[Federal taxes]])</f>
        <v>6804.3246087429152</v>
      </c>
      <c r="I188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4" s="240">
        <f ca="1">Tabella8[[#This Row],[Colonna7]]*Tabella8[[#This Row],[Colonna4]]/100</f>
        <v>14999.916277363898</v>
      </c>
    </row>
    <row r="1885" spans="2:10">
      <c r="B1885" s="92" t="s">
        <v>139</v>
      </c>
      <c r="C1885" s="91" t="s">
        <v>199</v>
      </c>
      <c r="D1885" s="93">
        <v>155</v>
      </c>
      <c r="E1885" s="93">
        <v>70</v>
      </c>
      <c r="F1885" s="103">
        <f>IFERROR(INDEX(Tabella9[PLZ],MATCH(Tabella8[[#This Row],[Colonna2]],Tabella9[Ortschaftsname],0)), "Name not found")</f>
        <v>1530</v>
      </c>
      <c r="G1885" s="103"/>
      <c r="H1885" s="240">
        <f ca="1">SUMIF(Tabella2[[#Headers],[#Data],[Age]],$H$76,Tabella2[[#Headers],[#Data],[Federal taxes]])</f>
        <v>6804.3246087429152</v>
      </c>
      <c r="I188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5" s="240">
        <f ca="1">Tabella8[[#This Row],[Colonna7]]*Tabella8[[#This Row],[Colonna4]]/100</f>
        <v>15789.385555119894</v>
      </c>
    </row>
    <row r="1886" spans="2:10">
      <c r="B1886" s="92" t="s">
        <v>139</v>
      </c>
      <c r="C1886" s="91" t="s">
        <v>237</v>
      </c>
      <c r="D1886" s="93">
        <v>155</v>
      </c>
      <c r="E1886" s="93">
        <v>72.5</v>
      </c>
      <c r="F1886" s="103">
        <f>IFERROR(INDEX(Tabella9[PLZ],MATCH(Tabella8[[#This Row],[Colonna2]],Tabella9[Ortschaftsname],0)), "Name not found")</f>
        <v>1305</v>
      </c>
      <c r="G1886" s="103"/>
      <c r="H1886" s="240">
        <f ca="1">SUMIF(Tabella2[[#Headers],[#Data],[Age]],$H$76,Tabella2[[#Headers],[#Data],[Federal taxes]])</f>
        <v>6804.3246087429152</v>
      </c>
      <c r="I188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6" s="240">
        <f ca="1">Tabella8[[#This Row],[Colonna7]]*Tabella8[[#This Row],[Colonna4]]/100</f>
        <v>16353.292182088462</v>
      </c>
    </row>
    <row r="1887" spans="2:10">
      <c r="B1887" s="92" t="s">
        <v>139</v>
      </c>
      <c r="C1887" s="91" t="s">
        <v>269</v>
      </c>
      <c r="D1887" s="93">
        <v>155</v>
      </c>
      <c r="E1887" s="93">
        <v>69.5</v>
      </c>
      <c r="F1887" s="103">
        <f>IFERROR(INDEX(Tabella9[PLZ],MATCH(Tabella8[[#This Row],[Colonna2]],Tabella9[Ortschaftsname],0)), "Name not found")</f>
        <v>1303</v>
      </c>
      <c r="G1887" s="103"/>
      <c r="H1887" s="240">
        <f ca="1">SUMIF(Tabella2[[#Headers],[#Data],[Age]],$H$76,Tabella2[[#Headers],[#Data],[Federal taxes]])</f>
        <v>6804.3246087429152</v>
      </c>
      <c r="I188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7" s="240">
        <f ca="1">Tabella8[[#This Row],[Colonna7]]*Tabella8[[#This Row],[Colonna4]]/100</f>
        <v>15676.604229726179</v>
      </c>
    </row>
    <row r="1888" spans="2:10">
      <c r="B1888" s="92" t="s">
        <v>139</v>
      </c>
      <c r="C1888" s="91" t="s">
        <v>411</v>
      </c>
      <c r="D1888" s="93">
        <v>155</v>
      </c>
      <c r="E1888" s="93">
        <v>74</v>
      </c>
      <c r="F1888" s="103">
        <f>IFERROR(INDEX(Tabella9[PLZ],MATCH(Tabella8[[#This Row],[Colonna2]],Tabella9[Ortschaftsname],0)), "Name not found")</f>
        <v>1375</v>
      </c>
      <c r="G1888" s="103"/>
      <c r="H1888" s="240">
        <f ca="1">SUMIF(Tabella2[[#Headers],[#Data],[Age]],$H$76,Tabella2[[#Headers],[#Data],[Federal taxes]])</f>
        <v>6804.3246087429152</v>
      </c>
      <c r="I188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8" s="240">
        <f ca="1">Tabella8[[#This Row],[Colonna7]]*Tabella8[[#This Row],[Colonna4]]/100</f>
        <v>16691.636158269601</v>
      </c>
    </row>
    <row r="1889" spans="2:10">
      <c r="B1889" s="92" t="s">
        <v>139</v>
      </c>
      <c r="C1889" s="91" t="s">
        <v>278</v>
      </c>
      <c r="D1889" s="93">
        <v>155</v>
      </c>
      <c r="E1889" s="93">
        <v>58.5</v>
      </c>
      <c r="F1889" s="103">
        <f>IFERROR(INDEX(Tabella9[PLZ],MATCH(Tabella8[[#This Row],[Colonna2]],Tabella9[Ortschaftsname],0)), "Name not found")</f>
        <v>1166</v>
      </c>
      <c r="G1889" s="103"/>
      <c r="H1889" s="240">
        <f ca="1">SUMIF(Tabella2[[#Headers],[#Data],[Age]],$H$76,Tabella2[[#Headers],[#Data],[Federal taxes]])</f>
        <v>6804.3246087429152</v>
      </c>
      <c r="I188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89" s="240">
        <f ca="1">Tabella8[[#This Row],[Colonna7]]*Tabella8[[#This Row],[Colonna4]]/100</f>
        <v>13195.415071064483</v>
      </c>
    </row>
    <row r="1890" spans="2:10">
      <c r="B1890" s="92" t="s">
        <v>139</v>
      </c>
      <c r="C1890" s="91" t="s">
        <v>339</v>
      </c>
      <c r="D1890" s="93">
        <v>155</v>
      </c>
      <c r="E1890" s="93">
        <v>73</v>
      </c>
      <c r="F1890" s="103">
        <f>IFERROR(INDEX(Tabella9[PLZ],MATCH(Tabella8[[#This Row],[Colonna2]],Tabella9[Ortschaftsname],0)), "Name not found")</f>
        <v>1041</v>
      </c>
      <c r="G1890" s="103"/>
      <c r="H1890" s="240">
        <f ca="1">SUMIF(Tabella2[[#Headers],[#Data],[Age]],$H$76,Tabella2[[#Headers],[#Data],[Federal taxes]])</f>
        <v>6804.3246087429152</v>
      </c>
      <c r="I189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0" s="240">
        <f ca="1">Tabella8[[#This Row],[Colonna7]]*Tabella8[[#This Row],[Colonna4]]/100</f>
        <v>16466.073507482175</v>
      </c>
    </row>
    <row r="1891" spans="2:10">
      <c r="B1891" s="92" t="s">
        <v>139</v>
      </c>
      <c r="C1891" s="91" t="s">
        <v>338</v>
      </c>
      <c r="D1891" s="93">
        <v>155</v>
      </c>
      <c r="E1891" s="93">
        <v>66</v>
      </c>
      <c r="F1891" s="103">
        <f>IFERROR(INDEX(Tabella9[PLZ],MATCH(Tabella8[[#This Row],[Colonna2]],Tabella9[Ortschaftsname],0)), "Name not found")</f>
        <v>1318</v>
      </c>
      <c r="G1891" s="103"/>
      <c r="H1891" s="240">
        <f ca="1">SUMIF(Tabella2[[#Headers],[#Data],[Age]],$H$76,Tabella2[[#Headers],[#Data],[Federal taxes]])</f>
        <v>6804.3246087429152</v>
      </c>
      <c r="I189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1" s="240">
        <f ca="1">Tabella8[[#This Row],[Colonna7]]*Tabella8[[#This Row],[Colonna4]]/100</f>
        <v>14887.134951970185</v>
      </c>
    </row>
    <row r="1892" spans="2:10">
      <c r="B1892" s="92" t="s">
        <v>139</v>
      </c>
      <c r="C1892" s="91" t="s">
        <v>345</v>
      </c>
      <c r="D1892" s="93">
        <v>155</v>
      </c>
      <c r="E1892" s="93">
        <v>71</v>
      </c>
      <c r="F1892" s="103">
        <f>IFERROR(INDEX(Tabella9[PLZ],MATCH(Tabella8[[#This Row],[Colonna2]],Tabella9[Ortschaftsname],0)), "Name not found")</f>
        <v>1405</v>
      </c>
      <c r="G1892" s="103"/>
      <c r="H1892" s="240">
        <f ca="1">SUMIF(Tabella2[[#Headers],[#Data],[Age]],$H$76,Tabella2[[#Headers],[#Data],[Federal taxes]])</f>
        <v>6804.3246087429152</v>
      </c>
      <c r="I189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2" s="240">
        <f ca="1">Tabella8[[#This Row],[Colonna7]]*Tabella8[[#This Row],[Colonna4]]/100</f>
        <v>16014.94820590732</v>
      </c>
    </row>
    <row r="1893" spans="2:10">
      <c r="B1893" s="92" t="s">
        <v>139</v>
      </c>
      <c r="C1893" s="91" t="s">
        <v>225</v>
      </c>
      <c r="D1893" s="93">
        <v>155</v>
      </c>
      <c r="E1893" s="93">
        <v>55</v>
      </c>
      <c r="F1893" s="103">
        <f>IFERROR(INDEX(Tabella9[PLZ],MATCH(Tabella8[[#This Row],[Colonna2]],Tabella9[Ortschaftsname],0)), "Name not found")</f>
        <v>1197</v>
      </c>
      <c r="G1893" s="103"/>
      <c r="H1893" s="240">
        <f ca="1">SUMIF(Tabella2[[#Headers],[#Data],[Age]],$H$76,Tabella2[[#Headers],[#Data],[Federal taxes]])</f>
        <v>6804.3246087429152</v>
      </c>
      <c r="I189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3" s="240">
        <f ca="1">Tabella8[[#This Row],[Colonna7]]*Tabella8[[#This Row],[Colonna4]]/100</f>
        <v>12405.945793308487</v>
      </c>
    </row>
    <row r="1894" spans="2:10">
      <c r="B1894" s="92" t="s">
        <v>139</v>
      </c>
      <c r="C1894" s="91" t="s">
        <v>465</v>
      </c>
      <c r="D1894" s="93">
        <v>155</v>
      </c>
      <c r="E1894" s="93">
        <v>79.5</v>
      </c>
      <c r="F1894" s="103">
        <f>IFERROR(INDEX(Tabella9[PLZ],MATCH(Tabella8[[#This Row],[Colonna2]],Tabella9[Ortschaftsname],0)), "Name not found")</f>
        <v>1324</v>
      </c>
      <c r="G1894" s="103"/>
      <c r="H1894" s="240">
        <f ca="1">SUMIF(Tabella2[[#Headers],[#Data],[Age]],$H$76,Tabella2[[#Headers],[#Data],[Federal taxes]])</f>
        <v>6804.3246087429152</v>
      </c>
      <c r="I189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4" s="240">
        <f ca="1">Tabella8[[#This Row],[Colonna7]]*Tabella8[[#This Row],[Colonna4]]/100</f>
        <v>17932.23073760045</v>
      </c>
    </row>
    <row r="1895" spans="2:10">
      <c r="B1895" s="92" t="s">
        <v>139</v>
      </c>
      <c r="C1895" s="91" t="s">
        <v>195</v>
      </c>
      <c r="D1895" s="93">
        <v>155</v>
      </c>
      <c r="E1895" s="93">
        <v>72.5</v>
      </c>
      <c r="F1895" s="103">
        <f>IFERROR(INDEX(Tabella9[PLZ],MATCH(Tabella8[[#This Row],[Colonna2]],Tabella9[Ortschaftsname],0)), "Name not found")</f>
        <v>1008</v>
      </c>
      <c r="G1895" s="103"/>
      <c r="H1895" s="240">
        <f ca="1">SUMIF(Tabella2[[#Headers],[#Data],[Age]],$H$76,Tabella2[[#Headers],[#Data],[Federal taxes]])</f>
        <v>6804.3246087429152</v>
      </c>
      <c r="I189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5" s="240">
        <f ca="1">Tabella8[[#This Row],[Colonna7]]*Tabella8[[#This Row],[Colonna4]]/100</f>
        <v>16353.292182088462</v>
      </c>
    </row>
    <row r="1896" spans="2:10">
      <c r="B1896" s="92" t="s">
        <v>139</v>
      </c>
      <c r="C1896" s="91" t="s">
        <v>418</v>
      </c>
      <c r="D1896" s="93">
        <v>155</v>
      </c>
      <c r="E1896" s="93">
        <v>81</v>
      </c>
      <c r="F1896" s="103">
        <f>IFERROR(INDEX(Tabella9[PLZ],MATCH(Tabella8[[#This Row],[Colonna2]],Tabella9[Ortschaftsname],0)), "Name not found")</f>
        <v>1428</v>
      </c>
      <c r="G1896" s="103"/>
      <c r="H1896" s="240">
        <f ca="1">SUMIF(Tabella2[[#Headers],[#Data],[Age]],$H$76,Tabella2[[#Headers],[#Data],[Federal taxes]])</f>
        <v>6804.3246087429152</v>
      </c>
      <c r="I189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6" s="240">
        <f ca="1">Tabella8[[#This Row],[Colonna7]]*Tabella8[[#This Row],[Colonna4]]/100</f>
        <v>18270.574713781589</v>
      </c>
    </row>
    <row r="1897" spans="2:10">
      <c r="B1897" s="92" t="s">
        <v>139</v>
      </c>
      <c r="C1897" s="91" t="s">
        <v>215</v>
      </c>
      <c r="D1897" s="93">
        <v>155</v>
      </c>
      <c r="E1897" s="93">
        <v>65</v>
      </c>
      <c r="F1897" s="103">
        <f>IFERROR(INDEX(Tabella9[PLZ],MATCH(Tabella8[[#This Row],[Colonna2]],Tabella9[Ortschaftsname],0)), "Name not found")</f>
        <v>1028</v>
      </c>
      <c r="G1897" s="103"/>
      <c r="H1897" s="240">
        <f ca="1">SUMIF(Tabella2[[#Headers],[#Data],[Age]],$H$76,Tabella2[[#Headers],[#Data],[Federal taxes]])</f>
        <v>6804.3246087429152</v>
      </c>
      <c r="I189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7" s="240">
        <f ca="1">Tabella8[[#This Row],[Colonna7]]*Tabella8[[#This Row],[Colonna4]]/100</f>
        <v>14661.572301182758</v>
      </c>
    </row>
    <row r="1898" spans="2:10">
      <c r="B1898" s="92" t="s">
        <v>139</v>
      </c>
      <c r="C1898" s="91" t="s">
        <v>478</v>
      </c>
      <c r="D1898" s="93">
        <v>155</v>
      </c>
      <c r="E1898" s="93">
        <v>72.5</v>
      </c>
      <c r="F1898" s="103">
        <f>IFERROR(INDEX(Tabella9[PLZ],MATCH(Tabella8[[#This Row],[Colonna2]],Tabella9[Ortschaftsname],0)), "Name not found")</f>
        <v>1682</v>
      </c>
      <c r="G1898" s="103"/>
      <c r="H1898" s="240">
        <f ca="1">SUMIF(Tabella2[[#Headers],[#Data],[Age]],$H$76,Tabella2[[#Headers],[#Data],[Federal taxes]])</f>
        <v>6804.3246087429152</v>
      </c>
      <c r="I189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8" s="240">
        <f ca="1">Tabella8[[#This Row],[Colonna7]]*Tabella8[[#This Row],[Colonna4]]/100</f>
        <v>16353.292182088462</v>
      </c>
    </row>
    <row r="1899" spans="2:10">
      <c r="B1899" s="92" t="s">
        <v>139</v>
      </c>
      <c r="C1899" s="91" t="s">
        <v>244</v>
      </c>
      <c r="D1899" s="93">
        <v>155</v>
      </c>
      <c r="E1899" s="93">
        <v>68.5</v>
      </c>
      <c r="F1899" s="103">
        <f>IFERROR(INDEX(Tabella9[PLZ],MATCH(Tabella8[[#This Row],[Colonna2]],Tabella9[Ortschaftsname],0)), "Name not found")</f>
        <v>1070</v>
      </c>
      <c r="G1899" s="103"/>
      <c r="H1899" s="240">
        <f ca="1">SUMIF(Tabella2[[#Headers],[#Data],[Age]],$H$76,Tabella2[[#Headers],[#Data],[Federal taxes]])</f>
        <v>6804.3246087429152</v>
      </c>
      <c r="I189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899" s="240">
        <f ca="1">Tabella8[[#This Row],[Colonna7]]*Tabella8[[#This Row],[Colonna4]]/100</f>
        <v>15451.041578938753</v>
      </c>
    </row>
    <row r="1900" spans="2:10">
      <c r="B1900" s="92" t="s">
        <v>139</v>
      </c>
      <c r="C1900" s="91" t="s">
        <v>191</v>
      </c>
      <c r="D1900" s="93">
        <v>155</v>
      </c>
      <c r="E1900" s="93">
        <v>61</v>
      </c>
      <c r="F1900" s="103">
        <f>IFERROR(INDEX(Tabella9[PLZ],MATCH(Tabella8[[#This Row],[Colonna2]],Tabella9[Ortschaftsname],0)), "Name not found")</f>
        <v>1009</v>
      </c>
      <c r="G1900" s="103"/>
      <c r="H1900" s="240">
        <f ca="1">SUMIF(Tabella2[[#Headers],[#Data],[Age]],$H$76,Tabella2[[#Headers],[#Data],[Federal taxes]])</f>
        <v>6804.3246087429152</v>
      </c>
      <c r="I190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0" s="240">
        <f ca="1">Tabella8[[#This Row],[Colonna7]]*Tabella8[[#This Row],[Colonna4]]/100</f>
        <v>13759.321698033051</v>
      </c>
    </row>
    <row r="1901" spans="2:10">
      <c r="B1901" s="92" t="s">
        <v>139</v>
      </c>
      <c r="C1901" s="91" t="s">
        <v>388</v>
      </c>
      <c r="D1901" s="93">
        <v>155</v>
      </c>
      <c r="E1901" s="93">
        <v>76.5</v>
      </c>
      <c r="F1901" s="103">
        <f>IFERROR(INDEX(Tabella9[PLZ],MATCH(Tabella8[[#This Row],[Colonna2]],Tabella9[Ortschaftsname],0)), "Name not found")</f>
        <v>1439</v>
      </c>
      <c r="G1901" s="103"/>
      <c r="H1901" s="240">
        <f ca="1">SUMIF(Tabella2[[#Headers],[#Data],[Age]],$H$76,Tabella2[[#Headers],[#Data],[Federal taxes]])</f>
        <v>6804.3246087429152</v>
      </c>
      <c r="I190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1" s="240">
        <f ca="1">Tabella8[[#This Row],[Colonna7]]*Tabella8[[#This Row],[Colonna4]]/100</f>
        <v>17255.542785238169</v>
      </c>
    </row>
    <row r="1902" spans="2:10">
      <c r="B1902" s="92" t="s">
        <v>139</v>
      </c>
      <c r="C1902" s="91" t="s">
        <v>187</v>
      </c>
      <c r="D1902" s="93">
        <v>155</v>
      </c>
      <c r="E1902" s="93">
        <v>77</v>
      </c>
      <c r="F1902" s="103">
        <v>1020</v>
      </c>
      <c r="G1902" s="103"/>
      <c r="H1902" s="240">
        <f ca="1">SUMIF(Tabella2[[#Headers],[#Data],[Age]],$H$76,Tabella2[[#Headers],[#Data],[Federal taxes]])</f>
        <v>6804.3246087429152</v>
      </c>
      <c r="I190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2" s="240">
        <f ca="1">Tabella8[[#This Row],[Colonna7]]*Tabella8[[#This Row],[Colonna4]]/100</f>
        <v>17368.324110631882</v>
      </c>
    </row>
    <row r="1903" spans="2:10">
      <c r="B1903" s="92" t="s">
        <v>139</v>
      </c>
      <c r="C1903" s="91" t="s">
        <v>341</v>
      </c>
      <c r="D1903" s="93">
        <v>155</v>
      </c>
      <c r="E1903" s="93">
        <v>66</v>
      </c>
      <c r="F1903" s="103">
        <f>IFERROR(INDEX(Tabella9[PLZ],MATCH(Tabella8[[#This Row],[Colonna2]],Tabella9[Ortschaftsname],0)), "Name not found")</f>
        <v>1847</v>
      </c>
      <c r="G1903" s="103"/>
      <c r="H1903" s="240">
        <f ca="1">SUMIF(Tabella2[[#Headers],[#Data],[Age]],$H$76,Tabella2[[#Headers],[#Data],[Federal taxes]])</f>
        <v>6804.3246087429152</v>
      </c>
      <c r="I190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3" s="240">
        <f ca="1">Tabella8[[#This Row],[Colonna7]]*Tabella8[[#This Row],[Colonna4]]/100</f>
        <v>14887.134951970185</v>
      </c>
    </row>
    <row r="1904" spans="2:10">
      <c r="B1904" s="92" t="s">
        <v>139</v>
      </c>
      <c r="C1904" s="91" t="s">
        <v>434</v>
      </c>
      <c r="D1904" s="93">
        <v>155</v>
      </c>
      <c r="E1904" s="93">
        <v>62</v>
      </c>
      <c r="F1904" s="103">
        <f>IFERROR(INDEX(Tabella9[PLZ],MATCH(Tabella8[[#This Row],[Colonna2]],Tabella9[Ortschaftsname],0)), "Name not found")</f>
        <v>1071</v>
      </c>
      <c r="G1904" s="103"/>
      <c r="H1904" s="240">
        <f ca="1">SUMIF(Tabella2[[#Headers],[#Data],[Age]],$H$76,Tabella2[[#Headers],[#Data],[Federal taxes]])</f>
        <v>6804.3246087429152</v>
      </c>
      <c r="I190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4" s="240">
        <f ca="1">Tabella8[[#This Row],[Colonna7]]*Tabella8[[#This Row],[Colonna4]]/100</f>
        <v>13984.884348820477</v>
      </c>
    </row>
    <row r="1905" spans="2:10">
      <c r="B1905" s="92" t="s">
        <v>139</v>
      </c>
      <c r="C1905" s="91" t="s">
        <v>270</v>
      </c>
      <c r="D1905" s="93">
        <v>155</v>
      </c>
      <c r="E1905" s="93">
        <v>68</v>
      </c>
      <c r="F1905" s="103">
        <v>1852</v>
      </c>
      <c r="G1905" s="103"/>
      <c r="H1905" s="240">
        <f ca="1">SUMIF(Tabella2[[#Headers],[#Data],[Age]],$H$76,Tabella2[[#Headers],[#Data],[Federal taxes]])</f>
        <v>6804.3246087429152</v>
      </c>
      <c r="I190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5" s="240">
        <f ca="1">Tabella8[[#This Row],[Colonna7]]*Tabella8[[#This Row],[Colonna4]]/100</f>
        <v>15338.260253545039</v>
      </c>
    </row>
    <row r="1906" spans="2:10">
      <c r="B1906" s="92" t="s">
        <v>139</v>
      </c>
      <c r="C1906" s="91" t="s">
        <v>208</v>
      </c>
      <c r="D1906" s="93">
        <v>155</v>
      </c>
      <c r="E1906" s="93">
        <v>59.5</v>
      </c>
      <c r="F1906" s="103">
        <f>IFERROR(INDEX(Tabella9[PLZ],MATCH(Tabella8[[#This Row],[Colonna2]],Tabella9[Ortschaftsname],0)), "Name not found")</f>
        <v>1180</v>
      </c>
      <c r="G1906" s="103"/>
      <c r="H1906" s="240">
        <f ca="1">SUMIF(Tabella2[[#Headers],[#Data],[Age]],$H$76,Tabella2[[#Headers],[#Data],[Federal taxes]])</f>
        <v>6804.3246087429152</v>
      </c>
      <c r="I190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6" s="240">
        <f ca="1">Tabella8[[#This Row],[Colonna7]]*Tabella8[[#This Row],[Colonna4]]/100</f>
        <v>13420.977721851908</v>
      </c>
    </row>
    <row r="1907" spans="2:10">
      <c r="B1907" s="92" t="s">
        <v>139</v>
      </c>
      <c r="C1907" s="91" t="s">
        <v>373</v>
      </c>
      <c r="D1907" s="93">
        <v>155</v>
      </c>
      <c r="E1907" s="93">
        <v>81</v>
      </c>
      <c r="F1907" s="103">
        <v>1323</v>
      </c>
      <c r="G1907" s="103"/>
      <c r="H1907" s="240">
        <f ca="1">SUMIF(Tabella2[[#Headers],[#Data],[Age]],$H$76,Tabella2[[#Headers],[#Data],[Federal taxes]])</f>
        <v>6804.3246087429152</v>
      </c>
      <c r="I190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7" s="240">
        <f ca="1">Tabella8[[#This Row],[Colonna7]]*Tabella8[[#This Row],[Colonna4]]/100</f>
        <v>18270.574713781589</v>
      </c>
    </row>
    <row r="1908" spans="2:10">
      <c r="B1908" s="92" t="s">
        <v>139</v>
      </c>
      <c r="C1908" s="91" t="s">
        <v>235</v>
      </c>
      <c r="D1908" s="93">
        <v>155</v>
      </c>
      <c r="E1908" s="93">
        <v>70.5</v>
      </c>
      <c r="F1908" s="103">
        <f>IFERROR(INDEX(Tabella9[PLZ],MATCH(Tabella8[[#This Row],[Colonna2]],Tabella9[Ortschaftsname],0)), "Name not found")</f>
        <v>1032</v>
      </c>
      <c r="G1908" s="103"/>
      <c r="H1908" s="240">
        <f ca="1">SUMIF(Tabella2[[#Headers],[#Data],[Age]],$H$76,Tabella2[[#Headers],[#Data],[Federal taxes]])</f>
        <v>6804.3246087429152</v>
      </c>
      <c r="I190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8" s="240">
        <f ca="1">Tabella8[[#This Row],[Colonna7]]*Tabella8[[#This Row],[Colonna4]]/100</f>
        <v>15902.166880513607</v>
      </c>
    </row>
    <row r="1909" spans="2:10">
      <c r="B1909" s="92" t="s">
        <v>139</v>
      </c>
      <c r="C1909" s="91" t="s">
        <v>397</v>
      </c>
      <c r="D1909" s="93">
        <v>155</v>
      </c>
      <c r="E1909" s="93">
        <v>56</v>
      </c>
      <c r="F1909" s="103">
        <f>IFERROR(INDEX(Tabella9[PLZ],MATCH(Tabella8[[#This Row],[Colonna2]],Tabella9[Ortschaftsname],0)), "Name not found")</f>
        <v>1122</v>
      </c>
      <c r="G1909" s="103"/>
      <c r="H1909" s="240">
        <f ca="1">SUMIF(Tabella2[[#Headers],[#Data],[Age]],$H$76,Tabella2[[#Headers],[#Data],[Federal taxes]])</f>
        <v>6804.3246087429152</v>
      </c>
      <c r="I190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09" s="240">
        <f ca="1">Tabella8[[#This Row],[Colonna7]]*Tabella8[[#This Row],[Colonna4]]/100</f>
        <v>12631.508444095914</v>
      </c>
    </row>
    <row r="1910" spans="2:10">
      <c r="B1910" s="92" t="s">
        <v>139</v>
      </c>
      <c r="C1910" s="91" t="s">
        <v>401</v>
      </c>
      <c r="D1910" s="93">
        <v>155</v>
      </c>
      <c r="E1910" s="93">
        <v>77.5</v>
      </c>
      <c r="F1910" s="103">
        <f>IFERROR(INDEX(Tabella9[PLZ],MATCH(Tabella8[[#This Row],[Colonna2]],Tabella9[Ortschaftsname],0)), "Name not found")</f>
        <v>1088</v>
      </c>
      <c r="G1910" s="103"/>
      <c r="H1910" s="240">
        <f ca="1">SUMIF(Tabella2[[#Headers],[#Data],[Age]],$H$76,Tabella2[[#Headers],[#Data],[Federal taxes]])</f>
        <v>6804.3246087429152</v>
      </c>
      <c r="I191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0" s="240">
        <f ca="1">Tabella8[[#This Row],[Colonna7]]*Tabella8[[#This Row],[Colonna4]]/100</f>
        <v>17481.105436025598</v>
      </c>
    </row>
    <row r="1911" spans="2:10">
      <c r="B1911" s="92" t="s">
        <v>139</v>
      </c>
      <c r="C1911" s="91" t="s">
        <v>492</v>
      </c>
      <c r="D1911" s="93">
        <v>155</v>
      </c>
      <c r="E1911" s="93">
        <v>65</v>
      </c>
      <c r="F1911" s="103">
        <f>IFERROR(INDEX(Tabella9[PLZ],MATCH(Tabella8[[#This Row],[Colonna2]],Tabella9[Ortschaftsname],0)), "Name not found")</f>
        <v>1513</v>
      </c>
      <c r="G1911" s="103"/>
      <c r="H1911" s="240">
        <f ca="1">SUMIF(Tabella2[[#Headers],[#Data],[Age]],$H$76,Tabella2[[#Headers],[#Data],[Federal taxes]])</f>
        <v>6804.3246087429152</v>
      </c>
      <c r="I191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1" s="240">
        <f ca="1">Tabella8[[#This Row],[Colonna7]]*Tabella8[[#This Row],[Colonna4]]/100</f>
        <v>14661.572301182758</v>
      </c>
    </row>
    <row r="1912" spans="2:10">
      <c r="B1912" s="92" t="s">
        <v>139</v>
      </c>
      <c r="C1912" s="91" t="s">
        <v>376</v>
      </c>
      <c r="D1912" s="93">
        <v>155</v>
      </c>
      <c r="E1912" s="93">
        <v>81</v>
      </c>
      <c r="F1912" s="103">
        <f>IFERROR(INDEX(Tabella9[PLZ],MATCH(Tabella8[[#This Row],[Colonna2]],Tabella9[Ortschaftsname],0)), "Name not found")</f>
        <v>1658</v>
      </c>
      <c r="G1912" s="103"/>
      <c r="H1912" s="240">
        <f ca="1">SUMIF(Tabella2[[#Headers],[#Data],[Age]],$H$76,Tabella2[[#Headers],[#Data],[Federal taxes]])</f>
        <v>6804.3246087429152</v>
      </c>
      <c r="I191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2" s="240">
        <f ca="1">Tabella8[[#This Row],[Colonna7]]*Tabella8[[#This Row],[Colonna4]]/100</f>
        <v>18270.574713781589</v>
      </c>
    </row>
    <row r="1913" spans="2:10">
      <c r="B1913" s="92" t="s">
        <v>139</v>
      </c>
      <c r="C1913" s="91" t="s">
        <v>333</v>
      </c>
      <c r="D1913" s="93">
        <v>155</v>
      </c>
      <c r="E1913" s="93">
        <v>79</v>
      </c>
      <c r="F1913" s="103">
        <f>IFERROR(INDEX(Tabella9[PLZ],MATCH(Tabella8[[#This Row],[Colonna2]],Tabella9[Ortschaftsname],0)), "Name not found")</f>
        <v>1659</v>
      </c>
      <c r="G1913" s="103"/>
      <c r="H1913" s="240">
        <f ca="1">SUMIF(Tabella2[[#Headers],[#Data],[Age]],$H$76,Tabella2[[#Headers],[#Data],[Federal taxes]])</f>
        <v>6804.3246087429152</v>
      </c>
      <c r="I191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3" s="240">
        <f ca="1">Tabella8[[#This Row],[Colonna7]]*Tabella8[[#This Row],[Colonna4]]/100</f>
        <v>17819.449412206737</v>
      </c>
    </row>
    <row r="1914" spans="2:10">
      <c r="B1914" s="92" t="s">
        <v>139</v>
      </c>
      <c r="C1914" s="91" t="s">
        <v>474</v>
      </c>
      <c r="D1914" s="93">
        <v>155</v>
      </c>
      <c r="E1914" s="93">
        <v>73</v>
      </c>
      <c r="F1914" s="103">
        <f>IFERROR(INDEX(Tabella9[PLZ],MATCH(Tabella8[[#This Row],[Colonna2]],Tabella9[Ortschaftsname],0)), "Name not found")</f>
        <v>1463</v>
      </c>
      <c r="G1914" s="103"/>
      <c r="H1914" s="240">
        <f ca="1">SUMIF(Tabella2[[#Headers],[#Data],[Age]],$H$76,Tabella2[[#Headers],[#Data],[Federal taxes]])</f>
        <v>6804.3246087429152</v>
      </c>
      <c r="I191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4" s="240">
        <f ca="1">Tabella8[[#This Row],[Colonna7]]*Tabella8[[#This Row],[Colonna4]]/100</f>
        <v>16466.073507482175</v>
      </c>
    </row>
    <row r="1915" spans="2:10">
      <c r="B1915" s="92" t="s">
        <v>139</v>
      </c>
      <c r="C1915" s="91" t="s">
        <v>452</v>
      </c>
      <c r="D1915" s="93">
        <v>155</v>
      </c>
      <c r="E1915" s="93">
        <v>73</v>
      </c>
      <c r="F1915" s="103">
        <f>IFERROR(INDEX(Tabella9[PLZ],MATCH(Tabella8[[#This Row],[Colonna2]],Tabella9[Ortschaftsname],0)), "Name not found")</f>
        <v>1046</v>
      </c>
      <c r="G1915" s="103"/>
      <c r="H1915" s="240">
        <f ca="1">SUMIF(Tabella2[[#Headers],[#Data],[Age]],$H$76,Tabella2[[#Headers],[#Data],[Federal taxes]])</f>
        <v>6804.3246087429152</v>
      </c>
      <c r="I191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5" s="240">
        <f ca="1">Tabella8[[#This Row],[Colonna7]]*Tabella8[[#This Row],[Colonna4]]/100</f>
        <v>16466.073507482175</v>
      </c>
    </row>
    <row r="1916" spans="2:10">
      <c r="B1916" s="92" t="s">
        <v>139</v>
      </c>
      <c r="C1916" s="91" t="s">
        <v>347</v>
      </c>
      <c r="D1916" s="93">
        <v>155</v>
      </c>
      <c r="E1916" s="93">
        <v>75</v>
      </c>
      <c r="F1916" s="103">
        <v>1040</v>
      </c>
      <c r="G1916" s="103"/>
      <c r="H1916" s="240">
        <f ca="1">SUMIF(Tabella2[[#Headers],[#Data],[Age]],$H$76,Tabella2[[#Headers],[#Data],[Federal taxes]])</f>
        <v>6804.3246087429152</v>
      </c>
      <c r="I191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6" s="240">
        <f ca="1">Tabella8[[#This Row],[Colonna7]]*Tabella8[[#This Row],[Colonna4]]/100</f>
        <v>16917.19880905703</v>
      </c>
    </row>
    <row r="1917" spans="2:10">
      <c r="B1917" s="92" t="s">
        <v>139</v>
      </c>
      <c r="C1917" s="91" t="s">
        <v>255</v>
      </c>
      <c r="D1917" s="93">
        <v>155</v>
      </c>
      <c r="E1917" s="93">
        <v>66</v>
      </c>
      <c r="F1917" s="103">
        <v>1264</v>
      </c>
      <c r="G1917" s="103"/>
      <c r="H1917" s="240">
        <f ca="1">SUMIF(Tabella2[[#Headers],[#Data],[Age]],$H$76,Tabella2[[#Headers],[#Data],[Federal taxes]])</f>
        <v>6804.3246087429152</v>
      </c>
      <c r="I191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7" s="240">
        <f ca="1">Tabella8[[#This Row],[Colonna7]]*Tabella8[[#This Row],[Colonna4]]/100</f>
        <v>14887.134951970185</v>
      </c>
    </row>
    <row r="1918" spans="2:10">
      <c r="B1918" s="92" t="s">
        <v>139</v>
      </c>
      <c r="C1918" s="91" t="s">
        <v>312</v>
      </c>
      <c r="D1918" s="93">
        <v>155</v>
      </c>
      <c r="E1918" s="93">
        <v>69.5</v>
      </c>
      <c r="F1918" s="103">
        <v>1188</v>
      </c>
      <c r="G1918" s="103"/>
      <c r="H1918" s="240">
        <f ca="1">SUMIF(Tabella2[[#Headers],[#Data],[Age]],$H$76,Tabella2[[#Headers],[#Data],[Federal taxes]])</f>
        <v>6804.3246087429152</v>
      </c>
      <c r="I191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8" s="240">
        <f ca="1">Tabella8[[#This Row],[Colonna7]]*Tabella8[[#This Row],[Colonna4]]/100</f>
        <v>15676.604229726179</v>
      </c>
    </row>
    <row r="1919" spans="2:10">
      <c r="B1919" s="92" t="s">
        <v>139</v>
      </c>
      <c r="C1919" s="91" t="s">
        <v>355</v>
      </c>
      <c r="D1919" s="93">
        <v>155</v>
      </c>
      <c r="E1919" s="93">
        <v>69</v>
      </c>
      <c r="F1919" s="103">
        <v>1176</v>
      </c>
      <c r="G1919" s="103"/>
      <c r="H1919" s="240">
        <f ca="1">SUMIF(Tabella2[[#Headers],[#Data],[Age]],$H$76,Tabella2[[#Headers],[#Data],[Federal taxes]])</f>
        <v>6804.3246087429152</v>
      </c>
      <c r="I191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19" s="240">
        <f ca="1">Tabella8[[#This Row],[Colonna7]]*Tabella8[[#This Row],[Colonna4]]/100</f>
        <v>15563.822904332466</v>
      </c>
    </row>
    <row r="1920" spans="2:10">
      <c r="B1920" s="92" t="s">
        <v>139</v>
      </c>
      <c r="C1920" s="91" t="s">
        <v>429</v>
      </c>
      <c r="D1920" s="93">
        <v>155</v>
      </c>
      <c r="E1920" s="93">
        <v>79</v>
      </c>
      <c r="F1920" s="103">
        <v>1187</v>
      </c>
      <c r="G1920" s="103"/>
      <c r="H1920" s="240">
        <f ca="1">SUMIF(Tabella2[[#Headers],[#Data],[Age]],$H$76,Tabella2[[#Headers],[#Data],[Federal taxes]])</f>
        <v>6804.3246087429152</v>
      </c>
      <c r="I192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0" s="240">
        <f ca="1">Tabella8[[#This Row],[Colonna7]]*Tabella8[[#This Row],[Colonna4]]/100</f>
        <v>17819.449412206737</v>
      </c>
    </row>
    <row r="1921" spans="2:10">
      <c r="B1921" s="92" t="s">
        <v>139</v>
      </c>
      <c r="C1921" s="91" t="s">
        <v>212</v>
      </c>
      <c r="D1921" s="93">
        <v>155</v>
      </c>
      <c r="E1921" s="93">
        <v>59</v>
      </c>
      <c r="F1921" s="103">
        <v>1162</v>
      </c>
      <c r="G1921" s="103"/>
      <c r="H1921" s="240">
        <f ca="1">SUMIF(Tabella2[[#Headers],[#Data],[Age]],$H$76,Tabella2[[#Headers],[#Data],[Federal taxes]])</f>
        <v>6804.3246087429152</v>
      </c>
      <c r="I192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1" s="240">
        <f ca="1">Tabella8[[#This Row],[Colonna7]]*Tabella8[[#This Row],[Colonna4]]/100</f>
        <v>13308.196396458196</v>
      </c>
    </row>
    <row r="1922" spans="2:10">
      <c r="B1922" s="92" t="s">
        <v>139</v>
      </c>
      <c r="C1922" s="91" t="s">
        <v>417</v>
      </c>
      <c r="D1922" s="93">
        <v>155</v>
      </c>
      <c r="E1922" s="93">
        <v>55</v>
      </c>
      <c r="F1922" s="103">
        <v>1071</v>
      </c>
      <c r="G1922" s="103"/>
      <c r="H1922" s="240">
        <f ca="1">SUMIF(Tabella2[[#Headers],[#Data],[Age]],$H$76,Tabella2[[#Headers],[#Data],[Federal taxes]])</f>
        <v>6804.3246087429152</v>
      </c>
      <c r="I192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2" s="240">
        <f ca="1">Tabella8[[#This Row],[Colonna7]]*Tabella8[[#This Row],[Colonna4]]/100</f>
        <v>12405.945793308487</v>
      </c>
    </row>
    <row r="1923" spans="2:10">
      <c r="B1923" s="92" t="s">
        <v>139</v>
      </c>
      <c r="C1923" s="91" t="s">
        <v>221</v>
      </c>
      <c r="D1923" s="93">
        <v>155</v>
      </c>
      <c r="E1923" s="93">
        <v>80</v>
      </c>
      <c r="F1923" s="103">
        <v>1025</v>
      </c>
      <c r="G1923" s="103"/>
      <c r="H1923" s="240">
        <f ca="1">SUMIF(Tabella2[[#Headers],[#Data],[Age]],$H$76,Tabella2[[#Headers],[#Data],[Federal taxes]])</f>
        <v>6804.3246087429152</v>
      </c>
      <c r="I192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3" s="240">
        <f ca="1">Tabella8[[#This Row],[Colonna7]]*Tabella8[[#This Row],[Colonna4]]/100</f>
        <v>18045.012062994163</v>
      </c>
    </row>
    <row r="1924" spans="2:10">
      <c r="B1924" s="92" t="s">
        <v>139</v>
      </c>
      <c r="C1924" s="91" t="s">
        <v>218</v>
      </c>
      <c r="D1924" s="93">
        <v>155</v>
      </c>
      <c r="E1924" s="93">
        <v>70</v>
      </c>
      <c r="F1924" s="103">
        <v>1450</v>
      </c>
      <c r="G1924" s="103"/>
      <c r="H1924" s="240">
        <f ca="1">SUMIF(Tabella2[[#Headers],[#Data],[Age]],$H$76,Tabella2[[#Headers],[#Data],[Federal taxes]])</f>
        <v>6804.3246087429152</v>
      </c>
      <c r="I192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4" s="240">
        <f ca="1">Tabella8[[#This Row],[Colonna7]]*Tabella8[[#This Row],[Colonna4]]/100</f>
        <v>15789.385555119894</v>
      </c>
    </row>
    <row r="1925" spans="2:10">
      <c r="B1925" s="92" t="s">
        <v>139</v>
      </c>
      <c r="C1925" s="91" t="s">
        <v>407</v>
      </c>
      <c r="D1925" s="93">
        <v>155</v>
      </c>
      <c r="E1925" s="93">
        <v>69</v>
      </c>
      <c r="F1925" s="103">
        <f>IFERROR(INDEX(Tabella9[PLZ],MATCH(Tabella8[[#This Row],[Colonna2]],Tabella9[Ortschaftsname],0)), "Name not found")</f>
        <v>1189</v>
      </c>
      <c r="G1925" s="103"/>
      <c r="H1925" s="240">
        <f ca="1">SUMIF(Tabella2[[#Headers],[#Data],[Age]],$H$76,Tabella2[[#Headers],[#Data],[Federal taxes]])</f>
        <v>6804.3246087429152</v>
      </c>
      <c r="I192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5" s="240">
        <f ca="1">Tabella8[[#This Row],[Colonna7]]*Tabella8[[#This Row],[Colonna4]]/100</f>
        <v>15563.822904332466</v>
      </c>
    </row>
    <row r="1926" spans="2:10">
      <c r="B1926" s="92" t="s">
        <v>139</v>
      </c>
      <c r="C1926" s="91" t="s">
        <v>234</v>
      </c>
      <c r="D1926" s="93">
        <v>155</v>
      </c>
      <c r="E1926" s="93">
        <v>68.5</v>
      </c>
      <c r="F1926" s="103">
        <f>IFERROR(INDEX(Tabella9[PLZ],MATCH(Tabella8[[#This Row],[Colonna2]],Tabella9[Ortschaftsname],0)), "Name not found")</f>
        <v>1073</v>
      </c>
      <c r="G1926" s="103"/>
      <c r="H1926" s="240">
        <f ca="1">SUMIF(Tabella2[[#Headers],[#Data],[Age]],$H$76,Tabella2[[#Headers],[#Data],[Federal taxes]])</f>
        <v>6804.3246087429152</v>
      </c>
      <c r="I192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6" s="240">
        <f ca="1">Tabella8[[#This Row],[Colonna7]]*Tabella8[[#This Row],[Colonna4]]/100</f>
        <v>15451.041578938753</v>
      </c>
    </row>
    <row r="1927" spans="2:10">
      <c r="B1927" s="92" t="s">
        <v>139</v>
      </c>
      <c r="C1927" s="91" t="s">
        <v>382</v>
      </c>
      <c r="D1927" s="93">
        <v>155</v>
      </c>
      <c r="E1927" s="93">
        <v>76</v>
      </c>
      <c r="F1927" s="103">
        <f>IFERROR(INDEX(Tabella9[PLZ],MATCH(Tabella8[[#This Row],[Colonna2]],Tabella9[Ortschaftsname],0)), "Name not found")</f>
        <v>1304</v>
      </c>
      <c r="G1927" s="103"/>
      <c r="H1927" s="240">
        <f ca="1">SUMIF(Tabella2[[#Headers],[#Data],[Age]],$H$76,Tabella2[[#Headers],[#Data],[Federal taxes]])</f>
        <v>6804.3246087429152</v>
      </c>
      <c r="I192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7" s="240">
        <f ca="1">Tabella8[[#This Row],[Colonna7]]*Tabella8[[#This Row],[Colonna4]]/100</f>
        <v>17142.761459844456</v>
      </c>
    </row>
    <row r="1928" spans="2:10">
      <c r="B1928" s="92" t="s">
        <v>139</v>
      </c>
      <c r="C1928" s="91" t="s">
        <v>485</v>
      </c>
      <c r="D1928" s="93">
        <v>155</v>
      </c>
      <c r="E1928" s="93">
        <v>69</v>
      </c>
      <c r="F1928" s="103">
        <f>IFERROR(INDEX(Tabella9[PLZ],MATCH(Tabella8[[#This Row],[Colonna2]],Tabella9[Ortschaftsname],0)), "Name not found")</f>
        <v>1355</v>
      </c>
      <c r="G1928" s="103"/>
      <c r="H1928" s="240">
        <f ca="1">SUMIF(Tabella2[[#Headers],[#Data],[Age]],$H$76,Tabella2[[#Headers],[#Data],[Federal taxes]])</f>
        <v>6804.3246087429152</v>
      </c>
      <c r="I192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8" s="240">
        <f ca="1">Tabella8[[#This Row],[Colonna7]]*Tabella8[[#This Row],[Colonna4]]/100</f>
        <v>15563.822904332466</v>
      </c>
    </row>
    <row r="1929" spans="2:10">
      <c r="B1929" s="92" t="s">
        <v>139</v>
      </c>
      <c r="C1929" s="91" t="s">
        <v>266</v>
      </c>
      <c r="D1929" s="93">
        <v>155</v>
      </c>
      <c r="E1929" s="93">
        <v>58</v>
      </c>
      <c r="F1929" s="103">
        <f>IFERROR(INDEX(Tabella9[PLZ],MATCH(Tabella8[[#This Row],[Colonna2]],Tabella9[Ortschaftsname],0)), "Name not found")</f>
        <v>1077</v>
      </c>
      <c r="G1929" s="103"/>
      <c r="H1929" s="240">
        <f ca="1">SUMIF(Tabella2[[#Headers],[#Data],[Age]],$H$76,Tabella2[[#Headers],[#Data],[Federal taxes]])</f>
        <v>6804.3246087429152</v>
      </c>
      <c r="I192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29" s="240">
        <f ca="1">Tabella8[[#This Row],[Colonna7]]*Tabella8[[#This Row],[Colonna4]]/100</f>
        <v>13082.633745670768</v>
      </c>
    </row>
    <row r="1930" spans="2:10">
      <c r="B1930" s="92" t="s">
        <v>139</v>
      </c>
      <c r="C1930" s="91" t="s">
        <v>372</v>
      </c>
      <c r="D1930" s="93">
        <v>155</v>
      </c>
      <c r="E1930" s="93">
        <v>74</v>
      </c>
      <c r="F1930" s="103">
        <v>1274</v>
      </c>
      <c r="G1930" s="103"/>
      <c r="H1930" s="240">
        <f ca="1">SUMIF(Tabella2[[#Headers],[#Data],[Age]],$H$76,Tabella2[[#Headers],[#Data],[Federal taxes]])</f>
        <v>6804.3246087429152</v>
      </c>
      <c r="I193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0" s="240">
        <f ca="1">Tabella8[[#This Row],[Colonna7]]*Tabella8[[#This Row],[Colonna4]]/100</f>
        <v>16691.636158269601</v>
      </c>
    </row>
    <row r="1931" spans="2:10">
      <c r="B1931" s="92" t="s">
        <v>139</v>
      </c>
      <c r="C1931" s="91" t="s">
        <v>367</v>
      </c>
      <c r="D1931" s="93">
        <v>155</v>
      </c>
      <c r="E1931" s="93">
        <v>70</v>
      </c>
      <c r="F1931" s="103">
        <f>IFERROR(INDEX(Tabella9[PLZ],MATCH(Tabella8[[#This Row],[Colonna2]],Tabella9[Ortschaftsname],0)), "Name not found")</f>
        <v>1433</v>
      </c>
      <c r="G1931" s="103"/>
      <c r="H1931" s="240">
        <f ca="1">SUMIF(Tabella2[[#Headers],[#Data],[Age]],$H$76,Tabella2[[#Headers],[#Data],[Federal taxes]])</f>
        <v>6804.3246087429152</v>
      </c>
      <c r="I193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1" s="240">
        <f ca="1">Tabella8[[#This Row],[Colonna7]]*Tabella8[[#This Row],[Colonna4]]/100</f>
        <v>15789.385555119894</v>
      </c>
    </row>
    <row r="1932" spans="2:10">
      <c r="B1932" s="92" t="s">
        <v>139</v>
      </c>
      <c r="C1932" s="91" t="s">
        <v>316</v>
      </c>
      <c r="D1932" s="93">
        <v>155</v>
      </c>
      <c r="E1932" s="93">
        <v>64</v>
      </c>
      <c r="F1932" s="103">
        <f>IFERROR(INDEX(Tabella9[PLZ],MATCH(Tabella8[[#This Row],[Colonna2]],Tabella9[Ortschaftsname],0)), "Name not found")</f>
        <v>1036</v>
      </c>
      <c r="G1932" s="103"/>
      <c r="H1932" s="240">
        <f ca="1">SUMIF(Tabella2[[#Headers],[#Data],[Age]],$H$76,Tabella2[[#Headers],[#Data],[Federal taxes]])</f>
        <v>6804.3246087429152</v>
      </c>
      <c r="I193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2" s="240">
        <f ca="1">Tabella8[[#This Row],[Colonna7]]*Tabella8[[#This Row],[Colonna4]]/100</f>
        <v>14436.009650395332</v>
      </c>
    </row>
    <row r="1933" spans="2:10">
      <c r="B1933" s="92" t="s">
        <v>139</v>
      </c>
      <c r="C1933" s="91" t="s">
        <v>468</v>
      </c>
      <c r="D1933" s="93">
        <v>155</v>
      </c>
      <c r="E1933" s="93">
        <v>72</v>
      </c>
      <c r="F1933" s="103">
        <f>IFERROR(INDEX(Tabella9[PLZ],MATCH(Tabella8[[#This Row],[Colonna2]],Tabella9[Ortschaftsname],0)), "Name not found")</f>
        <v>1437</v>
      </c>
      <c r="G1933" s="103"/>
      <c r="H1933" s="240">
        <f ca="1">SUMIF(Tabella2[[#Headers],[#Data],[Age]],$H$76,Tabella2[[#Headers],[#Data],[Federal taxes]])</f>
        <v>6804.3246087429152</v>
      </c>
      <c r="I193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3" s="240">
        <f ca="1">Tabella8[[#This Row],[Colonna7]]*Tabella8[[#This Row],[Colonna4]]/100</f>
        <v>16240.510856694747</v>
      </c>
    </row>
    <row r="1934" spans="2:10">
      <c r="B1934" s="92" t="s">
        <v>139</v>
      </c>
      <c r="C1934" s="91" t="s">
        <v>479</v>
      </c>
      <c r="D1934" s="93">
        <v>155</v>
      </c>
      <c r="E1934" s="93">
        <v>65</v>
      </c>
      <c r="F1934" s="103">
        <f>IFERROR(INDEX(Tabella9[PLZ],MATCH(Tabella8[[#This Row],[Colonna2]],Tabella9[Ortschaftsname],0)), "Name not found")</f>
        <v>1510</v>
      </c>
      <c r="G1934" s="103"/>
      <c r="H1934" s="240">
        <f ca="1">SUMIF(Tabella2[[#Headers],[#Data],[Age]],$H$76,Tabella2[[#Headers],[#Data],[Federal taxes]])</f>
        <v>6804.3246087429152</v>
      </c>
      <c r="I193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4" s="240">
        <f ca="1">Tabella8[[#This Row],[Colonna7]]*Tabella8[[#This Row],[Colonna4]]/100</f>
        <v>14661.572301182758</v>
      </c>
    </row>
    <row r="1935" spans="2:10">
      <c r="B1935" s="92" t="s">
        <v>139</v>
      </c>
      <c r="C1935" s="91" t="s">
        <v>273</v>
      </c>
      <c r="D1935" s="93">
        <v>155</v>
      </c>
      <c r="E1935" s="93">
        <v>60.5</v>
      </c>
      <c r="F1935" s="103">
        <f>IFERROR(INDEX(Tabella9[PLZ],MATCH(Tabella8[[#This Row],[Colonna2]],Tabella9[Ortschaftsname],0)), "Name not found")</f>
        <v>1295</v>
      </c>
      <c r="G1935" s="103"/>
      <c r="H1935" s="240">
        <f ca="1">SUMIF(Tabella2[[#Headers],[#Data],[Age]],$H$76,Tabella2[[#Headers],[#Data],[Federal taxes]])</f>
        <v>6804.3246087429152</v>
      </c>
      <c r="I193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5" s="240">
        <f ca="1">Tabella8[[#This Row],[Colonna7]]*Tabella8[[#This Row],[Colonna4]]/100</f>
        <v>13646.540372639336</v>
      </c>
    </row>
    <row r="1936" spans="2:10">
      <c r="B1936" s="92" t="s">
        <v>139</v>
      </c>
      <c r="C1936" s="91" t="s">
        <v>456</v>
      </c>
      <c r="D1936" s="93">
        <v>155</v>
      </c>
      <c r="E1936" s="93">
        <v>79</v>
      </c>
      <c r="F1936" s="103">
        <f>IFERROR(INDEX(Tabella9[PLZ],MATCH(Tabella8[[#This Row],[Colonna2]],Tabella9[Ortschaftsname],0)), "Name not found")</f>
        <v>1180</v>
      </c>
      <c r="G1936" s="103"/>
      <c r="H1936" s="240">
        <f ca="1">SUMIF(Tabella2[[#Headers],[#Data],[Age]],$H$76,Tabella2[[#Headers],[#Data],[Federal taxes]])</f>
        <v>6804.3246087429152</v>
      </c>
      <c r="I193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6" s="240">
        <f ca="1">Tabella8[[#This Row],[Colonna7]]*Tabella8[[#This Row],[Colonna4]]/100</f>
        <v>17819.449412206737</v>
      </c>
    </row>
    <row r="1937" spans="2:10">
      <c r="B1937" s="92" t="s">
        <v>139</v>
      </c>
      <c r="C1937" s="91" t="s">
        <v>267</v>
      </c>
      <c r="D1937" s="93">
        <v>155</v>
      </c>
      <c r="E1937" s="93">
        <v>64</v>
      </c>
      <c r="F1937" s="103">
        <f>IFERROR(INDEX(Tabella9[PLZ],MATCH(Tabella8[[#This Row],[Colonna2]],Tabella9[Ortschaftsname],0)), "Name not found")</f>
        <v>1131</v>
      </c>
      <c r="G1937" s="103"/>
      <c r="H1937" s="240">
        <f ca="1">SUMIF(Tabella2[[#Headers],[#Data],[Age]],$H$76,Tabella2[[#Headers],[#Data],[Federal taxes]])</f>
        <v>6804.3246087429152</v>
      </c>
      <c r="I193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7" s="240">
        <f ca="1">Tabella8[[#This Row],[Colonna7]]*Tabella8[[#This Row],[Colonna4]]/100</f>
        <v>14436.009650395332</v>
      </c>
    </row>
    <row r="1938" spans="2:10">
      <c r="B1938" s="92" t="s">
        <v>139</v>
      </c>
      <c r="C1938" s="91" t="s">
        <v>449</v>
      </c>
      <c r="D1938" s="93">
        <v>155</v>
      </c>
      <c r="E1938" s="93">
        <v>78</v>
      </c>
      <c r="F1938" s="103">
        <f>IFERROR(INDEX(Tabella9[PLZ],MATCH(Tabella8[[#This Row],[Colonna2]],Tabella9[Ortschaftsname],0)), "Name not found")</f>
        <v>1552</v>
      </c>
      <c r="G1938" s="103"/>
      <c r="H1938" s="240">
        <f ca="1">SUMIF(Tabella2[[#Headers],[#Data],[Age]],$H$76,Tabella2[[#Headers],[#Data],[Federal taxes]])</f>
        <v>6804.3246087429152</v>
      </c>
      <c r="I193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8" s="240">
        <f ca="1">Tabella8[[#This Row],[Colonna7]]*Tabella8[[#This Row],[Colonna4]]/100</f>
        <v>17593.886761419311</v>
      </c>
    </row>
    <row r="1939" spans="2:10">
      <c r="B1939" s="92" t="s">
        <v>139</v>
      </c>
      <c r="C1939" s="91" t="s">
        <v>403</v>
      </c>
      <c r="D1939" s="93">
        <v>155</v>
      </c>
      <c r="E1939" s="93">
        <v>73</v>
      </c>
      <c r="F1939" s="103">
        <f>IFERROR(INDEX(Tabella9[PLZ],MATCH(Tabella8[[#This Row],[Colonna2]],Tabella9[Ortschaftsname],0)), "Name not found")</f>
        <v>1436</v>
      </c>
      <c r="G1939" s="103"/>
      <c r="H1939" s="240">
        <f ca="1">SUMIF(Tabella2[[#Headers],[#Data],[Age]],$H$76,Tabella2[[#Headers],[#Data],[Federal taxes]])</f>
        <v>6804.3246087429152</v>
      </c>
      <c r="I193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39" s="240">
        <f ca="1">Tabella8[[#This Row],[Colonna7]]*Tabella8[[#This Row],[Colonna4]]/100</f>
        <v>16466.073507482175</v>
      </c>
    </row>
    <row r="1940" spans="2:10">
      <c r="B1940" s="92" t="s">
        <v>139</v>
      </c>
      <c r="C1940" s="91" t="s">
        <v>488</v>
      </c>
      <c r="D1940" s="93">
        <v>155</v>
      </c>
      <c r="E1940" s="93">
        <v>81.5</v>
      </c>
      <c r="F1940" s="103">
        <f>IFERROR(INDEX(Tabella9[PLZ],MATCH(Tabella8[[#This Row],[Colonna2]],Tabella9[Ortschaftsname],0)), "Name not found")</f>
        <v>1538</v>
      </c>
      <c r="G1940" s="103"/>
      <c r="H1940" s="240">
        <f ca="1">SUMIF(Tabella2[[#Headers],[#Data],[Age]],$H$76,Tabella2[[#Headers],[#Data],[Federal taxes]])</f>
        <v>6804.3246087429152</v>
      </c>
      <c r="I194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0" s="240">
        <f ca="1">Tabella8[[#This Row],[Colonna7]]*Tabella8[[#This Row],[Colonna4]]/100</f>
        <v>18383.356039175305</v>
      </c>
    </row>
    <row r="1941" spans="2:10">
      <c r="B1941" s="92" t="s">
        <v>139</v>
      </c>
      <c r="C1941" s="91" t="s">
        <v>284</v>
      </c>
      <c r="D1941" s="93">
        <v>155</v>
      </c>
      <c r="E1941" s="93">
        <v>55.5</v>
      </c>
      <c r="F1941" s="103">
        <f>IFERROR(INDEX(Tabella9[PLZ],MATCH(Tabella8[[#This Row],[Colonna2]],Tabella9[Ortschaftsname],0)), "Name not found")</f>
        <v>1270</v>
      </c>
      <c r="G1941" s="103"/>
      <c r="H1941" s="240">
        <f ca="1">SUMIF(Tabella2[[#Headers],[#Data],[Age]],$H$76,Tabella2[[#Headers],[#Data],[Federal taxes]])</f>
        <v>6804.3246087429152</v>
      </c>
      <c r="I194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1" s="240">
        <f ca="1">Tabella8[[#This Row],[Colonna7]]*Tabella8[[#This Row],[Colonna4]]/100</f>
        <v>12518.7271187022</v>
      </c>
    </row>
    <row r="1942" spans="2:10">
      <c r="B1942" s="92" t="s">
        <v>139</v>
      </c>
      <c r="C1942" s="91" t="s">
        <v>340</v>
      </c>
      <c r="D1942" s="93">
        <v>155</v>
      </c>
      <c r="E1942" s="93">
        <v>71.5</v>
      </c>
      <c r="F1942" s="103">
        <v>1423</v>
      </c>
      <c r="G1942" s="103"/>
      <c r="H1942" s="240">
        <f ca="1">SUMIF(Tabella2[[#Headers],[#Data],[Age]],$H$76,Tabella2[[#Headers],[#Data],[Federal taxes]])</f>
        <v>6804.3246087429152</v>
      </c>
      <c r="I194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2" s="240">
        <f ca="1">Tabella8[[#This Row],[Colonna7]]*Tabella8[[#This Row],[Colonna4]]/100</f>
        <v>16127.729531301035</v>
      </c>
    </row>
    <row r="1943" spans="2:10">
      <c r="B1943" s="92" t="s">
        <v>139</v>
      </c>
      <c r="C1943" s="91" t="s">
        <v>464</v>
      </c>
      <c r="D1943" s="93">
        <v>155</v>
      </c>
      <c r="E1943" s="93">
        <v>75</v>
      </c>
      <c r="F1943" s="103">
        <f>IFERROR(INDEX(Tabella9[PLZ],MATCH(Tabella8[[#This Row],[Colonna2]],Tabella9[Ortschaftsname],0)), "Name not found")</f>
        <v>1412</v>
      </c>
      <c r="G1943" s="103"/>
      <c r="H1943" s="240">
        <f ca="1">SUMIF(Tabella2[[#Headers],[#Data],[Age]],$H$76,Tabella2[[#Headers],[#Data],[Federal taxes]])</f>
        <v>6804.3246087429152</v>
      </c>
      <c r="I194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3" s="240">
        <f ca="1">Tabella8[[#This Row],[Colonna7]]*Tabella8[[#This Row],[Colonna4]]/100</f>
        <v>16917.19880905703</v>
      </c>
    </row>
    <row r="1944" spans="2:10">
      <c r="B1944" s="92" t="s">
        <v>139</v>
      </c>
      <c r="C1944" s="91" t="s">
        <v>241</v>
      </c>
      <c r="D1944" s="93">
        <v>155</v>
      </c>
      <c r="E1944" s="93">
        <v>70.5</v>
      </c>
      <c r="F1944" s="103">
        <v>1523</v>
      </c>
      <c r="G1944" s="103"/>
      <c r="H1944" s="240">
        <f ca="1">SUMIF(Tabella2[[#Headers],[#Data],[Age]],$H$76,Tabella2[[#Headers],[#Data],[Federal taxes]])</f>
        <v>6804.3246087429152</v>
      </c>
      <c r="I194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4" s="240">
        <f ca="1">Tabella8[[#This Row],[Colonna7]]*Tabella8[[#This Row],[Colonna4]]/100</f>
        <v>15902.166880513607</v>
      </c>
    </row>
    <row r="1945" spans="2:10">
      <c r="B1945" s="92" t="s">
        <v>139</v>
      </c>
      <c r="C1945" s="91" t="s">
        <v>351</v>
      </c>
      <c r="D1945" s="93">
        <v>155</v>
      </c>
      <c r="E1945" s="93">
        <v>70.5</v>
      </c>
      <c r="F1945" s="103">
        <f>IFERROR(INDEX(Tabella9[PLZ],MATCH(Tabella8[[#This Row],[Colonna2]],Tabella9[Ortschaftsname],0)), "Name not found")</f>
        <v>1441</v>
      </c>
      <c r="G1945" s="103"/>
      <c r="H1945" s="240">
        <f ca="1">SUMIF(Tabella2[[#Headers],[#Data],[Age]],$H$76,Tabella2[[#Headers],[#Data],[Federal taxes]])</f>
        <v>6804.3246087429152</v>
      </c>
      <c r="I194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5" s="240">
        <f ca="1">Tabella8[[#This Row],[Colonna7]]*Tabella8[[#This Row],[Colonna4]]/100</f>
        <v>15902.166880513607</v>
      </c>
    </row>
    <row r="1946" spans="2:10">
      <c r="B1946" s="92" t="s">
        <v>139</v>
      </c>
      <c r="C1946" s="91" t="s">
        <v>363</v>
      </c>
      <c r="D1946" s="93">
        <v>155</v>
      </c>
      <c r="E1946" s="93">
        <v>71</v>
      </c>
      <c r="F1946" s="103">
        <f>IFERROR(INDEX(Tabella9[PLZ],MATCH(Tabella8[[#This Row],[Colonna2]],Tabella9[Ortschaftsname],0)), "Name not found")</f>
        <v>1358</v>
      </c>
      <c r="G1946" s="103"/>
      <c r="H1946" s="240">
        <f ca="1">SUMIF(Tabella2[[#Headers],[#Data],[Age]],$H$76,Tabella2[[#Headers],[#Data],[Federal taxes]])</f>
        <v>6804.3246087429152</v>
      </c>
      <c r="I194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6" s="240">
        <f ca="1">Tabella8[[#This Row],[Colonna7]]*Tabella8[[#This Row],[Colonna4]]/100</f>
        <v>16014.94820590732</v>
      </c>
    </row>
    <row r="1947" spans="2:10">
      <c r="B1947" s="92" t="s">
        <v>139</v>
      </c>
      <c r="C1947" s="91" t="s">
        <v>454</v>
      </c>
      <c r="D1947" s="93">
        <v>155</v>
      </c>
      <c r="E1947" s="93">
        <v>77</v>
      </c>
      <c r="F1947" s="103">
        <f>IFERROR(INDEX(Tabella9[PLZ],MATCH(Tabella8[[#This Row],[Colonna2]],Tabella9[Ortschaftsname],0)), "Name not found")</f>
        <v>1412</v>
      </c>
      <c r="G1947" s="103"/>
      <c r="H1947" s="240">
        <f ca="1">SUMIF(Tabella2[[#Headers],[#Data],[Age]],$H$76,Tabella2[[#Headers],[#Data],[Federal taxes]])</f>
        <v>6804.3246087429152</v>
      </c>
      <c r="I194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7" s="240">
        <f ca="1">Tabella8[[#This Row],[Colonna7]]*Tabella8[[#This Row],[Colonna4]]/100</f>
        <v>17368.324110631882</v>
      </c>
    </row>
    <row r="1948" spans="2:10">
      <c r="B1948" s="92" t="s">
        <v>139</v>
      </c>
      <c r="C1948" s="91" t="s">
        <v>227</v>
      </c>
      <c r="D1948" s="93">
        <v>155</v>
      </c>
      <c r="E1948" s="93">
        <v>71.5</v>
      </c>
      <c r="F1948" s="103">
        <f>IFERROR(INDEX(Tabella9[PLZ],MATCH(Tabella8[[#This Row],[Colonna2]],Tabella9[Ortschaftsname],0)), "Name not found")</f>
        <v>1337</v>
      </c>
      <c r="G1948" s="103"/>
      <c r="H1948" s="240">
        <f ca="1">SUMIF(Tabella2[[#Headers],[#Data],[Age]],$H$76,Tabella2[[#Headers],[#Data],[Federal taxes]])</f>
        <v>6804.3246087429152</v>
      </c>
      <c r="I194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8" s="240">
        <f ca="1">Tabella8[[#This Row],[Colonna7]]*Tabella8[[#This Row],[Colonna4]]/100</f>
        <v>16127.729531301035</v>
      </c>
    </row>
    <row r="1949" spans="2:10">
      <c r="B1949" s="92" t="s">
        <v>139</v>
      </c>
      <c r="C1949" s="91" t="s">
        <v>387</v>
      </c>
      <c r="D1949" s="93">
        <v>155</v>
      </c>
      <c r="E1949" s="93">
        <v>81</v>
      </c>
      <c r="F1949" s="103">
        <f>IFERROR(INDEX(Tabella9[PLZ],MATCH(Tabella8[[#This Row],[Colonna2]],Tabella9[Ortschaftsname],0)), "Name not found")</f>
        <v>1325</v>
      </c>
      <c r="G1949" s="103"/>
      <c r="H1949" s="240">
        <f ca="1">SUMIF(Tabella2[[#Headers],[#Data],[Age]],$H$76,Tabella2[[#Headers],[#Data],[Federal taxes]])</f>
        <v>6804.3246087429152</v>
      </c>
      <c r="I194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49" s="240">
        <f ca="1">Tabella8[[#This Row],[Colonna7]]*Tabella8[[#This Row],[Colonna4]]/100</f>
        <v>18270.574713781589</v>
      </c>
    </row>
    <row r="1950" spans="2:10">
      <c r="B1950" s="92" t="s">
        <v>139</v>
      </c>
      <c r="C1950" s="91" t="s">
        <v>469</v>
      </c>
      <c r="D1950" s="93">
        <v>155</v>
      </c>
      <c r="E1950" s="93">
        <v>56</v>
      </c>
      <c r="F1950" s="103">
        <f>IFERROR(INDEX(Tabella9[PLZ],MATCH(Tabella8[[#This Row],[Colonna2]],Tabella9[Ortschaftsname],0)), "Name not found")</f>
        <v>1126</v>
      </c>
      <c r="G1950" s="103"/>
      <c r="H1950" s="240">
        <f ca="1">SUMIF(Tabella2[[#Headers],[#Data],[Age]],$H$76,Tabella2[[#Headers],[#Data],[Federal taxes]])</f>
        <v>6804.3246087429152</v>
      </c>
      <c r="I195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0" s="240">
        <f ca="1">Tabella8[[#This Row],[Colonna7]]*Tabella8[[#This Row],[Colonna4]]/100</f>
        <v>12631.508444095914</v>
      </c>
    </row>
    <row r="1951" spans="2:10">
      <c r="B1951" s="92" t="s">
        <v>139</v>
      </c>
      <c r="C1951" s="91" t="s">
        <v>190</v>
      </c>
      <c r="D1951" s="93">
        <v>155</v>
      </c>
      <c r="E1951" s="93">
        <v>74.5</v>
      </c>
      <c r="F1951" s="103">
        <f>IFERROR(INDEX(Tabella9[PLZ],MATCH(Tabella8[[#This Row],[Colonna2]],Tabella9[Ortschaftsname],0)), "Name not found")</f>
        <v>1800</v>
      </c>
      <c r="G1951" s="103"/>
      <c r="H1951" s="240">
        <f ca="1">SUMIF(Tabella2[[#Headers],[#Data],[Age]],$H$76,Tabella2[[#Headers],[#Data],[Federal taxes]])</f>
        <v>6804.3246087429152</v>
      </c>
      <c r="I195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1" s="240">
        <f ca="1">Tabella8[[#This Row],[Colonna7]]*Tabella8[[#This Row],[Colonna4]]/100</f>
        <v>16804.417483663314</v>
      </c>
    </row>
    <row r="1952" spans="2:10">
      <c r="B1952" s="92" t="s">
        <v>139</v>
      </c>
      <c r="C1952" s="91" t="s">
        <v>337</v>
      </c>
      <c r="D1952" s="93">
        <v>155</v>
      </c>
      <c r="E1952" s="93">
        <v>67.5</v>
      </c>
      <c r="F1952" s="103">
        <f>IFERROR(INDEX(Tabella9[PLZ],MATCH(Tabella8[[#This Row],[Colonna2]],Tabella9[Ortschaftsname],0)), "Name not found")</f>
        <v>1820</v>
      </c>
      <c r="G1952" s="103"/>
      <c r="H1952" s="240">
        <f ca="1">SUMIF(Tabella2[[#Headers],[#Data],[Age]],$H$76,Tabella2[[#Headers],[#Data],[Federal taxes]])</f>
        <v>6804.3246087429152</v>
      </c>
      <c r="I195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2" s="240">
        <f ca="1">Tabella8[[#This Row],[Colonna7]]*Tabella8[[#This Row],[Colonna4]]/100</f>
        <v>15225.478928151326</v>
      </c>
    </row>
    <row r="1953" spans="2:10">
      <c r="B1953" s="92" t="s">
        <v>139</v>
      </c>
      <c r="C1953" s="91" t="s">
        <v>314</v>
      </c>
      <c r="D1953" s="93">
        <v>155</v>
      </c>
      <c r="E1953" s="93">
        <v>63</v>
      </c>
      <c r="F1953" s="103">
        <f>IFERROR(INDEX(Tabella9[PLZ],MATCH(Tabella8[[#This Row],[Colonna2]],Tabella9[Ortschaftsname],0)), "Name not found")</f>
        <v>1267</v>
      </c>
      <c r="G1953" s="103"/>
      <c r="H1953" s="240">
        <f ca="1">SUMIF(Tabella2[[#Headers],[#Data],[Age]],$H$76,Tabella2[[#Headers],[#Data],[Federal taxes]])</f>
        <v>6804.3246087429152</v>
      </c>
      <c r="I195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3" s="240">
        <f ca="1">Tabella8[[#This Row],[Colonna7]]*Tabella8[[#This Row],[Colonna4]]/100</f>
        <v>14210.446999607904</v>
      </c>
    </row>
    <row r="1954" spans="2:10">
      <c r="B1954" s="92" t="s">
        <v>139</v>
      </c>
      <c r="C1954" s="91" t="s">
        <v>490</v>
      </c>
      <c r="D1954" s="93">
        <v>155</v>
      </c>
      <c r="E1954" s="93">
        <v>68</v>
      </c>
      <c r="F1954" s="103">
        <f>IFERROR(INDEX(Tabella9[PLZ],MATCH(Tabella8[[#This Row],[Colonna2]],Tabella9[Ortschaftsname],0)), "Name not found")</f>
        <v>1404</v>
      </c>
      <c r="G1954" s="103"/>
      <c r="H1954" s="240">
        <f ca="1">SUMIF(Tabella2[[#Headers],[#Data],[Age]],$H$76,Tabella2[[#Headers],[#Data],[Federal taxes]])</f>
        <v>6804.3246087429152</v>
      </c>
      <c r="I195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4" s="240">
        <f ca="1">Tabella8[[#This Row],[Colonna7]]*Tabella8[[#This Row],[Colonna4]]/100</f>
        <v>15338.260253545039</v>
      </c>
    </row>
    <row r="1955" spans="2:10">
      <c r="B1955" s="92" t="s">
        <v>139</v>
      </c>
      <c r="C1955" s="91" t="s">
        <v>326</v>
      </c>
      <c r="D1955" s="93">
        <v>155</v>
      </c>
      <c r="E1955" s="93">
        <v>60.5</v>
      </c>
      <c r="F1955" s="103">
        <v>1029</v>
      </c>
      <c r="G1955" s="103"/>
      <c r="H1955" s="240">
        <f ca="1">SUMIF(Tabella2[[#Headers],[#Data],[Age]],$H$76,Tabella2[[#Headers],[#Data],[Federal taxes]])</f>
        <v>6804.3246087429152</v>
      </c>
      <c r="I195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5" s="240">
        <f ca="1">Tabella8[[#This Row],[Colonna7]]*Tabella8[[#This Row],[Colonna4]]/100</f>
        <v>13646.540372639336</v>
      </c>
    </row>
    <row r="1956" spans="2:10">
      <c r="B1956" s="92" t="s">
        <v>139</v>
      </c>
      <c r="C1956" s="91" t="s">
        <v>481</v>
      </c>
      <c r="D1956" s="93">
        <v>155</v>
      </c>
      <c r="E1956" s="93">
        <v>68</v>
      </c>
      <c r="F1956" s="103">
        <f>IFERROR(INDEX(Tabella9[PLZ],MATCH(Tabella8[[#This Row],[Colonna2]],Tabella9[Ortschaftsname],0)), "Name not found")</f>
        <v>1515</v>
      </c>
      <c r="G1956" s="103"/>
      <c r="H1956" s="240">
        <f ca="1">SUMIF(Tabella2[[#Headers],[#Data],[Age]],$H$76,Tabella2[[#Headers],[#Data],[Federal taxes]])</f>
        <v>6804.3246087429152</v>
      </c>
      <c r="I195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6" s="240">
        <f ca="1">Tabella8[[#This Row],[Colonna7]]*Tabella8[[#This Row],[Colonna4]]/100</f>
        <v>15338.260253545039</v>
      </c>
    </row>
    <row r="1957" spans="2:10">
      <c r="B1957" s="92" t="s">
        <v>139</v>
      </c>
      <c r="C1957" s="91" t="s">
        <v>298</v>
      </c>
      <c r="D1957" s="93">
        <v>155</v>
      </c>
      <c r="E1957" s="93">
        <v>76</v>
      </c>
      <c r="F1957" s="103">
        <f>IFERROR(INDEX(Tabella9[PLZ],MATCH(Tabella8[[#This Row],[Colonna2]],Tabella9[Ortschaftsname],0)), "Name not found")</f>
        <v>1040</v>
      </c>
      <c r="G1957" s="103"/>
      <c r="H1957" s="240">
        <f ca="1">SUMIF(Tabella2[[#Headers],[#Data],[Age]],$H$76,Tabella2[[#Headers],[#Data],[Federal taxes]])</f>
        <v>6804.3246087429152</v>
      </c>
      <c r="I195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7" s="240">
        <f ca="1">Tabella8[[#This Row],[Colonna7]]*Tabella8[[#This Row],[Colonna4]]/100</f>
        <v>17142.761459844456</v>
      </c>
    </row>
    <row r="1958" spans="2:10">
      <c r="B1958" s="92" t="s">
        <v>139</v>
      </c>
      <c r="C1958" s="91" t="s">
        <v>365</v>
      </c>
      <c r="D1958" s="93">
        <v>155</v>
      </c>
      <c r="E1958" s="93">
        <v>74</v>
      </c>
      <c r="F1958" s="103">
        <f>IFERROR(INDEX(Tabella9[PLZ],MATCH(Tabella8[[#This Row],[Colonna2]],Tabella9[Ortschaftsname],0)), "Name not found")</f>
        <v>1168</v>
      </c>
      <c r="G1958" s="103"/>
      <c r="H1958" s="240">
        <f ca="1">SUMIF(Tabella2[[#Headers],[#Data],[Age]],$H$76,Tabella2[[#Headers],[#Data],[Federal taxes]])</f>
        <v>6804.3246087429152</v>
      </c>
      <c r="I195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8" s="240">
        <f ca="1">Tabella8[[#This Row],[Colonna7]]*Tabella8[[#This Row],[Colonna4]]/100</f>
        <v>16691.636158269601</v>
      </c>
    </row>
    <row r="1959" spans="2:10">
      <c r="B1959" s="92" t="s">
        <v>139</v>
      </c>
      <c r="C1959" s="91" t="s">
        <v>414</v>
      </c>
      <c r="D1959" s="93">
        <v>155</v>
      </c>
      <c r="E1959" s="93">
        <v>75</v>
      </c>
      <c r="F1959" s="103">
        <f>IFERROR(INDEX(Tabella9[PLZ],MATCH(Tabella8[[#This Row],[Colonna2]],Tabella9[Ortschaftsname],0)), "Name not found")</f>
        <v>1555</v>
      </c>
      <c r="G1959" s="103"/>
      <c r="H1959" s="240">
        <f ca="1">SUMIF(Tabella2[[#Headers],[#Data],[Age]],$H$76,Tabella2[[#Headers],[#Data],[Federal taxes]])</f>
        <v>6804.3246087429152</v>
      </c>
      <c r="I195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59" s="240">
        <f ca="1">Tabella8[[#This Row],[Colonna7]]*Tabella8[[#This Row],[Colonna4]]/100</f>
        <v>16917.19880905703</v>
      </c>
    </row>
    <row r="1960" spans="2:10">
      <c r="B1960" s="92" t="s">
        <v>139</v>
      </c>
      <c r="C1960" s="91" t="s">
        <v>213</v>
      </c>
      <c r="D1960" s="93">
        <v>155</v>
      </c>
      <c r="E1960" s="93">
        <v>66.5</v>
      </c>
      <c r="F1960" s="103">
        <v>1844</v>
      </c>
      <c r="G1960" s="103"/>
      <c r="H1960" s="240">
        <f ca="1">SUMIF(Tabella2[[#Headers],[#Data],[Age]],$H$76,Tabella2[[#Headers],[#Data],[Federal taxes]])</f>
        <v>6804.3246087429152</v>
      </c>
      <c r="I196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0" s="240">
        <f ca="1">Tabella8[[#This Row],[Colonna7]]*Tabella8[[#This Row],[Colonna4]]/100</f>
        <v>14999.916277363898</v>
      </c>
    </row>
    <row r="1961" spans="2:10">
      <c r="B1961" s="92" t="s">
        <v>139</v>
      </c>
      <c r="C1961" s="91" t="s">
        <v>428</v>
      </c>
      <c r="D1961" s="93">
        <v>155</v>
      </c>
      <c r="E1961" s="93">
        <v>65</v>
      </c>
      <c r="F1961" s="103">
        <f>IFERROR(INDEX(Tabella9[PLZ],MATCH(Tabella8[[#This Row],[Colonna2]],Tabella9[Ortschaftsname],0)), "Name not found")</f>
        <v>1184</v>
      </c>
      <c r="G1961" s="103"/>
      <c r="H1961" s="240">
        <f ca="1">SUMIF(Tabella2[[#Headers],[#Data],[Age]],$H$76,Tabella2[[#Headers],[#Data],[Federal taxes]])</f>
        <v>6804.3246087429152</v>
      </c>
      <c r="I196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1" s="240">
        <f ca="1">Tabella8[[#This Row],[Colonna7]]*Tabella8[[#This Row],[Colonna4]]/100</f>
        <v>14661.572301182758</v>
      </c>
    </row>
    <row r="1962" spans="2:10">
      <c r="B1962" s="92" t="s">
        <v>139</v>
      </c>
      <c r="C1962" s="91" t="s">
        <v>317</v>
      </c>
      <c r="D1962" s="93">
        <v>155</v>
      </c>
      <c r="E1962" s="93">
        <v>73.5</v>
      </c>
      <c r="F1962" s="103">
        <f>IFERROR(INDEX(Tabella9[PLZ],MATCH(Tabella8[[#This Row],[Colonna2]],Tabella9[Ortschaftsname],0)), "Name not found")</f>
        <v>1418</v>
      </c>
      <c r="G1962" s="103"/>
      <c r="H1962" s="240">
        <f ca="1">SUMIF(Tabella2[[#Headers],[#Data],[Age]],$H$76,Tabella2[[#Headers],[#Data],[Federal taxes]])</f>
        <v>6804.3246087429152</v>
      </c>
      <c r="I196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2" s="240">
        <f ca="1">Tabella8[[#This Row],[Colonna7]]*Tabella8[[#This Row],[Colonna4]]/100</f>
        <v>16578.854832875888</v>
      </c>
    </row>
    <row r="1963" spans="2:10">
      <c r="B1963" s="92" t="s">
        <v>139</v>
      </c>
      <c r="C1963" s="91" t="s">
        <v>369</v>
      </c>
      <c r="D1963" s="93">
        <v>155</v>
      </c>
      <c r="E1963" s="93">
        <v>75</v>
      </c>
      <c r="F1963" s="103">
        <f>IFERROR(INDEX(Tabella9[PLZ],MATCH(Tabella8[[#This Row],[Colonna2]],Tabella9[Ortschaftsname],0)), "Name not found")</f>
        <v>1509</v>
      </c>
      <c r="G1963" s="103"/>
      <c r="H1963" s="240">
        <f ca="1">SUMIF(Tabella2[[#Headers],[#Data],[Age]],$H$76,Tabella2[[#Headers],[#Data],[Federal taxes]])</f>
        <v>6804.3246087429152</v>
      </c>
      <c r="I196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3" s="240">
        <f ca="1">Tabella8[[#This Row],[Colonna7]]*Tabella8[[#This Row],[Colonna4]]/100</f>
        <v>16917.19880905703</v>
      </c>
    </row>
    <row r="1964" spans="2:10">
      <c r="B1964" s="92" t="s">
        <v>139</v>
      </c>
      <c r="C1964" s="91" t="s">
        <v>290</v>
      </c>
      <c r="D1964" s="93">
        <v>155</v>
      </c>
      <c r="E1964" s="93">
        <v>67</v>
      </c>
      <c r="F1964" s="103">
        <f>IFERROR(INDEX(Tabella9[PLZ],MATCH(Tabella8[[#This Row],[Colonna2]],Tabella9[Ortschaftsname],0)), "Name not found")</f>
        <v>1302</v>
      </c>
      <c r="G1964" s="103"/>
      <c r="H1964" s="240">
        <f ca="1">SUMIF(Tabella2[[#Headers],[#Data],[Age]],$H$76,Tabella2[[#Headers],[#Data],[Federal taxes]])</f>
        <v>6804.3246087429152</v>
      </c>
      <c r="I196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4" s="240">
        <f ca="1">Tabella8[[#This Row],[Colonna7]]*Tabella8[[#This Row],[Colonna4]]/100</f>
        <v>15112.697602757611</v>
      </c>
    </row>
    <row r="1965" spans="2:10">
      <c r="B1965" s="92" t="s">
        <v>139</v>
      </c>
      <c r="C1965" s="91" t="s">
        <v>335</v>
      </c>
      <c r="D1965" s="93">
        <v>155</v>
      </c>
      <c r="E1965" s="93">
        <v>60.5</v>
      </c>
      <c r="F1965" s="103">
        <f>IFERROR(INDEX(Tabella9[PLZ],MATCH(Tabella8[[#This Row],[Colonna2]],Tabella9[Ortschaftsname],0)), "Name not found")</f>
        <v>1134</v>
      </c>
      <c r="G1965" s="103"/>
      <c r="H1965" s="240">
        <f ca="1">SUMIF(Tabella2[[#Headers],[#Data],[Age]],$H$76,Tabella2[[#Headers],[#Data],[Federal taxes]])</f>
        <v>6804.3246087429152</v>
      </c>
      <c r="I1965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5" s="240">
        <f ca="1">Tabella8[[#This Row],[Colonna7]]*Tabella8[[#This Row],[Colonna4]]/100</f>
        <v>13646.540372639336</v>
      </c>
    </row>
    <row r="1966" spans="2:10">
      <c r="B1966" s="92" t="s">
        <v>139</v>
      </c>
      <c r="C1966" s="91" t="s">
        <v>487</v>
      </c>
      <c r="D1966" s="93">
        <v>155</v>
      </c>
      <c r="E1966" s="93">
        <v>70</v>
      </c>
      <c r="F1966" s="103">
        <f>IFERROR(INDEX(Tabella9[PLZ],MATCH(Tabella8[[#This Row],[Colonna2]],Tabella9[Ortschaftsname],0)), "Name not found")</f>
        <v>1431</v>
      </c>
      <c r="G1966" s="103"/>
      <c r="H1966" s="240">
        <f ca="1">SUMIF(Tabella2[[#Headers],[#Data],[Age]],$H$76,Tabella2[[#Headers],[#Data],[Federal taxes]])</f>
        <v>6804.3246087429152</v>
      </c>
      <c r="I1966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6" s="240">
        <f ca="1">Tabella8[[#This Row],[Colonna7]]*Tabella8[[#This Row],[Colonna4]]/100</f>
        <v>15789.385555119894</v>
      </c>
    </row>
    <row r="1967" spans="2:10">
      <c r="B1967" s="92" t="s">
        <v>139</v>
      </c>
      <c r="C1967" s="91" t="s">
        <v>368</v>
      </c>
      <c r="D1967" s="93">
        <v>155</v>
      </c>
      <c r="E1967" s="93">
        <v>75</v>
      </c>
      <c r="F1967" s="103">
        <f>IFERROR(INDEX(Tabella9[PLZ],MATCH(Tabella8[[#This Row],[Colonna2]],Tabella9[Ortschaftsname],0)), "Name not found")</f>
        <v>1445</v>
      </c>
      <c r="G1967" s="103"/>
      <c r="H1967" s="240">
        <f ca="1">SUMIF(Tabella2[[#Headers],[#Data],[Age]],$H$76,Tabella2[[#Headers],[#Data],[Federal taxes]])</f>
        <v>6804.3246087429152</v>
      </c>
      <c r="I1967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7" s="240">
        <f ca="1">Tabella8[[#This Row],[Colonna7]]*Tabella8[[#This Row],[Colonna4]]/100</f>
        <v>16917.19880905703</v>
      </c>
    </row>
    <row r="1968" spans="2:10">
      <c r="B1968" s="92" t="s">
        <v>139</v>
      </c>
      <c r="C1968" s="91" t="s">
        <v>381</v>
      </c>
      <c r="D1968" s="93">
        <v>155</v>
      </c>
      <c r="E1968" s="93">
        <v>74</v>
      </c>
      <c r="F1968" s="103">
        <f>IFERROR(INDEX(Tabella9[PLZ],MATCH(Tabella8[[#This Row],[Colonna2]],Tabella9[Ortschaftsname],0)), "Name not found")</f>
        <v>1085</v>
      </c>
      <c r="G1968" s="103"/>
      <c r="H1968" s="240">
        <f ca="1">SUMIF(Tabella2[[#Headers],[#Data],[Age]],$H$76,Tabella2[[#Headers],[#Data],[Federal taxes]])</f>
        <v>6804.3246087429152</v>
      </c>
      <c r="I1968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8" s="240">
        <f ca="1">Tabella8[[#This Row],[Colonna7]]*Tabella8[[#This Row],[Colonna4]]/100</f>
        <v>16691.636158269601</v>
      </c>
    </row>
    <row r="1969" spans="2:10">
      <c r="B1969" s="92" t="s">
        <v>139</v>
      </c>
      <c r="C1969" s="91" t="s">
        <v>383</v>
      </c>
      <c r="D1969" s="93">
        <v>155</v>
      </c>
      <c r="E1969" s="93">
        <v>76</v>
      </c>
      <c r="F1969" s="103">
        <f>IFERROR(INDEX(Tabella9[PLZ],MATCH(Tabella8[[#This Row],[Colonna2]],Tabella9[Ortschaftsname],0)), "Name not found")</f>
        <v>1115</v>
      </c>
      <c r="G1969" s="103"/>
      <c r="H1969" s="240">
        <f ca="1">SUMIF(Tabella2[[#Headers],[#Data],[Age]],$H$76,Tabella2[[#Headers],[#Data],[Federal taxes]])</f>
        <v>6804.3246087429152</v>
      </c>
      <c r="I1969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69" s="240">
        <f ca="1">Tabella8[[#This Row],[Colonna7]]*Tabella8[[#This Row],[Colonna4]]/100</f>
        <v>17142.761459844456</v>
      </c>
    </row>
    <row r="1970" spans="2:10">
      <c r="B1970" s="92" t="s">
        <v>139</v>
      </c>
      <c r="C1970" s="91" t="s">
        <v>240</v>
      </c>
      <c r="D1970" s="93">
        <v>155</v>
      </c>
      <c r="E1970" s="93">
        <v>67</v>
      </c>
      <c r="F1970" s="103">
        <v>1585</v>
      </c>
      <c r="G1970" s="103"/>
      <c r="H1970" s="240">
        <f ca="1">SUMIF(Tabella2[[#Headers],[#Data],[Age]],$H$76,Tabella2[[#Headers],[#Data],[Federal taxes]])</f>
        <v>6804.3246087429152</v>
      </c>
      <c r="I1970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70" s="240">
        <f ca="1">Tabella8[[#This Row],[Colonna7]]*Tabella8[[#This Row],[Colonna4]]/100</f>
        <v>15112.697602757611</v>
      </c>
    </row>
    <row r="1971" spans="2:10">
      <c r="B1971" s="92" t="s">
        <v>139</v>
      </c>
      <c r="C1971" s="91" t="s">
        <v>285</v>
      </c>
      <c r="D1971" s="93">
        <v>155</v>
      </c>
      <c r="E1971" s="93">
        <v>70</v>
      </c>
      <c r="F1971" s="103">
        <f>IFERROR(INDEX(Tabella9[PLZ],MATCH(Tabella8[[#This Row],[Colonna2]],Tabella9[Ortschaftsname],0)), "Name not found")</f>
        <v>1169</v>
      </c>
      <c r="G1971" s="103"/>
      <c r="H1971" s="240">
        <f ca="1">SUMIF(Tabella2[[#Headers],[#Data],[Age]],$H$76,Tabella2[[#Headers],[#Data],[Federal taxes]])</f>
        <v>6804.3246087429152</v>
      </c>
      <c r="I1971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71" s="240">
        <f ca="1">Tabella8[[#This Row],[Colonna7]]*Tabella8[[#This Row],[Colonna4]]/100</f>
        <v>15789.385555119894</v>
      </c>
    </row>
    <row r="1972" spans="2:10">
      <c r="B1972" s="92" t="s">
        <v>139</v>
      </c>
      <c r="C1972" s="91" t="s">
        <v>185</v>
      </c>
      <c r="D1972" s="93">
        <v>155</v>
      </c>
      <c r="E1972" s="93">
        <v>75</v>
      </c>
      <c r="F1972" s="103">
        <f>IFERROR(INDEX(Tabella9[PLZ],MATCH(Tabella8[[#This Row],[Colonna2]],Tabella9[Ortschaftsname],0)), "Name not found")</f>
        <v>1400</v>
      </c>
      <c r="G1972" s="103"/>
      <c r="H1972" s="240">
        <f ca="1">SUMIF(Tabella2[[#Headers],[#Data],[Age]],$H$76,Tabella2[[#Headers],[#Data],[Federal taxes]])</f>
        <v>6804.3246087429152</v>
      </c>
      <c r="I1972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72" s="240">
        <f ca="1">Tabella8[[#This Row],[Colonna7]]*Tabella8[[#This Row],[Colonna4]]/100</f>
        <v>16917.19880905703</v>
      </c>
    </row>
    <row r="1973" spans="2:10">
      <c r="B1973" s="92" t="s">
        <v>139</v>
      </c>
      <c r="C1973" s="91" t="s">
        <v>233</v>
      </c>
      <c r="D1973" s="93">
        <v>155</v>
      </c>
      <c r="E1973" s="93">
        <v>71.5</v>
      </c>
      <c r="F1973" s="103">
        <f>IFERROR(INDEX(Tabella9[PLZ],MATCH(Tabella8[[#This Row],[Colonna2]],Tabella9[Ortschaftsname],0)), "Name not found")</f>
        <v>1462</v>
      </c>
      <c r="G1973" s="103"/>
      <c r="H1973" s="240">
        <f ca="1">SUMIF(Tabella2[[#Headers],[#Data],[Age]],$H$76,Tabella2[[#Headers],[#Data],[Federal taxes]])</f>
        <v>6804.3246087429152</v>
      </c>
      <c r="I1973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73" s="240">
        <f ca="1">Tabella8[[#This Row],[Colonna7]]*Tabella8[[#This Row],[Colonna4]]/100</f>
        <v>16127.729531301035</v>
      </c>
    </row>
    <row r="1974" spans="2:10">
      <c r="B1974" s="92" t="s">
        <v>139</v>
      </c>
      <c r="C1974" s="91" t="s">
        <v>311</v>
      </c>
      <c r="D1974" s="93">
        <v>155</v>
      </c>
      <c r="E1974" s="93">
        <v>71.5</v>
      </c>
      <c r="F1974" s="103">
        <f>IFERROR(INDEX(Tabella9[PLZ],MATCH(Tabella8[[#This Row],[Colonna2]],Tabella9[Ortschaftsname],0)), "Name not found")</f>
        <v>1853</v>
      </c>
      <c r="G1974" s="103"/>
      <c r="H1974" s="240">
        <f ca="1">SUMIF(Tabella2[[#Headers],[#Data],[Age]],$H$76,Tabella2[[#Headers],[#Data],[Federal taxes]])</f>
        <v>6804.3246087429152</v>
      </c>
      <c r="I1974" s="240">
        <f ca="1">IFERROR(INDEX(Tabella13[[TI]:[VS commun]], MATCH($H$76, Tabella13[Age], 0), MATCH(Tabella8[[#This Row],[Colonna1]], Tabella13[[#Headers], [TI]:[VS commun]], 0)), "Valore non trovato")*Tabella8[[#This Row],[Colonna3]]/100</f>
        <v>22556.265078742705</v>
      </c>
      <c r="J1974" s="240">
        <f ca="1">Tabella8[[#This Row],[Colonna7]]*Tabella8[[#This Row],[Colonna4]]/100</f>
        <v>16127.729531301035</v>
      </c>
    </row>
    <row r="1975" spans="2:10">
      <c r="B1975" s="92" t="s">
        <v>159</v>
      </c>
      <c r="C1975" s="91" t="s">
        <v>936</v>
      </c>
      <c r="D1975" s="93">
        <v>100</v>
      </c>
      <c r="E1975" s="93">
        <v>130</v>
      </c>
      <c r="F1975" s="103">
        <f>IFERROR(INDEX(Tabella9[PLZ],MATCH(Tabella8[[#This Row],[Colonna2]],Tabella9[Ortschaftsname],0)), "Name not found")</f>
        <v>3951</v>
      </c>
      <c r="G1975" s="103"/>
      <c r="H1975" s="240">
        <f ca="1">SUMIF(Tabella2[[#Headers],[#Data],[Age]],$H$76,Tabella2[[#Headers],[#Data],[Federal taxes]])</f>
        <v>6804.3246087429152</v>
      </c>
      <c r="I1975" s="240">
        <f ca="1">SUMIF(Tabella13[Age],$H$76,Tabella13[VS Canton])*Tabella8[[#This Row],[Colonna3]]/100</f>
        <v>19761.330201639033</v>
      </c>
      <c r="J1975" s="240">
        <f ca="1">Tabella8[[#This Row],[Colonna7]]*Tabella8[[#This Row],[Colonna4]]/100</f>
        <v>25689.729262130746</v>
      </c>
    </row>
    <row r="1976" spans="2:10">
      <c r="B1976" s="92" t="s">
        <v>159</v>
      </c>
      <c r="C1976" s="91" t="s">
        <v>971</v>
      </c>
      <c r="D1976" s="93">
        <v>100</v>
      </c>
      <c r="E1976" s="93">
        <v>130</v>
      </c>
      <c r="F1976" s="103">
        <f>IFERROR(INDEX(Tabella9[PLZ],MATCH(Tabella8[[#This Row],[Colonna2]],Tabella9[Ortschaftsname],0)), "Name not found")</f>
        <v>3955</v>
      </c>
      <c r="G1976" s="103"/>
      <c r="H1976" s="240">
        <f ca="1">SUMIF(Tabella2[[#Headers],[#Data],[Age]],$H$76,Tabella2[[#Headers],[#Data],[Federal taxes]])</f>
        <v>6804.3246087429152</v>
      </c>
      <c r="I1976" s="240">
        <f ca="1">SUMIF(Tabella13[Age],$H$76,Tabella13[VS Canton])*Tabella8[[#This Row],[Colonna3]]/100</f>
        <v>19761.330201639033</v>
      </c>
      <c r="J1976" s="240">
        <f ca="1">Tabella8[[#This Row],[Colonna7]]*Tabella8[[#This Row],[Colonna4]]/100</f>
        <v>25689.729262130746</v>
      </c>
    </row>
    <row r="1977" spans="2:10">
      <c r="B1977" s="92" t="s">
        <v>159</v>
      </c>
      <c r="C1977" s="91" t="s">
        <v>886</v>
      </c>
      <c r="D1977" s="93">
        <v>100</v>
      </c>
      <c r="E1977" s="93">
        <v>125</v>
      </c>
      <c r="F1977" s="103">
        <v>3961</v>
      </c>
      <c r="G1977" s="103"/>
      <c r="H1977" s="240">
        <f ca="1">SUMIF(Tabella2[[#Headers],[#Data],[Age]],$H$76,Tabella2[[#Headers],[#Data],[Federal taxes]])</f>
        <v>6804.3246087429152</v>
      </c>
      <c r="I1977" s="240">
        <f ca="1">SUMIF(Tabella13[Age],$H$76,Tabella13[VS Canton])*Tabella8[[#This Row],[Colonna3]]/100</f>
        <v>19761.330201639033</v>
      </c>
      <c r="J1977" s="240">
        <f ca="1">Tabella8[[#This Row],[Colonna7]]*Tabella8[[#This Row],[Colonna4]]/100</f>
        <v>24701.662752048793</v>
      </c>
    </row>
    <row r="1978" spans="2:10">
      <c r="B1978" s="92" t="s">
        <v>159</v>
      </c>
      <c r="C1978" s="91" t="s">
        <v>919</v>
      </c>
      <c r="D1978" s="93">
        <v>100</v>
      </c>
      <c r="E1978" s="93">
        <v>125</v>
      </c>
      <c r="F1978" s="103">
        <f>IFERROR(INDEX(Tabella9[PLZ],MATCH(Tabella8[[#This Row],[Colonna2]],Tabella9[Ortschaftsname],0)), "Name not found")</f>
        <v>1974</v>
      </c>
      <c r="G1978" s="103"/>
      <c r="H1978" s="240">
        <f ca="1">SUMIF(Tabella2[[#Headers],[#Data],[Age]],$H$76,Tabella2[[#Headers],[#Data],[Federal taxes]])</f>
        <v>6804.3246087429152</v>
      </c>
      <c r="I1978" s="240">
        <f ca="1">SUMIF(Tabella13[Age],$H$76,Tabella13[VS Canton])*Tabella8[[#This Row],[Colonna3]]/100</f>
        <v>19761.330201639033</v>
      </c>
      <c r="J1978" s="240">
        <f ca="1">Tabella8[[#This Row],[Colonna7]]*Tabella8[[#This Row],[Colonna4]]/100</f>
        <v>24701.662752048793</v>
      </c>
    </row>
    <row r="1979" spans="2:10">
      <c r="B1979" s="92" t="s">
        <v>159</v>
      </c>
      <c r="C1979" s="91" t="s">
        <v>884</v>
      </c>
      <c r="D1979" s="93">
        <v>100</v>
      </c>
      <c r="E1979" s="93">
        <v>130</v>
      </c>
      <c r="F1979" s="103">
        <f>IFERROR(INDEX(Tabella9[PLZ],MATCH(Tabella8[[#This Row],[Colonna2]],Tabella9[Ortschaftsname],0)), "Name not found")</f>
        <v>1957</v>
      </c>
      <c r="G1979" s="103"/>
      <c r="H1979" s="240">
        <f ca="1">SUMIF(Tabella2[[#Headers],[#Data],[Age]],$H$76,Tabella2[[#Headers],[#Data],[Federal taxes]])</f>
        <v>6804.3246087429152</v>
      </c>
      <c r="I1979" s="240">
        <f ca="1">SUMIF(Tabella13[Age],$H$76,Tabella13[VS Canton])*Tabella8[[#This Row],[Colonna3]]/100</f>
        <v>19761.330201639033</v>
      </c>
      <c r="J1979" s="240">
        <f ca="1">Tabella8[[#This Row],[Colonna7]]*Tabella8[[#This Row],[Colonna4]]/100</f>
        <v>25689.729262130746</v>
      </c>
    </row>
    <row r="1980" spans="2:10">
      <c r="B1980" s="92" t="s">
        <v>159</v>
      </c>
      <c r="C1980" s="91" t="s">
        <v>944</v>
      </c>
      <c r="D1980" s="93">
        <v>100</v>
      </c>
      <c r="E1980" s="93">
        <v>140</v>
      </c>
      <c r="F1980" s="103">
        <f>IFERROR(INDEX(Tabella9[PLZ],MATCH(Tabella8[[#This Row],[Colonna2]],Tabella9[Ortschaftsname],0)), "Name not found")</f>
        <v>3938</v>
      </c>
      <c r="G1980" s="103"/>
      <c r="H1980" s="240">
        <f ca="1">SUMIF(Tabella2[[#Headers],[#Data],[Age]],$H$76,Tabella2[[#Headers],[#Data],[Federal taxes]])</f>
        <v>6804.3246087429152</v>
      </c>
      <c r="I1980" s="240">
        <f ca="1">SUMIF(Tabella13[Age],$H$76,Tabella13[VS Canton])*Tabella8[[#This Row],[Colonna3]]/100</f>
        <v>19761.330201639033</v>
      </c>
      <c r="J1980" s="240">
        <f ca="1">Tabella8[[#This Row],[Colonna7]]*Tabella8[[#This Row],[Colonna4]]/100</f>
        <v>27665.862282294645</v>
      </c>
    </row>
    <row r="1981" spans="2:10">
      <c r="B1981" s="92" t="s">
        <v>159</v>
      </c>
      <c r="C1981" s="91" t="s">
        <v>877</v>
      </c>
      <c r="D1981" s="93">
        <v>100</v>
      </c>
      <c r="E1981" s="93">
        <v>130</v>
      </c>
      <c r="F1981" s="103">
        <v>1966</v>
      </c>
      <c r="G1981" s="103"/>
      <c r="H1981" s="240">
        <f ca="1">SUMIF(Tabella2[[#Headers],[#Data],[Age]],$H$76,Tabella2[[#Headers],[#Data],[Federal taxes]])</f>
        <v>6804.3246087429152</v>
      </c>
      <c r="I1981" s="240">
        <f ca="1">SUMIF(Tabella13[Age],$H$76,Tabella13[VS Canton])*Tabella8[[#This Row],[Colonna3]]/100</f>
        <v>19761.330201639033</v>
      </c>
      <c r="J1981" s="240">
        <f ca="1">Tabella8[[#This Row],[Colonna7]]*Tabella8[[#This Row],[Colonna4]]/100</f>
        <v>25689.729262130746</v>
      </c>
    </row>
    <row r="1982" spans="2:10">
      <c r="B1982" s="92" t="s">
        <v>159</v>
      </c>
      <c r="C1982" s="91" t="s">
        <v>914</v>
      </c>
      <c r="D1982" s="93">
        <v>100</v>
      </c>
      <c r="E1982" s="93">
        <v>120</v>
      </c>
      <c r="F1982" s="103">
        <f>IFERROR(INDEX(Tabella9[PLZ],MATCH(Tabella8[[#This Row],[Colonna2]],Tabella9[Ortschaftsname],0)), "Name not found")</f>
        <v>3937</v>
      </c>
      <c r="G1982" s="103"/>
      <c r="H1982" s="240">
        <f ca="1">SUMIF(Tabella2[[#Headers],[#Data],[Age]],$H$76,Tabella2[[#Headers],[#Data],[Federal taxes]])</f>
        <v>6804.3246087429152</v>
      </c>
      <c r="I1982" s="240">
        <f ca="1">SUMIF(Tabella13[Age],$H$76,Tabella13[VS Canton])*Tabella8[[#This Row],[Colonna3]]/100</f>
        <v>19761.330201639033</v>
      </c>
      <c r="J1982" s="240">
        <f ca="1">Tabella8[[#This Row],[Colonna7]]*Tabella8[[#This Row],[Colonna4]]/100</f>
        <v>23713.596241966839</v>
      </c>
    </row>
    <row r="1983" spans="2:10">
      <c r="B1983" s="92" t="s">
        <v>159</v>
      </c>
      <c r="C1983" s="91" t="s">
        <v>958</v>
      </c>
      <c r="D1983" s="93">
        <v>100</v>
      </c>
      <c r="E1983" s="93">
        <v>130</v>
      </c>
      <c r="F1983" s="103">
        <f>IFERROR(INDEX(Tabella9[PLZ],MATCH(Tabella8[[#This Row],[Colonna2]],Tabella9[Ortschaftsname],0)), "Name not found")</f>
        <v>3997</v>
      </c>
      <c r="G1983" s="103"/>
      <c r="H1983" s="240">
        <f ca="1">SUMIF(Tabella2[[#Headers],[#Data],[Age]],$H$76,Tabella2[[#Headers],[#Data],[Federal taxes]])</f>
        <v>6804.3246087429152</v>
      </c>
      <c r="I1983" s="240">
        <f ca="1">SUMIF(Tabella13[Age],$H$76,Tabella13[VS Canton])*Tabella8[[#This Row],[Colonna3]]/100</f>
        <v>19761.330201639033</v>
      </c>
      <c r="J1983" s="240">
        <f ca="1">Tabella8[[#This Row],[Colonna7]]*Tabella8[[#This Row],[Colonna4]]/100</f>
        <v>25689.729262130746</v>
      </c>
    </row>
    <row r="1984" spans="2:10">
      <c r="B1984" s="92" t="s">
        <v>159</v>
      </c>
      <c r="C1984" s="91" t="s">
        <v>952</v>
      </c>
      <c r="D1984" s="93">
        <v>100</v>
      </c>
      <c r="E1984" s="93">
        <v>120</v>
      </c>
      <c r="F1984" s="103">
        <f>IFERROR(INDEX(Tabella9[PLZ],MATCH(Tabella8[[#This Row],[Colonna2]],Tabella9[Ortschaftsname],0)), "Name not found")</f>
        <v>3992</v>
      </c>
      <c r="G1984" s="103"/>
      <c r="H1984" s="240">
        <f ca="1">SUMIF(Tabella2[[#Headers],[#Data],[Age]],$H$76,Tabella2[[#Headers],[#Data],[Federal taxes]])</f>
        <v>6804.3246087429152</v>
      </c>
      <c r="I1984" s="240">
        <f ca="1">SUMIF(Tabella13[Age],$H$76,Tabella13[VS Canton])*Tabella8[[#This Row],[Colonna3]]/100</f>
        <v>19761.330201639033</v>
      </c>
      <c r="J1984" s="240">
        <f ca="1">Tabella8[[#This Row],[Colonna7]]*Tabella8[[#This Row],[Colonna4]]/100</f>
        <v>23713.596241966839</v>
      </c>
    </row>
    <row r="1985" spans="2:10">
      <c r="B1985" s="92" t="s">
        <v>159</v>
      </c>
      <c r="C1985" s="91" t="s">
        <v>976</v>
      </c>
      <c r="D1985" s="93">
        <v>100</v>
      </c>
      <c r="E1985" s="93">
        <v>120</v>
      </c>
      <c r="F1985" s="103">
        <f>IFERROR(INDEX(Tabella9[PLZ],MATCH(Tabella8[[#This Row],[Colonna2]],Tabella9[Ortschaftsname],0)), "Name not found")</f>
        <v>3996</v>
      </c>
      <c r="G1985" s="103"/>
      <c r="H1985" s="240">
        <f ca="1">SUMIF(Tabella2[[#Headers],[#Data],[Age]],$H$76,Tabella2[[#Headers],[#Data],[Federal taxes]])</f>
        <v>6804.3246087429152</v>
      </c>
      <c r="I1985" s="240">
        <f ca="1">SUMIF(Tabella13[Age],$H$76,Tabella13[VS Canton])*Tabella8[[#This Row],[Colonna3]]/100</f>
        <v>19761.330201639033</v>
      </c>
      <c r="J1985" s="240">
        <f ca="1">Tabella8[[#This Row],[Colonna7]]*Tabella8[[#This Row],[Colonna4]]/100</f>
        <v>23713.596241966839</v>
      </c>
    </row>
    <row r="1986" spans="2:10">
      <c r="B1986" s="92" t="s">
        <v>159</v>
      </c>
      <c r="C1986" s="91" t="s">
        <v>980</v>
      </c>
      <c r="D1986" s="93">
        <v>100</v>
      </c>
      <c r="E1986" s="93">
        <v>100</v>
      </c>
      <c r="F1986" s="103">
        <f>IFERROR(INDEX(Tabella9[PLZ],MATCH(Tabella8[[#This Row],[Colonna2]],Tabella9[Ortschaftsname],0)), "Name not found")</f>
        <v>3983</v>
      </c>
      <c r="G1986" s="103"/>
      <c r="H1986" s="240">
        <f ca="1">SUMIF(Tabella2[[#Headers],[#Data],[Age]],$H$76,Tabella2[[#Headers],[#Data],[Federal taxes]])</f>
        <v>6804.3246087429152</v>
      </c>
      <c r="I1986" s="240">
        <f ca="1">SUMIF(Tabella13[Age],$H$76,Tabella13[VS Canton])*Tabella8[[#This Row],[Colonna3]]/100</f>
        <v>19761.330201639033</v>
      </c>
      <c r="J1986" s="240">
        <f ca="1">Tabella8[[#This Row],[Colonna7]]*Tabella8[[#This Row],[Colonna4]]/100</f>
        <v>19761.330201639033</v>
      </c>
    </row>
    <row r="1987" spans="2:10">
      <c r="B1987" s="92" t="s">
        <v>159</v>
      </c>
      <c r="C1987" s="91" t="s">
        <v>926</v>
      </c>
      <c r="D1987" s="93">
        <v>100</v>
      </c>
      <c r="E1987" s="93">
        <v>100</v>
      </c>
      <c r="F1987" s="103">
        <f>IFERROR(INDEX(Tabella9[PLZ],MATCH(Tabella8[[#This Row],[Colonna2]],Tabella9[Ortschaftsname],0)), "Name not found")</f>
        <v>3982</v>
      </c>
      <c r="G1987" s="103"/>
      <c r="H1987" s="240">
        <f ca="1">SUMIF(Tabella2[[#Headers],[#Data],[Age]],$H$76,Tabella2[[#Headers],[#Data],[Federal taxes]])</f>
        <v>6804.3246087429152</v>
      </c>
      <c r="I1987" s="240">
        <f ca="1">SUMIF(Tabella13[Age],$H$76,Tabella13[VS Canton])*Tabella8[[#This Row],[Colonna3]]/100</f>
        <v>19761.330201639033</v>
      </c>
      <c r="J1987" s="240">
        <f ca="1">Tabella8[[#This Row],[Colonna7]]*Tabella8[[#This Row],[Colonna4]]/100</f>
        <v>19761.330201639033</v>
      </c>
    </row>
    <row r="1988" spans="2:10">
      <c r="B1988" s="92" t="s">
        <v>159</v>
      </c>
      <c r="C1988" s="91" t="s">
        <v>968</v>
      </c>
      <c r="D1988" s="93">
        <v>100</v>
      </c>
      <c r="E1988" s="93">
        <v>140</v>
      </c>
      <c r="F1988" s="103">
        <v>3919</v>
      </c>
      <c r="G1988" s="103"/>
      <c r="H1988" s="240">
        <f ca="1">SUMIF(Tabella2[[#Headers],[#Data],[Age]],$H$76,Tabella2[[#Headers],[#Data],[Federal taxes]])</f>
        <v>6804.3246087429152</v>
      </c>
      <c r="I1988" s="240">
        <f ca="1">SUMIF(Tabella13[Age],$H$76,Tabella13[VS Canton])*Tabella8[[#This Row],[Colonna3]]/100</f>
        <v>19761.330201639033</v>
      </c>
      <c r="J1988" s="240">
        <f ca="1">Tabella8[[#This Row],[Colonna7]]*Tabella8[[#This Row],[Colonna4]]/100</f>
        <v>27665.862282294645</v>
      </c>
    </row>
    <row r="1989" spans="2:10">
      <c r="B1989" s="92" t="s">
        <v>159</v>
      </c>
      <c r="C1989" s="91" t="s">
        <v>975</v>
      </c>
      <c r="D1989" s="93">
        <v>100</v>
      </c>
      <c r="E1989" s="93">
        <v>100</v>
      </c>
      <c r="F1989" s="103">
        <v>1946</v>
      </c>
      <c r="G1989" s="103"/>
      <c r="H1989" s="240">
        <f ca="1">SUMIF(Tabella2[[#Headers],[#Data],[Age]],$H$76,Tabella2[[#Headers],[#Data],[Federal taxes]])</f>
        <v>6804.3246087429152</v>
      </c>
      <c r="I1989" s="240">
        <f ca="1">SUMIF(Tabella13[Age],$H$76,Tabella13[VS Canton])*Tabella8[[#This Row],[Colonna3]]/100</f>
        <v>19761.330201639033</v>
      </c>
      <c r="J1989" s="240">
        <f ca="1">Tabella8[[#This Row],[Colonna7]]*Tabella8[[#This Row],[Colonna4]]/100</f>
        <v>19761.330201639033</v>
      </c>
    </row>
    <row r="1990" spans="2:10">
      <c r="B1990" s="92" t="s">
        <v>159</v>
      </c>
      <c r="C1990" s="91" t="s">
        <v>931</v>
      </c>
      <c r="D1990" s="93">
        <v>100</v>
      </c>
      <c r="E1990" s="93">
        <v>120</v>
      </c>
      <c r="F1990" s="103">
        <f>IFERROR(INDEX(Tabella9[PLZ],MATCH(Tabella8[[#This Row],[Colonna2]],Tabella9[Ortschaftsname],0)), "Name not found")</f>
        <v>1932</v>
      </c>
      <c r="G1990" s="103"/>
      <c r="H1990" s="240">
        <f ca="1">SUMIF(Tabella2[[#Headers],[#Data],[Age]],$H$76,Tabella2[[#Headers],[#Data],[Federal taxes]])</f>
        <v>6804.3246087429152</v>
      </c>
      <c r="I1990" s="240">
        <f ca="1">SUMIF(Tabella13[Age],$H$76,Tabella13[VS Canton])*Tabella8[[#This Row],[Colonna3]]/100</f>
        <v>19761.330201639033</v>
      </c>
      <c r="J1990" s="240">
        <f ca="1">Tabella8[[#This Row],[Colonna7]]*Tabella8[[#This Row],[Colonna4]]/100</f>
        <v>23713.596241966839</v>
      </c>
    </row>
    <row r="1991" spans="2:10">
      <c r="B1991" s="92" t="s">
        <v>159</v>
      </c>
      <c r="C1991" s="91" t="s">
        <v>859</v>
      </c>
      <c r="D1991" s="93">
        <v>100</v>
      </c>
      <c r="E1991" s="93">
        <v>100</v>
      </c>
      <c r="F1991" s="103">
        <v>3900</v>
      </c>
      <c r="G1991" s="103"/>
      <c r="H1991" s="240">
        <f ca="1">SUMIF(Tabella2[[#Headers],[#Data],[Age]],$H$76,Tabella2[[#Headers],[#Data],[Federal taxes]])</f>
        <v>6804.3246087429152</v>
      </c>
      <c r="I1991" s="240">
        <f ca="1">SUMIF(Tabella13[Age],$H$76,Tabella13[VS Canton])*Tabella8[[#This Row],[Colonna3]]/100</f>
        <v>19761.330201639033</v>
      </c>
      <c r="J1991" s="240">
        <f ca="1">Tabella8[[#This Row],[Colonna7]]*Tabella8[[#This Row],[Colonna4]]/100</f>
        <v>19761.330201639033</v>
      </c>
    </row>
    <row r="1992" spans="2:10">
      <c r="B1992" s="92" t="s">
        <v>159</v>
      </c>
      <c r="C1992" s="91" t="s">
        <v>938</v>
      </c>
      <c r="D1992" s="93">
        <v>100</v>
      </c>
      <c r="E1992" s="93">
        <v>130</v>
      </c>
      <c r="F1992" s="103">
        <f>IFERROR(INDEX(Tabella9[PLZ],MATCH(Tabella8[[#This Row],[Colonna2]],Tabella9[Ortschaftsname],0)), "Name not found")</f>
        <v>3935</v>
      </c>
      <c r="G1992" s="103"/>
      <c r="H1992" s="240">
        <f ca="1">SUMIF(Tabella2[[#Headers],[#Data],[Age]],$H$76,Tabella2[[#Headers],[#Data],[Federal taxes]])</f>
        <v>6804.3246087429152</v>
      </c>
      <c r="I1992" s="240">
        <f ca="1">SUMIF(Tabella13[Age],$H$76,Tabella13[VS Canton])*Tabella8[[#This Row],[Colonna3]]/100</f>
        <v>19761.330201639033</v>
      </c>
      <c r="J1992" s="240">
        <f ca="1">Tabella8[[#This Row],[Colonna7]]*Tabella8[[#This Row],[Colonna4]]/100</f>
        <v>25689.729262130746</v>
      </c>
    </row>
    <row r="1993" spans="2:10">
      <c r="B1993" s="92" t="s">
        <v>159</v>
      </c>
      <c r="C1993" s="91" t="s">
        <v>880</v>
      </c>
      <c r="D1993" s="93">
        <v>100</v>
      </c>
      <c r="E1993" s="93">
        <v>130</v>
      </c>
      <c r="F1993" s="103">
        <f>IFERROR(INDEX(Tabella9[PLZ],MATCH(Tabella8[[#This Row],[Colonna2]],Tabella9[Ortschaftsname],0)), "Name not found")</f>
        <v>3966</v>
      </c>
      <c r="G1993" s="103"/>
      <c r="H1993" s="240">
        <f ca="1">SUMIF(Tabella2[[#Headers],[#Data],[Age]],$H$76,Tabella2[[#Headers],[#Data],[Federal taxes]])</f>
        <v>6804.3246087429152</v>
      </c>
      <c r="I1993" s="240">
        <f ca="1">SUMIF(Tabella13[Age],$H$76,Tabella13[VS Canton])*Tabella8[[#This Row],[Colonna3]]/100</f>
        <v>19761.330201639033</v>
      </c>
      <c r="J1993" s="240">
        <f ca="1">Tabella8[[#This Row],[Colonna7]]*Tabella8[[#This Row],[Colonna4]]/100</f>
        <v>25689.729262130746</v>
      </c>
    </row>
    <row r="1994" spans="2:10">
      <c r="B1994" s="92" t="s">
        <v>159</v>
      </c>
      <c r="C1994" s="91" t="s">
        <v>879</v>
      </c>
      <c r="D1994" s="93">
        <v>100</v>
      </c>
      <c r="E1994" s="93">
        <v>125</v>
      </c>
      <c r="F1994" s="103">
        <f>IFERROR(INDEX(Tabella9[PLZ],MATCH(Tabella8[[#This Row],[Colonna2]],Tabella9[Ortschaftsname],0)), "Name not found")</f>
        <v>1955</v>
      </c>
      <c r="G1994" s="103"/>
      <c r="H1994" s="240">
        <f ca="1">SUMIF(Tabella2[[#Headers],[#Data],[Age]],$H$76,Tabella2[[#Headers],[#Data],[Federal taxes]])</f>
        <v>6804.3246087429152</v>
      </c>
      <c r="I1994" s="240">
        <f ca="1">SUMIF(Tabella13[Age],$H$76,Tabella13[VS Canton])*Tabella8[[#This Row],[Colonna3]]/100</f>
        <v>19761.330201639033</v>
      </c>
      <c r="J1994" s="240">
        <f ca="1">Tabella8[[#This Row],[Colonna7]]*Tabella8[[#This Row],[Colonna4]]/100</f>
        <v>24701.662752048793</v>
      </c>
    </row>
    <row r="1995" spans="2:10">
      <c r="B1995" s="92" t="s">
        <v>159</v>
      </c>
      <c r="C1995" s="91" t="s">
        <v>913</v>
      </c>
      <c r="D1995" s="93">
        <v>100</v>
      </c>
      <c r="E1995" s="93">
        <v>135</v>
      </c>
      <c r="F1995" s="103">
        <f>IFERROR(INDEX(Tabella9[PLZ],MATCH(Tabella8[[#This Row],[Colonna2]],Tabella9[Ortschaftsname],0)), "Name not found")</f>
        <v>1874</v>
      </c>
      <c r="G1995" s="103"/>
      <c r="H1995" s="240">
        <f ca="1">SUMIF(Tabella2[[#Headers],[#Data],[Age]],$H$76,Tabella2[[#Headers],[#Data],[Federal taxes]])</f>
        <v>6804.3246087429152</v>
      </c>
      <c r="I1995" s="240">
        <f ca="1">SUMIF(Tabella13[Age],$H$76,Tabella13[VS Canton])*Tabella8[[#This Row],[Colonna3]]/100</f>
        <v>19761.330201639033</v>
      </c>
      <c r="J1995" s="240">
        <f ca="1">Tabella8[[#This Row],[Colonna7]]*Tabella8[[#This Row],[Colonna4]]/100</f>
        <v>26677.795772212696</v>
      </c>
    </row>
    <row r="1996" spans="2:10">
      <c r="B1996" s="92" t="s">
        <v>159</v>
      </c>
      <c r="C1996" s="91" t="s">
        <v>905</v>
      </c>
      <c r="D1996" s="93">
        <v>100</v>
      </c>
      <c r="E1996" s="93">
        <v>120</v>
      </c>
      <c r="F1996" s="103">
        <f>IFERROR(INDEX(Tabella9[PLZ],MATCH(Tabella8[[#This Row],[Colonna2]],Tabella9[Ortschaftsname],0)), "Name not found")</f>
        <v>3965</v>
      </c>
      <c r="G1996" s="103"/>
      <c r="H1996" s="240">
        <f ca="1">SUMIF(Tabella2[[#Headers],[#Data],[Age]],$H$76,Tabella2[[#Headers],[#Data],[Federal taxes]])</f>
        <v>6804.3246087429152</v>
      </c>
      <c r="I1996" s="240">
        <f ca="1">SUMIF(Tabella13[Age],$H$76,Tabella13[VS Canton])*Tabella8[[#This Row],[Colonna3]]/100</f>
        <v>19761.330201639033</v>
      </c>
      <c r="J1996" s="240">
        <f ca="1">Tabella8[[#This Row],[Colonna7]]*Tabella8[[#This Row],[Colonna4]]/100</f>
        <v>23713.596241966839</v>
      </c>
    </row>
    <row r="1997" spans="2:10">
      <c r="B1997" s="92" t="s">
        <v>159</v>
      </c>
      <c r="C1997" s="91" t="s">
        <v>862</v>
      </c>
      <c r="D1997" s="93">
        <v>100</v>
      </c>
      <c r="E1997" s="93">
        <v>125</v>
      </c>
      <c r="F1997" s="103">
        <v>1893</v>
      </c>
      <c r="G1997" s="103"/>
      <c r="H1997" s="240">
        <f ca="1">SUMIF(Tabella2[[#Headers],[#Data],[Age]],$H$76,Tabella2[[#Headers],[#Data],[Federal taxes]])</f>
        <v>6804.3246087429152</v>
      </c>
      <c r="I1997" s="240">
        <f ca="1">SUMIF(Tabella13[Age],$H$76,Tabella13[VS Canton])*Tabella8[[#This Row],[Colonna3]]/100</f>
        <v>19761.330201639033</v>
      </c>
      <c r="J1997" s="240">
        <f ca="1">Tabella8[[#This Row],[Colonna7]]*Tabella8[[#This Row],[Colonna4]]/100</f>
        <v>24701.662752048793</v>
      </c>
    </row>
    <row r="1998" spans="2:10">
      <c r="B1998" s="92" t="s">
        <v>159</v>
      </c>
      <c r="C1998" s="91" t="s">
        <v>934</v>
      </c>
      <c r="D1998" s="93">
        <v>100</v>
      </c>
      <c r="E1998" s="93">
        <v>110</v>
      </c>
      <c r="F1998" s="103">
        <f>IFERROR(INDEX(Tabella9[PLZ],MATCH(Tabella8[[#This Row],[Colonna2]],Tabella9[Ortschaftsname],0)), "Name not found")</f>
        <v>1903</v>
      </c>
      <c r="G1998" s="103"/>
      <c r="H1998" s="240">
        <f ca="1">SUMIF(Tabella2[[#Headers],[#Data],[Age]],$H$76,Tabella2[[#Headers],[#Data],[Federal taxes]])</f>
        <v>6804.3246087429152</v>
      </c>
      <c r="I1998" s="240">
        <f ca="1">SUMIF(Tabella13[Age],$H$76,Tabella13[VS Canton])*Tabella8[[#This Row],[Colonna3]]/100</f>
        <v>19761.330201639033</v>
      </c>
      <c r="J1998" s="240">
        <f ca="1">Tabella8[[#This Row],[Colonna7]]*Tabella8[[#This Row],[Colonna4]]/100</f>
        <v>21737.463221802936</v>
      </c>
    </row>
    <row r="1999" spans="2:10">
      <c r="B1999" s="92" t="s">
        <v>159</v>
      </c>
      <c r="C1999" s="91" t="s">
        <v>864</v>
      </c>
      <c r="D1999" s="93">
        <v>100</v>
      </c>
      <c r="E1999" s="93">
        <v>120</v>
      </c>
      <c r="F1999" s="103">
        <f>IFERROR(INDEX(Tabella9[PLZ],MATCH(Tabella8[[#This Row],[Colonna2]],Tabella9[Ortschaftsname],0)), "Name not found")</f>
        <v>1964</v>
      </c>
      <c r="G1999" s="103"/>
      <c r="H1999" s="240">
        <f ca="1">SUMIF(Tabella2[[#Headers],[#Data],[Age]],$H$76,Tabella2[[#Headers],[#Data],[Federal taxes]])</f>
        <v>6804.3246087429152</v>
      </c>
      <c r="I1999" s="240">
        <f ca="1">SUMIF(Tabella13[Age],$H$76,Tabella13[VS Canton])*Tabella8[[#This Row],[Colonna3]]/100</f>
        <v>19761.330201639033</v>
      </c>
      <c r="J1999" s="240">
        <f ca="1">Tabella8[[#This Row],[Colonna7]]*Tabella8[[#This Row],[Colonna4]]/100</f>
        <v>23713.596241966839</v>
      </c>
    </row>
    <row r="2000" spans="2:10">
      <c r="B2000" s="92" t="s">
        <v>159</v>
      </c>
      <c r="C2000" s="91" t="s">
        <v>860</v>
      </c>
      <c r="D2000" s="93">
        <v>100</v>
      </c>
      <c r="E2000" s="93">
        <v>115</v>
      </c>
      <c r="F2000" s="103">
        <f>IFERROR(INDEX(Tabella9[PLZ],MATCH(Tabella8[[#This Row],[Colonna2]],Tabella9[Ortschaftsname],0)), "Name not found")</f>
        <v>3963</v>
      </c>
      <c r="G2000" s="103"/>
      <c r="H2000" s="240">
        <f ca="1">SUMIF(Tabella2[[#Headers],[#Data],[Age]],$H$76,Tabella2[[#Headers],[#Data],[Federal taxes]])</f>
        <v>6804.3246087429152</v>
      </c>
      <c r="I2000" s="240">
        <f ca="1">SUMIF(Tabella13[Age],$H$76,Tabella13[VS Canton])*Tabella8[[#This Row],[Colonna3]]/100</f>
        <v>19761.330201639033</v>
      </c>
      <c r="J2000" s="240">
        <f ca="1">Tabella8[[#This Row],[Colonna7]]*Tabella8[[#This Row],[Colonna4]]/100</f>
        <v>22725.529731884886</v>
      </c>
    </row>
    <row r="2001" spans="2:10">
      <c r="B2001" s="92" t="s">
        <v>159</v>
      </c>
      <c r="C2001" s="91" t="s">
        <v>928</v>
      </c>
      <c r="D2001" s="93">
        <v>100</v>
      </c>
      <c r="E2001" s="93">
        <v>120</v>
      </c>
      <c r="F2001" s="103">
        <f>IFERROR(INDEX(Tabella9[PLZ],MATCH(Tabella8[[#This Row],[Colonna2]],Tabella9[Ortschaftsname],0)), "Name not found")</f>
        <v>1905</v>
      </c>
      <c r="G2001" s="103"/>
      <c r="H2001" s="240">
        <f ca="1">SUMIF(Tabella2[[#Headers],[#Data],[Age]],$H$76,Tabella2[[#Headers],[#Data],[Federal taxes]])</f>
        <v>6804.3246087429152</v>
      </c>
      <c r="I2001" s="240">
        <f ca="1">SUMIF(Tabella13[Age],$H$76,Tabella13[VS Canton])*Tabella8[[#This Row],[Colonna3]]/100</f>
        <v>19761.330201639033</v>
      </c>
      <c r="J2001" s="240">
        <f ca="1">Tabella8[[#This Row],[Colonna7]]*Tabella8[[#This Row],[Colonna4]]/100</f>
        <v>23713.596241966839</v>
      </c>
    </row>
    <row r="2002" spans="2:10">
      <c r="B2002" s="92" t="s">
        <v>159</v>
      </c>
      <c r="C2002" s="91" t="s">
        <v>962</v>
      </c>
      <c r="D2002" s="93">
        <v>100</v>
      </c>
      <c r="E2002" s="93">
        <v>130</v>
      </c>
      <c r="F2002" s="103">
        <f>IFERROR(INDEX(Tabella9[PLZ],MATCH(Tabella8[[#This Row],[Colonna2]],Tabella9[Ortschaftsname],0)), "Name not found")</f>
        <v>3939</v>
      </c>
      <c r="G2002" s="103"/>
      <c r="H2002" s="240">
        <f ca="1">SUMIF(Tabella2[[#Headers],[#Data],[Age]],$H$76,Tabella2[[#Headers],[#Data],[Federal taxes]])</f>
        <v>6804.3246087429152</v>
      </c>
      <c r="I2002" s="240">
        <f ca="1">SUMIF(Tabella13[Age],$H$76,Tabella13[VS Canton])*Tabella8[[#This Row],[Colonna3]]/100</f>
        <v>19761.330201639033</v>
      </c>
      <c r="J2002" s="240">
        <f ca="1">Tabella8[[#This Row],[Colonna7]]*Tabella8[[#This Row],[Colonna4]]/100</f>
        <v>25689.729262130746</v>
      </c>
    </row>
    <row r="2003" spans="2:10">
      <c r="B2003" s="92" t="s">
        <v>159</v>
      </c>
      <c r="C2003" s="91" t="s">
        <v>954</v>
      </c>
      <c r="D2003" s="93">
        <v>100</v>
      </c>
      <c r="E2003" s="93">
        <v>130</v>
      </c>
      <c r="F2003" s="103">
        <f>IFERROR(INDEX(Tabella9[PLZ],MATCH(Tabella8[[#This Row],[Colonna2]],Tabella9[Ortschaftsname],0)), "Name not found")</f>
        <v>3943</v>
      </c>
      <c r="G2003" s="103"/>
      <c r="H2003" s="240">
        <f ca="1">SUMIF(Tabella2[[#Headers],[#Data],[Age]],$H$76,Tabella2[[#Headers],[#Data],[Federal taxes]])</f>
        <v>6804.3246087429152</v>
      </c>
      <c r="I2003" s="240">
        <f ca="1">SUMIF(Tabella13[Age],$H$76,Tabella13[VS Canton])*Tabella8[[#This Row],[Colonna3]]/100</f>
        <v>19761.330201639033</v>
      </c>
      <c r="J2003" s="240">
        <f ca="1">Tabella8[[#This Row],[Colonna7]]*Tabella8[[#This Row],[Colonna4]]/100</f>
        <v>25689.729262130746</v>
      </c>
    </row>
    <row r="2004" spans="2:10">
      <c r="B2004" s="92" t="s">
        <v>159</v>
      </c>
      <c r="C2004" s="91" t="s">
        <v>972</v>
      </c>
      <c r="D2004" s="93">
        <v>100</v>
      </c>
      <c r="E2004" s="93">
        <v>100</v>
      </c>
      <c r="F2004" s="103">
        <f>IFERROR(INDEX(Tabella9[PLZ],MATCH(Tabella8[[#This Row],[Colonna2]],Tabella9[Ortschaftsname],0)), "Name not found")</f>
        <v>3922</v>
      </c>
      <c r="G2004" s="103"/>
      <c r="H2004" s="240">
        <f ca="1">SUMIF(Tabella2[[#Headers],[#Data],[Age]],$H$76,Tabella2[[#Headers],[#Data],[Federal taxes]])</f>
        <v>6804.3246087429152</v>
      </c>
      <c r="I2004" s="240">
        <f ca="1">SUMIF(Tabella13[Age],$H$76,Tabella13[VS Canton])*Tabella8[[#This Row],[Colonna3]]/100</f>
        <v>19761.330201639033</v>
      </c>
      <c r="J2004" s="240">
        <f ca="1">Tabella8[[#This Row],[Colonna7]]*Tabella8[[#This Row],[Colonna4]]/100</f>
        <v>19761.330201639033</v>
      </c>
    </row>
    <row r="2005" spans="2:10">
      <c r="B2005" s="92" t="s">
        <v>159</v>
      </c>
      <c r="C2005" s="91" t="s">
        <v>967</v>
      </c>
      <c r="D2005" s="93">
        <v>100</v>
      </c>
      <c r="E2005" s="93">
        <v>130</v>
      </c>
      <c r="F2005" s="103">
        <f>IFERROR(INDEX(Tabella9[PLZ],MATCH(Tabella8[[#This Row],[Colonna2]],Tabella9[Ortschaftsname],0)), "Name not found")</f>
        <v>3926</v>
      </c>
      <c r="G2005" s="103"/>
      <c r="H2005" s="240">
        <f ca="1">SUMIF(Tabella2[[#Headers],[#Data],[Age]],$H$76,Tabella2[[#Headers],[#Data],[Federal taxes]])</f>
        <v>6804.3246087429152</v>
      </c>
      <c r="I2005" s="240">
        <f ca="1">SUMIF(Tabella13[Age],$H$76,Tabella13[VS Canton])*Tabella8[[#This Row],[Colonna3]]/100</f>
        <v>19761.330201639033</v>
      </c>
      <c r="J2005" s="240">
        <f ca="1">Tabella8[[#This Row],[Colonna7]]*Tabella8[[#This Row],[Colonna4]]/100</f>
        <v>25689.729262130746</v>
      </c>
    </row>
    <row r="2006" spans="2:10">
      <c r="B2006" s="92" t="s">
        <v>159</v>
      </c>
      <c r="C2006" s="91" t="s">
        <v>973</v>
      </c>
      <c r="D2006" s="93">
        <v>100</v>
      </c>
      <c r="E2006" s="93">
        <v>100</v>
      </c>
      <c r="F2006" s="103">
        <f>IFERROR(INDEX(Tabella9[PLZ],MATCH(Tabella8[[#This Row],[Colonna2]],Tabella9[Ortschaftsname],0)), "Name not found")</f>
        <v>3947</v>
      </c>
      <c r="G2006" s="103"/>
      <c r="H2006" s="240">
        <f ca="1">SUMIF(Tabella2[[#Headers],[#Data],[Age]],$H$76,Tabella2[[#Headers],[#Data],[Federal taxes]])</f>
        <v>6804.3246087429152</v>
      </c>
      <c r="I2006" s="240">
        <f ca="1">SUMIF(Tabella13[Age],$H$76,Tabella13[VS Canton])*Tabella8[[#This Row],[Colonna3]]/100</f>
        <v>19761.330201639033</v>
      </c>
      <c r="J2006" s="240">
        <f ca="1">Tabella8[[#This Row],[Colonna7]]*Tabella8[[#This Row],[Colonna4]]/100</f>
        <v>19761.330201639033</v>
      </c>
    </row>
    <row r="2007" spans="2:10">
      <c r="B2007" s="92" t="s">
        <v>159</v>
      </c>
      <c r="C2007" s="91" t="s">
        <v>949</v>
      </c>
      <c r="D2007" s="93">
        <v>100</v>
      </c>
      <c r="E2007" s="93">
        <v>110</v>
      </c>
      <c r="F2007" s="103">
        <f>IFERROR(INDEX(Tabella9[PLZ],MATCH(Tabella8[[#This Row],[Colonna2]],Tabella9[Ortschaftsname],0)), "Name not found")</f>
        <v>3995</v>
      </c>
      <c r="G2007" s="103"/>
      <c r="H2007" s="240">
        <f ca="1">SUMIF(Tabella2[[#Headers],[#Data],[Age]],$H$76,Tabella2[[#Headers],[#Data],[Federal taxes]])</f>
        <v>6804.3246087429152</v>
      </c>
      <c r="I2007" s="240">
        <f ca="1">SUMIF(Tabella13[Age],$H$76,Tabella13[VS Canton])*Tabella8[[#This Row],[Colonna3]]/100</f>
        <v>19761.330201639033</v>
      </c>
      <c r="J2007" s="240">
        <f ca="1">Tabella8[[#This Row],[Colonna7]]*Tabella8[[#This Row],[Colonna4]]/100</f>
        <v>21737.463221802936</v>
      </c>
    </row>
    <row r="2008" spans="2:10">
      <c r="B2008" s="92" t="s">
        <v>159</v>
      </c>
      <c r="C2008" s="91" t="s">
        <v>918</v>
      </c>
      <c r="D2008" s="93">
        <v>100</v>
      </c>
      <c r="E2008" s="93">
        <v>130</v>
      </c>
      <c r="F2008" s="103">
        <f>IFERROR(INDEX(Tabella9[PLZ],MATCH(Tabella8[[#This Row],[Colonna2]],Tabella9[Ortschaftsname],0)), "Name not found")</f>
        <v>1902</v>
      </c>
      <c r="G2008" s="103"/>
      <c r="H2008" s="240">
        <f ca="1">SUMIF(Tabella2[[#Headers],[#Data],[Age]],$H$76,Tabella2[[#Headers],[#Data],[Federal taxes]])</f>
        <v>6804.3246087429152</v>
      </c>
      <c r="I2008" s="240">
        <f ca="1">SUMIF(Tabella13[Age],$H$76,Tabella13[VS Canton])*Tabella8[[#This Row],[Colonna3]]/100</f>
        <v>19761.330201639033</v>
      </c>
      <c r="J2008" s="240">
        <f ca="1">Tabella8[[#This Row],[Colonna7]]*Tabella8[[#This Row],[Colonna4]]/100</f>
        <v>25689.729262130746</v>
      </c>
    </row>
    <row r="2009" spans="2:10">
      <c r="B2009" s="92" t="s">
        <v>159</v>
      </c>
      <c r="C2009" s="91" t="s">
        <v>903</v>
      </c>
      <c r="D2009" s="93">
        <v>100</v>
      </c>
      <c r="E2009" s="93">
        <v>125</v>
      </c>
      <c r="F2009" s="103">
        <f>IFERROR(INDEX(Tabella9[PLZ],MATCH(Tabella8[[#This Row],[Colonna2]],Tabella9[Ortschaftsname],0)), "Name not found")</f>
        <v>1983</v>
      </c>
      <c r="G2009" s="103"/>
      <c r="H2009" s="240">
        <f ca="1">SUMIF(Tabella2[[#Headers],[#Data],[Age]],$H$76,Tabella2[[#Headers],[#Data],[Federal taxes]])</f>
        <v>6804.3246087429152</v>
      </c>
      <c r="I2009" s="240">
        <f ca="1">SUMIF(Tabella13[Age],$H$76,Tabella13[VS Canton])*Tabella8[[#This Row],[Colonna3]]/100</f>
        <v>19761.330201639033</v>
      </c>
      <c r="J2009" s="240">
        <f ca="1">Tabella8[[#This Row],[Colonna7]]*Tabella8[[#This Row],[Colonna4]]/100</f>
        <v>24701.662752048793</v>
      </c>
    </row>
    <row r="2010" spans="2:10">
      <c r="B2010" s="92" t="s">
        <v>159</v>
      </c>
      <c r="C2010" s="91" t="s">
        <v>970</v>
      </c>
      <c r="D2010" s="93">
        <v>100</v>
      </c>
      <c r="E2010" s="93">
        <v>140</v>
      </c>
      <c r="F2010" s="103">
        <f>IFERROR(INDEX(Tabella9[PLZ],MATCH(Tabella8[[#This Row],[Colonna2]],Tabella9[Ortschaftsname],0)), "Name not found")</f>
        <v>3916</v>
      </c>
      <c r="G2010" s="103"/>
      <c r="H2010" s="240">
        <f ca="1">SUMIF(Tabella2[[#Headers],[#Data],[Age]],$H$76,Tabella2[[#Headers],[#Data],[Federal taxes]])</f>
        <v>6804.3246087429152</v>
      </c>
      <c r="I2010" s="240">
        <f ca="1">SUMIF(Tabella13[Age],$H$76,Tabella13[VS Canton])*Tabella8[[#This Row],[Colonna3]]/100</f>
        <v>19761.330201639033</v>
      </c>
      <c r="J2010" s="240">
        <f ca="1">Tabella8[[#This Row],[Colonna7]]*Tabella8[[#This Row],[Colonna4]]/100</f>
        <v>27665.862282294645</v>
      </c>
    </row>
    <row r="2011" spans="2:10">
      <c r="B2011" s="92" t="s">
        <v>159</v>
      </c>
      <c r="C2011" s="91" t="s">
        <v>929</v>
      </c>
      <c r="D2011" s="93">
        <v>100</v>
      </c>
      <c r="E2011" s="93">
        <v>115</v>
      </c>
      <c r="F2011" s="103">
        <f>IFERROR(INDEX(Tabella9[PLZ],MATCH(Tabella8[[#This Row],[Colonna2]],Tabella9[Ortschaftsname],0)), "Name not found")</f>
        <v>3984</v>
      </c>
      <c r="G2011" s="103"/>
      <c r="H2011" s="240">
        <f ca="1">SUMIF(Tabella2[[#Headers],[#Data],[Age]],$H$76,Tabella2[[#Headers],[#Data],[Federal taxes]])</f>
        <v>6804.3246087429152</v>
      </c>
      <c r="I2011" s="240">
        <f ca="1">SUMIF(Tabella13[Age],$H$76,Tabella13[VS Canton])*Tabella8[[#This Row],[Colonna3]]/100</f>
        <v>19761.330201639033</v>
      </c>
      <c r="J2011" s="240">
        <f ca="1">Tabella8[[#This Row],[Colonna7]]*Tabella8[[#This Row],[Colonna4]]/100</f>
        <v>22725.529731884886</v>
      </c>
    </row>
    <row r="2012" spans="2:10">
      <c r="B2012" s="92" t="s">
        <v>159</v>
      </c>
      <c r="C2012" s="91" t="s">
        <v>963</v>
      </c>
      <c r="D2012" s="93">
        <v>100</v>
      </c>
      <c r="E2012" s="93">
        <v>110</v>
      </c>
      <c r="F2012" s="103">
        <f>IFERROR(INDEX(Tabella9[PLZ],MATCH(Tabella8[[#This Row],[Colonna2]],Tabella9[Ortschaftsname],0)), "Name not found")</f>
        <v>3984</v>
      </c>
      <c r="G2012" s="103"/>
      <c r="H2012" s="240">
        <f ca="1">SUMIF(Tabella2[[#Headers],[#Data],[Age]],$H$76,Tabella2[[#Headers],[#Data],[Federal taxes]])</f>
        <v>6804.3246087429152</v>
      </c>
      <c r="I2012" s="240">
        <f ca="1">SUMIF(Tabella13[Age],$H$76,Tabella13[VS Canton])*Tabella8[[#This Row],[Colonna3]]/100</f>
        <v>19761.330201639033</v>
      </c>
      <c r="J2012" s="240">
        <f ca="1">Tabella8[[#This Row],[Colonna7]]*Tabella8[[#This Row],[Colonna4]]/100</f>
        <v>21737.463221802936</v>
      </c>
    </row>
    <row r="2013" spans="2:10">
      <c r="B2013" s="92" t="s">
        <v>159</v>
      </c>
      <c r="C2013" s="91" t="s">
        <v>959</v>
      </c>
      <c r="D2013" s="93">
        <v>100</v>
      </c>
      <c r="E2013" s="93">
        <v>100</v>
      </c>
      <c r="F2013" s="103">
        <f>IFERROR(INDEX(Tabella9[PLZ],MATCH(Tabella8[[#This Row],[Colonna2]],Tabella9[Ortschaftsname],0)), "Name not found")</f>
        <v>1925</v>
      </c>
      <c r="G2013" s="103"/>
      <c r="H2013" s="240">
        <f ca="1">SUMIF(Tabella2[[#Headers],[#Data],[Age]],$H$76,Tabella2[[#Headers],[#Data],[Federal taxes]])</f>
        <v>6804.3246087429152</v>
      </c>
      <c r="I2013" s="240">
        <f ca="1">SUMIF(Tabella13[Age],$H$76,Tabella13[VS Canton])*Tabella8[[#This Row],[Colonna3]]/100</f>
        <v>19761.330201639033</v>
      </c>
      <c r="J2013" s="240">
        <f ca="1">Tabella8[[#This Row],[Colonna7]]*Tabella8[[#This Row],[Colonna4]]/100</f>
        <v>19761.330201639033</v>
      </c>
    </row>
    <row r="2014" spans="2:10">
      <c r="B2014" s="92" t="s">
        <v>159</v>
      </c>
      <c r="C2014" s="91" t="s">
        <v>863</v>
      </c>
      <c r="D2014" s="93">
        <v>100</v>
      </c>
      <c r="E2014" s="93">
        <v>125</v>
      </c>
      <c r="F2014" s="103">
        <f>IFERROR(INDEX(Tabella9[PLZ],MATCH(Tabella8[[#This Row],[Colonna2]],Tabella9[Ortschaftsname],0)), "Name not found")</f>
        <v>1926</v>
      </c>
      <c r="G2014" s="103"/>
      <c r="H2014" s="240">
        <f ca="1">SUMIF(Tabella2[[#Headers],[#Data],[Age]],$H$76,Tabella2[[#Headers],[#Data],[Federal taxes]])</f>
        <v>6804.3246087429152</v>
      </c>
      <c r="I2014" s="240">
        <f ca="1">SUMIF(Tabella13[Age],$H$76,Tabella13[VS Canton])*Tabella8[[#This Row],[Colonna3]]/100</f>
        <v>19761.330201639033</v>
      </c>
      <c r="J2014" s="240">
        <f ca="1">Tabella8[[#This Row],[Colonna7]]*Tabella8[[#This Row],[Colonna4]]/100</f>
        <v>24701.662752048793</v>
      </c>
    </row>
    <row r="2015" spans="2:10">
      <c r="B2015" s="92" t="s">
        <v>159</v>
      </c>
      <c r="C2015" s="91" t="s">
        <v>895</v>
      </c>
      <c r="D2015" s="93">
        <v>100</v>
      </c>
      <c r="E2015" s="93">
        <v>130</v>
      </c>
      <c r="F2015" s="103">
        <v>3945</v>
      </c>
      <c r="G2015" s="103"/>
      <c r="H2015" s="240">
        <f ca="1">SUMIF(Tabella2[[#Headers],[#Data],[Age]],$H$76,Tabella2[[#Headers],[#Data],[Federal taxes]])</f>
        <v>6804.3246087429152</v>
      </c>
      <c r="I2015" s="240">
        <f ca="1">SUMIF(Tabella13[Age],$H$76,Tabella13[VS Canton])*Tabella8[[#This Row],[Colonna3]]/100</f>
        <v>19761.330201639033</v>
      </c>
      <c r="J2015" s="240">
        <f ca="1">Tabella8[[#This Row],[Colonna7]]*Tabella8[[#This Row],[Colonna4]]/100</f>
        <v>25689.729262130746</v>
      </c>
    </row>
    <row r="2016" spans="2:10">
      <c r="B2016" s="92" t="s">
        <v>159</v>
      </c>
      <c r="C2016" s="91" t="s">
        <v>920</v>
      </c>
      <c r="D2016" s="93">
        <v>100</v>
      </c>
      <c r="E2016" s="93">
        <v>110</v>
      </c>
      <c r="F2016" s="103">
        <v>3995</v>
      </c>
      <c r="G2016" s="103"/>
      <c r="H2016" s="240">
        <f ca="1">SUMIF(Tabella2[[#Headers],[#Data],[Age]],$H$76,Tabella2[[#Headers],[#Data],[Federal taxes]])</f>
        <v>6804.3246087429152</v>
      </c>
      <c r="I2016" s="240">
        <f ca="1">SUMIF(Tabella13[Age],$H$76,Tabella13[VS Canton])*Tabella8[[#This Row],[Colonna3]]/100</f>
        <v>19761.330201639033</v>
      </c>
      <c r="J2016" s="240">
        <f ca="1">Tabella8[[#This Row],[Colonna7]]*Tabella8[[#This Row],[Colonna4]]/100</f>
        <v>21737.463221802936</v>
      </c>
    </row>
    <row r="2017" spans="2:10">
      <c r="B2017" s="92" t="s">
        <v>159</v>
      </c>
      <c r="C2017" s="91" t="s">
        <v>955</v>
      </c>
      <c r="D2017" s="93">
        <v>100</v>
      </c>
      <c r="E2017" s="93">
        <v>115</v>
      </c>
      <c r="F2017" s="103">
        <f>IFERROR(INDEX(Tabella9[PLZ],MATCH(Tabella8[[#This Row],[Colonna2]],Tabella9[Ortschaftsname],0)), "Name not found")</f>
        <v>3993</v>
      </c>
      <c r="G2017" s="103"/>
      <c r="H2017" s="240">
        <f ca="1">SUMIF(Tabella2[[#Headers],[#Data],[Age]],$H$76,Tabella2[[#Headers],[#Data],[Federal taxes]])</f>
        <v>6804.3246087429152</v>
      </c>
      <c r="I2017" s="240">
        <f ca="1">SUMIF(Tabella13[Age],$H$76,Tabella13[VS Canton])*Tabella8[[#This Row],[Colonna3]]/100</f>
        <v>19761.330201639033</v>
      </c>
      <c r="J2017" s="240">
        <f ca="1">Tabella8[[#This Row],[Colonna7]]*Tabella8[[#This Row],[Colonna4]]/100</f>
        <v>22725.529731884886</v>
      </c>
    </row>
    <row r="2018" spans="2:10">
      <c r="B2018" s="92" t="s">
        <v>159</v>
      </c>
      <c r="C2018" s="91" t="s">
        <v>881</v>
      </c>
      <c r="D2018" s="93">
        <v>100</v>
      </c>
      <c r="E2018" s="93">
        <v>125</v>
      </c>
      <c r="F2018" s="103">
        <f>IFERROR(INDEX(Tabella9[PLZ],MATCH(Tabella8[[#This Row],[Colonna2]],Tabella9[Ortschaftsname],0)), "Name not found")</f>
        <v>1971</v>
      </c>
      <c r="G2018" s="103"/>
      <c r="H2018" s="240">
        <f ca="1">SUMIF(Tabella2[[#Headers],[#Data],[Age]],$H$76,Tabella2[[#Headers],[#Data],[Federal taxes]])</f>
        <v>6804.3246087429152</v>
      </c>
      <c r="I2018" s="240">
        <f ca="1">SUMIF(Tabella13[Age],$H$76,Tabella13[VS Canton])*Tabella8[[#This Row],[Colonna3]]/100</f>
        <v>19761.330201639033</v>
      </c>
      <c r="J2018" s="240">
        <f ca="1">Tabella8[[#This Row],[Colonna7]]*Tabella8[[#This Row],[Colonna4]]/100</f>
        <v>24701.662752048793</v>
      </c>
    </row>
    <row r="2019" spans="2:10">
      <c r="B2019" s="92" t="s">
        <v>159</v>
      </c>
      <c r="C2019" s="91" t="s">
        <v>916</v>
      </c>
      <c r="D2019" s="93">
        <v>100</v>
      </c>
      <c r="E2019" s="93">
        <v>130</v>
      </c>
      <c r="F2019" s="103">
        <f>IFERROR(INDEX(Tabella9[PLZ],MATCH(Tabella8[[#This Row],[Colonna2]],Tabella9[Ortschaftsname],0)), "Name not found")</f>
        <v>3925</v>
      </c>
      <c r="G2019" s="103"/>
      <c r="H2019" s="240">
        <f ca="1">SUMIF(Tabella2[[#Headers],[#Data],[Age]],$H$76,Tabella2[[#Headers],[#Data],[Federal taxes]])</f>
        <v>6804.3246087429152</v>
      </c>
      <c r="I2019" s="240">
        <f ca="1">SUMIF(Tabella13[Age],$H$76,Tabella13[VS Canton])*Tabella8[[#This Row],[Colonna3]]/100</f>
        <v>19761.330201639033</v>
      </c>
      <c r="J2019" s="240">
        <f ca="1">Tabella8[[#This Row],[Colonna7]]*Tabella8[[#This Row],[Colonna4]]/100</f>
        <v>25689.729262130746</v>
      </c>
    </row>
    <row r="2020" spans="2:10">
      <c r="B2020" s="92" t="s">
        <v>159</v>
      </c>
      <c r="C2020" s="91" t="s">
        <v>889</v>
      </c>
      <c r="D2020" s="93">
        <v>100</v>
      </c>
      <c r="E2020" s="93">
        <v>125</v>
      </c>
      <c r="F2020" s="103">
        <f>IFERROR(INDEX(Tabella9[PLZ],MATCH(Tabella8[[#This Row],[Colonna2]],Tabella9[Ortschaftsname],0)), "Name not found")</f>
        <v>3979</v>
      </c>
      <c r="G2020" s="103"/>
      <c r="H2020" s="240">
        <f ca="1">SUMIF(Tabella2[[#Headers],[#Data],[Age]],$H$76,Tabella2[[#Headers],[#Data],[Federal taxes]])</f>
        <v>6804.3246087429152</v>
      </c>
      <c r="I2020" s="240">
        <f ca="1">SUMIF(Tabella13[Age],$H$76,Tabella13[VS Canton])*Tabella8[[#This Row],[Colonna3]]/100</f>
        <v>19761.330201639033</v>
      </c>
      <c r="J2020" s="240">
        <f ca="1">Tabella8[[#This Row],[Colonna7]]*Tabella8[[#This Row],[Colonna4]]/100</f>
        <v>24701.662752048793</v>
      </c>
    </row>
    <row r="2021" spans="2:10">
      <c r="B2021" s="92" t="s">
        <v>159</v>
      </c>
      <c r="C2021" s="91" t="s">
        <v>957</v>
      </c>
      <c r="D2021" s="93">
        <v>100</v>
      </c>
      <c r="E2021" s="93">
        <v>130</v>
      </c>
      <c r="F2021" s="103">
        <f>IFERROR(INDEX(Tabella9[PLZ],MATCH(Tabella8[[#This Row],[Colonna2]],Tabella9[Ortschaftsname],0)), "Name not found")</f>
        <v>3956</v>
      </c>
      <c r="G2021" s="103"/>
      <c r="H2021" s="240">
        <f ca="1">SUMIF(Tabella2[[#Headers],[#Data],[Age]],$H$76,Tabella2[[#Headers],[#Data],[Federal taxes]])</f>
        <v>6804.3246087429152</v>
      </c>
      <c r="I2021" s="240">
        <f ca="1">SUMIF(Tabella13[Age],$H$76,Tabella13[VS Canton])*Tabella8[[#This Row],[Colonna3]]/100</f>
        <v>19761.330201639033</v>
      </c>
      <c r="J2021" s="240">
        <f ca="1">Tabella8[[#This Row],[Colonna7]]*Tabella8[[#This Row],[Colonna4]]/100</f>
        <v>25689.729262130746</v>
      </c>
    </row>
    <row r="2022" spans="2:10">
      <c r="B2022" s="92" t="s">
        <v>159</v>
      </c>
      <c r="C2022" s="91" t="s">
        <v>909</v>
      </c>
      <c r="D2022" s="93">
        <v>100</v>
      </c>
      <c r="E2022" s="93">
        <v>100</v>
      </c>
      <c r="F2022" s="103">
        <f>IFERROR(INDEX(Tabella9[PLZ],MATCH(Tabella8[[#This Row],[Colonna2]],Tabella9[Ortschaftsname],0)), "Name not found")</f>
        <v>1987</v>
      </c>
      <c r="G2022" s="103"/>
      <c r="H2022" s="240">
        <f ca="1">SUMIF(Tabella2[[#Headers],[#Data],[Age]],$H$76,Tabella2[[#Headers],[#Data],[Federal taxes]])</f>
        <v>6804.3246087429152</v>
      </c>
      <c r="I2022" s="240">
        <f ca="1">SUMIF(Tabella13[Age],$H$76,Tabella13[VS Canton])*Tabella8[[#This Row],[Colonna3]]/100</f>
        <v>19761.330201639033</v>
      </c>
      <c r="J2022" s="240">
        <f ca="1">Tabella8[[#This Row],[Colonna7]]*Tabella8[[#This Row],[Colonna4]]/100</f>
        <v>19761.330201639033</v>
      </c>
    </row>
    <row r="2023" spans="2:10">
      <c r="B2023" s="92" t="s">
        <v>159</v>
      </c>
      <c r="C2023" s="91" t="s">
        <v>947</v>
      </c>
      <c r="D2023" s="93">
        <v>100</v>
      </c>
      <c r="E2023" s="93">
        <v>120</v>
      </c>
      <c r="F2023" s="103">
        <f>IFERROR(INDEX(Tabella9[PLZ],MATCH(Tabella8[[#This Row],[Colonna2]],Tabella9[Ortschaftsname],0)), "Name not found")</f>
        <v>1977</v>
      </c>
      <c r="G2023" s="103"/>
      <c r="H2023" s="240">
        <f ca="1">SUMIF(Tabella2[[#Headers],[#Data],[Age]],$H$76,Tabella2[[#Headers],[#Data],[Federal taxes]])</f>
        <v>6804.3246087429152</v>
      </c>
      <c r="I2023" s="240">
        <f ca="1">SUMIF(Tabella13[Age],$H$76,Tabella13[VS Canton])*Tabella8[[#This Row],[Colonna3]]/100</f>
        <v>19761.330201639033</v>
      </c>
      <c r="J2023" s="240">
        <f ca="1">Tabella8[[#This Row],[Colonna7]]*Tabella8[[#This Row],[Colonna4]]/100</f>
        <v>23713.596241966839</v>
      </c>
    </row>
    <row r="2024" spans="2:10">
      <c r="B2024" s="92" t="s">
        <v>159</v>
      </c>
      <c r="C2024" s="91" t="s">
        <v>978</v>
      </c>
      <c r="D2024" s="93">
        <v>100</v>
      </c>
      <c r="E2024" s="93">
        <v>110</v>
      </c>
      <c r="F2024" s="103">
        <f>IFERROR(INDEX(Tabella9[PLZ],MATCH(Tabella8[[#This Row],[Colonna2]],Tabella9[Ortschaftsname],0)), "Name not found")</f>
        <v>3953</v>
      </c>
      <c r="G2024" s="103"/>
      <c r="H2024" s="240">
        <f ca="1">SUMIF(Tabella2[[#Headers],[#Data],[Age]],$H$76,Tabella2[[#Headers],[#Data],[Federal taxes]])</f>
        <v>6804.3246087429152</v>
      </c>
      <c r="I2024" s="240">
        <f ca="1">SUMIF(Tabella13[Age],$H$76,Tabella13[VS Canton])*Tabella8[[#This Row],[Colonna3]]/100</f>
        <v>19761.330201639033</v>
      </c>
      <c r="J2024" s="240">
        <f ca="1">Tabella8[[#This Row],[Colonna7]]*Tabella8[[#This Row],[Colonna4]]/100</f>
        <v>21737.463221802936</v>
      </c>
    </row>
    <row r="2025" spans="2:10">
      <c r="B2025" s="92" t="s">
        <v>159</v>
      </c>
      <c r="C2025" s="91" t="s">
        <v>933</v>
      </c>
      <c r="D2025" s="93">
        <v>100</v>
      </c>
      <c r="E2025" s="93">
        <v>135</v>
      </c>
      <c r="F2025" s="103">
        <f>IFERROR(INDEX(Tabella9[PLZ],MATCH(Tabella8[[#This Row],[Colonna2]],Tabella9[Ortschaftsname],0)), "Name not found")</f>
        <v>1914</v>
      </c>
      <c r="G2025" s="103"/>
      <c r="H2025" s="240">
        <f ca="1">SUMIF(Tabella2[[#Headers],[#Data],[Age]],$H$76,Tabella2[[#Headers],[#Data],[Federal taxes]])</f>
        <v>6804.3246087429152</v>
      </c>
      <c r="I2025" s="240">
        <f ca="1">SUMIF(Tabella13[Age],$H$76,Tabella13[VS Canton])*Tabella8[[#This Row],[Colonna3]]/100</f>
        <v>19761.330201639033</v>
      </c>
      <c r="J2025" s="240">
        <f ca="1">Tabella8[[#This Row],[Colonna7]]*Tabella8[[#This Row],[Colonna4]]/100</f>
        <v>26677.795772212696</v>
      </c>
    </row>
    <row r="2026" spans="2:10">
      <c r="B2026" s="92" t="s">
        <v>159</v>
      </c>
      <c r="C2026" s="91" t="s">
        <v>964</v>
      </c>
      <c r="D2026" s="93">
        <v>100</v>
      </c>
      <c r="E2026" s="93">
        <v>140</v>
      </c>
      <c r="F2026" s="103">
        <f>IFERROR(INDEX(Tabella9[PLZ],MATCH(Tabella8[[#This Row],[Colonna2]],Tabella9[Ortschaftsname],0)), "Name not found")</f>
        <v>3917</v>
      </c>
      <c r="G2026" s="103"/>
      <c r="H2026" s="240">
        <f ca="1">SUMIF(Tabella2[[#Headers],[#Data],[Age]],$H$76,Tabella2[[#Headers],[#Data],[Federal taxes]])</f>
        <v>6804.3246087429152</v>
      </c>
      <c r="I2026" s="240">
        <f ca="1">SUMIF(Tabella13[Age],$H$76,Tabella13[VS Canton])*Tabella8[[#This Row],[Colonna3]]/100</f>
        <v>19761.330201639033</v>
      </c>
      <c r="J2026" s="240">
        <f ca="1">Tabella8[[#This Row],[Colonna7]]*Tabella8[[#This Row],[Colonna4]]/100</f>
        <v>27665.862282294645</v>
      </c>
    </row>
    <row r="2027" spans="2:10">
      <c r="B2027" s="92" t="s">
        <v>159</v>
      </c>
      <c r="C2027" s="91" t="s">
        <v>941</v>
      </c>
      <c r="D2027" s="93">
        <v>100</v>
      </c>
      <c r="E2027" s="93">
        <v>120</v>
      </c>
      <c r="F2027" s="103">
        <f>IFERROR(INDEX(Tabella9[PLZ],MATCH(Tabella8[[#This Row],[Colonna2]],Tabella9[Ortschaftsname],0)), "Name not found")</f>
        <v>3931</v>
      </c>
      <c r="G2027" s="103"/>
      <c r="H2027" s="240">
        <f ca="1">SUMIF(Tabella2[[#Headers],[#Data],[Age]],$H$76,Tabella2[[#Headers],[#Data],[Federal taxes]])</f>
        <v>6804.3246087429152</v>
      </c>
      <c r="I2027" s="240">
        <f ca="1">SUMIF(Tabella13[Age],$H$76,Tabella13[VS Canton])*Tabella8[[#This Row],[Colonna3]]/100</f>
        <v>19761.330201639033</v>
      </c>
      <c r="J2027" s="240">
        <f ca="1">Tabella8[[#This Row],[Colonna7]]*Tabella8[[#This Row],[Colonna4]]/100</f>
        <v>23713.596241966839</v>
      </c>
    </row>
    <row r="2028" spans="2:10">
      <c r="B2028" s="92" t="s">
        <v>159</v>
      </c>
      <c r="C2028" s="91" t="s">
        <v>965</v>
      </c>
      <c r="D2028" s="93">
        <v>100</v>
      </c>
      <c r="E2028" s="93">
        <v>140</v>
      </c>
      <c r="F2028" s="103">
        <f>IFERROR(INDEX(Tabella9[PLZ],MATCH(Tabella8[[#This Row],[Colonna2]],Tabella9[Ortschaftsname],0)), "Name not found")</f>
        <v>3994</v>
      </c>
      <c r="G2028" s="103"/>
      <c r="H2028" s="240">
        <f ca="1">SUMIF(Tabella2[[#Headers],[#Data],[Age]],$H$76,Tabella2[[#Headers],[#Data],[Federal taxes]])</f>
        <v>6804.3246087429152</v>
      </c>
      <c r="I2028" s="240">
        <f ca="1">SUMIF(Tabella13[Age],$H$76,Tabella13[VS Canton])*Tabella8[[#This Row],[Colonna3]]/100</f>
        <v>19761.330201639033</v>
      </c>
      <c r="J2028" s="240">
        <f ca="1">Tabella8[[#This Row],[Colonna7]]*Tabella8[[#This Row],[Colonna4]]/100</f>
        <v>27665.862282294645</v>
      </c>
    </row>
    <row r="2029" spans="2:10">
      <c r="B2029" s="92" t="s">
        <v>159</v>
      </c>
      <c r="C2029" s="91" t="s">
        <v>874</v>
      </c>
      <c r="D2029" s="93">
        <v>100</v>
      </c>
      <c r="E2029" s="93">
        <v>105</v>
      </c>
      <c r="F2029" s="103">
        <f>IFERROR(INDEX(Tabella9[PLZ],MATCH(Tabella8[[#This Row],[Colonna2]],Tabella9[Ortschaftsname],0)), "Name not found")</f>
        <v>1978</v>
      </c>
      <c r="G2029" s="103"/>
      <c r="H2029" s="240">
        <f ca="1">SUMIF(Tabella2[[#Headers],[#Data],[Age]],$H$76,Tabella2[[#Headers],[#Data],[Federal taxes]])</f>
        <v>6804.3246087429152</v>
      </c>
      <c r="I2029" s="240">
        <f ca="1">SUMIF(Tabella13[Age],$H$76,Tabella13[VS Canton])*Tabella8[[#This Row],[Colonna3]]/100</f>
        <v>19761.330201639033</v>
      </c>
      <c r="J2029" s="240">
        <f ca="1">Tabella8[[#This Row],[Colonna7]]*Tabella8[[#This Row],[Colonna4]]/100</f>
        <v>20749.396711720983</v>
      </c>
    </row>
    <row r="2030" spans="2:10">
      <c r="B2030" s="92" t="s">
        <v>159</v>
      </c>
      <c r="C2030" s="91" t="s">
        <v>878</v>
      </c>
      <c r="D2030" s="93">
        <v>100</v>
      </c>
      <c r="E2030" s="93">
        <v>130</v>
      </c>
      <c r="F2030" s="103">
        <v>3953</v>
      </c>
      <c r="G2030" s="103"/>
      <c r="H2030" s="240">
        <f ca="1">SUMIF(Tabella2[[#Headers],[#Data],[Age]],$H$76,Tabella2[[#Headers],[#Data],[Federal taxes]])</f>
        <v>6804.3246087429152</v>
      </c>
      <c r="I2030" s="240">
        <f ca="1">SUMIF(Tabella13[Age],$H$76,Tabella13[VS Canton])*Tabella8[[#This Row],[Colonna3]]/100</f>
        <v>19761.330201639033</v>
      </c>
      <c r="J2030" s="240">
        <f ca="1">Tabella8[[#This Row],[Colonna7]]*Tabella8[[#This Row],[Colonna4]]/100</f>
        <v>25689.729262130746</v>
      </c>
    </row>
    <row r="2031" spans="2:10">
      <c r="B2031" s="92" t="s">
        <v>159</v>
      </c>
      <c r="C2031" s="91" t="s">
        <v>908</v>
      </c>
      <c r="D2031" s="93">
        <v>100</v>
      </c>
      <c r="E2031" s="93">
        <v>145</v>
      </c>
      <c r="F2031" s="103">
        <f>IFERROR(INDEX(Tabella9[PLZ],MATCH(Tabella8[[#This Row],[Colonna2]],Tabella9[Ortschaftsname],0)), "Name not found")</f>
        <v>3954</v>
      </c>
      <c r="G2031" s="103"/>
      <c r="H2031" s="240">
        <f ca="1">SUMIF(Tabella2[[#Headers],[#Data],[Age]],$H$76,Tabella2[[#Headers],[#Data],[Federal taxes]])</f>
        <v>6804.3246087429152</v>
      </c>
      <c r="I2031" s="240">
        <f ca="1">SUMIF(Tabella13[Age],$H$76,Tabella13[VS Canton])*Tabella8[[#This Row],[Colonna3]]/100</f>
        <v>19761.330201639033</v>
      </c>
      <c r="J2031" s="240">
        <f ca="1">Tabella8[[#This Row],[Colonna7]]*Tabella8[[#This Row],[Colonna4]]/100</f>
        <v>28653.928792376599</v>
      </c>
    </row>
    <row r="2032" spans="2:10">
      <c r="B2032" s="92" t="s">
        <v>159</v>
      </c>
      <c r="C2032" s="91" t="s">
        <v>883</v>
      </c>
      <c r="D2032" s="93">
        <v>100</v>
      </c>
      <c r="E2032" s="93">
        <v>120</v>
      </c>
      <c r="F2032" s="103">
        <f>IFERROR(INDEX(Tabella9[PLZ],MATCH(Tabella8[[#This Row],[Colonna2]],Tabella9[Ortschaftsname],0)), "Name not found")</f>
        <v>1912</v>
      </c>
      <c r="G2032" s="103"/>
      <c r="H2032" s="240">
        <f ca="1">SUMIF(Tabella2[[#Headers],[#Data],[Age]],$H$76,Tabella2[[#Headers],[#Data],[Federal taxes]])</f>
        <v>6804.3246087429152</v>
      </c>
      <c r="I2032" s="240">
        <f ca="1">SUMIF(Tabella13[Age],$H$76,Tabella13[VS Canton])*Tabella8[[#This Row],[Colonna3]]/100</f>
        <v>19761.330201639033</v>
      </c>
      <c r="J2032" s="240">
        <f ca="1">Tabella8[[#This Row],[Colonna7]]*Tabella8[[#This Row],[Colonna4]]/100</f>
        <v>23713.596241966839</v>
      </c>
    </row>
    <row r="2033" spans="2:10">
      <c r="B2033" s="92" t="s">
        <v>159</v>
      </c>
      <c r="C2033" s="91" t="s">
        <v>935</v>
      </c>
      <c r="D2033" s="93">
        <v>100</v>
      </c>
      <c r="E2033" s="93">
        <v>125</v>
      </c>
      <c r="F2033" s="103">
        <f>IFERROR(INDEX(Tabella9[PLZ],MATCH(Tabella8[[#This Row],[Colonna2]],Tabella9[Ortschaftsname],0)), "Name not found")</f>
        <v>1945</v>
      </c>
      <c r="G2033" s="103"/>
      <c r="H2033" s="240">
        <f ca="1">SUMIF(Tabella2[[#Headers],[#Data],[Age]],$H$76,Tabella2[[#Headers],[#Data],[Federal taxes]])</f>
        <v>6804.3246087429152</v>
      </c>
      <c r="I2033" s="240">
        <f ca="1">SUMIF(Tabella13[Age],$H$76,Tabella13[VS Canton])*Tabella8[[#This Row],[Colonna3]]/100</f>
        <v>19761.330201639033</v>
      </c>
      <c r="J2033" s="240">
        <f ca="1">Tabella8[[#This Row],[Colonna7]]*Tabella8[[#This Row],[Colonna4]]/100</f>
        <v>24701.662752048793</v>
      </c>
    </row>
    <row r="2034" spans="2:10">
      <c r="B2034" s="92" t="s">
        <v>159</v>
      </c>
      <c r="C2034" s="91" t="s">
        <v>856</v>
      </c>
      <c r="D2034" s="93">
        <v>100</v>
      </c>
      <c r="E2034" s="93">
        <v>110</v>
      </c>
      <c r="F2034" s="103">
        <f>IFERROR(INDEX(Tabella9[PLZ],MATCH(Tabella8[[#This Row],[Colonna2]],Tabella9[Ortschaftsname],0)), "Name not found")</f>
        <v>1920</v>
      </c>
      <c r="G2034" s="103"/>
      <c r="H2034" s="240">
        <f ca="1">SUMIF(Tabella2[[#Headers],[#Data],[Age]],$H$76,Tabella2[[#Headers],[#Data],[Federal taxes]])</f>
        <v>6804.3246087429152</v>
      </c>
      <c r="I2034" s="240">
        <f ca="1">SUMIF(Tabella13[Age],$H$76,Tabella13[VS Canton])*Tabella8[[#This Row],[Colonna3]]/100</f>
        <v>19761.330201639033</v>
      </c>
      <c r="J2034" s="240">
        <f ca="1">Tabella8[[#This Row],[Colonna7]]*Tabella8[[#This Row],[Colonna4]]/100</f>
        <v>21737.463221802936</v>
      </c>
    </row>
    <row r="2035" spans="2:10">
      <c r="B2035" s="92" t="s">
        <v>159</v>
      </c>
      <c r="C2035" s="91" t="s">
        <v>891</v>
      </c>
      <c r="D2035" s="93">
        <v>100</v>
      </c>
      <c r="E2035" s="93">
        <v>110</v>
      </c>
      <c r="F2035" s="103">
        <v>1921</v>
      </c>
      <c r="G2035" s="103"/>
      <c r="H2035" s="240">
        <f ca="1">SUMIF(Tabella2[[#Headers],[#Data],[Age]],$H$76,Tabella2[[#Headers],[#Data],[Federal taxes]])</f>
        <v>6804.3246087429152</v>
      </c>
      <c r="I2035" s="240">
        <f ca="1">SUMIF(Tabella13[Age],$H$76,Tabella13[VS Canton])*Tabella8[[#This Row],[Colonna3]]/100</f>
        <v>19761.330201639033</v>
      </c>
      <c r="J2035" s="240">
        <f ca="1">Tabella8[[#This Row],[Colonna7]]*Tabella8[[#This Row],[Colonna4]]/100</f>
        <v>21737.463221802936</v>
      </c>
    </row>
    <row r="2036" spans="2:10">
      <c r="B2036" s="92" t="s">
        <v>159</v>
      </c>
      <c r="C2036" s="91" t="s">
        <v>901</v>
      </c>
      <c r="D2036" s="93">
        <v>100</v>
      </c>
      <c r="E2036" s="93">
        <v>120</v>
      </c>
      <c r="F2036" s="103">
        <f>IFERROR(INDEX(Tabella9[PLZ],MATCH(Tabella8[[#This Row],[Colonna2]],Tabella9[Ortschaftsname],0)), "Name not found")</f>
        <v>1869</v>
      </c>
      <c r="G2036" s="103"/>
      <c r="H2036" s="240">
        <f ca="1">SUMIF(Tabella2[[#Headers],[#Data],[Age]],$H$76,Tabella2[[#Headers],[#Data],[Federal taxes]])</f>
        <v>6804.3246087429152</v>
      </c>
      <c r="I2036" s="240">
        <f ca="1">SUMIF(Tabella13[Age],$H$76,Tabella13[VS Canton])*Tabella8[[#This Row],[Colonna3]]/100</f>
        <v>19761.330201639033</v>
      </c>
      <c r="J2036" s="240">
        <f ca="1">Tabella8[[#This Row],[Colonna7]]*Tabella8[[#This Row],[Colonna4]]/100</f>
        <v>23713.596241966839</v>
      </c>
    </row>
    <row r="2037" spans="2:10">
      <c r="B2037" s="92" t="s">
        <v>159</v>
      </c>
      <c r="C2037" s="91" t="s">
        <v>923</v>
      </c>
      <c r="D2037" s="93">
        <v>100</v>
      </c>
      <c r="E2037" s="93">
        <v>135</v>
      </c>
      <c r="F2037" s="103">
        <v>1973</v>
      </c>
      <c r="G2037" s="103"/>
      <c r="H2037" s="240">
        <f ca="1">SUMIF(Tabella2[[#Headers],[#Data],[Age]],$H$76,Tabella2[[#Headers],[#Data],[Federal taxes]])</f>
        <v>6804.3246087429152</v>
      </c>
      <c r="I2037" s="240">
        <f ca="1">SUMIF(Tabella13[Age],$H$76,Tabella13[VS Canton])*Tabella8[[#This Row],[Colonna3]]/100</f>
        <v>19761.330201639033</v>
      </c>
      <c r="J2037" s="240">
        <f ca="1">Tabella8[[#This Row],[Colonna7]]*Tabella8[[#This Row],[Colonna4]]/100</f>
        <v>26677.795772212696</v>
      </c>
    </row>
    <row r="2038" spans="2:10">
      <c r="B2038" s="92" t="s">
        <v>159</v>
      </c>
      <c r="C2038" s="91" t="s">
        <v>857</v>
      </c>
      <c r="D2038" s="93">
        <v>100</v>
      </c>
      <c r="E2038" s="93">
        <v>120</v>
      </c>
      <c r="F2038" s="103">
        <f>IFERROR(INDEX(Tabella9[PLZ],MATCH(Tabella8[[#This Row],[Colonna2]],Tabella9[Ortschaftsname],0)), "Name not found")</f>
        <v>1870</v>
      </c>
      <c r="G2038" s="103"/>
      <c r="H2038" s="240">
        <f ca="1">SUMIF(Tabella2[[#Headers],[#Data],[Age]],$H$76,Tabella2[[#Headers],[#Data],[Federal taxes]])</f>
        <v>6804.3246087429152</v>
      </c>
      <c r="I2038" s="240">
        <f ca="1">SUMIF(Tabella13[Age],$H$76,Tabella13[VS Canton])*Tabella8[[#This Row],[Colonna3]]/100</f>
        <v>19761.330201639033</v>
      </c>
      <c r="J2038" s="240">
        <f ca="1">Tabella8[[#This Row],[Colonna7]]*Tabella8[[#This Row],[Colonna4]]/100</f>
        <v>23713.596241966839</v>
      </c>
    </row>
    <row r="2039" spans="2:10">
      <c r="B2039" s="92" t="s">
        <v>159</v>
      </c>
      <c r="C2039" s="91" t="s">
        <v>940</v>
      </c>
      <c r="D2039" s="93">
        <v>100</v>
      </c>
      <c r="E2039" s="93">
        <v>115</v>
      </c>
      <c r="F2039" s="103">
        <v>3983</v>
      </c>
      <c r="G2039" s="103"/>
      <c r="H2039" s="240">
        <f ca="1">SUMIF(Tabella2[[#Headers],[#Data],[Age]],$H$76,Tabella2[[#Headers],[#Data],[Federal taxes]])</f>
        <v>6804.3246087429152</v>
      </c>
      <c r="I2039" s="240">
        <f ca="1">SUMIF(Tabella13[Age],$H$76,Tabella13[VS Canton])*Tabella8[[#This Row],[Colonna3]]/100</f>
        <v>19761.330201639033</v>
      </c>
      <c r="J2039" s="240">
        <f ca="1">Tabella8[[#This Row],[Colonna7]]*Tabella8[[#This Row],[Colonna4]]/100</f>
        <v>22725.529731884886</v>
      </c>
    </row>
    <row r="2040" spans="2:10">
      <c r="B2040" s="92" t="s">
        <v>159</v>
      </c>
      <c r="C2040" s="91" t="s">
        <v>861</v>
      </c>
      <c r="D2040" s="93">
        <v>100</v>
      </c>
      <c r="E2040" s="93">
        <v>110</v>
      </c>
      <c r="F2040" s="103">
        <f>IFERROR(INDEX(Tabella9[PLZ],MATCH(Tabella8[[#This Row],[Colonna2]],Tabella9[Ortschaftsname],0)), "Name not found")</f>
        <v>3904</v>
      </c>
      <c r="G2040" s="103"/>
      <c r="H2040" s="240">
        <f ca="1">SUMIF(Tabella2[[#Headers],[#Data],[Age]],$H$76,Tabella2[[#Headers],[#Data],[Federal taxes]])</f>
        <v>6804.3246087429152</v>
      </c>
      <c r="I2040" s="240">
        <f ca="1">SUMIF(Tabella13[Age],$H$76,Tabella13[VS Canton])*Tabella8[[#This Row],[Colonna3]]/100</f>
        <v>19761.330201639033</v>
      </c>
      <c r="J2040" s="240">
        <f ca="1">Tabella8[[#This Row],[Colonna7]]*Tabella8[[#This Row],[Colonna4]]/100</f>
        <v>21737.463221802936</v>
      </c>
    </row>
    <row r="2041" spans="2:10">
      <c r="B2041" s="92" t="s">
        <v>159</v>
      </c>
      <c r="C2041" s="91" t="s">
        <v>868</v>
      </c>
      <c r="D2041" s="93">
        <v>100</v>
      </c>
      <c r="E2041" s="93">
        <v>130</v>
      </c>
      <c r="F2041" s="103">
        <v>1993</v>
      </c>
      <c r="G2041" s="103"/>
      <c r="H2041" s="240">
        <f ca="1">SUMIF(Tabella2[[#Headers],[#Data],[Age]],$H$76,Tabella2[[#Headers],[#Data],[Federal taxes]])</f>
        <v>6804.3246087429152</v>
      </c>
      <c r="I2041" s="240">
        <f ca="1">SUMIF(Tabella13[Age],$H$76,Tabella13[VS Canton])*Tabella8[[#This Row],[Colonna3]]/100</f>
        <v>19761.330201639033</v>
      </c>
      <c r="J2041" s="240">
        <f ca="1">Tabella8[[#This Row],[Colonna7]]*Tabella8[[#This Row],[Colonna4]]/100</f>
        <v>25689.729262130746</v>
      </c>
    </row>
    <row r="2042" spans="2:10">
      <c r="B2042" s="92" t="s">
        <v>159</v>
      </c>
      <c r="C2042" s="91" t="s">
        <v>868</v>
      </c>
      <c r="D2042" s="93">
        <v>100</v>
      </c>
      <c r="E2042" s="93">
        <v>130</v>
      </c>
      <c r="F2042" s="103">
        <v>1994</v>
      </c>
      <c r="G2042" s="103"/>
      <c r="H2042" s="240">
        <f ca="1">SUMIF(Tabella2[[#Headers],[#Data],[Age]],$H$76,Tabella2[[#Headers],[#Data],[Federal taxes]])</f>
        <v>6804.3246087429152</v>
      </c>
      <c r="I2042" s="240">
        <f ca="1">SUMIF(Tabella13[Age],$H$76,Tabella13[VS Canton])*Tabella8[[#This Row],[Colonna3]]/100</f>
        <v>19761.330201639033</v>
      </c>
      <c r="J2042" s="240">
        <f ca="1">Tabella8[[#This Row],[Colonna7]]*Tabella8[[#This Row],[Colonna4]]/100</f>
        <v>25689.729262130746</v>
      </c>
    </row>
    <row r="2043" spans="2:10">
      <c r="B2043" s="92" t="s">
        <v>159</v>
      </c>
      <c r="C2043" s="91" t="s">
        <v>868</v>
      </c>
      <c r="D2043" s="93">
        <v>100</v>
      </c>
      <c r="E2043" s="93">
        <v>130</v>
      </c>
      <c r="F2043" s="103">
        <v>1996</v>
      </c>
      <c r="G2043" s="103"/>
      <c r="H2043" s="240">
        <f ca="1">SUMIF(Tabella2[[#Headers],[#Data],[Age]],$H$76,Tabella2[[#Headers],[#Data],[Federal taxes]])</f>
        <v>6804.3246087429152</v>
      </c>
      <c r="I2043" s="240">
        <f ca="1">SUMIF(Tabella13[Age],$H$76,Tabella13[VS Canton])*Tabella8[[#This Row],[Colonna3]]/100</f>
        <v>19761.330201639033</v>
      </c>
      <c r="J2043" s="240">
        <f ca="1">Tabella8[[#This Row],[Colonna7]]*Tabella8[[#This Row],[Colonna4]]/100</f>
        <v>25689.729262130746</v>
      </c>
    </row>
    <row r="2044" spans="2:10">
      <c r="B2044" s="92" t="s">
        <v>159</v>
      </c>
      <c r="C2044" s="91" t="s">
        <v>939</v>
      </c>
      <c r="D2044" s="93">
        <v>100</v>
      </c>
      <c r="E2044" s="93">
        <v>120</v>
      </c>
      <c r="F2044" s="103">
        <f>IFERROR(INDEX(Tabella9[PLZ],MATCH(Tabella8[[#This Row],[Colonna2]],Tabella9[Ortschaftsname],0)), "Name not found")</f>
        <v>3942</v>
      </c>
      <c r="G2044" s="103"/>
      <c r="H2044" s="240">
        <f ca="1">SUMIF(Tabella2[[#Headers],[#Data],[Age]],$H$76,Tabella2[[#Headers],[#Data],[Federal taxes]])</f>
        <v>6804.3246087429152</v>
      </c>
      <c r="I2044" s="240">
        <f ca="1">SUMIF(Tabella13[Age],$H$76,Tabella13[VS Canton])*Tabella8[[#This Row],[Colonna3]]/100</f>
        <v>19761.330201639033</v>
      </c>
      <c r="J2044" s="240">
        <f ca="1">Tabella8[[#This Row],[Colonna7]]*Tabella8[[#This Row],[Colonna4]]/100</f>
        <v>23713.596241966839</v>
      </c>
    </row>
    <row r="2045" spans="2:10">
      <c r="B2045" s="92" t="s">
        <v>159</v>
      </c>
      <c r="C2045" s="91" t="s">
        <v>2687</v>
      </c>
      <c r="D2045" s="93">
        <v>100</v>
      </c>
      <c r="E2045" s="93">
        <v>110</v>
      </c>
      <c r="F2045" s="103">
        <v>3968</v>
      </c>
      <c r="G2045" s="103"/>
      <c r="H2045" s="240">
        <f ca="1">SUMIF(Tabella2[[#Headers],[#Data],[Age]],$H$76,Tabella2[[#Headers],[#Data],[Federal taxes]])</f>
        <v>6804.3246087429152</v>
      </c>
      <c r="I2045" s="240">
        <f ca="1">SUMIF(Tabella13[Age],$H$76,Tabella13[VS Canton])*Tabella8[[#This Row],[Colonna3]]/100</f>
        <v>19761.330201639033</v>
      </c>
      <c r="J2045" s="240">
        <f ca="1">Tabella8[[#This Row],[Colonna7]]*Tabella8[[#This Row],[Colonna4]]/100</f>
        <v>21737.463221802936</v>
      </c>
    </row>
    <row r="2046" spans="2:10">
      <c r="B2046" s="92" t="s">
        <v>159</v>
      </c>
      <c r="C2046" s="91" t="s">
        <v>977</v>
      </c>
      <c r="D2046" s="93">
        <v>100</v>
      </c>
      <c r="E2046" s="93">
        <v>100</v>
      </c>
      <c r="F2046" s="103">
        <f>IFERROR(INDEX(Tabella9[PLZ],MATCH(Tabella8[[#This Row],[Colonna2]],Tabella9[Ortschaftsname],0)), "Name not found")</f>
        <v>3948</v>
      </c>
      <c r="G2046" s="103"/>
      <c r="H2046" s="240">
        <f ca="1">SUMIF(Tabella2[[#Headers],[#Data],[Age]],$H$76,Tabella2[[#Headers],[#Data],[Federal taxes]])</f>
        <v>6804.3246087429152</v>
      </c>
      <c r="I2046" s="240">
        <f ca="1">SUMIF(Tabella13[Age],$H$76,Tabella13[VS Canton])*Tabella8[[#This Row],[Colonna3]]/100</f>
        <v>19761.330201639033</v>
      </c>
      <c r="J2046" s="240">
        <f ca="1">Tabella8[[#This Row],[Colonna7]]*Tabella8[[#This Row],[Colonna4]]/100</f>
        <v>19761.330201639033</v>
      </c>
    </row>
    <row r="2047" spans="2:10">
      <c r="B2047" s="92" t="s">
        <v>159</v>
      </c>
      <c r="C2047" s="91" t="s">
        <v>942</v>
      </c>
      <c r="D2047" s="93">
        <v>100</v>
      </c>
      <c r="E2047" s="93">
        <v>110</v>
      </c>
      <c r="F2047" s="103">
        <v>3988</v>
      </c>
      <c r="G2047" s="103"/>
      <c r="H2047" s="240">
        <f ca="1">SUMIF(Tabella2[[#Headers],[#Data],[Age]],$H$76,Tabella2[[#Headers],[#Data],[Federal taxes]])</f>
        <v>6804.3246087429152</v>
      </c>
      <c r="I2047" s="240">
        <f ca="1">SUMIF(Tabella13[Age],$H$76,Tabella13[VS Canton])*Tabella8[[#This Row],[Colonna3]]/100</f>
        <v>19761.330201639033</v>
      </c>
      <c r="J2047" s="240">
        <f ca="1">Tabella8[[#This Row],[Colonna7]]*Tabella8[[#This Row],[Colonna4]]/100</f>
        <v>21737.463221802936</v>
      </c>
    </row>
    <row r="2048" spans="2:10">
      <c r="B2048" s="92" t="s">
        <v>159</v>
      </c>
      <c r="C2048" s="91" t="s">
        <v>882</v>
      </c>
      <c r="D2048" s="93">
        <v>100</v>
      </c>
      <c r="E2048" s="93">
        <v>120</v>
      </c>
      <c r="F2048" s="103">
        <f>IFERROR(INDEX(Tabella9[PLZ],MATCH(Tabella8[[#This Row],[Colonna2]],Tabella9[Ortschaftsname],0)), "Name not found")</f>
        <v>1937</v>
      </c>
      <c r="G2048" s="103"/>
      <c r="H2048" s="240">
        <f ca="1">SUMIF(Tabella2[[#Headers],[#Data],[Age]],$H$76,Tabella2[[#Headers],[#Data],[Federal taxes]])</f>
        <v>6804.3246087429152</v>
      </c>
      <c r="I2048" s="240">
        <f ca="1">SUMIF(Tabella13[Age],$H$76,Tabella13[VS Canton])*Tabella8[[#This Row],[Colonna3]]/100</f>
        <v>19761.330201639033</v>
      </c>
      <c r="J2048" s="240">
        <f ca="1">Tabella8[[#This Row],[Colonna7]]*Tabella8[[#This Row],[Colonna4]]/100</f>
        <v>23713.596241966839</v>
      </c>
    </row>
    <row r="2049" spans="2:10">
      <c r="B2049" s="92" t="s">
        <v>159</v>
      </c>
      <c r="C2049" s="91" t="s">
        <v>876</v>
      </c>
      <c r="D2049" s="93">
        <v>100</v>
      </c>
      <c r="E2049" s="93">
        <v>110</v>
      </c>
      <c r="F2049" s="103">
        <v>1897</v>
      </c>
      <c r="G2049" s="103"/>
      <c r="H2049" s="240">
        <f ca="1">SUMIF(Tabella2[[#Headers],[#Data],[Age]],$H$76,Tabella2[[#Headers],[#Data],[Federal taxes]])</f>
        <v>6804.3246087429152</v>
      </c>
      <c r="I2049" s="240">
        <f ca="1">SUMIF(Tabella13[Age],$H$76,Tabella13[VS Canton])*Tabella8[[#This Row],[Colonna3]]/100</f>
        <v>19761.330201639033</v>
      </c>
      <c r="J2049" s="240">
        <f ca="1">Tabella8[[#This Row],[Colonna7]]*Tabella8[[#This Row],[Colonna4]]/100</f>
        <v>21737.463221802936</v>
      </c>
    </row>
    <row r="2050" spans="2:10">
      <c r="B2050" s="92" t="s">
        <v>159</v>
      </c>
      <c r="C2050" s="91" t="s">
        <v>953</v>
      </c>
      <c r="D2050" s="93">
        <v>100</v>
      </c>
      <c r="E2050" s="93">
        <v>110</v>
      </c>
      <c r="F2050" s="103">
        <f>IFERROR(INDEX(Tabella9[PLZ],MATCH(Tabella8[[#This Row],[Colonna2]],Tabella9[Ortschaftsname],0)), "Name not found")</f>
        <v>3928</v>
      </c>
      <c r="G2050" s="103"/>
      <c r="H2050" s="240">
        <f ca="1">SUMIF(Tabella2[[#Headers],[#Data],[Age]],$H$76,Tabella2[[#Headers],[#Data],[Federal taxes]])</f>
        <v>6804.3246087429152</v>
      </c>
      <c r="I2050" s="240">
        <f ca="1">SUMIF(Tabella13[Age],$H$76,Tabella13[VS Canton])*Tabella8[[#This Row],[Colonna3]]/100</f>
        <v>19761.330201639033</v>
      </c>
      <c r="J2050" s="240">
        <f ca="1">Tabella8[[#This Row],[Colonna7]]*Tabella8[[#This Row],[Colonna4]]/100</f>
        <v>21737.463221802936</v>
      </c>
    </row>
    <row r="2051" spans="2:10">
      <c r="B2051" s="92" t="s">
        <v>159</v>
      </c>
      <c r="C2051" s="91" t="s">
        <v>896</v>
      </c>
      <c r="D2051" s="93">
        <v>100</v>
      </c>
      <c r="E2051" s="93">
        <v>120</v>
      </c>
      <c r="F2051" s="103">
        <f>IFERROR(INDEX(Tabella9[PLZ],MATCH(Tabella8[[#This Row],[Colonna2]],Tabella9[Ortschaftsname],0)), "Name not found")</f>
        <v>3942</v>
      </c>
      <c r="G2051" s="103"/>
      <c r="H2051" s="240">
        <f ca="1">SUMIF(Tabella2[[#Headers],[#Data],[Age]],$H$76,Tabella2[[#Headers],[#Data],[Federal taxes]])</f>
        <v>6804.3246087429152</v>
      </c>
      <c r="I2051" s="240">
        <f ca="1">SUMIF(Tabella13[Age],$H$76,Tabella13[VS Canton])*Tabella8[[#This Row],[Colonna3]]/100</f>
        <v>19761.330201639033</v>
      </c>
      <c r="J2051" s="240">
        <f ca="1">Tabella8[[#This Row],[Colonna7]]*Tabella8[[#This Row],[Colonna4]]/100</f>
        <v>23713.596241966839</v>
      </c>
    </row>
    <row r="2052" spans="2:10">
      <c r="B2052" s="92" t="s">
        <v>159</v>
      </c>
      <c r="C2052" s="91" t="s">
        <v>885</v>
      </c>
      <c r="D2052" s="93">
        <v>100</v>
      </c>
      <c r="E2052" s="93">
        <v>125</v>
      </c>
      <c r="F2052" s="103">
        <f>IFERROR(INDEX(Tabella9[PLZ],MATCH(Tabella8[[#This Row],[Colonna2]],Tabella9[Ortschaftsname],0)), "Name not found")</f>
        <v>1908</v>
      </c>
      <c r="G2052" s="103"/>
      <c r="H2052" s="240">
        <f ca="1">SUMIF(Tabella2[[#Headers],[#Data],[Age]],$H$76,Tabella2[[#Headers],[#Data],[Federal taxes]])</f>
        <v>6804.3246087429152</v>
      </c>
      <c r="I2052" s="240">
        <f ca="1">SUMIF(Tabella13[Age],$H$76,Tabella13[VS Canton])*Tabella8[[#This Row],[Colonna3]]/100</f>
        <v>19761.330201639033</v>
      </c>
      <c r="J2052" s="240">
        <f ca="1">Tabella8[[#This Row],[Colonna7]]*Tabella8[[#This Row],[Colonna4]]/100</f>
        <v>24701.662752048793</v>
      </c>
    </row>
    <row r="2053" spans="2:10">
      <c r="B2053" s="92" t="s">
        <v>159</v>
      </c>
      <c r="C2053" s="91" t="s">
        <v>893</v>
      </c>
      <c r="D2053" s="93">
        <v>100</v>
      </c>
      <c r="E2053" s="93">
        <v>110</v>
      </c>
      <c r="F2053" s="103">
        <f>IFERROR(INDEX(Tabella9[PLZ],MATCH(Tabella8[[#This Row],[Colonna2]],Tabella9[Ortschaftsname],0)), "Name not found")</f>
        <v>3911</v>
      </c>
      <c r="G2053" s="103"/>
      <c r="H2053" s="240">
        <f ca="1">SUMIF(Tabella2[[#Headers],[#Data],[Age]],$H$76,Tabella2[[#Headers],[#Data],[Federal taxes]])</f>
        <v>6804.3246087429152</v>
      </c>
      <c r="I2053" s="240">
        <f ca="1">SUMIF(Tabella13[Age],$H$76,Tabella13[VS Canton])*Tabella8[[#This Row],[Colonna3]]/100</f>
        <v>19761.330201639033</v>
      </c>
      <c r="J2053" s="240">
        <f ca="1">Tabella8[[#This Row],[Colonna7]]*Tabella8[[#This Row],[Colonna4]]/100</f>
        <v>21737.463221802936</v>
      </c>
    </row>
    <row r="2054" spans="2:10">
      <c r="B2054" s="92" t="s">
        <v>159</v>
      </c>
      <c r="C2054" s="91" t="s">
        <v>950</v>
      </c>
      <c r="D2054" s="93">
        <v>100</v>
      </c>
      <c r="E2054" s="93">
        <v>120</v>
      </c>
      <c r="F2054" s="103">
        <f>IFERROR(INDEX(Tabella9[PLZ],MATCH(Tabella8[[#This Row],[Colonna2]],Tabella9[Ortschaftsname],0)), "Name not found")</f>
        <v>3987</v>
      </c>
      <c r="G2054" s="103"/>
      <c r="H2054" s="240">
        <f ca="1">SUMIF(Tabella2[[#Headers],[#Data],[Age]],$H$76,Tabella2[[#Headers],[#Data],[Federal taxes]])</f>
        <v>6804.3246087429152</v>
      </c>
      <c r="I2054" s="240">
        <f ca="1">SUMIF(Tabella13[Age],$H$76,Tabella13[VS Canton])*Tabella8[[#This Row],[Colonna3]]/100</f>
        <v>19761.330201639033</v>
      </c>
      <c r="J2054" s="240">
        <f ca="1">Tabella8[[#This Row],[Colonna7]]*Tabella8[[#This Row],[Colonna4]]/100</f>
        <v>23713.596241966839</v>
      </c>
    </row>
    <row r="2055" spans="2:10">
      <c r="B2055" s="92" t="s">
        <v>159</v>
      </c>
      <c r="C2055" s="91" t="s">
        <v>960</v>
      </c>
      <c r="D2055" s="93">
        <v>100</v>
      </c>
      <c r="E2055" s="93">
        <v>120</v>
      </c>
      <c r="F2055" s="103">
        <f>IFERROR(INDEX(Tabella9[PLZ],MATCH(Tabella8[[#This Row],[Colonna2]],Tabella9[Ortschaftsname],0)), "Name not found")</f>
        <v>3905</v>
      </c>
      <c r="G2055" s="103"/>
      <c r="H2055" s="240">
        <f ca="1">SUMIF(Tabella2[[#Headers],[#Data],[Age]],$H$76,Tabella2[[#Headers],[#Data],[Federal taxes]])</f>
        <v>6804.3246087429152</v>
      </c>
      <c r="I2055" s="240">
        <f ca="1">SUMIF(Tabella13[Age],$H$76,Tabella13[VS Canton])*Tabella8[[#This Row],[Colonna3]]/100</f>
        <v>19761.330201639033</v>
      </c>
      <c r="J2055" s="240">
        <f ca="1">Tabella8[[#This Row],[Colonna7]]*Tabella8[[#This Row],[Colonna4]]/100</f>
        <v>23713.596241966839</v>
      </c>
    </row>
    <row r="2056" spans="2:10">
      <c r="B2056" s="92" t="s">
        <v>159</v>
      </c>
      <c r="C2056" s="91" t="s">
        <v>961</v>
      </c>
      <c r="D2056" s="93">
        <v>100</v>
      </c>
      <c r="E2056" s="93">
        <v>110</v>
      </c>
      <c r="F2056" s="103">
        <f>IFERROR(INDEX(Tabella9[PLZ],MATCH(Tabella8[[#This Row],[Colonna2]],Tabella9[Ortschaftsname],0)), "Name not found")</f>
        <v>3908</v>
      </c>
      <c r="G2056" s="103"/>
      <c r="H2056" s="240">
        <f ca="1">SUMIF(Tabella2[[#Headers],[#Data],[Age]],$H$76,Tabella2[[#Headers],[#Data],[Federal taxes]])</f>
        <v>6804.3246087429152</v>
      </c>
      <c r="I2056" s="240">
        <f ca="1">SUMIF(Tabella13[Age],$H$76,Tabella13[VS Canton])*Tabella8[[#This Row],[Colonna3]]/100</f>
        <v>19761.330201639033</v>
      </c>
      <c r="J2056" s="240">
        <f ca="1">Tabella8[[#This Row],[Colonna7]]*Tabella8[[#This Row],[Colonna4]]/100</f>
        <v>21737.463221802936</v>
      </c>
    </row>
    <row r="2057" spans="2:10">
      <c r="B2057" s="92" t="s">
        <v>159</v>
      </c>
      <c r="C2057" s="91" t="s">
        <v>904</v>
      </c>
      <c r="D2057" s="93">
        <v>100</v>
      </c>
      <c r="E2057" s="93">
        <v>120</v>
      </c>
      <c r="F2057" s="103">
        <f>IFERROR(INDEX(Tabella9[PLZ],MATCH(Tabella8[[#This Row],[Colonna2]],Tabella9[Ortschaftsname],0)), "Name not found")</f>
        <v>3906</v>
      </c>
      <c r="G2057" s="103"/>
      <c r="H2057" s="240">
        <f ca="1">SUMIF(Tabella2[[#Headers],[#Data],[Age]],$H$76,Tabella2[[#Headers],[#Data],[Federal taxes]])</f>
        <v>6804.3246087429152</v>
      </c>
      <c r="I2057" s="240">
        <f ca="1">SUMIF(Tabella13[Age],$H$76,Tabella13[VS Canton])*Tabella8[[#This Row],[Colonna3]]/100</f>
        <v>19761.330201639033</v>
      </c>
      <c r="J2057" s="240">
        <f ca="1">Tabella8[[#This Row],[Colonna7]]*Tabella8[[#This Row],[Colonna4]]/100</f>
        <v>23713.596241966839</v>
      </c>
    </row>
    <row r="2058" spans="2:10">
      <c r="B2058" s="92" t="s">
        <v>159</v>
      </c>
      <c r="C2058" s="91" t="s">
        <v>925</v>
      </c>
      <c r="D2058" s="93">
        <v>100</v>
      </c>
      <c r="E2058" s="93">
        <v>130</v>
      </c>
      <c r="F2058" s="103">
        <f>IFERROR(INDEX(Tabella9[PLZ],MATCH(Tabella8[[#This Row],[Colonna2]],Tabella9[Ortschaftsname],0)), "Name not found")</f>
        <v>3910</v>
      </c>
      <c r="G2058" s="103"/>
      <c r="H2058" s="240">
        <f ca="1">SUMIF(Tabella2[[#Headers],[#Data],[Age]],$H$76,Tabella2[[#Headers],[#Data],[Federal taxes]])</f>
        <v>6804.3246087429152</v>
      </c>
      <c r="I2058" s="240">
        <f ca="1">SUMIF(Tabella13[Age],$H$76,Tabella13[VS Canton])*Tabella8[[#This Row],[Colonna3]]/100</f>
        <v>19761.330201639033</v>
      </c>
      <c r="J2058" s="240">
        <f ca="1">Tabella8[[#This Row],[Colonna7]]*Tabella8[[#This Row],[Colonna4]]/100</f>
        <v>25689.729262130746</v>
      </c>
    </row>
    <row r="2059" spans="2:10">
      <c r="B2059" s="92" t="s">
        <v>159</v>
      </c>
      <c r="C2059" s="91" t="s">
        <v>888</v>
      </c>
      <c r="D2059" s="93">
        <v>100</v>
      </c>
      <c r="E2059" s="93">
        <v>120</v>
      </c>
      <c r="F2059" s="103">
        <f>IFERROR(INDEX(Tabella9[PLZ],MATCH(Tabella8[[#This Row],[Colonna2]],Tabella9[Ortschaftsname],0)), "Name not found")</f>
        <v>1913</v>
      </c>
      <c r="G2059" s="103"/>
      <c r="H2059" s="240">
        <f ca="1">SUMIF(Tabella2[[#Headers],[#Data],[Age]],$H$76,Tabella2[[#Headers],[#Data],[Federal taxes]])</f>
        <v>6804.3246087429152</v>
      </c>
      <c r="I2059" s="240">
        <f ca="1">SUMIF(Tabella13[Age],$H$76,Tabella13[VS Canton])*Tabella8[[#This Row],[Colonna3]]/100</f>
        <v>19761.330201639033</v>
      </c>
      <c r="J2059" s="240">
        <f ca="1">Tabella8[[#This Row],[Colonna7]]*Tabella8[[#This Row],[Colonna4]]/100</f>
        <v>23713.596241966839</v>
      </c>
    </row>
    <row r="2060" spans="2:10">
      <c r="B2060" s="92" t="s">
        <v>159</v>
      </c>
      <c r="C2060" s="91" t="s">
        <v>927</v>
      </c>
      <c r="D2060" s="93">
        <v>100</v>
      </c>
      <c r="E2060" s="93">
        <v>135</v>
      </c>
      <c r="F2060" s="103">
        <v>1898</v>
      </c>
      <c r="G2060" s="103"/>
      <c r="H2060" s="240">
        <f ca="1">SUMIF(Tabella2[[#Headers],[#Data],[Age]],$H$76,Tabella2[[#Headers],[#Data],[Federal taxes]])</f>
        <v>6804.3246087429152</v>
      </c>
      <c r="I2060" s="240">
        <f ca="1">SUMIF(Tabella13[Age],$H$76,Tabella13[VS Canton])*Tabella8[[#This Row],[Colonna3]]/100</f>
        <v>19761.330201639033</v>
      </c>
      <c r="J2060" s="240">
        <f ca="1">Tabella8[[#This Row],[Colonna7]]*Tabella8[[#This Row],[Colonna4]]/100</f>
        <v>26677.795772212696</v>
      </c>
    </row>
    <row r="2061" spans="2:10">
      <c r="B2061" s="92" t="s">
        <v>159</v>
      </c>
      <c r="C2061" s="91" t="s">
        <v>890</v>
      </c>
      <c r="D2061" s="93">
        <v>100</v>
      </c>
      <c r="E2061" s="93">
        <v>120</v>
      </c>
      <c r="F2061" s="103">
        <v>1958</v>
      </c>
      <c r="G2061" s="103"/>
      <c r="H2061" s="240">
        <f ca="1">SUMIF(Tabella2[[#Headers],[#Data],[Age]],$H$76,Tabella2[[#Headers],[#Data],[Federal taxes]])</f>
        <v>6804.3246087429152</v>
      </c>
      <c r="I2061" s="240">
        <f ca="1">SUMIF(Tabella13[Age],$H$76,Tabella13[VS Canton])*Tabella8[[#This Row],[Colonna3]]/100</f>
        <v>19761.330201639033</v>
      </c>
      <c r="J2061" s="240">
        <f ca="1">Tabella8[[#This Row],[Colonna7]]*Tabella8[[#This Row],[Colonna4]]/100</f>
        <v>23713.596241966839</v>
      </c>
    </row>
    <row r="2062" spans="2:10">
      <c r="B2062" s="92" t="s">
        <v>159</v>
      </c>
      <c r="C2062" s="91" t="s">
        <v>932</v>
      </c>
      <c r="D2062" s="93">
        <v>100</v>
      </c>
      <c r="E2062" s="93">
        <v>135</v>
      </c>
      <c r="F2062" s="103">
        <v>1969</v>
      </c>
      <c r="G2062" s="103"/>
      <c r="H2062" s="240">
        <f ca="1">SUMIF(Tabella2[[#Headers],[#Data],[Age]],$H$76,Tabella2[[#Headers],[#Data],[Federal taxes]])</f>
        <v>6804.3246087429152</v>
      </c>
      <c r="I2062" s="240">
        <f ca="1">SUMIF(Tabella13[Age],$H$76,Tabella13[VS Canton])*Tabella8[[#This Row],[Colonna3]]/100</f>
        <v>19761.330201639033</v>
      </c>
      <c r="J2062" s="240">
        <f ca="1">Tabella8[[#This Row],[Colonna7]]*Tabella8[[#This Row],[Colonna4]]/100</f>
        <v>26677.795772212696</v>
      </c>
    </row>
    <row r="2063" spans="2:10">
      <c r="B2063" s="92" t="s">
        <v>159</v>
      </c>
      <c r="C2063" s="91" t="s">
        <v>873</v>
      </c>
      <c r="D2063" s="93">
        <v>100</v>
      </c>
      <c r="E2063" s="93">
        <v>125</v>
      </c>
      <c r="F2063" s="103">
        <v>1890</v>
      </c>
      <c r="G2063" s="103"/>
      <c r="H2063" s="240">
        <f ca="1">SUMIF(Tabella2[[#Headers],[#Data],[Age]],$H$76,Tabella2[[#Headers],[#Data],[Federal taxes]])</f>
        <v>6804.3246087429152</v>
      </c>
      <c r="I2063" s="240">
        <f ca="1">SUMIF(Tabella13[Age],$H$76,Tabella13[VS Canton])*Tabella8[[#This Row],[Colonna3]]/100</f>
        <v>19761.330201639033</v>
      </c>
      <c r="J2063" s="240">
        <f ca="1">Tabella8[[#This Row],[Colonna7]]*Tabella8[[#This Row],[Colonna4]]/100</f>
        <v>24701.662752048793</v>
      </c>
    </row>
    <row r="2064" spans="2:10">
      <c r="B2064" s="92" t="s">
        <v>159</v>
      </c>
      <c r="C2064" s="91" t="s">
        <v>907</v>
      </c>
      <c r="D2064" s="93">
        <v>100</v>
      </c>
      <c r="E2064" s="93">
        <v>120</v>
      </c>
      <c r="F2064" s="103">
        <f>IFERROR(INDEX(Tabella9[PLZ],MATCH(Tabella8[[#This Row],[Colonna2]],Tabella9[Ortschaftsname],0)), "Name not found")</f>
        <v>3970</v>
      </c>
      <c r="G2064" s="103"/>
      <c r="H2064" s="240">
        <f ca="1">SUMIF(Tabella2[[#Headers],[#Data],[Age]],$H$76,Tabella2[[#Headers],[#Data],[Federal taxes]])</f>
        <v>6804.3246087429152</v>
      </c>
      <c r="I2064" s="240">
        <f ca="1">SUMIF(Tabella13[Age],$H$76,Tabella13[VS Canton])*Tabella8[[#This Row],[Colonna3]]/100</f>
        <v>19761.330201639033</v>
      </c>
      <c r="J2064" s="240">
        <f ca="1">Tabella8[[#This Row],[Colonna7]]*Tabella8[[#This Row],[Colonna4]]/100</f>
        <v>23713.596241966839</v>
      </c>
    </row>
    <row r="2065" spans="2:10">
      <c r="B2065" s="92" t="s">
        <v>159</v>
      </c>
      <c r="C2065" s="91" t="s">
        <v>910</v>
      </c>
      <c r="D2065" s="93">
        <v>100</v>
      </c>
      <c r="E2065" s="93">
        <v>115</v>
      </c>
      <c r="F2065" s="103">
        <f>IFERROR(INDEX(Tabella9[PLZ],MATCH(Tabella8[[#This Row],[Colonna2]],Tabella9[Ortschaftsname],0)), "Name not found")</f>
        <v>1922</v>
      </c>
      <c r="G2065" s="103"/>
      <c r="H2065" s="240">
        <f ca="1">SUMIF(Tabella2[[#Headers],[#Data],[Age]],$H$76,Tabella2[[#Headers],[#Data],[Federal taxes]])</f>
        <v>6804.3246087429152</v>
      </c>
      <c r="I2065" s="240">
        <f ca="1">SUMIF(Tabella13[Age],$H$76,Tabella13[VS Canton])*Tabella8[[#This Row],[Colonna3]]/100</f>
        <v>19761.330201639033</v>
      </c>
      <c r="J2065" s="240">
        <f ca="1">Tabella8[[#This Row],[Colonna7]]*Tabella8[[#This Row],[Colonna4]]/100</f>
        <v>22725.529731884886</v>
      </c>
    </row>
    <row r="2066" spans="2:10">
      <c r="B2066" s="92" t="s">
        <v>159</v>
      </c>
      <c r="C2066" s="91" t="s">
        <v>867</v>
      </c>
      <c r="D2066" s="93">
        <v>100</v>
      </c>
      <c r="E2066" s="93">
        <v>115</v>
      </c>
      <c r="F2066" s="103">
        <f>IFERROR(INDEX(Tabella9[PLZ],MATCH(Tabella8[[#This Row],[Colonna2]],Tabella9[Ortschaftsname],0)), "Name not found")</f>
        <v>1965</v>
      </c>
      <c r="G2066" s="103"/>
      <c r="H2066" s="240">
        <f ca="1">SUMIF(Tabella2[[#Headers],[#Data],[Age]],$H$76,Tabella2[[#Headers],[#Data],[Federal taxes]])</f>
        <v>6804.3246087429152</v>
      </c>
      <c r="I2066" s="240">
        <f ca="1">SUMIF(Tabella13[Age],$H$76,Tabella13[VS Canton])*Tabella8[[#This Row],[Colonna3]]/100</f>
        <v>19761.330201639033</v>
      </c>
      <c r="J2066" s="240">
        <f ca="1">Tabella8[[#This Row],[Colonna7]]*Tabella8[[#This Row],[Colonna4]]/100</f>
        <v>22725.529731884886</v>
      </c>
    </row>
    <row r="2067" spans="2:10">
      <c r="B2067" s="92" t="s">
        <v>159</v>
      </c>
      <c r="C2067" s="91" t="s">
        <v>870</v>
      </c>
      <c r="D2067" s="93">
        <v>100</v>
      </c>
      <c r="E2067" s="93">
        <v>120</v>
      </c>
      <c r="F2067" s="103">
        <f>IFERROR(INDEX(Tabella9[PLZ],MATCH(Tabella8[[#This Row],[Colonna2]],Tabella9[Ortschaftsname],0)), "Name not found")</f>
        <v>1907</v>
      </c>
      <c r="G2067" s="103"/>
      <c r="H2067" s="240">
        <f ca="1">SUMIF(Tabella2[[#Headers],[#Data],[Age]],$H$76,Tabella2[[#Headers],[#Data],[Federal taxes]])</f>
        <v>6804.3246087429152</v>
      </c>
      <c r="I2067" s="240">
        <f ca="1">SUMIF(Tabella13[Age],$H$76,Tabella13[VS Canton])*Tabella8[[#This Row],[Colonna3]]/100</f>
        <v>19761.330201639033</v>
      </c>
      <c r="J2067" s="240">
        <f ca="1">Tabella8[[#This Row],[Colonna7]]*Tabella8[[#This Row],[Colonna4]]/100</f>
        <v>23713.596241966839</v>
      </c>
    </row>
    <row r="2068" spans="2:10">
      <c r="B2068" s="92" t="s">
        <v>159</v>
      </c>
      <c r="C2068" s="91" t="s">
        <v>924</v>
      </c>
      <c r="D2068" s="93">
        <v>100</v>
      </c>
      <c r="E2068" s="93">
        <v>120</v>
      </c>
      <c r="F2068" s="103">
        <f>IFERROR(INDEX(Tabella9[PLZ],MATCH(Tabella8[[#This Row],[Colonna2]],Tabella9[Ortschaftsname],0)), "Name not found")</f>
        <v>1933</v>
      </c>
      <c r="G2068" s="103"/>
      <c r="H2068" s="240">
        <f ca="1">SUMIF(Tabella2[[#Headers],[#Data],[Age]],$H$76,Tabella2[[#Headers],[#Data],[Federal taxes]])</f>
        <v>6804.3246087429152</v>
      </c>
      <c r="I2068" s="240">
        <f ca="1">SUMIF(Tabella13[Age],$H$76,Tabella13[VS Canton])*Tabella8[[#This Row],[Colonna3]]/100</f>
        <v>19761.330201639033</v>
      </c>
      <c r="J2068" s="240">
        <f ca="1">Tabella8[[#This Row],[Colonna7]]*Tabella8[[#This Row],[Colonna4]]/100</f>
        <v>23713.596241966839</v>
      </c>
    </row>
    <row r="2069" spans="2:10">
      <c r="B2069" s="92" t="s">
        <v>159</v>
      </c>
      <c r="C2069" s="91" t="s">
        <v>2688</v>
      </c>
      <c r="D2069" s="93">
        <v>100</v>
      </c>
      <c r="E2069" s="93">
        <v>120</v>
      </c>
      <c r="F2069" s="103">
        <f>IFERROR(INDEX(Tabella9[PLZ],MATCH(Tabella8[[#This Row],[Colonna2]],Tabella9[Ortschaftsname],0)), "Name not found")</f>
        <v>3960</v>
      </c>
      <c r="G2069" s="103"/>
      <c r="H2069" s="240">
        <f ca="1">SUMIF(Tabella2[[#Headers],[#Data],[Age]],$H$76,Tabella2[[#Headers],[#Data],[Federal taxes]])</f>
        <v>6804.3246087429152</v>
      </c>
      <c r="I2069" s="240">
        <f ca="1">SUMIF(Tabella13[Age],$H$76,Tabella13[VS Canton])*Tabella8[[#This Row],[Colonna3]]/100</f>
        <v>19761.330201639033</v>
      </c>
      <c r="J2069" s="240">
        <f ca="1">Tabella8[[#This Row],[Colonna7]]*Tabella8[[#This Row],[Colonna4]]/100</f>
        <v>23713.596241966839</v>
      </c>
    </row>
    <row r="2070" spans="2:10">
      <c r="B2070" s="92" t="s">
        <v>159</v>
      </c>
      <c r="C2070" s="91" t="s">
        <v>966</v>
      </c>
      <c r="D2070" s="93">
        <v>100</v>
      </c>
      <c r="E2070" s="93">
        <v>100</v>
      </c>
      <c r="F2070" s="103">
        <v>3907</v>
      </c>
      <c r="G2070" s="103"/>
      <c r="H2070" s="240">
        <f ca="1">SUMIF(Tabella2[[#Headers],[#Data],[Age]],$H$76,Tabella2[[#Headers],[#Data],[Federal taxes]])</f>
        <v>6804.3246087429152</v>
      </c>
      <c r="I2070" s="240">
        <f ca="1">SUMIF(Tabella13[Age],$H$76,Tabella13[VS Canton])*Tabella8[[#This Row],[Colonna3]]/100</f>
        <v>19761.330201639033</v>
      </c>
      <c r="J2070" s="240">
        <f ca="1">Tabella8[[#This Row],[Colonna7]]*Tabella8[[#This Row],[Colonna4]]/100</f>
        <v>19761.330201639033</v>
      </c>
    </row>
    <row r="2071" spans="2:10">
      <c r="B2071" s="92" t="s">
        <v>159</v>
      </c>
      <c r="C2071" s="91" t="s">
        <v>2689</v>
      </c>
      <c r="D2071" s="93">
        <v>100</v>
      </c>
      <c r="E2071" s="93">
        <v>110</v>
      </c>
      <c r="F2071" s="103">
        <f>IFERROR(INDEX(Tabella9[PLZ],MATCH(Tabella8[[#This Row],[Colonna2]],Tabella9[Ortschaftsname],0)), "Name not found")</f>
        <v>1950</v>
      </c>
      <c r="G2071" s="103"/>
      <c r="H2071" s="240">
        <f ca="1">SUMIF(Tabella2[[#Headers],[#Data],[Age]],$H$76,Tabella2[[#Headers],[#Data],[Federal taxes]])</f>
        <v>6804.3246087429152</v>
      </c>
      <c r="I2071" s="240">
        <f ca="1">SUMIF(Tabella13[Age],$H$76,Tabella13[VS Canton])*Tabella8[[#This Row],[Colonna3]]/100</f>
        <v>19761.330201639033</v>
      </c>
      <c r="J2071" s="240">
        <f ca="1">Tabella8[[#This Row],[Colonna7]]*Tabella8[[#This Row],[Colonna4]]/100</f>
        <v>21737.463221802936</v>
      </c>
    </row>
    <row r="2072" spans="2:10">
      <c r="B2072" s="92" t="s">
        <v>159</v>
      </c>
      <c r="C2072" s="91" t="s">
        <v>892</v>
      </c>
      <c r="D2072" s="93">
        <v>100</v>
      </c>
      <c r="E2072" s="93">
        <v>120</v>
      </c>
      <c r="F2072" s="103">
        <v>3924</v>
      </c>
      <c r="G2072" s="103"/>
      <c r="H2072" s="240">
        <f ca="1">SUMIF(Tabella2[[#Headers],[#Data],[Age]],$H$76,Tabella2[[#Headers],[#Data],[Federal taxes]])</f>
        <v>6804.3246087429152</v>
      </c>
      <c r="I2072" s="240">
        <f ca="1">SUMIF(Tabella13[Age],$H$76,Tabella13[VS Canton])*Tabella8[[#This Row],[Colonna3]]/100</f>
        <v>19761.330201639033</v>
      </c>
      <c r="J2072" s="240">
        <f ca="1">Tabella8[[#This Row],[Colonna7]]*Tabella8[[#This Row],[Colonna4]]/100</f>
        <v>23713.596241966839</v>
      </c>
    </row>
    <row r="2073" spans="2:10">
      <c r="B2073" s="92" t="s">
        <v>159</v>
      </c>
      <c r="C2073" s="91" t="s">
        <v>922</v>
      </c>
      <c r="D2073" s="93">
        <v>100</v>
      </c>
      <c r="E2073" s="93">
        <v>110</v>
      </c>
      <c r="F2073" s="103">
        <v>3992</v>
      </c>
      <c r="G2073" s="103"/>
      <c r="H2073" s="240">
        <f ca="1">SUMIF(Tabella2[[#Headers],[#Data],[Age]],$H$76,Tabella2[[#Headers],[#Data],[Federal taxes]])</f>
        <v>6804.3246087429152</v>
      </c>
      <c r="I2073" s="240">
        <f ca="1">SUMIF(Tabella13[Age],$H$76,Tabella13[VS Canton])*Tabella8[[#This Row],[Colonna3]]/100</f>
        <v>19761.330201639033</v>
      </c>
      <c r="J2073" s="240">
        <f ca="1">Tabella8[[#This Row],[Colonna7]]*Tabella8[[#This Row],[Colonna4]]/100</f>
        <v>21737.463221802936</v>
      </c>
    </row>
    <row r="2074" spans="2:10">
      <c r="B2074" s="92" t="s">
        <v>159</v>
      </c>
      <c r="C2074" s="91" t="s">
        <v>948</v>
      </c>
      <c r="D2074" s="93">
        <v>100</v>
      </c>
      <c r="E2074" s="93">
        <v>110</v>
      </c>
      <c r="F2074" s="103">
        <f>IFERROR(INDEX(Tabella9[PLZ],MATCH(Tabella8[[#This Row],[Colonna2]],Tabella9[Ortschaftsname],0)), "Name not found")</f>
        <v>3933</v>
      </c>
      <c r="G2074" s="103"/>
      <c r="H2074" s="240">
        <f ca="1">SUMIF(Tabella2[[#Headers],[#Data],[Age]],$H$76,Tabella2[[#Headers],[#Data],[Federal taxes]])</f>
        <v>6804.3246087429152</v>
      </c>
      <c r="I2074" s="240">
        <f ca="1">SUMIF(Tabella13[Age],$H$76,Tabella13[VS Canton])*Tabella8[[#This Row],[Colonna3]]/100</f>
        <v>19761.330201639033</v>
      </c>
      <c r="J2074" s="240">
        <f ca="1">Tabella8[[#This Row],[Colonna7]]*Tabella8[[#This Row],[Colonna4]]/100</f>
        <v>21737.463221802936</v>
      </c>
    </row>
    <row r="2075" spans="2:10">
      <c r="B2075" s="92" t="s">
        <v>159</v>
      </c>
      <c r="C2075" s="91" t="s">
        <v>906</v>
      </c>
      <c r="D2075" s="93">
        <v>100</v>
      </c>
      <c r="E2075" s="93">
        <v>120</v>
      </c>
      <c r="F2075" s="103">
        <v>3940</v>
      </c>
      <c r="G2075" s="103"/>
      <c r="H2075" s="240">
        <f ca="1">SUMIF(Tabella2[[#Headers],[#Data],[Age]],$H$76,Tabella2[[#Headers],[#Data],[Federal taxes]])</f>
        <v>6804.3246087429152</v>
      </c>
      <c r="I2075" s="240">
        <f ca="1">SUMIF(Tabella13[Age],$H$76,Tabella13[VS Canton])*Tabella8[[#This Row],[Colonna3]]/100</f>
        <v>19761.330201639033</v>
      </c>
      <c r="J2075" s="240">
        <f ca="1">Tabella8[[#This Row],[Colonna7]]*Tabella8[[#This Row],[Colonna4]]/100</f>
        <v>23713.596241966839</v>
      </c>
    </row>
    <row r="2076" spans="2:10">
      <c r="B2076" s="92" t="s">
        <v>159</v>
      </c>
      <c r="C2076" s="91" t="s">
        <v>930</v>
      </c>
      <c r="D2076" s="93">
        <v>100</v>
      </c>
      <c r="E2076" s="93">
        <v>120</v>
      </c>
      <c r="F2076" s="103">
        <f>IFERROR(INDEX(Tabella9[PLZ],MATCH(Tabella8[[#This Row],[Colonna2]],Tabella9[Ortschaftsname],0)), "Name not found")</f>
        <v>3912</v>
      </c>
      <c r="G2076" s="103"/>
      <c r="H2076" s="240">
        <f ca="1">SUMIF(Tabella2[[#Headers],[#Data],[Age]],$H$76,Tabella2[[#Headers],[#Data],[Federal taxes]])</f>
        <v>6804.3246087429152</v>
      </c>
      <c r="I2076" s="240">
        <f ca="1">SUMIF(Tabella13[Age],$H$76,Tabella13[VS Canton])*Tabella8[[#This Row],[Colonna3]]/100</f>
        <v>19761.330201639033</v>
      </c>
      <c r="J2076" s="240">
        <f ca="1">Tabella8[[#This Row],[Colonna7]]*Tabella8[[#This Row],[Colonna4]]/100</f>
        <v>23713.596241966839</v>
      </c>
    </row>
    <row r="2077" spans="2:10">
      <c r="B2077" s="92" t="s">
        <v>159</v>
      </c>
      <c r="C2077" s="91" t="s">
        <v>974</v>
      </c>
      <c r="D2077" s="93">
        <v>100</v>
      </c>
      <c r="E2077" s="93">
        <v>100</v>
      </c>
      <c r="F2077" s="103">
        <f>IFERROR(INDEX(Tabella9[PLZ],MATCH(Tabella8[[#This Row],[Colonna2]],Tabella9[Ortschaftsname],0)), "Name not found")</f>
        <v>1929</v>
      </c>
      <c r="G2077" s="103"/>
      <c r="H2077" s="240">
        <f ca="1">SUMIF(Tabella2[[#Headers],[#Data],[Age]],$H$76,Tabella2[[#Headers],[#Data],[Federal taxes]])</f>
        <v>6804.3246087429152</v>
      </c>
      <c r="I2077" s="240">
        <f ca="1">SUMIF(Tabella13[Age],$H$76,Tabella13[VS Canton])*Tabella8[[#This Row],[Colonna3]]/100</f>
        <v>19761.330201639033</v>
      </c>
      <c r="J2077" s="240">
        <f ca="1">Tabella8[[#This Row],[Colonna7]]*Tabella8[[#This Row],[Colonna4]]/100</f>
        <v>19761.330201639033</v>
      </c>
    </row>
    <row r="2078" spans="2:10">
      <c r="B2078" s="92" t="s">
        <v>159</v>
      </c>
      <c r="C2078" s="91" t="s">
        <v>872</v>
      </c>
      <c r="D2078" s="93">
        <v>100</v>
      </c>
      <c r="E2078" s="93">
        <v>120</v>
      </c>
      <c r="F2078" s="103">
        <f>IFERROR(INDEX(Tabella9[PLZ],MATCH(Tabella8[[#This Row],[Colonna2]],Tabella9[Ortschaftsname],0)), "Name not found")</f>
        <v>1872</v>
      </c>
      <c r="G2078" s="103"/>
      <c r="H2078" s="240">
        <f ca="1">SUMIF(Tabella2[[#Headers],[#Data],[Age]],$H$76,Tabella2[[#Headers],[#Data],[Federal taxes]])</f>
        <v>6804.3246087429152</v>
      </c>
      <c r="I2078" s="240">
        <f ca="1">SUMIF(Tabella13[Age],$H$76,Tabella13[VS Canton])*Tabella8[[#This Row],[Colonna3]]/100</f>
        <v>19761.330201639033</v>
      </c>
      <c r="J2078" s="240">
        <f ca="1">Tabella8[[#This Row],[Colonna7]]*Tabella8[[#This Row],[Colonna4]]/100</f>
        <v>23713.596241966839</v>
      </c>
    </row>
    <row r="2079" spans="2:10">
      <c r="B2079" s="92" t="s">
        <v>159</v>
      </c>
      <c r="C2079" s="91" t="s">
        <v>921</v>
      </c>
      <c r="D2079" s="93">
        <v>100</v>
      </c>
      <c r="E2079" s="93">
        <v>120</v>
      </c>
      <c r="F2079" s="103">
        <v>3946</v>
      </c>
      <c r="G2079" s="103"/>
      <c r="H2079" s="240">
        <f ca="1">SUMIF(Tabella2[[#Headers],[#Data],[Age]],$H$76,Tabella2[[#Headers],[#Data],[Federal taxes]])</f>
        <v>6804.3246087429152</v>
      </c>
      <c r="I2079" s="240">
        <f ca="1">SUMIF(Tabella13[Age],$H$76,Tabella13[VS Canton])*Tabella8[[#This Row],[Colonna3]]/100</f>
        <v>19761.330201639033</v>
      </c>
      <c r="J2079" s="240">
        <f ca="1">Tabella8[[#This Row],[Colonna7]]*Tabella8[[#This Row],[Colonna4]]/100</f>
        <v>23713.596241966839</v>
      </c>
    </row>
    <row r="2080" spans="2:10">
      <c r="B2080" s="92" t="s">
        <v>159</v>
      </c>
      <c r="C2080" s="91" t="s">
        <v>915</v>
      </c>
      <c r="D2080" s="93">
        <v>100</v>
      </c>
      <c r="E2080" s="93">
        <v>120</v>
      </c>
      <c r="F2080" s="103">
        <f>IFERROR(INDEX(Tabella9[PLZ],MATCH(Tabella8[[#This Row],[Colonna2]],Tabella9[Ortschaftsname],0)), "Name not found")</f>
        <v>3929</v>
      </c>
      <c r="G2080" s="103"/>
      <c r="H2080" s="240">
        <f ca="1">SUMIF(Tabella2[[#Headers],[#Data],[Age]],$H$76,Tabella2[[#Headers],[#Data],[Federal taxes]])</f>
        <v>6804.3246087429152</v>
      </c>
      <c r="I2080" s="240">
        <f ca="1">SUMIF(Tabella13[Age],$H$76,Tabella13[VS Canton])*Tabella8[[#This Row],[Colonna3]]/100</f>
        <v>19761.330201639033</v>
      </c>
      <c r="J2080" s="240">
        <f ca="1">Tabella8[[#This Row],[Colonna7]]*Tabella8[[#This Row],[Colonna4]]/100</f>
        <v>23713.596241966839</v>
      </c>
    </row>
    <row r="2081" spans="2:10">
      <c r="B2081" s="92" t="s">
        <v>159</v>
      </c>
      <c r="C2081" s="91" t="s">
        <v>951</v>
      </c>
      <c r="D2081" s="93">
        <v>100</v>
      </c>
      <c r="E2081" s="93">
        <v>140</v>
      </c>
      <c r="F2081" s="103">
        <f>IFERROR(INDEX(Tabella9[PLZ],MATCH(Tabella8[[#This Row],[Colonna2]],Tabella9[Ortschaftsname],0)), "Name not found")</f>
        <v>3923</v>
      </c>
      <c r="G2081" s="103"/>
      <c r="H2081" s="240">
        <f ca="1">SUMIF(Tabella2[[#Headers],[#Data],[Age]],$H$76,Tabella2[[#Headers],[#Data],[Federal taxes]])</f>
        <v>6804.3246087429152</v>
      </c>
      <c r="I2081" s="240">
        <f ca="1">SUMIF(Tabella13[Age],$H$76,Tabella13[VS Canton])*Tabella8[[#This Row],[Colonna3]]/100</f>
        <v>19761.330201639033</v>
      </c>
      <c r="J2081" s="240">
        <f ca="1">Tabella8[[#This Row],[Colonna7]]*Tabella8[[#This Row],[Colonna4]]/100</f>
        <v>27665.862282294645</v>
      </c>
    </row>
    <row r="2082" spans="2:10">
      <c r="B2082" s="92" t="s">
        <v>159</v>
      </c>
      <c r="C2082" s="91" t="s">
        <v>956</v>
      </c>
      <c r="D2082" s="93">
        <v>100</v>
      </c>
      <c r="E2082" s="93">
        <v>120</v>
      </c>
      <c r="F2082" s="103">
        <v>3944</v>
      </c>
      <c r="G2082" s="103"/>
      <c r="H2082" s="240">
        <f ca="1">SUMIF(Tabella2[[#Headers],[#Data],[Age]],$H$76,Tabella2[[#Headers],[#Data],[Federal taxes]])</f>
        <v>6804.3246087429152</v>
      </c>
      <c r="I2082" s="240">
        <f ca="1">SUMIF(Tabella13[Age],$H$76,Tabella13[VS Canton])*Tabella8[[#This Row],[Colonna3]]/100</f>
        <v>19761.330201639033</v>
      </c>
      <c r="J2082" s="240">
        <f ca="1">Tabella8[[#This Row],[Colonna7]]*Tabella8[[#This Row],[Colonna4]]/100</f>
        <v>23713.596241966839</v>
      </c>
    </row>
    <row r="2083" spans="2:10">
      <c r="B2083" s="92" t="s">
        <v>159</v>
      </c>
      <c r="C2083" s="91" t="s">
        <v>2690</v>
      </c>
      <c r="D2083" s="93">
        <v>100</v>
      </c>
      <c r="E2083" s="93">
        <v>100</v>
      </c>
      <c r="F2083" s="103">
        <v>1934</v>
      </c>
      <c r="G2083" s="103"/>
      <c r="H2083" s="240">
        <f ca="1">SUMIF(Tabella2[[#Headers],[#Data],[Age]],$H$76,Tabella2[[#Headers],[#Data],[Federal taxes]])</f>
        <v>6804.3246087429152</v>
      </c>
      <c r="I2083" s="240">
        <f ca="1">SUMIF(Tabella13[Age],$H$76,Tabella13[VS Canton])*Tabella8[[#This Row],[Colonna3]]/100</f>
        <v>19761.330201639033</v>
      </c>
      <c r="J2083" s="240">
        <f ca="1">Tabella8[[#This Row],[Colonna7]]*Tabella8[[#This Row],[Colonna4]]/100</f>
        <v>19761.330201639033</v>
      </c>
    </row>
    <row r="2084" spans="2:10">
      <c r="B2084" s="92" t="s">
        <v>159</v>
      </c>
      <c r="C2084" s="91" t="s">
        <v>897</v>
      </c>
      <c r="D2084" s="93">
        <v>100</v>
      </c>
      <c r="E2084" s="93">
        <v>130</v>
      </c>
      <c r="F2084" s="103">
        <f>IFERROR(INDEX(Tabella9[PLZ],MATCH(Tabella8[[#This Row],[Colonna2]],Tabella9[Ortschaftsname],0)), "Name not found")</f>
        <v>1873</v>
      </c>
      <c r="G2084" s="103"/>
      <c r="H2084" s="240">
        <f ca="1">SUMIF(Tabella2[[#Headers],[#Data],[Age]],$H$76,Tabella2[[#Headers],[#Data],[Federal taxes]])</f>
        <v>6804.3246087429152</v>
      </c>
      <c r="I2084" s="240">
        <f ca="1">SUMIF(Tabella13[Age],$H$76,Tabella13[VS Canton])*Tabella8[[#This Row],[Colonna3]]/100</f>
        <v>19761.330201639033</v>
      </c>
      <c r="J2084" s="240">
        <f ca="1">Tabella8[[#This Row],[Colonna7]]*Tabella8[[#This Row],[Colonna4]]/100</f>
        <v>25689.729262130746</v>
      </c>
    </row>
    <row r="2085" spans="2:10">
      <c r="B2085" s="92" t="s">
        <v>159</v>
      </c>
      <c r="C2085" s="91" t="s">
        <v>943</v>
      </c>
      <c r="D2085" s="93">
        <v>100</v>
      </c>
      <c r="E2085" s="93">
        <v>120</v>
      </c>
      <c r="F2085" s="103">
        <f>IFERROR(INDEX(Tabella9[PLZ],MATCH(Tabella8[[#This Row],[Colonna2]],Tabella9[Ortschaftsname],0)), "Name not found")</f>
        <v>3953</v>
      </c>
      <c r="G2085" s="103"/>
      <c r="H2085" s="240">
        <f ca="1">SUMIF(Tabella2[[#Headers],[#Data],[Age]],$H$76,Tabella2[[#Headers],[#Data],[Federal taxes]])</f>
        <v>6804.3246087429152</v>
      </c>
      <c r="I2085" s="240">
        <f ca="1">SUMIF(Tabella13[Age],$H$76,Tabella13[VS Canton])*Tabella8[[#This Row],[Colonna3]]/100</f>
        <v>19761.330201639033</v>
      </c>
      <c r="J2085" s="240">
        <f ca="1">Tabella8[[#This Row],[Colonna7]]*Tabella8[[#This Row],[Colonna4]]/100</f>
        <v>23713.596241966839</v>
      </c>
    </row>
    <row r="2086" spans="2:10">
      <c r="B2086" s="92" t="s">
        <v>159</v>
      </c>
      <c r="C2086" s="91" t="s">
        <v>898</v>
      </c>
      <c r="D2086" s="93">
        <v>100</v>
      </c>
      <c r="E2086" s="93">
        <v>120</v>
      </c>
      <c r="F2086" s="103">
        <f>IFERROR(INDEX(Tabella9[PLZ],MATCH(Tabella8[[#This Row],[Colonna2]],Tabella9[Ortschaftsname],0)), "Name not found")</f>
        <v>1904</v>
      </c>
      <c r="G2086" s="103"/>
      <c r="H2086" s="240">
        <f ca="1">SUMIF(Tabella2[[#Headers],[#Data],[Age]],$H$76,Tabella2[[#Headers],[#Data],[Federal taxes]])</f>
        <v>6804.3246087429152</v>
      </c>
      <c r="I2086" s="240">
        <f ca="1">SUMIF(Tabella13[Age],$H$76,Tabella13[VS Canton])*Tabella8[[#This Row],[Colonna3]]/100</f>
        <v>19761.330201639033</v>
      </c>
      <c r="J2086" s="240">
        <f ca="1">Tabella8[[#This Row],[Colonna7]]*Tabella8[[#This Row],[Colonna4]]/100</f>
        <v>23713.596241966839</v>
      </c>
    </row>
    <row r="2087" spans="2:10">
      <c r="B2087" s="92" t="s">
        <v>159</v>
      </c>
      <c r="C2087" s="91" t="s">
        <v>900</v>
      </c>
      <c r="D2087" s="93">
        <v>100</v>
      </c>
      <c r="E2087" s="93">
        <v>130</v>
      </c>
      <c r="F2087" s="103">
        <f>IFERROR(INDEX(Tabella9[PLZ],MATCH(Tabella8[[#This Row],[Colonna2]],Tabella9[Ortschaftsname],0)), "Name not found")</f>
        <v>1981</v>
      </c>
      <c r="G2087" s="103"/>
      <c r="H2087" s="240">
        <f ca="1">SUMIF(Tabella2[[#Headers],[#Data],[Age]],$H$76,Tabella2[[#Headers],[#Data],[Federal taxes]])</f>
        <v>6804.3246087429152</v>
      </c>
      <c r="I2087" s="240">
        <f ca="1">SUMIF(Tabella13[Age],$H$76,Tabella13[VS Canton])*Tabella8[[#This Row],[Colonna3]]/100</f>
        <v>19761.330201639033</v>
      </c>
      <c r="J2087" s="240">
        <f ca="1">Tabella8[[#This Row],[Colonna7]]*Tabella8[[#This Row],[Colonna4]]/100</f>
        <v>25689.729262130746</v>
      </c>
    </row>
    <row r="2088" spans="2:10">
      <c r="B2088" s="92" t="s">
        <v>159</v>
      </c>
      <c r="C2088" s="91" t="s">
        <v>945</v>
      </c>
      <c r="D2088" s="93">
        <v>100</v>
      </c>
      <c r="E2088" s="93">
        <v>120</v>
      </c>
      <c r="F2088" s="103">
        <f>IFERROR(INDEX(Tabella9[PLZ],MATCH(Tabella8[[#This Row],[Colonna2]],Tabella9[Ortschaftsname],0)), "Name not found")</f>
        <v>1993</v>
      </c>
      <c r="G2088" s="103"/>
      <c r="H2088" s="240">
        <f ca="1">SUMIF(Tabella2[[#Headers],[#Data],[Age]],$H$76,Tabella2[[#Headers],[#Data],[Federal taxes]])</f>
        <v>6804.3246087429152</v>
      </c>
      <c r="I2088" s="240">
        <f ca="1">SUMIF(Tabella13[Age],$H$76,Tabella13[VS Canton])*Tabella8[[#This Row],[Colonna3]]/100</f>
        <v>19761.330201639033</v>
      </c>
      <c r="J2088" s="240">
        <f ca="1">Tabella8[[#This Row],[Colonna7]]*Tabella8[[#This Row],[Colonna4]]/100</f>
        <v>23713.596241966839</v>
      </c>
    </row>
    <row r="2089" spans="2:10">
      <c r="B2089" s="92" t="s">
        <v>159</v>
      </c>
      <c r="C2089" s="91" t="s">
        <v>887</v>
      </c>
      <c r="D2089" s="93">
        <v>100</v>
      </c>
      <c r="E2089" s="93">
        <v>110</v>
      </c>
      <c r="F2089" s="103">
        <f>IFERROR(INDEX(Tabella9[PLZ],MATCH(Tabella8[[#This Row],[Colonna2]],Tabella9[Ortschaftsname],0)), "Name not found")</f>
        <v>1895</v>
      </c>
      <c r="G2089" s="103"/>
      <c r="H2089" s="240">
        <f ca="1">SUMIF(Tabella2[[#Headers],[#Data],[Age]],$H$76,Tabella2[[#Headers],[#Data],[Federal taxes]])</f>
        <v>6804.3246087429152</v>
      </c>
      <c r="I2089" s="240">
        <f ca="1">SUMIF(Tabella13[Age],$H$76,Tabella13[VS Canton])*Tabella8[[#This Row],[Colonna3]]/100</f>
        <v>19761.330201639033</v>
      </c>
      <c r="J2089" s="240">
        <f ca="1">Tabella8[[#This Row],[Colonna7]]*Tabella8[[#This Row],[Colonna4]]/100</f>
        <v>21737.463221802936</v>
      </c>
    </row>
    <row r="2090" spans="2:10">
      <c r="B2090" s="92" t="s">
        <v>159</v>
      </c>
      <c r="C2090" s="91" t="s">
        <v>866</v>
      </c>
      <c r="D2090" s="93">
        <v>100</v>
      </c>
      <c r="E2090" s="93">
        <v>110</v>
      </c>
      <c r="F2090" s="103">
        <f>IFERROR(INDEX(Tabella9[PLZ],MATCH(Tabella8[[#This Row],[Colonna2]],Tabella9[Ortschaftsname],0)), "Name not found")</f>
        <v>3930</v>
      </c>
      <c r="G2090" s="103"/>
      <c r="H2090" s="240">
        <f ca="1">SUMIF(Tabella2[[#Headers],[#Data],[Age]],$H$76,Tabella2[[#Headers],[#Data],[Federal taxes]])</f>
        <v>6804.3246087429152</v>
      </c>
      <c r="I2090" s="240">
        <f ca="1">SUMIF(Tabella13[Age],$H$76,Tabella13[VS Canton])*Tabella8[[#This Row],[Colonna3]]/100</f>
        <v>19761.330201639033</v>
      </c>
      <c r="J2090" s="240">
        <f ca="1">Tabella8[[#This Row],[Colonna7]]*Tabella8[[#This Row],[Colonna4]]/100</f>
        <v>21737.463221802936</v>
      </c>
    </row>
    <row r="2091" spans="2:10">
      <c r="B2091" s="92" t="s">
        <v>159</v>
      </c>
      <c r="C2091" s="91" t="s">
        <v>911</v>
      </c>
      <c r="D2091" s="93">
        <v>100</v>
      </c>
      <c r="E2091" s="93">
        <v>130</v>
      </c>
      <c r="F2091" s="103">
        <f>IFERROR(INDEX(Tabella9[PLZ],MATCH(Tabella8[[#This Row],[Colonna2]],Tabella9[Ortschaftsname],0)), "Name not found")</f>
        <v>3932</v>
      </c>
      <c r="G2091" s="103"/>
      <c r="H2091" s="240">
        <f ca="1">SUMIF(Tabella2[[#Headers],[#Data],[Age]],$H$76,Tabella2[[#Headers],[#Data],[Federal taxes]])</f>
        <v>6804.3246087429152</v>
      </c>
      <c r="I2091" s="240">
        <f ca="1">SUMIF(Tabella13[Age],$H$76,Tabella13[VS Canton])*Tabella8[[#This Row],[Colonna3]]/100</f>
        <v>19761.330201639033</v>
      </c>
      <c r="J2091" s="240">
        <f ca="1">Tabella8[[#This Row],[Colonna7]]*Tabella8[[#This Row],[Colonna4]]/100</f>
        <v>25689.729262130746</v>
      </c>
    </row>
    <row r="2092" spans="2:10">
      <c r="B2092" s="92" t="s">
        <v>159</v>
      </c>
      <c r="C2092" s="91" t="s">
        <v>875</v>
      </c>
      <c r="D2092" s="93">
        <v>100</v>
      </c>
      <c r="E2092" s="93">
        <v>125</v>
      </c>
      <c r="F2092" s="103">
        <f>IFERROR(INDEX(Tabella9[PLZ],MATCH(Tabella8[[#This Row],[Colonna2]],Tabella9[Ortschaftsname],0)), "Name not found")</f>
        <v>1896</v>
      </c>
      <c r="G2092" s="103"/>
      <c r="H2092" s="240">
        <f ca="1">SUMIF(Tabella2[[#Headers],[#Data],[Age]],$H$76,Tabella2[[#Headers],[#Data],[Federal taxes]])</f>
        <v>6804.3246087429152</v>
      </c>
      <c r="I2092" s="240">
        <f ca="1">SUMIF(Tabella13[Age],$H$76,Tabella13[VS Canton])*Tabella8[[#This Row],[Colonna3]]/100</f>
        <v>19761.330201639033</v>
      </c>
      <c r="J2092" s="240">
        <f ca="1">Tabella8[[#This Row],[Colonna7]]*Tabella8[[#This Row],[Colonna4]]/100</f>
        <v>24701.662752048793</v>
      </c>
    </row>
    <row r="2093" spans="2:10">
      <c r="B2093" s="92" t="s">
        <v>159</v>
      </c>
      <c r="C2093" s="91" t="s">
        <v>937</v>
      </c>
      <c r="D2093" s="93">
        <v>100</v>
      </c>
      <c r="E2093" s="93">
        <v>130</v>
      </c>
      <c r="F2093" s="103">
        <f>IFERROR(INDEX(Tabella9[PLZ],MATCH(Tabella8[[#This Row],[Colonna2]],Tabella9[Ortschaftsname],0)), "Name not found")</f>
        <v>1891</v>
      </c>
      <c r="G2093" s="103"/>
      <c r="H2093" s="240">
        <f ca="1">SUMIF(Tabella2[[#Headers],[#Data],[Age]],$H$76,Tabella2[[#Headers],[#Data],[Federal taxes]])</f>
        <v>6804.3246087429152</v>
      </c>
      <c r="I2093" s="240">
        <f ca="1">SUMIF(Tabella13[Age],$H$76,Tabella13[VS Canton])*Tabella8[[#This Row],[Colonna3]]/100</f>
        <v>19761.330201639033</v>
      </c>
      <c r="J2093" s="240">
        <f ca="1">Tabella8[[#This Row],[Colonna7]]*Tabella8[[#This Row],[Colonna4]]/100</f>
        <v>25689.729262130746</v>
      </c>
    </row>
    <row r="2094" spans="2:10">
      <c r="B2094" s="92" t="s">
        <v>159</v>
      </c>
      <c r="C2094" s="91" t="s">
        <v>869</v>
      </c>
      <c r="D2094" s="93">
        <v>100</v>
      </c>
      <c r="E2094" s="93">
        <v>115</v>
      </c>
      <c r="F2094" s="103">
        <f>IFERROR(INDEX(Tabella9[PLZ],MATCH(Tabella8[[#This Row],[Colonna2]],Tabella9[Ortschaftsname],0)), "Name not found")</f>
        <v>1963</v>
      </c>
      <c r="G2094" s="103"/>
      <c r="H2094" s="240">
        <f ca="1">SUMIF(Tabella2[[#Headers],[#Data],[Age]],$H$76,Tabella2[[#Headers],[#Data],[Federal taxes]])</f>
        <v>6804.3246087429152</v>
      </c>
      <c r="I2094" s="240">
        <f ca="1">SUMIF(Tabella13[Age],$H$76,Tabella13[VS Canton])*Tabella8[[#This Row],[Colonna3]]/100</f>
        <v>19761.330201639033</v>
      </c>
      <c r="J2094" s="240">
        <f ca="1">Tabella8[[#This Row],[Colonna7]]*Tabella8[[#This Row],[Colonna4]]/100</f>
        <v>22725.529731884886</v>
      </c>
    </row>
    <row r="2095" spans="2:10">
      <c r="B2095" s="92" t="s">
        <v>159</v>
      </c>
      <c r="C2095" s="91" t="s">
        <v>946</v>
      </c>
      <c r="D2095" s="93">
        <v>100</v>
      </c>
      <c r="E2095" s="93">
        <v>140</v>
      </c>
      <c r="F2095" s="103">
        <f>IFERROR(INDEX(Tabella9[PLZ],MATCH(Tabella8[[#This Row],[Colonna2]],Tabella9[Ortschaftsname],0)), "Name not found")</f>
        <v>3918</v>
      </c>
      <c r="G2095" s="103"/>
      <c r="H2095" s="240">
        <f ca="1">SUMIF(Tabella2[[#Headers],[#Data],[Age]],$H$76,Tabella2[[#Headers],[#Data],[Federal taxes]])</f>
        <v>6804.3246087429152</v>
      </c>
      <c r="I2095" s="240">
        <f ca="1">SUMIF(Tabella13[Age],$H$76,Tabella13[VS Canton])*Tabella8[[#This Row],[Colonna3]]/100</f>
        <v>19761.330201639033</v>
      </c>
      <c r="J2095" s="240">
        <f ca="1">Tabella8[[#This Row],[Colonna7]]*Tabella8[[#This Row],[Colonna4]]/100</f>
        <v>27665.862282294645</v>
      </c>
    </row>
    <row r="2096" spans="2:10">
      <c r="B2096" s="92" t="s">
        <v>159</v>
      </c>
      <c r="C2096" s="91" t="s">
        <v>969</v>
      </c>
      <c r="D2096" s="93">
        <v>100</v>
      </c>
      <c r="E2096" s="93">
        <v>130</v>
      </c>
      <c r="F2096" s="103">
        <f>IFERROR(INDEX(Tabella9[PLZ],MATCH(Tabella8[[#This Row],[Colonna2]],Tabella9[Ortschaftsname],0)), "Name not found")</f>
        <v>3934</v>
      </c>
      <c r="G2096" s="103"/>
      <c r="H2096" s="240">
        <f ca="1">SUMIF(Tabella2[[#Headers],[#Data],[Age]],$H$76,Tabella2[[#Headers],[#Data],[Federal taxes]])</f>
        <v>6804.3246087429152</v>
      </c>
      <c r="I2096" s="240">
        <f ca="1">SUMIF(Tabella13[Age],$H$76,Tabella13[VS Canton])*Tabella8[[#This Row],[Colonna3]]/100</f>
        <v>19761.330201639033</v>
      </c>
      <c r="J2096" s="240">
        <f ca="1">Tabella8[[#This Row],[Colonna7]]*Tabella8[[#This Row],[Colonna4]]/100</f>
        <v>25689.729262130746</v>
      </c>
    </row>
    <row r="2097" spans="2:10">
      <c r="B2097" s="92" t="s">
        <v>159</v>
      </c>
      <c r="C2097" s="91" t="s">
        <v>871</v>
      </c>
      <c r="D2097" s="93">
        <v>100</v>
      </c>
      <c r="E2097" s="93">
        <v>110</v>
      </c>
      <c r="F2097" s="103">
        <f>IFERROR(INDEX(Tabella9[PLZ],MATCH(Tabella8[[#This Row],[Colonna2]],Tabella9[Ortschaftsname],0)), "Name not found")</f>
        <v>3920</v>
      </c>
      <c r="G2097" s="103"/>
      <c r="H2097" s="240">
        <f ca="1">SUMIF(Tabella2[[#Headers],[#Data],[Age]],$H$76,Tabella2[[#Headers],[#Data],[Federal taxes]])</f>
        <v>6804.3246087429152</v>
      </c>
      <c r="I2097" s="240">
        <f ca="1">SUMIF(Tabella13[Age],$H$76,Tabella13[VS Canton])*Tabella8[[#This Row],[Colonna3]]/100</f>
        <v>19761.330201639033</v>
      </c>
      <c r="J2097" s="240">
        <f ca="1">Tabella8[[#This Row],[Colonna7]]*Tabella8[[#This Row],[Colonna4]]/100</f>
        <v>21737.463221802936</v>
      </c>
    </row>
    <row r="2098" spans="2:10">
      <c r="B2098" s="92" t="s">
        <v>159</v>
      </c>
      <c r="C2098" s="91" t="s">
        <v>979</v>
      </c>
      <c r="D2098" s="93">
        <v>100</v>
      </c>
      <c r="E2098" s="93">
        <v>100</v>
      </c>
      <c r="F2098" s="103">
        <v>3907</v>
      </c>
      <c r="G2098" s="103"/>
      <c r="H2098" s="240">
        <f ca="1">SUMIF(Tabella2[[#Headers],[#Data],[Age]],$H$76,Tabella2[[#Headers],[#Data],[Federal taxes]])</f>
        <v>6804.3246087429152</v>
      </c>
      <c r="I2098" s="240">
        <f ca="1">SUMIF(Tabella13[Age],$H$76,Tabella13[VS Canton])*Tabella8[[#This Row],[Colonna3]]/100</f>
        <v>19761.330201639033</v>
      </c>
      <c r="J2098" s="240">
        <f ca="1">Tabella8[[#This Row],[Colonna7]]*Tabella8[[#This Row],[Colonna4]]/100</f>
        <v>19761.330201639033</v>
      </c>
    </row>
    <row r="2099" spans="2:10">
      <c r="B2099" s="92" t="s">
        <v>153</v>
      </c>
      <c r="C2099" s="91" t="s">
        <v>1351</v>
      </c>
      <c r="D2099" s="93">
        <v>125</v>
      </c>
      <c r="E2099" s="93">
        <v>68</v>
      </c>
      <c r="F2099" s="103">
        <f>IFERROR(INDEX(Tabella9[PLZ],MATCH(Tabella8[[#This Row],[Colonna2]],Tabella9[Ortschaftsname],0)), "Name not found")</f>
        <v>2017</v>
      </c>
      <c r="G2099" s="103"/>
      <c r="H2099" s="240">
        <f ca="1">SUMIF(Tabella2[[#Headers],[#Data],[Age]],$H$76,Tabella2[[#Headers],[#Data],[Federal taxes]])</f>
        <v>6804.3246087429152</v>
      </c>
      <c r="I2099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099" s="240">
        <f ca="1">Tabella8[[#This Row],[Colonna7]]*Tabella8[[#This Row],[Colonna4]]/100</f>
        <v>15167.082560467457</v>
      </c>
    </row>
    <row r="2100" spans="2:10">
      <c r="B2100" s="92" t="s">
        <v>153</v>
      </c>
      <c r="C2100" s="91" t="s">
        <v>1373</v>
      </c>
      <c r="D2100" s="93">
        <v>125</v>
      </c>
      <c r="E2100" s="93">
        <v>75</v>
      </c>
      <c r="F2100" s="103">
        <f>IFERROR(INDEX(Tabella9[PLZ],MATCH(Tabella8[[#This Row],[Colonna2]],Tabella9[Ortschaftsname],0)), "Name not found")</f>
        <v>2318</v>
      </c>
      <c r="G2100" s="103"/>
      <c r="H2100" s="240">
        <f ca="1">SUMIF(Tabella2[[#Headers],[#Data],[Age]],$H$76,Tabella2[[#Headers],[#Data],[Federal taxes]])</f>
        <v>6804.3246087429152</v>
      </c>
      <c r="I2100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0" s="240">
        <f ca="1">Tabella8[[#This Row],[Colonna7]]*Tabella8[[#This Row],[Colonna4]]/100</f>
        <v>16728.399882868518</v>
      </c>
    </row>
    <row r="2101" spans="2:10">
      <c r="B2101" s="92" t="s">
        <v>153</v>
      </c>
      <c r="C2101" s="91" t="s">
        <v>1360</v>
      </c>
      <c r="D2101" s="93">
        <v>125</v>
      </c>
      <c r="E2101" s="93">
        <v>74</v>
      </c>
      <c r="F2101" s="103">
        <v>2087</v>
      </c>
      <c r="G2101" s="103"/>
      <c r="H2101" s="240">
        <f ca="1">SUMIF(Tabella2[[#Headers],[#Data],[Age]],$H$76,Tabella2[[#Headers],[#Data],[Federal taxes]])</f>
        <v>6804.3246087429152</v>
      </c>
      <c r="I2101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1" s="240">
        <f ca="1">Tabella8[[#This Row],[Colonna7]]*Tabella8[[#This Row],[Colonna4]]/100</f>
        <v>16505.354551096938</v>
      </c>
    </row>
    <row r="2102" spans="2:10">
      <c r="B2102" s="92" t="s">
        <v>153</v>
      </c>
      <c r="C2102" s="91" t="s">
        <v>1354</v>
      </c>
      <c r="D2102" s="93">
        <v>125</v>
      </c>
      <c r="E2102" s="93">
        <v>66</v>
      </c>
      <c r="F2102" s="103">
        <f>IFERROR(INDEX(Tabella9[PLZ],MATCH(Tabella8[[#This Row],[Colonna2]],Tabella9[Ortschaftsname],0)), "Name not found")</f>
        <v>2016</v>
      </c>
      <c r="G2102" s="103"/>
      <c r="H2102" s="240">
        <f ca="1">SUMIF(Tabella2[[#Headers],[#Data],[Age]],$H$76,Tabella2[[#Headers],[#Data],[Federal taxes]])</f>
        <v>6804.3246087429152</v>
      </c>
      <c r="I2102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2" s="240">
        <f ca="1">Tabella8[[#This Row],[Colonna7]]*Tabella8[[#This Row],[Colonna4]]/100</f>
        <v>14720.991896924295</v>
      </c>
    </row>
    <row r="2103" spans="2:10">
      <c r="B2103" s="92" t="s">
        <v>153</v>
      </c>
      <c r="C2103" s="91" t="s">
        <v>1359</v>
      </c>
      <c r="D2103" s="93">
        <v>125</v>
      </c>
      <c r="E2103" s="93">
        <v>77</v>
      </c>
      <c r="F2103" s="103">
        <v>2088</v>
      </c>
      <c r="G2103" s="103"/>
      <c r="H2103" s="240">
        <f ca="1">SUMIF(Tabella2[[#Headers],[#Data],[Age]],$H$76,Tabella2[[#Headers],[#Data],[Federal taxes]])</f>
        <v>6804.3246087429152</v>
      </c>
      <c r="I2103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3" s="240">
        <f ca="1">Tabella8[[#This Row],[Colonna7]]*Tabella8[[#This Row],[Colonna4]]/100</f>
        <v>17174.490546411678</v>
      </c>
    </row>
    <row r="2104" spans="2:10">
      <c r="B2104" s="92" t="s">
        <v>153</v>
      </c>
      <c r="C2104" s="91" t="s">
        <v>1372</v>
      </c>
      <c r="D2104" s="93">
        <v>125</v>
      </c>
      <c r="E2104" s="93">
        <v>79</v>
      </c>
      <c r="F2104" s="103">
        <f>IFERROR(INDEX(Tabella9[PLZ],MATCH(Tabella8[[#This Row],[Colonna2]],Tabella9[Ortschaftsname],0)), "Name not found")</f>
        <v>2073</v>
      </c>
      <c r="G2104" s="103"/>
      <c r="H2104" s="240">
        <f ca="1">SUMIF(Tabella2[[#Headers],[#Data],[Age]],$H$76,Tabella2[[#Headers],[#Data],[Federal taxes]])</f>
        <v>6804.3246087429152</v>
      </c>
      <c r="I2104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4" s="240">
        <f ca="1">Tabella8[[#This Row],[Colonna7]]*Tabella8[[#This Row],[Colonna4]]/100</f>
        <v>17620.581209954838</v>
      </c>
    </row>
    <row r="2105" spans="2:10">
      <c r="B2105" s="92" t="s">
        <v>153</v>
      </c>
      <c r="C2105" s="91" t="s">
        <v>1358</v>
      </c>
      <c r="D2105" s="93">
        <v>125</v>
      </c>
      <c r="E2105" s="93">
        <v>70</v>
      </c>
      <c r="F2105" s="103">
        <v>2068</v>
      </c>
      <c r="G2105" s="103"/>
      <c r="H2105" s="240">
        <f ca="1">SUMIF(Tabella2[[#Headers],[#Data],[Age]],$H$76,Tabella2[[#Headers],[#Data],[Federal taxes]])</f>
        <v>6804.3246087429152</v>
      </c>
      <c r="I2105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5" s="240">
        <f ca="1">Tabella8[[#This Row],[Colonna7]]*Tabella8[[#This Row],[Colonna4]]/100</f>
        <v>15613.173224010616</v>
      </c>
    </row>
    <row r="2106" spans="2:10">
      <c r="B2106" s="92" t="s">
        <v>153</v>
      </c>
      <c r="C2106" s="91" t="s">
        <v>1367</v>
      </c>
      <c r="D2106" s="93">
        <v>125</v>
      </c>
      <c r="E2106" s="93">
        <v>75</v>
      </c>
      <c r="F2106" s="103">
        <f>IFERROR(INDEX(Tabella9[PLZ],MATCH(Tabella8[[#This Row],[Colonna2]],Tabella9[Ortschaftsname],0)), "Name not found")</f>
        <v>2406</v>
      </c>
      <c r="G2106" s="103"/>
      <c r="H2106" s="240">
        <f ca="1">SUMIF(Tabella2[[#Headers],[#Data],[Age]],$H$76,Tabella2[[#Headers],[#Data],[Federal taxes]])</f>
        <v>6804.3246087429152</v>
      </c>
      <c r="I2106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6" s="240">
        <f ca="1">Tabella8[[#This Row],[Colonna7]]*Tabella8[[#This Row],[Colonna4]]/100</f>
        <v>16728.399882868518</v>
      </c>
    </row>
    <row r="2107" spans="2:10">
      <c r="B2107" s="92" t="s">
        <v>153</v>
      </c>
      <c r="C2107" s="91" t="s">
        <v>1344</v>
      </c>
      <c r="D2107" s="93">
        <v>125</v>
      </c>
      <c r="E2107" s="93">
        <v>75</v>
      </c>
      <c r="F2107" s="103">
        <f>IFERROR(INDEX(Tabella9[PLZ],MATCH(Tabella8[[#This Row],[Colonna2]],Tabella9[Ortschaftsname],0)), "Name not found")</f>
        <v>2300</v>
      </c>
      <c r="G2107" s="103"/>
      <c r="H2107" s="240">
        <f ca="1">SUMIF(Tabella2[[#Headers],[#Data],[Age]],$H$76,Tabella2[[#Headers],[#Data],[Federal taxes]])</f>
        <v>6804.3246087429152</v>
      </c>
      <c r="I2107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7" s="240">
        <f ca="1">Tabella8[[#This Row],[Colonna7]]*Tabella8[[#This Row],[Colonna4]]/100</f>
        <v>16728.399882868518</v>
      </c>
    </row>
    <row r="2108" spans="2:10">
      <c r="B2108" s="92" t="s">
        <v>153</v>
      </c>
      <c r="C2108" s="91" t="s">
        <v>1369</v>
      </c>
      <c r="D2108" s="93">
        <v>125</v>
      </c>
      <c r="E2108" s="93">
        <v>75</v>
      </c>
      <c r="F2108" s="103">
        <f>IFERROR(INDEX(Tabella9[PLZ],MATCH(Tabella8[[#This Row],[Colonna2]],Tabella9[Ortschaftsname],0)), "Name not found")</f>
        <v>2405</v>
      </c>
      <c r="G2108" s="103"/>
      <c r="H2108" s="240">
        <f ca="1">SUMIF(Tabella2[[#Headers],[#Data],[Age]],$H$76,Tabella2[[#Headers],[#Data],[Federal taxes]])</f>
        <v>6804.3246087429152</v>
      </c>
      <c r="I2108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8" s="240">
        <f ca="1">Tabella8[[#This Row],[Colonna7]]*Tabella8[[#This Row],[Colonna4]]/100</f>
        <v>16728.399882868518</v>
      </c>
    </row>
    <row r="2109" spans="2:10">
      <c r="B2109" s="92" t="s">
        <v>153</v>
      </c>
      <c r="C2109" s="91" t="s">
        <v>1370</v>
      </c>
      <c r="D2109" s="93">
        <v>125</v>
      </c>
      <c r="E2109" s="93">
        <v>75</v>
      </c>
      <c r="F2109" s="103">
        <f>IFERROR(INDEX(Tabella9[PLZ],MATCH(Tabella8[[#This Row],[Colonna2]],Tabella9[Ortschaftsname],0)), "Name not found")</f>
        <v>2117</v>
      </c>
      <c r="G2109" s="103"/>
      <c r="H2109" s="240">
        <f ca="1">SUMIF(Tabella2[[#Headers],[#Data],[Age]],$H$76,Tabella2[[#Headers],[#Data],[Federal taxes]])</f>
        <v>6804.3246087429152</v>
      </c>
      <c r="I2109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09" s="240">
        <f ca="1">Tabella8[[#This Row],[Colonna7]]*Tabella8[[#This Row],[Colonna4]]/100</f>
        <v>16728.399882868518</v>
      </c>
    </row>
    <row r="2110" spans="2:10">
      <c r="B2110" s="92" t="s">
        <v>153</v>
      </c>
      <c r="C2110" s="91" t="s">
        <v>2691</v>
      </c>
      <c r="D2110" s="93">
        <v>125</v>
      </c>
      <c r="E2110" s="93">
        <v>63</v>
      </c>
      <c r="F2110" s="103">
        <v>2024</v>
      </c>
      <c r="G2110" s="103"/>
      <c r="H2110" s="240">
        <f ca="1">SUMIF(Tabella2[[#Headers],[#Data],[Age]],$H$76,Tabella2[[#Headers],[#Data],[Federal taxes]])</f>
        <v>6804.3246087429152</v>
      </c>
      <c r="I2110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0" s="240">
        <f ca="1">Tabella8[[#This Row],[Colonna7]]*Tabella8[[#This Row],[Colonna4]]/100</f>
        <v>14051.855901609555</v>
      </c>
    </row>
    <row r="2111" spans="2:10">
      <c r="B2111" s="92" t="s">
        <v>153</v>
      </c>
      <c r="C2111" s="91" t="s">
        <v>1364</v>
      </c>
      <c r="D2111" s="93">
        <v>125</v>
      </c>
      <c r="E2111" s="93">
        <v>75</v>
      </c>
      <c r="F2111" s="103">
        <v>2314</v>
      </c>
      <c r="G2111" s="103"/>
      <c r="H2111" s="240">
        <f ca="1">SUMIF(Tabella2[[#Headers],[#Data],[Age]],$H$76,Tabella2[[#Headers],[#Data],[Federal taxes]])</f>
        <v>6804.3246087429152</v>
      </c>
      <c r="I2111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1" s="240">
        <f ca="1">Tabella8[[#This Row],[Colonna7]]*Tabella8[[#This Row],[Colonna4]]/100</f>
        <v>16728.399882868518</v>
      </c>
    </row>
    <row r="2112" spans="2:10">
      <c r="B2112" s="92" t="s">
        <v>153</v>
      </c>
      <c r="C2112" s="91" t="s">
        <v>1353</v>
      </c>
      <c r="D2112" s="93">
        <v>125</v>
      </c>
      <c r="E2112" s="93">
        <v>69</v>
      </c>
      <c r="F2112" s="103">
        <v>2074</v>
      </c>
      <c r="G2112" s="103"/>
      <c r="H2112" s="240">
        <f ca="1">SUMIF(Tabella2[[#Headers],[#Data],[Age]],$H$76,Tabella2[[#Headers],[#Data],[Federal taxes]])</f>
        <v>6804.3246087429152</v>
      </c>
      <c r="I2112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2" s="240">
        <f ca="1">Tabella8[[#This Row],[Colonna7]]*Tabella8[[#This Row],[Colonna4]]/100</f>
        <v>15390.127892239036</v>
      </c>
    </row>
    <row r="2113" spans="2:10">
      <c r="B2113" s="92" t="s">
        <v>153</v>
      </c>
      <c r="C2113" s="91" t="s">
        <v>1371</v>
      </c>
      <c r="D2113" s="93">
        <v>125</v>
      </c>
      <c r="E2113" s="93">
        <v>75</v>
      </c>
      <c r="F2113" s="103">
        <f>IFERROR(INDEX(Tabella9[PLZ],MATCH(Tabella8[[#This Row],[Colonna2]],Tabella9[Ortschaftsname],0)), "Name not found")</f>
        <v>2414</v>
      </c>
      <c r="G2113" s="103"/>
      <c r="H2113" s="240">
        <f ca="1">SUMIF(Tabella2[[#Headers],[#Data],[Age]],$H$76,Tabella2[[#Headers],[#Data],[Federal taxes]])</f>
        <v>6804.3246087429152</v>
      </c>
      <c r="I2113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3" s="240">
        <f ca="1">Tabella8[[#This Row],[Colonna7]]*Tabella8[[#This Row],[Colonna4]]/100</f>
        <v>16728.399882868518</v>
      </c>
    </row>
    <row r="2114" spans="2:10">
      <c r="B2114" s="92" t="s">
        <v>153</v>
      </c>
      <c r="C2114" s="91" t="s">
        <v>1356</v>
      </c>
      <c r="D2114" s="93">
        <v>125</v>
      </c>
      <c r="E2114" s="93">
        <v>66</v>
      </c>
      <c r="F2114" s="103">
        <f>IFERROR(INDEX(Tabella9[PLZ],MATCH(Tabella8[[#This Row],[Colonna2]],Tabella9[Ortschaftsname],0)), "Name not found")</f>
        <v>2525</v>
      </c>
      <c r="G2114" s="103"/>
      <c r="H2114" s="240">
        <f ca="1">SUMIF(Tabella2[[#Headers],[#Data],[Age]],$H$76,Tabella2[[#Headers],[#Data],[Federal taxes]])</f>
        <v>6804.3246087429152</v>
      </c>
      <c r="I2114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4" s="240">
        <f ca="1">Tabella8[[#This Row],[Colonna7]]*Tabella8[[#This Row],[Colonna4]]/100</f>
        <v>14720.991896924295</v>
      </c>
    </row>
    <row r="2115" spans="2:10">
      <c r="B2115" s="92" t="s">
        <v>153</v>
      </c>
      <c r="C2115" s="91" t="s">
        <v>1348</v>
      </c>
      <c r="D2115" s="93">
        <v>125</v>
      </c>
      <c r="E2115" s="93">
        <v>69</v>
      </c>
      <c r="F2115" s="103">
        <f>IFERROR(INDEX(Tabella9[PLZ],MATCH(Tabella8[[#This Row],[Colonna2]],Tabella9[Ortschaftsname],0)), "Name not found")</f>
        <v>2400</v>
      </c>
      <c r="G2115" s="103"/>
      <c r="H2115" s="240">
        <f ca="1">SUMIF(Tabella2[[#Headers],[#Data],[Age]],$H$76,Tabella2[[#Headers],[#Data],[Federal taxes]])</f>
        <v>6804.3246087429152</v>
      </c>
      <c r="I2115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5" s="240">
        <f ca="1">Tabella8[[#This Row],[Colonna7]]*Tabella8[[#This Row],[Colonna4]]/100</f>
        <v>15390.127892239036</v>
      </c>
    </row>
    <row r="2116" spans="2:10">
      <c r="B2116" s="92" t="s">
        <v>153</v>
      </c>
      <c r="C2116" s="91" t="s">
        <v>1374</v>
      </c>
      <c r="D2116" s="93">
        <v>125</v>
      </c>
      <c r="E2116" s="93">
        <v>78</v>
      </c>
      <c r="F2116" s="103">
        <f>IFERROR(INDEX(Tabella9[PLZ],MATCH(Tabella8[[#This Row],[Colonna2]],Tabella9[Ortschaftsname],0)), "Name not found")</f>
        <v>2325</v>
      </c>
      <c r="G2116" s="103"/>
      <c r="H2116" s="240">
        <f ca="1">SUMIF(Tabella2[[#Headers],[#Data],[Age]],$H$76,Tabella2[[#Headers],[#Data],[Federal taxes]])</f>
        <v>6804.3246087429152</v>
      </c>
      <c r="I2116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6" s="240">
        <f ca="1">Tabella8[[#This Row],[Colonna7]]*Tabella8[[#This Row],[Colonna4]]/100</f>
        <v>17397.535878183258</v>
      </c>
    </row>
    <row r="2117" spans="2:10">
      <c r="B2117" s="92" t="s">
        <v>153</v>
      </c>
      <c r="C2117" s="91" t="s">
        <v>1361</v>
      </c>
      <c r="D2117" s="93">
        <v>125</v>
      </c>
      <c r="E2117" s="93">
        <v>75</v>
      </c>
      <c r="F2117" s="103">
        <f>IFERROR(INDEX(Tabella9[PLZ],MATCH(Tabella8[[#This Row],[Colonna2]],Tabella9[Ortschaftsname],0)), "Name not found")</f>
        <v>2316</v>
      </c>
      <c r="G2117" s="103"/>
      <c r="H2117" s="240">
        <f ca="1">SUMIF(Tabella2[[#Headers],[#Data],[Age]],$H$76,Tabella2[[#Headers],[#Data],[Federal taxes]])</f>
        <v>6804.3246087429152</v>
      </c>
      <c r="I2117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7" s="240">
        <f ca="1">Tabella8[[#This Row],[Colonna7]]*Tabella8[[#This Row],[Colonna4]]/100</f>
        <v>16728.399882868518</v>
      </c>
    </row>
    <row r="2118" spans="2:10">
      <c r="B2118" s="92" t="s">
        <v>153</v>
      </c>
      <c r="C2118" s="91" t="s">
        <v>1366</v>
      </c>
      <c r="D2118" s="93">
        <v>125</v>
      </c>
      <c r="E2118" s="93">
        <v>79</v>
      </c>
      <c r="F2118" s="103">
        <f>IFERROR(INDEX(Tabella9[PLZ],MATCH(Tabella8[[#This Row],[Colonna2]],Tabella9[Ortschaftsname],0)), "Name not found")</f>
        <v>2126</v>
      </c>
      <c r="G2118" s="103"/>
      <c r="H2118" s="240">
        <f ca="1">SUMIF(Tabella2[[#Headers],[#Data],[Age]],$H$76,Tabella2[[#Headers],[#Data],[Federal taxes]])</f>
        <v>6804.3246087429152</v>
      </c>
      <c r="I2118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8" s="240">
        <f ca="1">Tabella8[[#This Row],[Colonna7]]*Tabella8[[#This Row],[Colonna4]]/100</f>
        <v>17620.581209954838</v>
      </c>
    </row>
    <row r="2119" spans="2:10">
      <c r="B2119" s="92" t="s">
        <v>153</v>
      </c>
      <c r="C2119" s="91" t="s">
        <v>1365</v>
      </c>
      <c r="D2119" s="93">
        <v>125</v>
      </c>
      <c r="E2119" s="93">
        <v>77</v>
      </c>
      <c r="F2119" s="103">
        <f>IFERROR(INDEX(Tabella9[PLZ],MATCH(Tabella8[[#This Row],[Colonna2]],Tabella9[Ortschaftsname],0)), "Name not found")</f>
        <v>2523</v>
      </c>
      <c r="G2119" s="103"/>
      <c r="H2119" s="240">
        <f ca="1">SUMIF(Tabella2[[#Headers],[#Data],[Age]],$H$76,Tabella2[[#Headers],[#Data],[Federal taxes]])</f>
        <v>6804.3246087429152</v>
      </c>
      <c r="I2119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19" s="240">
        <f ca="1">Tabella8[[#This Row],[Colonna7]]*Tabella8[[#This Row],[Colonna4]]/100</f>
        <v>17174.490546411678</v>
      </c>
    </row>
    <row r="2120" spans="2:10">
      <c r="B2120" s="92" t="s">
        <v>153</v>
      </c>
      <c r="C2120" s="91" t="s">
        <v>1349</v>
      </c>
      <c r="D2120" s="93">
        <v>125</v>
      </c>
      <c r="E2120" s="93">
        <v>63</v>
      </c>
      <c r="F2120" s="103">
        <v>2013</v>
      </c>
      <c r="G2120" s="103"/>
      <c r="H2120" s="240">
        <f ca="1">SUMIF(Tabella2[[#Headers],[#Data],[Age]],$H$76,Tabella2[[#Headers],[#Data],[Federal taxes]])</f>
        <v>6804.3246087429152</v>
      </c>
      <c r="I2120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0" s="240">
        <f ca="1">Tabella8[[#This Row],[Colonna7]]*Tabella8[[#This Row],[Colonna4]]/100</f>
        <v>14051.855901609555</v>
      </c>
    </row>
    <row r="2121" spans="2:10">
      <c r="B2121" s="92" t="s">
        <v>153</v>
      </c>
      <c r="C2121" s="91" t="s">
        <v>1345</v>
      </c>
      <c r="D2121" s="93">
        <v>125</v>
      </c>
      <c r="E2121" s="93">
        <v>65</v>
      </c>
      <c r="F2121" s="103">
        <f>IFERROR(INDEX(Tabella9[PLZ],MATCH(Tabella8[[#This Row],[Colonna2]],Tabella9[Ortschaftsname],0)), "Name not found")</f>
        <v>2000</v>
      </c>
      <c r="G2121" s="103"/>
      <c r="H2121" s="240">
        <f ca="1">SUMIF(Tabella2[[#Headers],[#Data],[Age]],$H$76,Tabella2[[#Headers],[#Data],[Federal taxes]])</f>
        <v>6804.3246087429152</v>
      </c>
      <c r="I2121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1" s="240">
        <f ca="1">Tabella8[[#This Row],[Colonna7]]*Tabella8[[#This Row],[Colonna4]]/100</f>
        <v>14497.946565152717</v>
      </c>
    </row>
    <row r="2122" spans="2:10">
      <c r="B2122" s="92" t="s">
        <v>153</v>
      </c>
      <c r="C2122" s="91" t="s">
        <v>1362</v>
      </c>
      <c r="D2122" s="93">
        <v>125</v>
      </c>
      <c r="E2122" s="93">
        <v>67</v>
      </c>
      <c r="F2122" s="103">
        <f>IFERROR(INDEX(Tabella9[PLZ],MATCH(Tabella8[[#This Row],[Colonna2]],Tabella9[Ortschaftsname],0)), "Name not found")</f>
        <v>2019</v>
      </c>
      <c r="G2122" s="103"/>
      <c r="H2122" s="240">
        <f ca="1">SUMIF(Tabella2[[#Headers],[#Data],[Age]],$H$76,Tabella2[[#Headers],[#Data],[Federal taxes]])</f>
        <v>6804.3246087429152</v>
      </c>
      <c r="I2122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2" s="240">
        <f ca="1">Tabella8[[#This Row],[Colonna7]]*Tabella8[[#This Row],[Colonna4]]/100</f>
        <v>14944.037228695875</v>
      </c>
    </row>
    <row r="2123" spans="2:10">
      <c r="B2123" s="92" t="s">
        <v>153</v>
      </c>
      <c r="C2123" s="91" t="s">
        <v>1357</v>
      </c>
      <c r="D2123" s="93">
        <v>125</v>
      </c>
      <c r="E2123" s="93">
        <v>66</v>
      </c>
      <c r="F2123" s="103">
        <v>2072</v>
      </c>
      <c r="G2123" s="103"/>
      <c r="H2123" s="240">
        <f ca="1">SUMIF(Tabella2[[#Headers],[#Data],[Age]],$H$76,Tabella2[[#Headers],[#Data],[Federal taxes]])</f>
        <v>6804.3246087429152</v>
      </c>
      <c r="I2123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3" s="240">
        <f ca="1">Tabella8[[#This Row],[Colonna7]]*Tabella8[[#This Row],[Colonna4]]/100</f>
        <v>14720.991896924295</v>
      </c>
    </row>
    <row r="2124" spans="2:10">
      <c r="B2124" s="92" t="s">
        <v>153</v>
      </c>
      <c r="C2124" s="91" t="s">
        <v>1346</v>
      </c>
      <c r="D2124" s="93">
        <v>125</v>
      </c>
      <c r="E2124" s="93">
        <v>66</v>
      </c>
      <c r="F2124" s="103">
        <v>2053</v>
      </c>
      <c r="G2124" s="103"/>
      <c r="H2124" s="240">
        <f ca="1">SUMIF(Tabella2[[#Headers],[#Data],[Age]],$H$76,Tabella2[[#Headers],[#Data],[Federal taxes]])</f>
        <v>6804.3246087429152</v>
      </c>
      <c r="I2124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4" s="240">
        <f ca="1">Tabella8[[#This Row],[Colonna7]]*Tabella8[[#This Row],[Colonna4]]/100</f>
        <v>14720.991896924295</v>
      </c>
    </row>
    <row r="2125" spans="2:10">
      <c r="B2125" s="92" t="s">
        <v>153</v>
      </c>
      <c r="C2125" s="91" t="s">
        <v>1347</v>
      </c>
      <c r="D2125" s="93">
        <v>125</v>
      </c>
      <c r="E2125" s="93">
        <v>76</v>
      </c>
      <c r="F2125" s="103">
        <v>2114</v>
      </c>
      <c r="G2125" s="103"/>
      <c r="H2125" s="240">
        <f ca="1">SUMIF(Tabella2[[#Headers],[#Data],[Age]],$H$76,Tabella2[[#Headers],[#Data],[Federal taxes]])</f>
        <v>6804.3246087429152</v>
      </c>
      <c r="I2125" s="240">
        <f ca="1">IFERROR(INDEX(Tabella13[[TI]:[VS commun]], MATCH($H$76, Tabella13[Age], 0), MATCH(Tabella8[[#This Row],[Colonna1]], Tabella13[[#Headers], [TI]:[VS commun]], 0)), "Valore non trovato")*Tabella8[[#This Row],[Colonna3]]/100</f>
        <v>22304.533177158024</v>
      </c>
      <c r="J2125" s="240">
        <f ca="1">Tabella8[[#This Row],[Colonna7]]*Tabella8[[#This Row],[Colonna4]]/100</f>
        <v>16951.445214640098</v>
      </c>
    </row>
    <row r="2126" spans="2:10">
      <c r="B2126" s="92" t="s">
        <v>137</v>
      </c>
      <c r="C2126" s="91" t="s">
        <v>845</v>
      </c>
      <c r="D2126" s="93">
        <v>147.5</v>
      </c>
      <c r="E2126" s="93">
        <v>50</v>
      </c>
      <c r="F2126" s="103">
        <f>IFERROR(INDEX(Tabella9[PLZ],MATCH(Tabella8[[#This Row],[Colonna2]],Tabella9[Ortschaftsname],0)), "Name not found")</f>
        <v>1288</v>
      </c>
      <c r="G2126" s="103"/>
      <c r="H2126" s="240">
        <f ca="1">SUMIF(Tabella2[[#Headers],[#Data],[Age]],$H$76,Tabella2[[#Headers],[#Data],[Federal taxes]])</f>
        <v>6804.3246087429152</v>
      </c>
      <c r="I2126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26" s="240">
        <f ca="1">Tabella8[[#This Row],[Colonna7]]*Tabella8[[#This Row],[Colonna4]]/100</f>
        <v>13801.645648469672</v>
      </c>
    </row>
    <row r="2127" spans="2:10">
      <c r="B2127" s="92" t="s">
        <v>137</v>
      </c>
      <c r="C2127" s="91" t="s">
        <v>833</v>
      </c>
      <c r="D2127" s="93">
        <v>147.5</v>
      </c>
      <c r="E2127" s="93">
        <v>31</v>
      </c>
      <c r="F2127" s="103">
        <f>IFERROR(INDEX(Tabella9[PLZ],MATCH(Tabella8[[#This Row],[Colonna2]],Tabella9[Ortschaftsname],0)), "Name not found")</f>
        <v>1247</v>
      </c>
      <c r="G2127" s="103"/>
      <c r="H2127" s="240">
        <f ca="1">SUMIF(Tabella2[[#Headers],[#Data],[Age]],$H$76,Tabella2[[#Headers],[#Data],[Federal taxes]])</f>
        <v>6804.3246087429152</v>
      </c>
      <c r="I2127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27" s="240">
        <f ca="1">Tabella8[[#This Row],[Colonna7]]*Tabella8[[#This Row],[Colonna4]]/100</f>
        <v>8557.0203020511963</v>
      </c>
    </row>
    <row r="2128" spans="2:10">
      <c r="B2128" s="92" t="s">
        <v>137</v>
      </c>
      <c r="C2128" s="91" t="s">
        <v>840</v>
      </c>
      <c r="D2128" s="93">
        <v>147.5</v>
      </c>
      <c r="E2128" s="93">
        <v>51</v>
      </c>
      <c r="F2128" s="103">
        <f>IFERROR(INDEX(Tabella9[PLZ],MATCH(Tabella8[[#This Row],[Colonna2]],Tabella9[Ortschaftsname],0)), "Name not found")</f>
        <v>1237</v>
      </c>
      <c r="G2128" s="103"/>
      <c r="H2128" s="240">
        <f ca="1">SUMIF(Tabella2[[#Headers],[#Data],[Age]],$H$76,Tabella2[[#Headers],[#Data],[Federal taxes]])</f>
        <v>6804.3246087429152</v>
      </c>
      <c r="I2128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28" s="240">
        <f ca="1">Tabella8[[#This Row],[Colonna7]]*Tabella8[[#This Row],[Colonna4]]/100</f>
        <v>14077.678561439065</v>
      </c>
    </row>
    <row r="2129" spans="2:10">
      <c r="B2129" s="92" t="s">
        <v>137</v>
      </c>
      <c r="C2129" s="91" t="s">
        <v>843</v>
      </c>
      <c r="D2129" s="93">
        <v>147.5</v>
      </c>
      <c r="E2129" s="93">
        <v>50</v>
      </c>
      <c r="F2129" s="103">
        <v>1285</v>
      </c>
      <c r="G2129" s="103"/>
      <c r="H2129" s="240">
        <f ca="1">SUMIF(Tabella2[[#Headers],[#Data],[Age]],$H$76,Tabella2[[#Headers],[#Data],[Federal taxes]])</f>
        <v>6804.3246087429152</v>
      </c>
      <c r="I2129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29" s="240">
        <f ca="1">Tabella8[[#This Row],[Colonna7]]*Tabella8[[#This Row],[Colonna4]]/100</f>
        <v>13801.645648469672</v>
      </c>
    </row>
    <row r="2130" spans="2:10">
      <c r="B2130" s="92" t="s">
        <v>137</v>
      </c>
      <c r="C2130" s="91" t="s">
        <v>836</v>
      </c>
      <c r="D2130" s="93">
        <v>147.5</v>
      </c>
      <c r="E2130" s="93">
        <v>43</v>
      </c>
      <c r="F2130" s="103">
        <v>1257</v>
      </c>
      <c r="G2130" s="103"/>
      <c r="H2130" s="240">
        <f ca="1">SUMIF(Tabella2[[#Headers],[#Data],[Age]],$H$76,Tabella2[[#Headers],[#Data],[Federal taxes]])</f>
        <v>6804.3246087429152</v>
      </c>
      <c r="I2130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0" s="240">
        <f ca="1">Tabella8[[#This Row],[Colonna7]]*Tabella8[[#This Row],[Colonna4]]/100</f>
        <v>11869.415257683919</v>
      </c>
    </row>
    <row r="2131" spans="2:10">
      <c r="B2131" s="92" t="s">
        <v>137</v>
      </c>
      <c r="C2131" s="91" t="s">
        <v>829</v>
      </c>
      <c r="D2131" s="93">
        <v>147.5</v>
      </c>
      <c r="E2131" s="93">
        <v>41</v>
      </c>
      <c r="F2131" s="103">
        <f>IFERROR(INDEX(Tabella9[PLZ],MATCH(Tabella8[[#This Row],[Colonna2]],Tabella9[Ortschaftsname],0)), "Name not found")</f>
        <v>1293</v>
      </c>
      <c r="G2131" s="103"/>
      <c r="H2131" s="240">
        <f ca="1">SUMIF(Tabella2[[#Headers],[#Data],[Age]],$H$76,Tabella2[[#Headers],[#Data],[Federal taxes]])</f>
        <v>6804.3246087429152</v>
      </c>
      <c r="I2131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1" s="240">
        <f ca="1">Tabella8[[#This Row],[Colonna7]]*Tabella8[[#This Row],[Colonna4]]/100</f>
        <v>11317.349431745131</v>
      </c>
    </row>
    <row r="2132" spans="2:10">
      <c r="B2132" s="92" t="s">
        <v>137</v>
      </c>
      <c r="C2132" s="91" t="s">
        <v>822</v>
      </c>
      <c r="D2132" s="93">
        <v>147.5</v>
      </c>
      <c r="E2132" s="93">
        <v>48</v>
      </c>
      <c r="F2132" s="103">
        <f>IFERROR(INDEX(Tabella9[PLZ],MATCH(Tabella8[[#This Row],[Colonna2]],Tabella9[Ortschaftsname],0)), "Name not found")</f>
        <v>1233</v>
      </c>
      <c r="G2132" s="103"/>
      <c r="H2132" s="240">
        <f ca="1">SUMIF(Tabella2[[#Headers],[#Data],[Age]],$H$76,Tabella2[[#Headers],[#Data],[Federal taxes]])</f>
        <v>6804.3246087429152</v>
      </c>
      <c r="I2132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2" s="240">
        <f ca="1">Tabella8[[#This Row],[Colonna7]]*Tabella8[[#This Row],[Colonna4]]/100</f>
        <v>13249.579822530886</v>
      </c>
    </row>
    <row r="2133" spans="2:10">
      <c r="B2133" s="92" t="s">
        <v>137</v>
      </c>
      <c r="C2133" s="91" t="s">
        <v>814</v>
      </c>
      <c r="D2133" s="93">
        <v>147.5</v>
      </c>
      <c r="E2133" s="93">
        <v>40</v>
      </c>
      <c r="F2133" s="103">
        <v>1227</v>
      </c>
      <c r="G2133" s="103"/>
      <c r="H2133" s="240">
        <f ca="1">SUMIF(Tabella2[[#Headers],[#Data],[Age]],$H$76,Tabella2[[#Headers],[#Data],[Federal taxes]])</f>
        <v>6804.3246087429152</v>
      </c>
      <c r="I2133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3" s="240">
        <f ca="1">Tabella8[[#This Row],[Colonna7]]*Tabella8[[#This Row],[Colonna4]]/100</f>
        <v>11041.316518775737</v>
      </c>
    </row>
    <row r="2134" spans="2:10">
      <c r="B2134" s="92" t="s">
        <v>137</v>
      </c>
      <c r="C2134" s="91" t="s">
        <v>848</v>
      </c>
      <c r="D2134" s="93">
        <v>147.5</v>
      </c>
      <c r="E2134" s="93">
        <v>42</v>
      </c>
      <c r="F2134" s="103">
        <f>IFERROR(INDEX(Tabella9[PLZ],MATCH(Tabella8[[#This Row],[Colonna2]],Tabella9[Ortschaftsname],0)), "Name not found")</f>
        <v>1236</v>
      </c>
      <c r="G2134" s="103"/>
      <c r="H2134" s="240">
        <f ca="1">SUMIF(Tabella2[[#Headers],[#Data],[Age]],$H$76,Tabella2[[#Headers],[#Data],[Federal taxes]])</f>
        <v>6804.3246087429152</v>
      </c>
      <c r="I2134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4" s="240">
        <f ca="1">Tabella8[[#This Row],[Colonna7]]*Tabella8[[#This Row],[Colonna4]]/100</f>
        <v>11593.382344714524</v>
      </c>
    </row>
    <row r="2135" spans="2:10">
      <c r="B2135" s="92" t="s">
        <v>137</v>
      </c>
      <c r="C2135" s="91" t="s">
        <v>841</v>
      </c>
      <c r="D2135" s="93">
        <v>147.5</v>
      </c>
      <c r="E2135" s="93">
        <v>51</v>
      </c>
      <c r="F2135" s="103">
        <f>IFERROR(INDEX(Tabella9[PLZ],MATCH(Tabella8[[#This Row],[Colonna2]],Tabella9[Ortschaftsname],0)), "Name not found")</f>
        <v>1284</v>
      </c>
      <c r="G2135" s="103"/>
      <c r="H2135" s="240">
        <f ca="1">SUMIF(Tabella2[[#Headers],[#Data],[Age]],$H$76,Tabella2[[#Headers],[#Data],[Federal taxes]])</f>
        <v>6804.3246087429152</v>
      </c>
      <c r="I2135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5" s="240">
        <f ca="1">Tabella8[[#This Row],[Colonna7]]*Tabella8[[#This Row],[Colonna4]]/100</f>
        <v>14077.678561439065</v>
      </c>
    </row>
    <row r="2136" spans="2:10">
      <c r="B2136" s="92" t="s">
        <v>137</v>
      </c>
      <c r="C2136" s="91" t="s">
        <v>846</v>
      </c>
      <c r="D2136" s="93">
        <v>147.5</v>
      </c>
      <c r="E2136" s="93">
        <v>40</v>
      </c>
      <c r="F2136" s="103">
        <f>IFERROR(INDEX(Tabella9[PLZ],MATCH(Tabella8[[#This Row],[Colonna2]],Tabella9[Ortschaftsname],0)), "Name not found")</f>
        <v>1244</v>
      </c>
      <c r="G2136" s="103"/>
      <c r="H2136" s="240">
        <f ca="1">SUMIF(Tabella2[[#Headers],[#Data],[Age]],$H$76,Tabella2[[#Headers],[#Data],[Federal taxes]])</f>
        <v>6804.3246087429152</v>
      </c>
      <c r="I2136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6" s="240">
        <f ca="1">Tabella8[[#This Row],[Colonna7]]*Tabella8[[#This Row],[Colonna4]]/100</f>
        <v>11041.316518775737</v>
      </c>
    </row>
    <row r="2137" spans="2:10">
      <c r="B2137" s="92" t="s">
        <v>137</v>
      </c>
      <c r="C2137" s="91" t="s">
        <v>819</v>
      </c>
      <c r="D2137" s="93">
        <v>147.5</v>
      </c>
      <c r="E2137" s="93">
        <v>32</v>
      </c>
      <c r="F2137" s="103">
        <f>IFERROR(INDEX(Tabella9[PLZ],MATCH(Tabella8[[#This Row],[Colonna2]],Tabella9[Ortschaftsname],0)), "Name not found")</f>
        <v>1224</v>
      </c>
      <c r="G2137" s="103"/>
      <c r="H2137" s="240">
        <f ca="1">SUMIF(Tabella2[[#Headers],[#Data],[Age]],$H$76,Tabella2[[#Headers],[#Data],[Federal taxes]])</f>
        <v>6804.3246087429152</v>
      </c>
      <c r="I2137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7" s="240">
        <f ca="1">Tabella8[[#This Row],[Colonna7]]*Tabella8[[#This Row],[Colonna4]]/100</f>
        <v>8833.0532150205909</v>
      </c>
    </row>
    <row r="2138" spans="2:10">
      <c r="B2138" s="92" t="s">
        <v>137</v>
      </c>
      <c r="C2138" s="91" t="s">
        <v>823</v>
      </c>
      <c r="D2138" s="93">
        <v>147.5</v>
      </c>
      <c r="E2138" s="93">
        <v>46</v>
      </c>
      <c r="F2138" s="103">
        <f>IFERROR(INDEX(Tabella9[PLZ],MATCH(Tabella8[[#This Row],[Colonna2]],Tabella9[Ortschaftsname],0)), "Name not found")</f>
        <v>1225</v>
      </c>
      <c r="G2138" s="103"/>
      <c r="H2138" s="240">
        <f ca="1">SUMIF(Tabella2[[#Headers],[#Data],[Age]],$H$76,Tabella2[[#Headers],[#Data],[Federal taxes]])</f>
        <v>6804.3246087429152</v>
      </c>
      <c r="I2138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8" s="240">
        <f ca="1">Tabella8[[#This Row],[Colonna7]]*Tabella8[[#This Row],[Colonna4]]/100</f>
        <v>12697.513996592099</v>
      </c>
    </row>
    <row r="2139" spans="2:10">
      <c r="B2139" s="92" t="s">
        <v>137</v>
      </c>
      <c r="C2139" s="91" t="s">
        <v>842</v>
      </c>
      <c r="D2139" s="93">
        <v>147.5</v>
      </c>
      <c r="E2139" s="93">
        <v>46</v>
      </c>
      <c r="F2139" s="103">
        <v>1239</v>
      </c>
      <c r="G2139" s="103"/>
      <c r="H2139" s="240">
        <f ca="1">SUMIF(Tabella2[[#Headers],[#Data],[Age]],$H$76,Tabella2[[#Headers],[#Data],[Federal taxes]])</f>
        <v>6804.3246087429152</v>
      </c>
      <c r="I2139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39" s="240">
        <f ca="1">Tabella8[[#This Row],[Colonna7]]*Tabella8[[#This Row],[Colonna4]]/100</f>
        <v>12697.513996592099</v>
      </c>
    </row>
    <row r="2140" spans="2:10">
      <c r="B2140" s="92" t="s">
        <v>137</v>
      </c>
      <c r="C2140" s="91" t="s">
        <v>824</v>
      </c>
      <c r="D2140" s="93">
        <v>147.5</v>
      </c>
      <c r="E2140" s="93">
        <v>28</v>
      </c>
      <c r="F2140" s="103">
        <f>IFERROR(INDEX(Tabella9[PLZ],MATCH(Tabella8[[#This Row],[Colonna2]],Tabella9[Ortschaftsname],0)), "Name not found")</f>
        <v>1245</v>
      </c>
      <c r="G2140" s="103"/>
      <c r="H2140" s="240">
        <f ca="1">SUMIF(Tabella2[[#Headers],[#Data],[Age]],$H$76,Tabella2[[#Headers],[#Data],[Federal taxes]])</f>
        <v>6804.3246087429152</v>
      </c>
      <c r="I2140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0" s="240">
        <f ca="1">Tabella8[[#This Row],[Colonna7]]*Tabella8[[#This Row],[Colonna4]]/100</f>
        <v>7728.9215631430161</v>
      </c>
    </row>
    <row r="2141" spans="2:10">
      <c r="B2141" s="92" t="s">
        <v>137</v>
      </c>
      <c r="C2141" s="91" t="s">
        <v>825</v>
      </c>
      <c r="D2141" s="93">
        <v>147.5</v>
      </c>
      <c r="E2141" s="93">
        <v>27</v>
      </c>
      <c r="F2141" s="103">
        <f>IFERROR(INDEX(Tabella9[PLZ],MATCH(Tabella8[[#This Row],[Colonna2]],Tabella9[Ortschaftsname],0)), "Name not found")</f>
        <v>1223</v>
      </c>
      <c r="G2141" s="103"/>
      <c r="H2141" s="240">
        <f ca="1">SUMIF(Tabella2[[#Headers],[#Data],[Age]],$H$76,Tabella2[[#Headers],[#Data],[Federal taxes]])</f>
        <v>6804.3246087429152</v>
      </c>
      <c r="I2141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1" s="240">
        <f ca="1">Tabella8[[#This Row],[Colonna7]]*Tabella8[[#This Row],[Colonna4]]/100</f>
        <v>7452.8886501736233</v>
      </c>
    </row>
    <row r="2142" spans="2:10">
      <c r="B2142" s="92" t="s">
        <v>137</v>
      </c>
      <c r="C2142" s="91" t="s">
        <v>826</v>
      </c>
      <c r="D2142" s="93">
        <v>147.5</v>
      </c>
      <c r="E2142" s="93">
        <v>46</v>
      </c>
      <c r="F2142" s="103">
        <f>IFERROR(INDEX(Tabella9[PLZ],MATCH(Tabella8[[#This Row],[Colonna2]],Tabella9[Ortschaftsname],0)), "Name not found")</f>
        <v>1232</v>
      </c>
      <c r="G2142" s="103"/>
      <c r="H2142" s="240">
        <f ca="1">SUMIF(Tabella2[[#Headers],[#Data],[Age]],$H$76,Tabella2[[#Headers],[#Data],[Federal taxes]])</f>
        <v>6804.3246087429152</v>
      </c>
      <c r="I2142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2" s="240">
        <f ca="1">Tabella8[[#This Row],[Colonna7]]*Tabella8[[#This Row],[Colonna4]]/100</f>
        <v>12697.513996592099</v>
      </c>
    </row>
    <row r="2143" spans="2:10">
      <c r="B2143" s="92" t="s">
        <v>137</v>
      </c>
      <c r="C2143" s="91" t="s">
        <v>838</v>
      </c>
      <c r="D2143" s="93">
        <v>147.5</v>
      </c>
      <c r="E2143" s="93">
        <v>32</v>
      </c>
      <c r="F2143" s="103">
        <v>1246</v>
      </c>
      <c r="G2143" s="103"/>
      <c r="H2143" s="240">
        <f ca="1">SUMIF(Tabella2[[#Headers],[#Data],[Age]],$H$76,Tabella2[[#Headers],[#Data],[Federal taxes]])</f>
        <v>6804.3246087429152</v>
      </c>
      <c r="I2143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3" s="240">
        <f ca="1">Tabella8[[#This Row],[Colonna7]]*Tabella8[[#This Row],[Colonna4]]/100</f>
        <v>8833.0532150205909</v>
      </c>
    </row>
    <row r="2144" spans="2:10">
      <c r="B2144" s="92" t="s">
        <v>137</v>
      </c>
      <c r="C2144" s="91" t="s">
        <v>850</v>
      </c>
      <c r="D2144" s="93">
        <v>147.5</v>
      </c>
      <c r="E2144" s="93">
        <v>33</v>
      </c>
      <c r="F2144" s="103">
        <f>IFERROR(INDEX(Tabella9[PLZ],MATCH(Tabella8[[#This Row],[Colonna2]],Tabella9[Ortschaftsname],0)), "Name not found")</f>
        <v>1298</v>
      </c>
      <c r="G2144" s="103"/>
      <c r="H2144" s="240">
        <f ca="1">SUMIF(Tabella2[[#Headers],[#Data],[Age]],$H$76,Tabella2[[#Headers],[#Data],[Federal taxes]])</f>
        <v>6804.3246087429152</v>
      </c>
      <c r="I2144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4" s="240">
        <f ca="1">Tabella8[[#This Row],[Colonna7]]*Tabella8[[#This Row],[Colonna4]]/100</f>
        <v>9109.0861279899837</v>
      </c>
    </row>
    <row r="2145" spans="2:10">
      <c r="B2145" s="92" t="s">
        <v>137</v>
      </c>
      <c r="C2145" s="91" t="s">
        <v>839</v>
      </c>
      <c r="D2145" s="93">
        <v>147.5</v>
      </c>
      <c r="E2145" s="93">
        <v>48</v>
      </c>
      <c r="F2145" s="103">
        <f>IFERROR(INDEX(Tabella9[PLZ],MATCH(Tabella8[[#This Row],[Colonna2]],Tabella9[Ortschaftsname],0)), "Name not found")</f>
        <v>1283</v>
      </c>
      <c r="G2145" s="103"/>
      <c r="H2145" s="240">
        <f ca="1">SUMIF(Tabella2[[#Headers],[#Data],[Age]],$H$76,Tabella2[[#Headers],[#Data],[Federal taxes]])</f>
        <v>6804.3246087429152</v>
      </c>
      <c r="I2145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5" s="240">
        <f ca="1">Tabella8[[#This Row],[Colonna7]]*Tabella8[[#This Row],[Colonna4]]/100</f>
        <v>13249.579822530886</v>
      </c>
    </row>
    <row r="2146" spans="2:10">
      <c r="B2146" s="92" t="s">
        <v>137</v>
      </c>
      <c r="C2146" s="91" t="s">
        <v>831</v>
      </c>
      <c r="D2146" s="93">
        <v>147.5</v>
      </c>
      <c r="E2146" s="93">
        <v>25</v>
      </c>
      <c r="F2146" s="103">
        <f>IFERROR(INDEX(Tabella9[PLZ],MATCH(Tabella8[[#This Row],[Colonna2]],Tabella9[Ortschaftsname],0)), "Name not found")</f>
        <v>1294</v>
      </c>
      <c r="G2146" s="103"/>
      <c r="H2146" s="240">
        <f ca="1">SUMIF(Tabella2[[#Headers],[#Data],[Age]],$H$76,Tabella2[[#Headers],[#Data],[Federal taxes]])</f>
        <v>6804.3246087429152</v>
      </c>
      <c r="I2146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6" s="240">
        <f ca="1">Tabella8[[#This Row],[Colonna7]]*Tabella8[[#This Row],[Colonna4]]/100</f>
        <v>6900.8228242348359</v>
      </c>
    </row>
    <row r="2147" spans="2:10">
      <c r="B2147" s="92" t="s">
        <v>137</v>
      </c>
      <c r="C2147" s="91" t="s">
        <v>2692</v>
      </c>
      <c r="D2147" s="93">
        <v>147.5</v>
      </c>
      <c r="E2147" s="93">
        <v>45.49</v>
      </c>
      <c r="F2147" s="103">
        <f>IFERROR(INDEX(Tabella9[PLZ],MATCH(Tabella8[[#This Row],[Colonna2]],Tabella9[Ortschaftsname],0)), "Name not found")</f>
        <v>1201</v>
      </c>
      <c r="G2147" s="103"/>
      <c r="H2147" s="240">
        <f ca="1">SUMIF(Tabella2[[#Headers],[#Data],[Age]],$H$76,Tabella2[[#Headers],[#Data],[Federal taxes]])</f>
        <v>6804.3246087429152</v>
      </c>
      <c r="I2147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7" s="240">
        <f ca="1">Tabella8[[#This Row],[Colonna7]]*Tabella8[[#This Row],[Colonna4]]/100</f>
        <v>12556.737210977708</v>
      </c>
    </row>
    <row r="2148" spans="2:10">
      <c r="B2148" s="92" t="s">
        <v>137</v>
      </c>
      <c r="C2148" s="91" t="s">
        <v>854</v>
      </c>
      <c r="D2148" s="93">
        <v>147.5</v>
      </c>
      <c r="E2148" s="93">
        <v>46</v>
      </c>
      <c r="F2148" s="103">
        <f>IFERROR(INDEX(Tabella9[PLZ],MATCH(Tabella8[[#This Row],[Colonna2]],Tabella9[Ortschaftsname],0)), "Name not found")</f>
        <v>1251</v>
      </c>
      <c r="G2148" s="103"/>
      <c r="H2148" s="240">
        <f ca="1">SUMIF(Tabella2[[#Headers],[#Data],[Age]],$H$76,Tabella2[[#Headers],[#Data],[Federal taxes]])</f>
        <v>6804.3246087429152</v>
      </c>
      <c r="I2148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8" s="240">
        <f ca="1">Tabella8[[#This Row],[Colonna7]]*Tabella8[[#This Row],[Colonna4]]/100</f>
        <v>12697.513996592099</v>
      </c>
    </row>
    <row r="2149" spans="2:10">
      <c r="B2149" s="92" t="s">
        <v>137</v>
      </c>
      <c r="C2149" s="91" t="s">
        <v>847</v>
      </c>
      <c r="D2149" s="93">
        <v>147.5</v>
      </c>
      <c r="E2149" s="93">
        <v>42</v>
      </c>
      <c r="F2149" s="103">
        <f>IFERROR(INDEX(Tabella9[PLZ],MATCH(Tabella8[[#This Row],[Colonna2]],Tabella9[Ortschaftsname],0)), "Name not found")</f>
        <v>1248</v>
      </c>
      <c r="G2149" s="103"/>
      <c r="H2149" s="240">
        <f ca="1">SUMIF(Tabella2[[#Headers],[#Data],[Age]],$H$76,Tabella2[[#Headers],[#Data],[Federal taxes]])</f>
        <v>6804.3246087429152</v>
      </c>
      <c r="I2149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49" s="240">
        <f ca="1">Tabella8[[#This Row],[Colonna7]]*Tabella8[[#This Row],[Colonna4]]/100</f>
        <v>11593.382344714524</v>
      </c>
    </row>
    <row r="2150" spans="2:10">
      <c r="B2150" s="92" t="s">
        <v>137</v>
      </c>
      <c r="C2150" s="91" t="s">
        <v>844</v>
      </c>
      <c r="D2150" s="93">
        <v>147.5</v>
      </c>
      <c r="E2150" s="93">
        <v>41</v>
      </c>
      <c r="F2150" s="103">
        <f>IFERROR(INDEX(Tabella9[PLZ],MATCH(Tabella8[[#This Row],[Colonna2]],Tabella9[Ortschaftsname],0)), "Name not found")</f>
        <v>1254</v>
      </c>
      <c r="G2150" s="103"/>
      <c r="H2150" s="240">
        <f ca="1">SUMIF(Tabella2[[#Headers],[#Data],[Age]],$H$76,Tabella2[[#Headers],[#Data],[Federal taxes]])</f>
        <v>6804.3246087429152</v>
      </c>
      <c r="I2150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0" s="240">
        <f ca="1">Tabella8[[#This Row],[Colonna7]]*Tabella8[[#This Row],[Colonna4]]/100</f>
        <v>11317.349431745131</v>
      </c>
    </row>
    <row r="2151" spans="2:10">
      <c r="B2151" s="92" t="s">
        <v>137</v>
      </c>
      <c r="C2151" s="91" t="s">
        <v>852</v>
      </c>
      <c r="D2151" s="93">
        <v>147.5</v>
      </c>
      <c r="E2151" s="93">
        <v>44</v>
      </c>
      <c r="F2151" s="103">
        <f>IFERROR(INDEX(Tabella9[PLZ],MATCH(Tabella8[[#This Row],[Colonna2]],Tabella9[Ortschaftsname],0)), "Name not found")</f>
        <v>1287</v>
      </c>
      <c r="G2151" s="103"/>
      <c r="H2151" s="240">
        <f ca="1">SUMIF(Tabella2[[#Headers],[#Data],[Age]],$H$76,Tabella2[[#Headers],[#Data],[Federal taxes]])</f>
        <v>6804.3246087429152</v>
      </c>
      <c r="I2151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1" s="240">
        <f ca="1">Tabella8[[#This Row],[Colonna7]]*Tabella8[[#This Row],[Colonna4]]/100</f>
        <v>12145.448170653312</v>
      </c>
    </row>
    <row r="2152" spans="2:10">
      <c r="B2152" s="92" t="s">
        <v>137</v>
      </c>
      <c r="C2152" s="91" t="s">
        <v>812</v>
      </c>
      <c r="D2152" s="93">
        <v>147.5</v>
      </c>
      <c r="E2152" s="93">
        <v>47</v>
      </c>
      <c r="F2152" s="103">
        <v>1212</v>
      </c>
      <c r="G2152" s="103"/>
      <c r="H2152" s="240">
        <f ca="1">SUMIF(Tabella2[[#Headers],[#Data],[Age]],$H$76,Tabella2[[#Headers],[#Data],[Federal taxes]])</f>
        <v>6804.3246087429152</v>
      </c>
      <c r="I2152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2" s="240">
        <f ca="1">Tabella8[[#This Row],[Colonna7]]*Tabella8[[#This Row],[Colonna4]]/100</f>
        <v>12973.546909561492</v>
      </c>
    </row>
    <row r="2153" spans="2:10">
      <c r="B2153" s="92" t="s">
        <v>137</v>
      </c>
      <c r="C2153" s="91" t="s">
        <v>818</v>
      </c>
      <c r="D2153" s="93">
        <v>147.5</v>
      </c>
      <c r="E2153" s="93">
        <v>44</v>
      </c>
      <c r="F2153" s="103">
        <f>IFERROR(INDEX(Tabella9[PLZ],MATCH(Tabella8[[#This Row],[Colonna2]],Tabella9[Ortschaftsname],0)), "Name not found")</f>
        <v>1218</v>
      </c>
      <c r="G2153" s="103"/>
      <c r="H2153" s="240">
        <f ca="1">SUMIF(Tabella2[[#Headers],[#Data],[Age]],$H$76,Tabella2[[#Headers],[#Data],[Federal taxes]])</f>
        <v>6804.3246087429152</v>
      </c>
      <c r="I2153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3" s="240">
        <f ca="1">Tabella8[[#This Row],[Colonna7]]*Tabella8[[#This Row],[Colonna4]]/100</f>
        <v>12145.448170653312</v>
      </c>
    </row>
    <row r="2154" spans="2:10">
      <c r="B2154" s="92" t="s">
        <v>137</v>
      </c>
      <c r="C2154" s="91" t="s">
        <v>837</v>
      </c>
      <c r="D2154" s="93">
        <v>147.5</v>
      </c>
      <c r="E2154" s="93">
        <v>42</v>
      </c>
      <c r="F2154" s="103">
        <f>IFERROR(INDEX(Tabella9[PLZ],MATCH(Tabella8[[#This Row],[Colonna2]],Tabella9[Ortschaftsname],0)), "Name not found")</f>
        <v>1252</v>
      </c>
      <c r="G2154" s="103"/>
      <c r="H2154" s="240">
        <f ca="1">SUMIF(Tabella2[[#Headers],[#Data],[Age]],$H$76,Tabella2[[#Headers],[#Data],[Federal taxes]])</f>
        <v>6804.3246087429152</v>
      </c>
      <c r="I2154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4" s="240">
        <f ca="1">Tabella8[[#This Row],[Colonna7]]*Tabella8[[#This Row],[Colonna4]]/100</f>
        <v>11593.382344714524</v>
      </c>
    </row>
    <row r="2155" spans="2:10">
      <c r="B2155" s="92" t="s">
        <v>137</v>
      </c>
      <c r="C2155" s="91" t="s">
        <v>813</v>
      </c>
      <c r="D2155" s="93">
        <v>147.5</v>
      </c>
      <c r="E2155" s="93">
        <v>44</v>
      </c>
      <c r="F2155" s="103">
        <f>IFERROR(INDEX(Tabella9[PLZ],MATCH(Tabella8[[#This Row],[Colonna2]],Tabella9[Ortschaftsname],0)), "Name not found")</f>
        <v>1217</v>
      </c>
      <c r="G2155" s="103"/>
      <c r="H2155" s="240">
        <f ca="1">SUMIF(Tabella2[[#Headers],[#Data],[Age]],$H$76,Tabella2[[#Headers],[#Data],[Federal taxes]])</f>
        <v>6804.3246087429152</v>
      </c>
      <c r="I2155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5" s="240">
        <f ca="1">Tabella8[[#This Row],[Colonna7]]*Tabella8[[#This Row],[Colonna4]]/100</f>
        <v>12145.448170653312</v>
      </c>
    </row>
    <row r="2156" spans="2:10">
      <c r="B2156" s="92" t="s">
        <v>137</v>
      </c>
      <c r="C2156" s="91" t="s">
        <v>815</v>
      </c>
      <c r="D2156" s="93">
        <v>147.5</v>
      </c>
      <c r="E2156" s="93">
        <v>50.5</v>
      </c>
      <c r="F2156" s="103">
        <f>IFERROR(INDEX(Tabella9[PLZ],MATCH(Tabella8[[#This Row],[Colonna2]],Tabella9[Ortschaftsname],0)), "Name not found")</f>
        <v>1213</v>
      </c>
      <c r="G2156" s="103"/>
      <c r="H2156" s="240">
        <f ca="1">SUMIF(Tabella2[[#Headers],[#Data],[Age]],$H$76,Tabella2[[#Headers],[#Data],[Federal taxes]])</f>
        <v>6804.3246087429152</v>
      </c>
      <c r="I2156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6" s="240">
        <f ca="1">Tabella8[[#This Row],[Colonna7]]*Tabella8[[#This Row],[Colonna4]]/100</f>
        <v>13939.662104954368</v>
      </c>
    </row>
    <row r="2157" spans="2:10">
      <c r="B2157" s="92" t="s">
        <v>137</v>
      </c>
      <c r="C2157" s="91" t="s">
        <v>830</v>
      </c>
      <c r="D2157" s="93">
        <v>147.5</v>
      </c>
      <c r="E2157" s="93">
        <v>43</v>
      </c>
      <c r="F2157" s="103">
        <v>1258</v>
      </c>
      <c r="G2157" s="103"/>
      <c r="H2157" s="240">
        <f ca="1">SUMIF(Tabella2[[#Headers],[#Data],[Age]],$H$76,Tabella2[[#Headers],[#Data],[Federal taxes]])</f>
        <v>6804.3246087429152</v>
      </c>
      <c r="I2157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7" s="240">
        <f ca="1">Tabella8[[#This Row],[Colonna7]]*Tabella8[[#This Row],[Colonna4]]/100</f>
        <v>11869.415257683919</v>
      </c>
    </row>
    <row r="2158" spans="2:10">
      <c r="B2158" s="92" t="s">
        <v>137</v>
      </c>
      <c r="C2158" s="91" t="s">
        <v>821</v>
      </c>
      <c r="D2158" s="93">
        <v>147.5</v>
      </c>
      <c r="E2158" s="93">
        <v>35</v>
      </c>
      <c r="F2158" s="103">
        <f>IFERROR(INDEX(Tabella9[PLZ],MATCH(Tabella8[[#This Row],[Colonna2]],Tabella9[Ortschaftsname],0)), "Name not found")</f>
        <v>1228</v>
      </c>
      <c r="G2158" s="103"/>
      <c r="H2158" s="240">
        <f ca="1">SUMIF(Tabella2[[#Headers],[#Data],[Age]],$H$76,Tabella2[[#Headers],[#Data],[Federal taxes]])</f>
        <v>6804.3246087429152</v>
      </c>
      <c r="I2158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8" s="240">
        <f ca="1">Tabella8[[#This Row],[Colonna7]]*Tabella8[[#This Row],[Colonna4]]/100</f>
        <v>9661.1519539287692</v>
      </c>
    </row>
    <row r="2159" spans="2:10">
      <c r="B2159" s="92" t="s">
        <v>137</v>
      </c>
      <c r="C2159" s="91" t="s">
        <v>828</v>
      </c>
      <c r="D2159" s="93">
        <v>147.5</v>
      </c>
      <c r="E2159" s="93">
        <v>32</v>
      </c>
      <c r="F2159" s="103">
        <v>1292</v>
      </c>
      <c r="G2159" s="103"/>
      <c r="H2159" s="240">
        <f ca="1">SUMIF(Tabella2[[#Headers],[#Data],[Age]],$H$76,Tabella2[[#Headers],[#Data],[Federal taxes]])</f>
        <v>6804.3246087429152</v>
      </c>
      <c r="I2159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59" s="240">
        <f ca="1">Tabella8[[#This Row],[Colonna7]]*Tabella8[[#This Row],[Colonna4]]/100</f>
        <v>8833.0532150205909</v>
      </c>
    </row>
    <row r="2160" spans="2:10">
      <c r="B2160" s="92" t="s">
        <v>137</v>
      </c>
      <c r="C2160" s="91" t="s">
        <v>851</v>
      </c>
      <c r="D2160" s="93">
        <v>147.5</v>
      </c>
      <c r="E2160" s="93">
        <v>40</v>
      </c>
      <c r="F2160" s="103">
        <f>IFERROR(INDEX(Tabella9[PLZ],MATCH(Tabella8[[#This Row],[Colonna2]],Tabella9[Ortschaftsname],0)), "Name not found")</f>
        <v>1243</v>
      </c>
      <c r="G2160" s="103"/>
      <c r="H2160" s="240">
        <f ca="1">SUMIF(Tabella2[[#Headers],[#Data],[Age]],$H$76,Tabella2[[#Headers],[#Data],[Federal taxes]])</f>
        <v>6804.3246087429152</v>
      </c>
      <c r="I2160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0" s="240">
        <f ca="1">Tabella8[[#This Row],[Colonna7]]*Tabella8[[#This Row],[Colonna4]]/100</f>
        <v>11041.316518775737</v>
      </c>
    </row>
    <row r="2161" spans="2:10">
      <c r="B2161" s="92" t="s">
        <v>137</v>
      </c>
      <c r="C2161" s="91" t="s">
        <v>834</v>
      </c>
      <c r="D2161" s="93">
        <v>147.5</v>
      </c>
      <c r="E2161" s="93">
        <v>48</v>
      </c>
      <c r="F2161" s="103">
        <f>IFERROR(INDEX(Tabella9[PLZ],MATCH(Tabella8[[#This Row],[Colonna2]],Tabella9[Ortschaftsname],0)), "Name not found")</f>
        <v>1241</v>
      </c>
      <c r="G2161" s="103"/>
      <c r="H2161" s="240">
        <f ca="1">SUMIF(Tabella2[[#Headers],[#Data],[Age]],$H$76,Tabella2[[#Headers],[#Data],[Federal taxes]])</f>
        <v>6804.3246087429152</v>
      </c>
      <c r="I2161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1" s="240">
        <f ca="1">Tabella8[[#This Row],[Colonna7]]*Tabella8[[#This Row],[Colonna4]]/100</f>
        <v>13249.579822530886</v>
      </c>
    </row>
    <row r="2162" spans="2:10">
      <c r="B2162" s="92" t="s">
        <v>137</v>
      </c>
      <c r="C2162" s="91" t="s">
        <v>853</v>
      </c>
      <c r="D2162" s="93">
        <v>147.5</v>
      </c>
      <c r="E2162" s="93">
        <v>39</v>
      </c>
      <c r="F2162" s="103">
        <f>IFERROR(INDEX(Tabella9[PLZ],MATCH(Tabella8[[#This Row],[Colonna2]],Tabella9[Ortschaftsname],0)), "Name not found")</f>
        <v>1281</v>
      </c>
      <c r="G2162" s="103"/>
      <c r="H2162" s="240">
        <f ca="1">SUMIF(Tabella2[[#Headers],[#Data],[Age]],$H$76,Tabella2[[#Headers],[#Data],[Federal taxes]])</f>
        <v>6804.3246087429152</v>
      </c>
      <c r="I2162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2" s="240">
        <f ca="1">Tabella8[[#This Row],[Colonna7]]*Tabella8[[#This Row],[Colonna4]]/100</f>
        <v>10765.283605806344</v>
      </c>
    </row>
    <row r="2163" spans="2:10">
      <c r="B2163" s="92" t="s">
        <v>137</v>
      </c>
      <c r="C2163" s="91" t="s">
        <v>827</v>
      </c>
      <c r="D2163" s="93">
        <v>147.5</v>
      </c>
      <c r="E2163" s="93">
        <v>39</v>
      </c>
      <c r="F2163" s="103">
        <f>IFERROR(INDEX(Tabella9[PLZ],MATCH(Tabella8[[#This Row],[Colonna2]],Tabella9[Ortschaftsname],0)), "Name not found")</f>
        <v>1242</v>
      </c>
      <c r="G2163" s="103"/>
      <c r="H2163" s="240">
        <f ca="1">SUMIF(Tabella2[[#Headers],[#Data],[Age]],$H$76,Tabella2[[#Headers],[#Data],[Federal taxes]])</f>
        <v>6804.3246087429152</v>
      </c>
      <c r="I2163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3" s="240">
        <f ca="1">Tabella8[[#This Row],[Colonna7]]*Tabella8[[#This Row],[Colonna4]]/100</f>
        <v>10765.283605806344</v>
      </c>
    </row>
    <row r="2164" spans="2:10">
      <c r="B2164" s="92" t="s">
        <v>137</v>
      </c>
      <c r="C2164" s="91" t="s">
        <v>849</v>
      </c>
      <c r="D2164" s="93">
        <v>147.5</v>
      </c>
      <c r="E2164" s="93">
        <v>44</v>
      </c>
      <c r="F2164" s="103">
        <f>IFERROR(INDEX(Tabella9[PLZ],MATCH(Tabella8[[#This Row],[Colonna2]],Tabella9[Ortschaftsname],0)), "Name not found")</f>
        <v>1286</v>
      </c>
      <c r="G2164" s="103"/>
      <c r="H2164" s="240">
        <f ca="1">SUMIF(Tabella2[[#Headers],[#Data],[Age]],$H$76,Tabella2[[#Headers],[#Data],[Federal taxes]])</f>
        <v>6804.3246087429152</v>
      </c>
      <c r="I2164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4" s="240">
        <f ca="1">Tabella8[[#This Row],[Colonna7]]*Tabella8[[#This Row],[Colonna4]]/100</f>
        <v>12145.448170653312</v>
      </c>
    </row>
    <row r="2165" spans="2:10">
      <c r="B2165" s="92" t="s">
        <v>137</v>
      </c>
      <c r="C2165" s="91" t="s">
        <v>816</v>
      </c>
      <c r="D2165" s="93">
        <v>147.5</v>
      </c>
      <c r="E2165" s="93">
        <v>44</v>
      </c>
      <c r="F2165" s="103">
        <f>IFERROR(INDEX(Tabella9[PLZ],MATCH(Tabella8[[#This Row],[Colonna2]],Tabella9[Ortschaftsname],0)), "Name not found")</f>
        <v>1226</v>
      </c>
      <c r="G2165" s="103"/>
      <c r="H2165" s="240">
        <f ca="1">SUMIF(Tabella2[[#Headers],[#Data],[Age]],$H$76,Tabella2[[#Headers],[#Data],[Federal taxes]])</f>
        <v>6804.3246087429152</v>
      </c>
      <c r="I2165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5" s="240">
        <f ca="1">Tabella8[[#This Row],[Colonna7]]*Tabella8[[#This Row],[Colonna4]]/100</f>
        <v>12145.448170653312</v>
      </c>
    </row>
    <row r="2166" spans="2:10">
      <c r="B2166" s="92" t="s">
        <v>137</v>
      </c>
      <c r="C2166" s="91" t="s">
        <v>835</v>
      </c>
      <c r="D2166" s="93">
        <v>147.5</v>
      </c>
      <c r="E2166" s="93">
        <v>40</v>
      </c>
      <c r="F2166" s="103">
        <f>IFERROR(INDEX(Tabella9[PLZ],MATCH(Tabella8[[#This Row],[Colonna2]],Tabella9[Ortschaftsname],0)), "Name not found")</f>
        <v>1256</v>
      </c>
      <c r="G2166" s="103"/>
      <c r="H2166" s="240">
        <f ca="1">SUMIF(Tabella2[[#Headers],[#Data],[Age]],$H$76,Tabella2[[#Headers],[#Data],[Federal taxes]])</f>
        <v>6804.3246087429152</v>
      </c>
      <c r="I2166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6" s="240">
        <f ca="1">Tabella8[[#This Row],[Colonna7]]*Tabella8[[#This Row],[Colonna4]]/100</f>
        <v>11041.316518775737</v>
      </c>
    </row>
    <row r="2167" spans="2:10">
      <c r="B2167" s="92" t="s">
        <v>137</v>
      </c>
      <c r="C2167" s="91" t="s">
        <v>832</v>
      </c>
      <c r="D2167" s="93">
        <v>147.5</v>
      </c>
      <c r="E2167" s="93">
        <v>29</v>
      </c>
      <c r="F2167" s="103">
        <f>IFERROR(INDEX(Tabella9[PLZ],MATCH(Tabella8[[#This Row],[Colonna2]],Tabella9[Ortschaftsname],0)), "Name not found")</f>
        <v>1253</v>
      </c>
      <c r="G2167" s="103"/>
      <c r="H2167" s="240">
        <f ca="1">SUMIF(Tabella2[[#Headers],[#Data],[Age]],$H$76,Tabella2[[#Headers],[#Data],[Federal taxes]])</f>
        <v>6804.3246087429152</v>
      </c>
      <c r="I2167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7" s="240">
        <f ca="1">Tabella8[[#This Row],[Colonna7]]*Tabella8[[#This Row],[Colonna4]]/100</f>
        <v>8004.9544761124098</v>
      </c>
    </row>
    <row r="2168" spans="2:10">
      <c r="B2168" s="92" t="s">
        <v>137</v>
      </c>
      <c r="C2168" s="91" t="s">
        <v>811</v>
      </c>
      <c r="D2168" s="93">
        <v>147.5</v>
      </c>
      <c r="E2168" s="93">
        <v>50</v>
      </c>
      <c r="F2168" s="103">
        <f>IFERROR(INDEX(Tabella9[PLZ],MATCH(Tabella8[[#This Row],[Colonna2]],Tabella9[Ortschaftsname],0)), "Name not found")</f>
        <v>1214</v>
      </c>
      <c r="G2168" s="103"/>
      <c r="H2168" s="240">
        <f ca="1">SUMIF(Tabella2[[#Headers],[#Data],[Age]],$H$76,Tabella2[[#Headers],[#Data],[Federal taxes]])</f>
        <v>6804.3246087429152</v>
      </c>
      <c r="I2168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8" s="240">
        <f ca="1">Tabella8[[#This Row],[Colonna7]]*Tabella8[[#This Row],[Colonna4]]/100</f>
        <v>13801.645648469672</v>
      </c>
    </row>
    <row r="2169" spans="2:10">
      <c r="B2169" s="92" t="s">
        <v>137</v>
      </c>
      <c r="C2169" s="91" t="s">
        <v>817</v>
      </c>
      <c r="D2169" s="93">
        <v>147.5</v>
      </c>
      <c r="E2169" s="93">
        <v>45.5</v>
      </c>
      <c r="F2169" s="103">
        <f>IFERROR(INDEX(Tabella9[PLZ],MATCH(Tabella8[[#This Row],[Colonna2]],Tabella9[Ortschaftsname],0)), "Name not found")</f>
        <v>1290</v>
      </c>
      <c r="G2169" s="103"/>
      <c r="H2169" s="240">
        <f ca="1">SUMIF(Tabella2[[#Headers],[#Data],[Age]],$H$76,Tabella2[[#Headers],[#Data],[Federal taxes]])</f>
        <v>6804.3246087429152</v>
      </c>
      <c r="I2169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69" s="240">
        <f ca="1">Tabella8[[#This Row],[Colonna7]]*Tabella8[[#This Row],[Colonna4]]/100</f>
        <v>12559.497540107403</v>
      </c>
    </row>
    <row r="2170" spans="2:10">
      <c r="B2170" s="92" t="s">
        <v>137</v>
      </c>
      <c r="C2170" s="91" t="s">
        <v>820</v>
      </c>
      <c r="D2170" s="93">
        <v>147.5</v>
      </c>
      <c r="E2170" s="93">
        <v>37</v>
      </c>
      <c r="F2170" s="103">
        <f>IFERROR(INDEX(Tabella9[PLZ],MATCH(Tabella8[[#This Row],[Colonna2]],Tabella9[Ortschaftsname],0)), "Name not found")</f>
        <v>1255</v>
      </c>
      <c r="G2170" s="103"/>
      <c r="H2170" s="240">
        <f ca="1">SUMIF(Tabella2[[#Headers],[#Data],[Age]],$H$76,Tabella2[[#Headers],[#Data],[Federal taxes]])</f>
        <v>6804.3246087429152</v>
      </c>
      <c r="I2170" s="240">
        <f ca="1">IFERROR(INDEX(Tabella13[[TI]:[VS commun]], MATCH($H$76, Tabella13[Age], 0), MATCH(Tabella8[[#This Row],[Colonna1]], Tabella13[[#Headers], [TI]:[VS commun]], 0)), "Valore non trovato")*Tabella8[[#This Row],[Colonna3]]/100</f>
        <v>27603.291296939344</v>
      </c>
      <c r="J2170" s="240">
        <f ca="1">Tabella8[[#This Row],[Colonna7]]*Tabella8[[#This Row],[Colonna4]]/100</f>
        <v>10213.217779867557</v>
      </c>
    </row>
    <row r="2171" spans="2:10">
      <c r="B2171" s="92" t="s">
        <v>2502</v>
      </c>
      <c r="C2171" s="91" t="s">
        <v>991</v>
      </c>
      <c r="D2171" s="93">
        <v>285</v>
      </c>
      <c r="E2171" s="93">
        <v>225</v>
      </c>
      <c r="F2171" s="103">
        <f>IFERROR(INDEX(Tabella9[PLZ],MATCH(Tabella8[[#This Row],[Colonna2]],Tabella9[Ortschaftsname],0)), "Name not found")</f>
        <v>2942</v>
      </c>
      <c r="G2171" s="103"/>
      <c r="H2171" s="240">
        <f ca="1">SUMIF(Tabella2[[#Headers],[#Data],[Age]],$H$76,Tabella2[[#Headers],[#Data],[Federal taxes]])</f>
        <v>6804.3246087429152</v>
      </c>
      <c r="I2171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1" s="240">
        <f ca="1">Tabella8[[#This Row],[Colonna7]]*Tabella8[[#This Row],[Colonna4]]/100</f>
        <v>52189.67306252868</v>
      </c>
    </row>
    <row r="2172" spans="2:10">
      <c r="B2172" s="92" t="s">
        <v>2502</v>
      </c>
      <c r="C2172" s="91" t="s">
        <v>997</v>
      </c>
      <c r="D2172" s="93">
        <v>285</v>
      </c>
      <c r="E2172" s="93">
        <v>235</v>
      </c>
      <c r="F2172" s="103">
        <v>923</v>
      </c>
      <c r="G2172" s="103"/>
      <c r="H2172" s="240">
        <f ca="1">SUMIF(Tabella2[[#Headers],[#Data],[Age]],$H$76,Tabella2[[#Headers],[#Data],[Federal taxes]])</f>
        <v>6804.3246087429152</v>
      </c>
      <c r="I2172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2" s="240">
        <f ca="1">Tabella8[[#This Row],[Colonna7]]*Tabella8[[#This Row],[Colonna4]]/100</f>
        <v>54509.214087529952</v>
      </c>
    </row>
    <row r="2173" spans="2:10">
      <c r="B2173" s="92" t="s">
        <v>2502</v>
      </c>
      <c r="C2173" s="91" t="s">
        <v>2693</v>
      </c>
      <c r="D2173" s="93">
        <v>285</v>
      </c>
      <c r="E2173" s="93">
        <v>210</v>
      </c>
      <c r="F2173" s="103">
        <v>2944</v>
      </c>
      <c r="G2173" s="103"/>
      <c r="H2173" s="240">
        <f ca="1">SUMIF(Tabella2[[#Headers],[#Data],[Age]],$H$76,Tabella2[[#Headers],[#Data],[Federal taxes]])</f>
        <v>6804.3246087429152</v>
      </c>
      <c r="I2173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3" s="240">
        <f ca="1">Tabella8[[#This Row],[Colonna7]]*Tabella8[[#This Row],[Colonna4]]/100</f>
        <v>48710.361525026776</v>
      </c>
    </row>
    <row r="2174" spans="2:10">
      <c r="B2174" s="92" t="s">
        <v>2502</v>
      </c>
      <c r="C2174" s="91" t="s">
        <v>998</v>
      </c>
      <c r="D2174" s="93">
        <v>285</v>
      </c>
      <c r="E2174" s="93">
        <v>155</v>
      </c>
      <c r="F2174" s="103">
        <f>IFERROR(INDEX(Tabella9[PLZ],MATCH(Tabella8[[#This Row],[Colonna2]],Tabella9[Ortschaftsname],0)), "Name not found")</f>
        <v>2926</v>
      </c>
      <c r="G2174" s="103"/>
      <c r="H2174" s="240">
        <f ca="1">SUMIF(Tabella2[[#Headers],[#Data],[Age]],$H$76,Tabella2[[#Headers],[#Data],[Federal taxes]])</f>
        <v>6804.3246087429152</v>
      </c>
      <c r="I2174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4" s="240">
        <f ca="1">Tabella8[[#This Row],[Colonna7]]*Tabella8[[#This Row],[Colonna4]]/100</f>
        <v>35952.885887519762</v>
      </c>
    </row>
    <row r="2175" spans="2:10">
      <c r="B2175" s="92" t="s">
        <v>2502</v>
      </c>
      <c r="C2175" s="91" t="s">
        <v>1024</v>
      </c>
      <c r="D2175" s="93">
        <v>285</v>
      </c>
      <c r="E2175" s="93">
        <v>225</v>
      </c>
      <c r="F2175" s="103">
        <f>IFERROR(INDEX(Tabella9[PLZ],MATCH(Tabella8[[#This Row],[Colonna2]],Tabella9[Ortschaftsname],0)), "Name not found")</f>
        <v>2803</v>
      </c>
      <c r="G2175" s="103"/>
      <c r="H2175" s="240">
        <f ca="1">SUMIF(Tabella2[[#Headers],[#Data],[Age]],$H$76,Tabella2[[#Headers],[#Data],[Federal taxes]])</f>
        <v>6804.3246087429152</v>
      </c>
      <c r="I2175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5" s="240">
        <f ca="1">Tabella8[[#This Row],[Colonna7]]*Tabella8[[#This Row],[Colonna4]]/100</f>
        <v>52189.67306252868</v>
      </c>
    </row>
    <row r="2176" spans="2:10">
      <c r="B2176" s="92" t="s">
        <v>2502</v>
      </c>
      <c r="C2176" s="91" t="s">
        <v>1002</v>
      </c>
      <c r="D2176" s="93">
        <v>285</v>
      </c>
      <c r="E2176" s="93">
        <v>200</v>
      </c>
      <c r="F2176" s="103">
        <f>IFERROR(INDEX(Tabella9[PLZ],MATCH(Tabella8[[#This Row],[Colonna2]],Tabella9[Ortschaftsname],0)), "Name not found")</f>
        <v>2856</v>
      </c>
      <c r="G2176" s="103"/>
      <c r="H2176" s="240">
        <f ca="1">SUMIF(Tabella2[[#Headers],[#Data],[Age]],$H$76,Tabella2[[#Headers],[#Data],[Federal taxes]])</f>
        <v>6804.3246087429152</v>
      </c>
      <c r="I2176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6" s="240">
        <f ca="1">Tabella8[[#This Row],[Colonna7]]*Tabella8[[#This Row],[Colonna4]]/100</f>
        <v>46390.820500025497</v>
      </c>
    </row>
    <row r="2177" spans="2:10">
      <c r="B2177" s="92" t="s">
        <v>2502</v>
      </c>
      <c r="C2177" s="91" t="s">
        <v>1007</v>
      </c>
      <c r="D2177" s="93">
        <v>285</v>
      </c>
      <c r="E2177" s="93">
        <v>225</v>
      </c>
      <c r="F2177" s="103">
        <f>IFERROR(INDEX(Tabella9[PLZ],MATCH(Tabella8[[#This Row],[Colonna2]],Tabella9[Ortschaftsname],0)), "Name not found")</f>
        <v>2915</v>
      </c>
      <c r="G2177" s="103"/>
      <c r="H2177" s="240">
        <f ca="1">SUMIF(Tabella2[[#Headers],[#Data],[Age]],$H$76,Tabella2[[#Headers],[#Data],[Federal taxes]])</f>
        <v>6804.3246087429152</v>
      </c>
      <c r="I2177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7" s="240">
        <f ca="1">Tabella8[[#This Row],[Colonna7]]*Tabella8[[#This Row],[Colonna4]]/100</f>
        <v>52189.67306252868</v>
      </c>
    </row>
    <row r="2178" spans="2:10">
      <c r="B2178" s="92" t="s">
        <v>2502</v>
      </c>
      <c r="C2178" s="91" t="s">
        <v>1014</v>
      </c>
      <c r="D2178" s="93">
        <v>285</v>
      </c>
      <c r="E2178" s="93">
        <v>200</v>
      </c>
      <c r="F2178" s="103">
        <v>2843</v>
      </c>
      <c r="G2178" s="103"/>
      <c r="H2178" s="240">
        <f ca="1">SUMIF(Tabella2[[#Headers],[#Data],[Age]],$H$76,Tabella2[[#Headers],[#Data],[Federal taxes]])</f>
        <v>6804.3246087429152</v>
      </c>
      <c r="I2178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8" s="240">
        <f ca="1">Tabella8[[#This Row],[Colonna7]]*Tabella8[[#This Row],[Colonna4]]/100</f>
        <v>46390.820500025497</v>
      </c>
    </row>
    <row r="2179" spans="2:10">
      <c r="B2179" s="92" t="s">
        <v>2502</v>
      </c>
      <c r="C2179" s="91" t="s">
        <v>995</v>
      </c>
      <c r="D2179" s="93">
        <v>285</v>
      </c>
      <c r="E2179" s="93">
        <v>215</v>
      </c>
      <c r="F2179" s="103">
        <v>2882</v>
      </c>
      <c r="G2179" s="103"/>
      <c r="H2179" s="240">
        <f ca="1">SUMIF(Tabella2[[#Headers],[#Data],[Age]],$H$76,Tabella2[[#Headers],[#Data],[Federal taxes]])</f>
        <v>6804.3246087429152</v>
      </c>
      <c r="I2179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79" s="240">
        <f ca="1">Tabella8[[#This Row],[Colonna7]]*Tabella8[[#This Row],[Colonna4]]/100</f>
        <v>49870.132037527415</v>
      </c>
    </row>
    <row r="2180" spans="2:10">
      <c r="B2180" s="92" t="s">
        <v>2502</v>
      </c>
      <c r="C2180" s="91" t="s">
        <v>1004</v>
      </c>
      <c r="D2180" s="93">
        <v>285</v>
      </c>
      <c r="E2180" s="93">
        <v>235</v>
      </c>
      <c r="F2180" s="103">
        <f>IFERROR(INDEX(Tabella9[PLZ],MATCH(Tabella8[[#This Row],[Colonna2]],Tabella9[Ortschaftsname],0)), "Name not found")</f>
        <v>2932</v>
      </c>
      <c r="G2180" s="103"/>
      <c r="H2180" s="240">
        <f ca="1">SUMIF(Tabella2[[#Headers],[#Data],[Age]],$H$76,Tabella2[[#Headers],[#Data],[Federal taxes]])</f>
        <v>6804.3246087429152</v>
      </c>
      <c r="I2180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0" s="240">
        <f ca="1">Tabella8[[#This Row],[Colonna7]]*Tabella8[[#This Row],[Colonna4]]/100</f>
        <v>54509.214087529952</v>
      </c>
    </row>
    <row r="2181" spans="2:10">
      <c r="B2181" s="92" t="s">
        <v>2502</v>
      </c>
      <c r="C2181" s="91" t="s">
        <v>1001</v>
      </c>
      <c r="D2181" s="93">
        <v>285</v>
      </c>
      <c r="E2181" s="93">
        <v>204.99999999999997</v>
      </c>
      <c r="F2181" s="103">
        <f>IFERROR(INDEX(Tabella9[PLZ],MATCH(Tabella8[[#This Row],[Colonna2]],Tabella9[Ortschaftsname],0)), "Name not found")</f>
        <v>2952</v>
      </c>
      <c r="G2181" s="103"/>
      <c r="H2181" s="240">
        <f ca="1">SUMIF(Tabella2[[#Headers],[#Data],[Age]],$H$76,Tabella2[[#Headers],[#Data],[Federal taxes]])</f>
        <v>6804.3246087429152</v>
      </c>
      <c r="I2181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1" s="240">
        <f ca="1">Tabella8[[#This Row],[Colonna7]]*Tabella8[[#This Row],[Colonna4]]/100</f>
        <v>47550.591012526129</v>
      </c>
    </row>
    <row r="2182" spans="2:10">
      <c r="B2182" s="92" t="s">
        <v>2502</v>
      </c>
      <c r="C2182" s="91" t="s">
        <v>1016</v>
      </c>
      <c r="D2182" s="93">
        <v>285</v>
      </c>
      <c r="E2182" s="93">
        <v>215</v>
      </c>
      <c r="F2182" s="103">
        <f>IFERROR(INDEX(Tabella9[PLZ],MATCH(Tabella8[[#This Row],[Colonna2]],Tabella9[Ortschaftsname],0)), "Name not found")</f>
        <v>2825</v>
      </c>
      <c r="G2182" s="103"/>
      <c r="H2182" s="240">
        <f ca="1">SUMIF(Tabella2[[#Headers],[#Data],[Age]],$H$76,Tabella2[[#Headers],[#Data],[Federal taxes]])</f>
        <v>6804.3246087429152</v>
      </c>
      <c r="I2182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2" s="240">
        <f ca="1">Tabella8[[#This Row],[Colonna7]]*Tabella8[[#This Row],[Colonna4]]/100</f>
        <v>49870.132037527415</v>
      </c>
    </row>
    <row r="2183" spans="2:10">
      <c r="B2183" s="92" t="s">
        <v>2502</v>
      </c>
      <c r="C2183" s="91" t="s">
        <v>1022</v>
      </c>
      <c r="D2183" s="93">
        <v>285</v>
      </c>
      <c r="E2183" s="93">
        <v>190</v>
      </c>
      <c r="F2183" s="103">
        <f>IFERROR(INDEX(Tabella9[PLZ],MATCH(Tabella8[[#This Row],[Colonna2]],Tabella9[Ortschaftsname],0)), "Name not found")</f>
        <v>2922</v>
      </c>
      <c r="G2183" s="103"/>
      <c r="H2183" s="240">
        <f ca="1">SUMIF(Tabella2[[#Headers],[#Data],[Age]],$H$76,Tabella2[[#Headers],[#Data],[Federal taxes]])</f>
        <v>6804.3246087429152</v>
      </c>
      <c r="I2183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3" s="240">
        <f ca="1">Tabella8[[#This Row],[Colonna7]]*Tabella8[[#This Row],[Colonna4]]/100</f>
        <v>44071.279475024225</v>
      </c>
    </row>
    <row r="2184" spans="2:10">
      <c r="B2184" s="92" t="s">
        <v>2502</v>
      </c>
      <c r="C2184" s="91" t="s">
        <v>989</v>
      </c>
      <c r="D2184" s="93">
        <v>285</v>
      </c>
      <c r="E2184" s="93">
        <v>204.99999999999997</v>
      </c>
      <c r="F2184" s="103">
        <f>IFERROR(INDEX(Tabella9[PLZ],MATCH(Tabella8[[#This Row],[Colonna2]],Tabella9[Ortschaftsname],0)), "Name not found")</f>
        <v>2950</v>
      </c>
      <c r="G2184" s="103"/>
      <c r="H2184" s="240">
        <f ca="1">SUMIF(Tabella2[[#Headers],[#Data],[Age]],$H$76,Tabella2[[#Headers],[#Data],[Federal taxes]])</f>
        <v>6804.3246087429152</v>
      </c>
      <c r="I2184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4" s="240">
        <f ca="1">Tabella8[[#This Row],[Colonna7]]*Tabella8[[#This Row],[Colonna4]]/100</f>
        <v>47550.591012526129</v>
      </c>
    </row>
    <row r="2185" spans="2:10">
      <c r="B2185" s="92" t="s">
        <v>2502</v>
      </c>
      <c r="C2185" s="91" t="s">
        <v>984</v>
      </c>
      <c r="D2185" s="93">
        <v>285</v>
      </c>
      <c r="E2185" s="93">
        <v>225</v>
      </c>
      <c r="F2185" s="103">
        <f>IFERROR(INDEX(Tabella9[PLZ],MATCH(Tabella8[[#This Row],[Colonna2]],Tabella9[Ortschaftsname],0)), "Name not found")</f>
        <v>2830</v>
      </c>
      <c r="G2185" s="103"/>
      <c r="H2185" s="240">
        <f ca="1">SUMIF(Tabella2[[#Headers],[#Data],[Age]],$H$76,Tabella2[[#Headers],[#Data],[Federal taxes]])</f>
        <v>6804.3246087429152</v>
      </c>
      <c r="I2185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5" s="240">
        <f ca="1">Tabella8[[#This Row],[Colonna7]]*Tabella8[[#This Row],[Colonna4]]/100</f>
        <v>52189.67306252868</v>
      </c>
    </row>
    <row r="2186" spans="2:10">
      <c r="B2186" s="92" t="s">
        <v>2502</v>
      </c>
      <c r="C2186" s="91" t="s">
        <v>985</v>
      </c>
      <c r="D2186" s="93">
        <v>285</v>
      </c>
      <c r="E2186" s="93">
        <v>215</v>
      </c>
      <c r="F2186" s="103">
        <f>IFERROR(INDEX(Tabella9[PLZ],MATCH(Tabella8[[#This Row],[Colonna2]],Tabella9[Ortschaftsname],0)), "Name not found")</f>
        <v>2822</v>
      </c>
      <c r="G2186" s="103"/>
      <c r="H2186" s="240">
        <f ca="1">SUMIF(Tabella2[[#Headers],[#Data],[Age]],$H$76,Tabella2[[#Headers],[#Data],[Federal taxes]])</f>
        <v>6804.3246087429152</v>
      </c>
      <c r="I2186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6" s="240">
        <f ca="1">Tabella8[[#This Row],[Colonna7]]*Tabella8[[#This Row],[Colonna4]]/100</f>
        <v>49870.132037527415</v>
      </c>
    </row>
    <row r="2187" spans="2:10">
      <c r="B2187" s="92" t="s">
        <v>2502</v>
      </c>
      <c r="C2187" s="91" t="s">
        <v>1003</v>
      </c>
      <c r="D2187" s="93">
        <v>285</v>
      </c>
      <c r="E2187" s="93">
        <v>220.00000000000003</v>
      </c>
      <c r="F2187" s="103">
        <f>IFERROR(INDEX(Tabella9[PLZ],MATCH(Tabella8[[#This Row],[Colonna2]],Tabella9[Ortschaftsname],0)), "Name not found")</f>
        <v>2905</v>
      </c>
      <c r="G2187" s="103"/>
      <c r="H2187" s="240">
        <f ca="1">SUMIF(Tabella2[[#Headers],[#Data],[Age]],$H$76,Tabella2[[#Headers],[#Data],[Federal taxes]])</f>
        <v>6804.3246087429152</v>
      </c>
      <c r="I2187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7" s="240">
        <f ca="1">Tabella8[[#This Row],[Colonna7]]*Tabella8[[#This Row],[Colonna4]]/100</f>
        <v>51029.902550028048</v>
      </c>
    </row>
    <row r="2188" spans="2:10">
      <c r="B2188" s="92" t="s">
        <v>2502</v>
      </c>
      <c r="C2188" s="91" t="s">
        <v>987</v>
      </c>
      <c r="D2188" s="93">
        <v>285</v>
      </c>
      <c r="E2188" s="93">
        <v>165</v>
      </c>
      <c r="F2188" s="103">
        <f>IFERROR(INDEX(Tabella9[PLZ],MATCH(Tabella8[[#This Row],[Colonna2]],Tabella9[Ortschaftsname],0)), "Name not found")</f>
        <v>2852</v>
      </c>
      <c r="G2188" s="103"/>
      <c r="H2188" s="240">
        <f ca="1">SUMIF(Tabella2[[#Headers],[#Data],[Age]],$H$76,Tabella2[[#Headers],[#Data],[Federal taxes]])</f>
        <v>6804.3246087429152</v>
      </c>
      <c r="I2188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8" s="240">
        <f ca="1">Tabella8[[#This Row],[Colonna7]]*Tabella8[[#This Row],[Colonna4]]/100</f>
        <v>38272.426912521034</v>
      </c>
    </row>
    <row r="2189" spans="2:10">
      <c r="B2189" s="92" t="s">
        <v>2502</v>
      </c>
      <c r="C2189" s="91" t="s">
        <v>2694</v>
      </c>
      <c r="D2189" s="93">
        <v>285</v>
      </c>
      <c r="E2189" s="93">
        <v>215</v>
      </c>
      <c r="F2189" s="103">
        <v>2933</v>
      </c>
      <c r="G2189" s="103"/>
      <c r="H2189" s="240">
        <f ca="1">SUMIF(Tabella2[[#Headers],[#Data],[Age]],$H$76,Tabella2[[#Headers],[#Data],[Federal taxes]])</f>
        <v>6804.3246087429152</v>
      </c>
      <c r="I2189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89" s="240">
        <f ca="1">Tabella8[[#This Row],[Colonna7]]*Tabella8[[#This Row],[Colonna4]]/100</f>
        <v>49870.132037527415</v>
      </c>
    </row>
    <row r="2190" spans="2:10">
      <c r="B2190" s="92" t="s">
        <v>2502</v>
      </c>
      <c r="C2190" s="91" t="s">
        <v>981</v>
      </c>
      <c r="D2190" s="93">
        <v>285</v>
      </c>
      <c r="E2190" s="93">
        <v>190</v>
      </c>
      <c r="F2190" s="103">
        <f>IFERROR(INDEX(Tabella9[PLZ],MATCH(Tabella8[[#This Row],[Colonna2]],Tabella9[Ortschaftsname],0)), "Name not found")</f>
        <v>2800</v>
      </c>
      <c r="G2190" s="103"/>
      <c r="H2190" s="240">
        <f ca="1">SUMIF(Tabella2[[#Headers],[#Data],[Age]],$H$76,Tabella2[[#Headers],[#Data],[Federal taxes]])</f>
        <v>6804.3246087429152</v>
      </c>
      <c r="I2190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0" s="240">
        <f ca="1">Tabella8[[#This Row],[Colonna7]]*Tabella8[[#This Row],[Colonna4]]/100</f>
        <v>44071.279475024225</v>
      </c>
    </row>
    <row r="2191" spans="2:10">
      <c r="B2191" s="92" t="s">
        <v>2502</v>
      </c>
      <c r="C2191" s="91" t="s">
        <v>994</v>
      </c>
      <c r="D2191" s="93">
        <v>285</v>
      </c>
      <c r="E2191" s="93">
        <v>195</v>
      </c>
      <c r="F2191" s="103">
        <f>IFERROR(INDEX(Tabella9[PLZ],MATCH(Tabella8[[#This Row],[Colonna2]],Tabella9[Ortschaftsname],0)), "Name not found")</f>
        <v>2802</v>
      </c>
      <c r="G2191" s="103"/>
      <c r="H2191" s="240">
        <f ca="1">SUMIF(Tabella2[[#Headers],[#Data],[Age]],$H$76,Tabella2[[#Headers],[#Data],[Federal taxes]])</f>
        <v>6804.3246087429152</v>
      </c>
      <c r="I2191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1" s="240">
        <f ca="1">Tabella8[[#This Row],[Colonna7]]*Tabella8[[#This Row],[Colonna4]]/100</f>
        <v>45231.049987524857</v>
      </c>
    </row>
    <row r="2192" spans="2:10">
      <c r="B2192" s="92" t="s">
        <v>2502</v>
      </c>
      <c r="C2192" s="91" t="s">
        <v>1030</v>
      </c>
      <c r="D2192" s="93">
        <v>285</v>
      </c>
      <c r="E2192" s="93">
        <v>220.00000000000003</v>
      </c>
      <c r="F2192" s="103">
        <f>IFERROR(INDEX(Tabella9[PLZ],MATCH(Tabella8[[#This Row],[Colonna2]],Tabella9[Ortschaftsname],0)), "Name not found")</f>
        <v>2813</v>
      </c>
      <c r="G2192" s="103"/>
      <c r="H2192" s="240">
        <f ca="1">SUMIF(Tabella2[[#Headers],[#Data],[Age]],$H$76,Tabella2[[#Headers],[#Data],[Federal taxes]])</f>
        <v>6804.3246087429152</v>
      </c>
      <c r="I2192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2" s="240">
        <f ca="1">Tabella8[[#This Row],[Colonna7]]*Tabella8[[#This Row],[Colonna4]]/100</f>
        <v>51029.902550028048</v>
      </c>
    </row>
    <row r="2193" spans="2:10">
      <c r="B2193" s="92" t="s">
        <v>2502</v>
      </c>
      <c r="C2193" s="91" t="s">
        <v>1019</v>
      </c>
      <c r="D2193" s="93">
        <v>285</v>
      </c>
      <c r="E2193" s="93">
        <v>229.99999999999997</v>
      </c>
      <c r="F2193" s="103">
        <f>IFERROR(INDEX(Tabella9[PLZ],MATCH(Tabella8[[#This Row],[Colonna2]],Tabella9[Ortschaftsname],0)), "Name not found")</f>
        <v>2916</v>
      </c>
      <c r="G2193" s="103"/>
      <c r="H2193" s="240">
        <f ca="1">SUMIF(Tabella2[[#Headers],[#Data],[Age]],$H$76,Tabella2[[#Headers],[#Data],[Federal taxes]])</f>
        <v>6804.3246087429152</v>
      </c>
      <c r="I2193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3" s="240">
        <f ca="1">Tabella8[[#This Row],[Colonna7]]*Tabella8[[#This Row],[Colonna4]]/100</f>
        <v>53349.44357502932</v>
      </c>
    </row>
    <row r="2194" spans="2:10">
      <c r="B2194" s="92" t="s">
        <v>2502</v>
      </c>
      <c r="C2194" s="91" t="s">
        <v>992</v>
      </c>
      <c r="D2194" s="93">
        <v>285</v>
      </c>
      <c r="E2194" s="93">
        <v>235</v>
      </c>
      <c r="F2194" s="103">
        <f>IFERROR(INDEX(Tabella9[PLZ],MATCH(Tabella8[[#This Row],[Colonna2]],Tabella9[Ortschaftsname],0)), "Name not found")</f>
        <v>2902</v>
      </c>
      <c r="G2194" s="103"/>
      <c r="H2194" s="240">
        <f ca="1">SUMIF(Tabella2[[#Headers],[#Data],[Age]],$H$76,Tabella2[[#Headers],[#Data],[Federal taxes]])</f>
        <v>6804.3246087429152</v>
      </c>
      <c r="I2194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4" s="240">
        <f ca="1">Tabella8[[#This Row],[Colonna7]]*Tabella8[[#This Row],[Colonna4]]/100</f>
        <v>54509.214087529952</v>
      </c>
    </row>
    <row r="2195" spans="2:10">
      <c r="B2195" s="92" t="s">
        <v>2502</v>
      </c>
      <c r="C2195" s="91" t="s">
        <v>1018</v>
      </c>
      <c r="D2195" s="93">
        <v>285</v>
      </c>
      <c r="E2195" s="93">
        <v>225</v>
      </c>
      <c r="F2195" s="103">
        <f>IFERROR(INDEX(Tabella9[PLZ],MATCH(Tabella8[[#This Row],[Colonna2]],Tabella9[Ortschaftsname],0)), "Name not found")</f>
        <v>2908</v>
      </c>
      <c r="G2195" s="103"/>
      <c r="H2195" s="240">
        <f ca="1">SUMIF(Tabella2[[#Headers],[#Data],[Age]],$H$76,Tabella2[[#Headers],[#Data],[Federal taxes]])</f>
        <v>6804.3246087429152</v>
      </c>
      <c r="I2195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5" s="240">
        <f ca="1">Tabella8[[#This Row],[Colonna7]]*Tabella8[[#This Row],[Colonna4]]/100</f>
        <v>52189.67306252868</v>
      </c>
    </row>
    <row r="2196" spans="2:10">
      <c r="B2196" s="92" t="s">
        <v>2502</v>
      </c>
      <c r="C2196" s="91" t="s">
        <v>1000</v>
      </c>
      <c r="D2196" s="93">
        <v>285</v>
      </c>
      <c r="E2196" s="93">
        <v>215</v>
      </c>
      <c r="F2196" s="103">
        <v>2906</v>
      </c>
      <c r="G2196" s="103"/>
      <c r="H2196" s="240">
        <f ca="1">SUMIF(Tabella2[[#Headers],[#Data],[Age]],$H$76,Tabella2[[#Headers],[#Data],[Federal taxes]])</f>
        <v>6804.3246087429152</v>
      </c>
      <c r="I2196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6" s="240">
        <f ca="1">Tabella8[[#This Row],[Colonna7]]*Tabella8[[#This Row],[Colonna4]]/100</f>
        <v>49870.132037527415</v>
      </c>
    </row>
    <row r="2197" spans="2:10">
      <c r="B2197" s="92" t="s">
        <v>2502</v>
      </c>
      <c r="C2197" s="91" t="s">
        <v>982</v>
      </c>
      <c r="D2197" s="93">
        <v>285</v>
      </c>
      <c r="E2197" s="93">
        <v>210</v>
      </c>
      <c r="F2197" s="103">
        <v>2854</v>
      </c>
      <c r="G2197" s="103"/>
      <c r="H2197" s="240">
        <f ca="1">SUMIF(Tabella2[[#Headers],[#Data],[Age]],$H$76,Tabella2[[#Headers],[#Data],[Federal taxes]])</f>
        <v>6804.3246087429152</v>
      </c>
      <c r="I2197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7" s="240">
        <f ca="1">Tabella8[[#This Row],[Colonna7]]*Tabella8[[#This Row],[Colonna4]]/100</f>
        <v>48710.361525026776</v>
      </c>
    </row>
    <row r="2198" spans="2:10">
      <c r="B2198" s="92" t="s">
        <v>2502</v>
      </c>
      <c r="C2198" s="91" t="s">
        <v>999</v>
      </c>
      <c r="D2198" s="93">
        <v>285</v>
      </c>
      <c r="E2198" s="93">
        <v>215</v>
      </c>
      <c r="F2198" s="103">
        <v>2947</v>
      </c>
      <c r="G2198" s="103"/>
      <c r="H2198" s="240">
        <f ca="1">SUMIF(Tabella2[[#Headers],[#Data],[Age]],$H$76,Tabella2[[#Headers],[#Data],[Federal taxes]])</f>
        <v>6804.3246087429152</v>
      </c>
      <c r="I2198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8" s="240">
        <f ca="1">Tabella8[[#This Row],[Colonna7]]*Tabella8[[#This Row],[Colonna4]]/100</f>
        <v>49870.132037527415</v>
      </c>
    </row>
    <row r="2199" spans="2:10">
      <c r="B2199" s="92" t="s">
        <v>2502</v>
      </c>
      <c r="C2199" s="91" t="s">
        <v>1005</v>
      </c>
      <c r="D2199" s="93">
        <v>285</v>
      </c>
      <c r="E2199" s="93">
        <v>220.00000000000003</v>
      </c>
      <c r="F2199" s="103">
        <v>2718</v>
      </c>
      <c r="G2199" s="103"/>
      <c r="H2199" s="240">
        <f ca="1">SUMIF(Tabella2[[#Headers],[#Data],[Age]],$H$76,Tabella2[[#Headers],[#Data],[Federal taxes]])</f>
        <v>6804.3246087429152</v>
      </c>
      <c r="I2199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199" s="240">
        <f ca="1">Tabella8[[#This Row],[Colonna7]]*Tabella8[[#This Row],[Colonna4]]/100</f>
        <v>51029.902550028048</v>
      </c>
    </row>
    <row r="2200" spans="2:10">
      <c r="B2200" s="92" t="s">
        <v>2502</v>
      </c>
      <c r="C2200" s="91" t="s">
        <v>1021</v>
      </c>
      <c r="D2200" s="93">
        <v>285</v>
      </c>
      <c r="E2200" s="93">
        <v>195</v>
      </c>
      <c r="F2200" s="103">
        <v>2360</v>
      </c>
      <c r="G2200" s="103"/>
      <c r="H2200" s="240">
        <f ca="1">SUMIF(Tabella2[[#Headers],[#Data],[Age]],$H$76,Tabella2[[#Headers],[#Data],[Federal taxes]])</f>
        <v>6804.3246087429152</v>
      </c>
      <c r="I2200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0" s="240">
        <f ca="1">Tabella8[[#This Row],[Colonna7]]*Tabella8[[#This Row],[Colonna4]]/100</f>
        <v>45231.049987524857</v>
      </c>
    </row>
    <row r="2201" spans="2:10">
      <c r="B2201" s="92" t="s">
        <v>2502</v>
      </c>
      <c r="C2201" s="91" t="s">
        <v>990</v>
      </c>
      <c r="D2201" s="93">
        <v>285</v>
      </c>
      <c r="E2201" s="93">
        <v>170</v>
      </c>
      <c r="F2201" s="103">
        <f>IFERROR(INDEX(Tabella9[PLZ],MATCH(Tabella8[[#This Row],[Colonna2]],Tabella9[Ortschaftsname],0)), "Name not found")</f>
        <v>2340</v>
      </c>
      <c r="G2201" s="103"/>
      <c r="H2201" s="240">
        <f ca="1">SUMIF(Tabella2[[#Headers],[#Data],[Age]],$H$76,Tabella2[[#Headers],[#Data],[Federal taxes]])</f>
        <v>6804.3246087429152</v>
      </c>
      <c r="I2201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1" s="240">
        <f ca="1">Tabella8[[#This Row],[Colonna7]]*Tabella8[[#This Row],[Colonna4]]/100</f>
        <v>39432.197425021674</v>
      </c>
    </row>
    <row r="2202" spans="2:10">
      <c r="B2202" s="92" t="s">
        <v>2502</v>
      </c>
      <c r="C2202" s="91" t="s">
        <v>996</v>
      </c>
      <c r="D2202" s="93">
        <v>285</v>
      </c>
      <c r="E2202" s="93">
        <v>215</v>
      </c>
      <c r="F2202" s="103">
        <f>IFERROR(INDEX(Tabella9[PLZ],MATCH(Tabella8[[#This Row],[Colonna2]],Tabella9[Ortschaftsname],0)), "Name not found")</f>
        <v>2336</v>
      </c>
      <c r="G2202" s="103"/>
      <c r="H2202" s="240">
        <f ca="1">SUMIF(Tabella2[[#Headers],[#Data],[Age]],$H$76,Tabella2[[#Headers],[#Data],[Federal taxes]])</f>
        <v>6804.3246087429152</v>
      </c>
      <c r="I2202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2" s="240">
        <f ca="1">Tabella8[[#This Row],[Colonna7]]*Tabella8[[#This Row],[Colonna4]]/100</f>
        <v>49870.132037527415</v>
      </c>
    </row>
    <row r="2203" spans="2:10">
      <c r="B2203" s="92" t="s">
        <v>2502</v>
      </c>
      <c r="C2203" s="91" t="s">
        <v>993</v>
      </c>
      <c r="D2203" s="93">
        <v>285</v>
      </c>
      <c r="E2203" s="93">
        <v>130</v>
      </c>
      <c r="F2203" s="103">
        <f>IFERROR(INDEX(Tabella9[PLZ],MATCH(Tabella8[[#This Row],[Colonna2]],Tabella9[Ortschaftsname],0)), "Name not found")</f>
        <v>2345</v>
      </c>
      <c r="G2203" s="103"/>
      <c r="H2203" s="240">
        <f ca="1">SUMIF(Tabella2[[#Headers],[#Data],[Age]],$H$76,Tabella2[[#Headers],[#Data],[Federal taxes]])</f>
        <v>6804.3246087429152</v>
      </c>
      <c r="I2203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3" s="240">
        <f ca="1">Tabella8[[#This Row],[Colonna7]]*Tabella8[[#This Row],[Colonna4]]/100</f>
        <v>30154.033325016571</v>
      </c>
    </row>
    <row r="2204" spans="2:10">
      <c r="B2204" s="92" t="s">
        <v>2502</v>
      </c>
      <c r="C2204" s="91" t="s">
        <v>1028</v>
      </c>
      <c r="D2204" s="93">
        <v>285</v>
      </c>
      <c r="E2204" s="93">
        <v>204.99999999999997</v>
      </c>
      <c r="F2204" s="103">
        <f>IFERROR(INDEX(Tabella9[PLZ],MATCH(Tabella8[[#This Row],[Colonna2]],Tabella9[Ortschaftsname],0)), "Name not found")</f>
        <v>2363</v>
      </c>
      <c r="G2204" s="103"/>
      <c r="H2204" s="240">
        <f ca="1">SUMIF(Tabella2[[#Headers],[#Data],[Age]],$H$76,Tabella2[[#Headers],[#Data],[Federal taxes]])</f>
        <v>6804.3246087429152</v>
      </c>
      <c r="I2204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4" s="240">
        <f ca="1">Tabella8[[#This Row],[Colonna7]]*Tabella8[[#This Row],[Colonna4]]/100</f>
        <v>47550.591012526129</v>
      </c>
    </row>
    <row r="2205" spans="2:10">
      <c r="B2205" s="92" t="s">
        <v>2502</v>
      </c>
      <c r="C2205" s="91" t="s">
        <v>1011</v>
      </c>
      <c r="D2205" s="93">
        <v>285</v>
      </c>
      <c r="E2205" s="93">
        <v>204.99999999999997</v>
      </c>
      <c r="F2205" s="103">
        <v>2714</v>
      </c>
      <c r="G2205" s="103"/>
      <c r="H2205" s="240">
        <f ca="1">SUMIF(Tabella2[[#Headers],[#Data],[Age]],$H$76,Tabella2[[#Headers],[#Data],[Federal taxes]])</f>
        <v>6804.3246087429152</v>
      </c>
      <c r="I2205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5" s="240">
        <f ca="1">Tabella8[[#This Row],[Colonna7]]*Tabella8[[#This Row],[Colonna4]]/100</f>
        <v>47550.591012526129</v>
      </c>
    </row>
    <row r="2206" spans="2:10">
      <c r="B2206" s="92" t="s">
        <v>2502</v>
      </c>
      <c r="C2206" s="91" t="s">
        <v>1013</v>
      </c>
      <c r="D2206" s="93">
        <v>285</v>
      </c>
      <c r="E2206" s="93">
        <v>225</v>
      </c>
      <c r="F2206" s="103">
        <f>IFERROR(INDEX(Tabella9[PLZ],MATCH(Tabella8[[#This Row],[Colonna2]],Tabella9[Ortschaftsname],0)), "Name not found")</f>
        <v>2827</v>
      </c>
      <c r="G2206" s="103"/>
      <c r="H2206" s="240">
        <f ca="1">SUMIF(Tabella2[[#Headers],[#Data],[Age]],$H$76,Tabella2[[#Headers],[#Data],[Federal taxes]])</f>
        <v>6804.3246087429152</v>
      </c>
      <c r="I2206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6" s="240">
        <f ca="1">Tabella8[[#This Row],[Colonna7]]*Tabella8[[#This Row],[Colonna4]]/100</f>
        <v>52189.67306252868</v>
      </c>
    </row>
    <row r="2207" spans="2:10">
      <c r="B2207" s="92" t="s">
        <v>2502</v>
      </c>
      <c r="C2207" s="91" t="s">
        <v>1032</v>
      </c>
      <c r="D2207" s="93">
        <v>285</v>
      </c>
      <c r="E2207" s="93">
        <v>220.00000000000003</v>
      </c>
      <c r="F2207" s="103">
        <f>IFERROR(INDEX(Tabella9[PLZ],MATCH(Tabella8[[#This Row],[Colonna2]],Tabella9[Ortschaftsname],0)), "Name not found")</f>
        <v>2806</v>
      </c>
      <c r="G2207" s="103"/>
      <c r="H2207" s="240">
        <f ca="1">SUMIF(Tabella2[[#Headers],[#Data],[Age]],$H$76,Tabella2[[#Headers],[#Data],[Federal taxes]])</f>
        <v>6804.3246087429152</v>
      </c>
      <c r="I2207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7" s="240">
        <f ca="1">Tabella8[[#This Row],[Colonna7]]*Tabella8[[#This Row],[Colonna4]]/100</f>
        <v>51029.902550028048</v>
      </c>
    </row>
    <row r="2208" spans="2:10">
      <c r="B2208" s="92" t="s">
        <v>2502</v>
      </c>
      <c r="C2208" s="91" t="s">
        <v>1009</v>
      </c>
      <c r="D2208" s="93">
        <v>285</v>
      </c>
      <c r="E2208" s="93">
        <v>220.00000000000003</v>
      </c>
      <c r="F2208" s="103">
        <f>IFERROR(INDEX(Tabella9[PLZ],MATCH(Tabella8[[#This Row],[Colonna2]],Tabella9[Ortschaftsname],0)), "Name not found")</f>
        <v>2362</v>
      </c>
      <c r="G2208" s="103"/>
      <c r="H2208" s="240">
        <f ca="1">SUMIF(Tabella2[[#Headers],[#Data],[Age]],$H$76,Tabella2[[#Headers],[#Data],[Federal taxes]])</f>
        <v>6804.3246087429152</v>
      </c>
      <c r="I2208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8" s="240">
        <f ca="1">Tabella8[[#This Row],[Colonna7]]*Tabella8[[#This Row],[Colonna4]]/100</f>
        <v>51029.902550028048</v>
      </c>
    </row>
    <row r="2209" spans="2:10">
      <c r="B2209" s="92" t="s">
        <v>2502</v>
      </c>
      <c r="C2209" s="91" t="s">
        <v>1017</v>
      </c>
      <c r="D2209" s="93">
        <v>285</v>
      </c>
      <c r="E2209" s="93">
        <v>225</v>
      </c>
      <c r="F2209" s="103">
        <f>IFERROR(INDEX(Tabella9[PLZ],MATCH(Tabella8[[#This Row],[Colonna2]],Tabella9[Ortschaftsname],0)), "Name not found")</f>
        <v>2812</v>
      </c>
      <c r="G2209" s="103"/>
      <c r="H2209" s="240">
        <f ca="1">SUMIF(Tabella2[[#Headers],[#Data],[Age]],$H$76,Tabella2[[#Headers],[#Data],[Federal taxes]])</f>
        <v>6804.3246087429152</v>
      </c>
      <c r="I2209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09" s="240">
        <f ca="1">Tabella8[[#This Row],[Colonna7]]*Tabella8[[#This Row],[Colonna4]]/100</f>
        <v>52189.67306252868</v>
      </c>
    </row>
    <row r="2210" spans="2:10">
      <c r="B2210" s="92" t="s">
        <v>2502</v>
      </c>
      <c r="C2210" s="91" t="s">
        <v>1012</v>
      </c>
      <c r="D2210" s="93">
        <v>285</v>
      </c>
      <c r="E2210" s="93">
        <v>160</v>
      </c>
      <c r="F2210" s="103">
        <f>IFERROR(INDEX(Tabella9[PLZ],MATCH(Tabella8[[#This Row],[Colonna2]],Tabella9[Ortschaftsname],0)), "Name not found")</f>
        <v>2338</v>
      </c>
      <c r="G2210" s="103"/>
      <c r="H2210" s="240">
        <f ca="1">SUMIF(Tabella2[[#Headers],[#Data],[Age]],$H$76,Tabella2[[#Headers],[#Data],[Federal taxes]])</f>
        <v>6804.3246087429152</v>
      </c>
      <c r="I2210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0" s="240">
        <f ca="1">Tabella8[[#This Row],[Colonna7]]*Tabella8[[#This Row],[Colonna4]]/100</f>
        <v>37112.656400020394</v>
      </c>
    </row>
    <row r="2211" spans="2:10">
      <c r="B2211" s="92" t="s">
        <v>2502</v>
      </c>
      <c r="C2211" s="91" t="s">
        <v>1020</v>
      </c>
      <c r="D2211" s="93">
        <v>285</v>
      </c>
      <c r="E2211" s="93">
        <v>210</v>
      </c>
      <c r="F2211" s="103">
        <f>IFERROR(INDEX(Tabella9[PLZ],MATCH(Tabella8[[#This Row],[Colonna2]],Tabella9[Ortschaftsname],0)), "Name not found")</f>
        <v>2807</v>
      </c>
      <c r="G2211" s="103"/>
      <c r="H2211" s="240">
        <f ca="1">SUMIF(Tabella2[[#Headers],[#Data],[Age]],$H$76,Tabella2[[#Headers],[#Data],[Federal taxes]])</f>
        <v>6804.3246087429152</v>
      </c>
      <c r="I2211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1" s="240">
        <f ca="1">Tabella8[[#This Row],[Colonna7]]*Tabella8[[#This Row],[Colonna4]]/100</f>
        <v>48710.361525026776</v>
      </c>
    </row>
    <row r="2212" spans="2:10">
      <c r="B2212" s="92" t="s">
        <v>2502</v>
      </c>
      <c r="C2212" s="91" t="s">
        <v>983</v>
      </c>
      <c r="D2212" s="93">
        <v>285</v>
      </c>
      <c r="E2212" s="93">
        <v>204.99999999999997</v>
      </c>
      <c r="F2212" s="103">
        <f>IFERROR(INDEX(Tabella9[PLZ],MATCH(Tabella8[[#This Row],[Colonna2]],Tabella9[Ortschaftsname],0)), "Name not found")</f>
        <v>2900</v>
      </c>
      <c r="G2212" s="103"/>
      <c r="H2212" s="240">
        <f ca="1">SUMIF(Tabella2[[#Headers],[#Data],[Age]],$H$76,Tabella2[[#Headers],[#Data],[Federal taxes]])</f>
        <v>6804.3246087429152</v>
      </c>
      <c r="I2212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2" s="240">
        <f ca="1">Tabella8[[#This Row],[Colonna7]]*Tabella8[[#This Row],[Colonna4]]/100</f>
        <v>47550.591012526129</v>
      </c>
    </row>
    <row r="2213" spans="2:10">
      <c r="B2213" s="92" t="s">
        <v>2502</v>
      </c>
      <c r="C2213" s="91" t="s">
        <v>1008</v>
      </c>
      <c r="D2213" s="93">
        <v>285</v>
      </c>
      <c r="E2213" s="93">
        <v>200</v>
      </c>
      <c r="F2213" s="103">
        <f>IFERROR(INDEX(Tabella9[PLZ],MATCH(Tabella8[[#This Row],[Colonna2]],Tabella9[Ortschaftsname],0)), "Name not found")</f>
        <v>2842</v>
      </c>
      <c r="G2213" s="103"/>
      <c r="H2213" s="240">
        <f ca="1">SUMIF(Tabella2[[#Headers],[#Data],[Age]],$H$76,Tabella2[[#Headers],[#Data],[Federal taxes]])</f>
        <v>6804.3246087429152</v>
      </c>
      <c r="I2213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3" s="240">
        <f ca="1">Tabella8[[#This Row],[Colonna7]]*Tabella8[[#This Row],[Colonna4]]/100</f>
        <v>46390.820500025497</v>
      </c>
    </row>
    <row r="2214" spans="2:10">
      <c r="B2214" s="92" t="s">
        <v>2502</v>
      </c>
      <c r="C2214" s="91" t="s">
        <v>988</v>
      </c>
      <c r="D2214" s="93">
        <v>285</v>
      </c>
      <c r="E2214" s="93">
        <v>229.99999999999997</v>
      </c>
      <c r="F2214" s="103">
        <f>IFERROR(INDEX(Tabella9[PLZ],MATCH(Tabella8[[#This Row],[Colonna2]],Tabella9[Ortschaftsname],0)), "Name not found")</f>
        <v>2350</v>
      </c>
      <c r="G2214" s="103"/>
      <c r="H2214" s="240">
        <f ca="1">SUMIF(Tabella2[[#Headers],[#Data],[Age]],$H$76,Tabella2[[#Headers],[#Data],[Federal taxes]])</f>
        <v>6804.3246087429152</v>
      </c>
      <c r="I2214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4" s="240">
        <f ca="1">Tabella8[[#This Row],[Colonna7]]*Tabella8[[#This Row],[Colonna4]]/100</f>
        <v>53349.44357502932</v>
      </c>
    </row>
    <row r="2215" spans="2:10">
      <c r="B2215" s="92" t="s">
        <v>2502</v>
      </c>
      <c r="C2215" s="91" t="s">
        <v>1025</v>
      </c>
      <c r="D2215" s="93">
        <v>285</v>
      </c>
      <c r="E2215" s="93">
        <v>225</v>
      </c>
      <c r="F2215" s="103">
        <v>2364</v>
      </c>
      <c r="G2215" s="103"/>
      <c r="H2215" s="240">
        <f ca="1">SUMIF(Tabella2[[#Headers],[#Data],[Age]],$H$76,Tabella2[[#Headers],[#Data],[Federal taxes]])</f>
        <v>6804.3246087429152</v>
      </c>
      <c r="I2215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5" s="240">
        <f ca="1">Tabella8[[#This Row],[Colonna7]]*Tabella8[[#This Row],[Colonna4]]/100</f>
        <v>52189.67306252868</v>
      </c>
    </row>
    <row r="2216" spans="2:10">
      <c r="B2216" s="92" t="s">
        <v>2502</v>
      </c>
      <c r="C2216" s="91" t="s">
        <v>1023</v>
      </c>
      <c r="D2216" s="93">
        <v>285</v>
      </c>
      <c r="E2216" s="93">
        <v>220.00000000000003</v>
      </c>
      <c r="F2216" s="103">
        <f>IFERROR(INDEX(Tabella9[PLZ],MATCH(Tabella8[[#This Row],[Colonna2]],Tabella9[Ortschaftsname],0)), "Name not found")</f>
        <v>2873</v>
      </c>
      <c r="G2216" s="103"/>
      <c r="H2216" s="240">
        <f ca="1">SUMIF(Tabella2[[#Headers],[#Data],[Age]],$H$76,Tabella2[[#Headers],[#Data],[Federal taxes]])</f>
        <v>6804.3246087429152</v>
      </c>
      <c r="I2216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6" s="240">
        <f ca="1">Tabella8[[#This Row],[Colonna7]]*Tabella8[[#This Row],[Colonna4]]/100</f>
        <v>51029.902550028048</v>
      </c>
    </row>
    <row r="2217" spans="2:10">
      <c r="B2217" s="92" t="s">
        <v>2502</v>
      </c>
      <c r="C2217" s="91" t="s">
        <v>1029</v>
      </c>
      <c r="D2217" s="93">
        <v>285</v>
      </c>
      <c r="E2217" s="93">
        <v>225</v>
      </c>
      <c r="F2217" s="103">
        <f>IFERROR(INDEX(Tabella9[PLZ],MATCH(Tabella8[[#This Row],[Colonna2]],Tabella9[Ortschaftsname],0)), "Name not found")</f>
        <v>2887</v>
      </c>
      <c r="G2217" s="103"/>
      <c r="H2217" s="240">
        <f ca="1">SUMIF(Tabella2[[#Headers],[#Data],[Age]],$H$76,Tabella2[[#Headers],[#Data],[Federal taxes]])</f>
        <v>6804.3246087429152</v>
      </c>
      <c r="I2217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7" s="240">
        <f ca="1">Tabella8[[#This Row],[Colonna7]]*Tabella8[[#This Row],[Colonna4]]/100</f>
        <v>52189.67306252868</v>
      </c>
    </row>
    <row r="2218" spans="2:10">
      <c r="B2218" s="92" t="s">
        <v>2502</v>
      </c>
      <c r="C2218" s="91" t="s">
        <v>1015</v>
      </c>
      <c r="D2218" s="93">
        <v>285</v>
      </c>
      <c r="E2218" s="93">
        <v>215</v>
      </c>
      <c r="F2218" s="103">
        <f>IFERROR(INDEX(Tabella9[PLZ],MATCH(Tabella8[[#This Row],[Colonna2]],Tabella9[Ortschaftsname],0)), "Name not found")</f>
        <v>2805</v>
      </c>
      <c r="G2218" s="103"/>
      <c r="H2218" s="240">
        <f ca="1">SUMIF(Tabella2[[#Headers],[#Data],[Age]],$H$76,Tabella2[[#Headers],[#Data],[Federal taxes]])</f>
        <v>6804.3246087429152</v>
      </c>
      <c r="I2218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8" s="240">
        <f ca="1">Tabella8[[#This Row],[Colonna7]]*Tabella8[[#This Row],[Colonna4]]/100</f>
        <v>49870.132037527415</v>
      </c>
    </row>
    <row r="2219" spans="2:10">
      <c r="B2219" s="92" t="s">
        <v>2502</v>
      </c>
      <c r="C2219" s="91" t="s">
        <v>986</v>
      </c>
      <c r="D2219" s="93">
        <v>285</v>
      </c>
      <c r="E2219" s="93">
        <v>220.00000000000003</v>
      </c>
      <c r="F2219" s="103">
        <v>2824</v>
      </c>
      <c r="G2219" s="103"/>
      <c r="H2219" s="240">
        <f ca="1">SUMIF(Tabella2[[#Headers],[#Data],[Age]],$H$76,Tabella2[[#Headers],[#Data],[Federal taxes]])</f>
        <v>6804.3246087429152</v>
      </c>
      <c r="I2219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19" s="240">
        <f ca="1">Tabella8[[#This Row],[Colonna7]]*Tabella8[[#This Row],[Colonna4]]/100</f>
        <v>51029.902550028048</v>
      </c>
    </row>
    <row r="2220" spans="2:10">
      <c r="B2220" s="92" t="s">
        <v>2502</v>
      </c>
      <c r="C2220" s="91" t="s">
        <v>1010</v>
      </c>
      <c r="D2220" s="93">
        <v>285</v>
      </c>
      <c r="E2220" s="93">
        <v>229.99999999999997</v>
      </c>
      <c r="F2220" s="103">
        <f>IFERROR(INDEX(Tabella9[PLZ],MATCH(Tabella8[[#This Row],[Colonna2]],Tabella9[Ortschaftsname],0)), "Name not found")</f>
        <v>2943</v>
      </c>
      <c r="G2220" s="103"/>
      <c r="H2220" s="240">
        <f ca="1">SUMIF(Tabella2[[#Headers],[#Data],[Age]],$H$76,Tabella2[[#Headers],[#Data],[Federal taxes]])</f>
        <v>6804.3246087429152</v>
      </c>
      <c r="I2220" s="240">
        <f ca="1">IFERROR(INDEX(Tabella13[[TI]:[VS commun]], MATCH($H$76, Tabella13[Age], 0), MATCH(Tabella8[[#This Row],[Colonna1]], Tabella13[[#Headers], [TI]:[VS commun]], 0)), "Valore non trovato")*Tabella8[[#This Row],[Colonna3]]/100</f>
        <v>23195.410250012748</v>
      </c>
      <c r="J2220" s="240">
        <f ca="1">Tabella8[[#This Row],[Colonna7]]*Tabella8[[#This Row],[Colonna4]]/100</f>
        <v>53349.44357502932</v>
      </c>
    </row>
    <row r="2221" spans="2:10">
      <c r="B2221" s="2"/>
      <c r="C2221" s="2"/>
      <c r="D2221" s="2"/>
      <c r="E2221" s="2"/>
      <c r="F2221" s="2">
        <f>COUNTIFS(F78:F2220, "Name not found")</f>
        <v>0</v>
      </c>
      <c r="G2221" s="2"/>
      <c r="H2221" s="2"/>
      <c r="I2221" s="2"/>
      <c r="J2221" s="2"/>
    </row>
    <row r="2232" spans="2:7">
      <c r="B2232" s="101" t="s">
        <v>2695</v>
      </c>
      <c r="C2232" s="102" t="s">
        <v>43</v>
      </c>
      <c r="E2232" s="99" t="s">
        <v>1671</v>
      </c>
      <c r="F2232" s="99" t="s">
        <v>161</v>
      </c>
      <c r="G2232" s="98" t="s">
        <v>43</v>
      </c>
    </row>
    <row r="2233" spans="2:7" ht="17">
      <c r="B2233" s="116" t="s">
        <v>1911</v>
      </c>
      <c r="C2233" s="117">
        <v>8355</v>
      </c>
      <c r="E2233" s="97" t="s">
        <v>1675</v>
      </c>
      <c r="F2233" s="96" t="s">
        <v>162</v>
      </c>
      <c r="G2233" s="100">
        <v>8610</v>
      </c>
    </row>
    <row r="2234" spans="2:7" ht="17">
      <c r="B2234" s="118" t="s">
        <v>2696</v>
      </c>
      <c r="C2234" s="119">
        <v>8607</v>
      </c>
      <c r="E2234" s="97" t="s">
        <v>162</v>
      </c>
      <c r="F2234" s="96" t="s">
        <v>162</v>
      </c>
      <c r="G2234" s="100">
        <v>8000</v>
      </c>
    </row>
    <row r="2235" spans="2:7" ht="17">
      <c r="B2235" s="118" t="s">
        <v>2696</v>
      </c>
      <c r="C2235" s="119">
        <v>8607</v>
      </c>
      <c r="E2235" s="97" t="s">
        <v>1676</v>
      </c>
      <c r="F2235" s="96" t="s">
        <v>162</v>
      </c>
      <c r="G2235" s="100">
        <v>8400</v>
      </c>
    </row>
    <row r="2236" spans="2:7" ht="17">
      <c r="B2236" s="118" t="s">
        <v>2697</v>
      </c>
      <c r="C2236" s="119">
        <v>8345</v>
      </c>
      <c r="E2236" s="97" t="s">
        <v>1677</v>
      </c>
      <c r="F2236" s="96" t="s">
        <v>162</v>
      </c>
      <c r="G2236" s="100">
        <v>8600</v>
      </c>
    </row>
    <row r="2237" spans="2:7" ht="17">
      <c r="B2237" s="118" t="s">
        <v>2697</v>
      </c>
      <c r="C2237" s="119">
        <v>8345</v>
      </c>
      <c r="E2237" s="97" t="s">
        <v>1679</v>
      </c>
      <c r="F2237" s="96" t="s">
        <v>162</v>
      </c>
      <c r="G2237" s="100">
        <v>8953</v>
      </c>
    </row>
    <row r="2238" spans="2:7" ht="17">
      <c r="B2238" s="118" t="s">
        <v>2698</v>
      </c>
      <c r="C2238" s="119">
        <v>8452</v>
      </c>
      <c r="E2238" s="97" t="s">
        <v>1681</v>
      </c>
      <c r="F2238" s="96" t="s">
        <v>162</v>
      </c>
      <c r="G2238" s="100">
        <v>8820</v>
      </c>
    </row>
    <row r="2239" spans="2:7" ht="17">
      <c r="B2239" s="118" t="s">
        <v>2699</v>
      </c>
      <c r="C2239" s="119">
        <v>8106</v>
      </c>
      <c r="E2239" s="97" t="s">
        <v>1682</v>
      </c>
      <c r="F2239" s="96" t="s">
        <v>162</v>
      </c>
      <c r="G2239" s="100">
        <v>8620</v>
      </c>
    </row>
    <row r="2240" spans="2:7" ht="17">
      <c r="B2240" s="118" t="s">
        <v>1687</v>
      </c>
      <c r="C2240" s="119">
        <v>8134</v>
      </c>
      <c r="E2240" s="97" t="s">
        <v>1683</v>
      </c>
      <c r="F2240" s="96" t="s">
        <v>162</v>
      </c>
      <c r="G2240" s="100">
        <v>8810</v>
      </c>
    </row>
    <row r="2241" spans="2:7" ht="17">
      <c r="B2241" s="118" t="s">
        <v>1687</v>
      </c>
      <c r="C2241" s="119">
        <v>8134</v>
      </c>
      <c r="E2241" s="97" t="s">
        <v>1684</v>
      </c>
      <c r="F2241" s="96" t="s">
        <v>162</v>
      </c>
      <c r="G2241" s="100">
        <v>8152</v>
      </c>
    </row>
    <row r="2242" spans="2:7" ht="17">
      <c r="B2242" s="118" t="s">
        <v>1687</v>
      </c>
      <c r="C2242" s="119">
        <v>8134</v>
      </c>
      <c r="E2242" s="97" t="s">
        <v>1685</v>
      </c>
      <c r="F2242" s="96" t="s">
        <v>162</v>
      </c>
      <c r="G2242" s="100">
        <v>8180</v>
      </c>
    </row>
    <row r="2243" spans="2:7" ht="17">
      <c r="B2243" s="118" t="s">
        <v>2700</v>
      </c>
      <c r="C2243" s="119">
        <v>8412</v>
      </c>
      <c r="E2243" s="97" t="s">
        <v>1686</v>
      </c>
      <c r="F2243" s="96" t="s">
        <v>162</v>
      </c>
      <c r="G2243" s="100">
        <v>8302</v>
      </c>
    </row>
    <row r="2244" spans="2:7" ht="17">
      <c r="B2244" s="118" t="s">
        <v>2701</v>
      </c>
      <c r="C2244" s="119">
        <v>8904</v>
      </c>
      <c r="E2244" s="97" t="s">
        <v>1687</v>
      </c>
      <c r="F2244" s="96" t="s">
        <v>162</v>
      </c>
      <c r="G2244" s="100">
        <v>8134</v>
      </c>
    </row>
    <row r="2245" spans="2:7" ht="17">
      <c r="B2245" s="118" t="s">
        <v>1787</v>
      </c>
      <c r="C2245" s="119">
        <v>8914</v>
      </c>
      <c r="E2245" s="97" t="s">
        <v>1688</v>
      </c>
      <c r="F2245" s="96" t="s">
        <v>162</v>
      </c>
      <c r="G2245" s="100">
        <v>8952</v>
      </c>
    </row>
    <row r="2246" spans="2:7" ht="17">
      <c r="B2246" s="118" t="s">
        <v>2702</v>
      </c>
      <c r="C2246" s="119">
        <v>8914</v>
      </c>
      <c r="E2246" s="97" t="s">
        <v>1689</v>
      </c>
      <c r="F2246" s="96" t="s">
        <v>162</v>
      </c>
      <c r="G2246" s="100">
        <v>8604</v>
      </c>
    </row>
    <row r="2247" spans="2:7" ht="17">
      <c r="B2247" s="118" t="s">
        <v>1700</v>
      </c>
      <c r="C2247" s="119">
        <v>8910</v>
      </c>
      <c r="E2247" s="97" t="s">
        <v>1690</v>
      </c>
      <c r="F2247" s="96" t="s">
        <v>162</v>
      </c>
      <c r="G2247" s="100">
        <v>8105</v>
      </c>
    </row>
    <row r="2248" spans="2:7" ht="17">
      <c r="B2248" s="118" t="s">
        <v>1700</v>
      </c>
      <c r="C2248" s="119">
        <v>8910</v>
      </c>
      <c r="E2248" s="97" t="s">
        <v>1691</v>
      </c>
      <c r="F2248" s="96" t="s">
        <v>162</v>
      </c>
      <c r="G2248" s="100">
        <v>8800</v>
      </c>
    </row>
    <row r="2249" spans="2:7" ht="17">
      <c r="B2249" s="118" t="s">
        <v>2703</v>
      </c>
      <c r="C2249" s="119">
        <v>8308</v>
      </c>
      <c r="E2249" s="97" t="s">
        <v>1692</v>
      </c>
      <c r="F2249" s="96" t="s">
        <v>162</v>
      </c>
      <c r="G2249" s="100">
        <v>8307</v>
      </c>
    </row>
    <row r="2250" spans="2:7" ht="17">
      <c r="B2250" s="118" t="s">
        <v>2703</v>
      </c>
      <c r="C2250" s="119">
        <v>8308</v>
      </c>
      <c r="E2250" s="97" t="s">
        <v>1693</v>
      </c>
      <c r="F2250" s="96" t="s">
        <v>162</v>
      </c>
      <c r="G2250" s="100">
        <v>8304</v>
      </c>
    </row>
    <row r="2251" spans="2:7" ht="17">
      <c r="B2251" s="118" t="s">
        <v>2704</v>
      </c>
      <c r="C2251" s="119">
        <v>8453</v>
      </c>
      <c r="E2251" s="97" t="s">
        <v>1694</v>
      </c>
      <c r="F2251" s="96" t="s">
        <v>162</v>
      </c>
      <c r="G2251" s="100">
        <v>8712</v>
      </c>
    </row>
    <row r="2252" spans="2:7" ht="17">
      <c r="B2252" s="118" t="s">
        <v>1821</v>
      </c>
      <c r="C2252" s="119">
        <v>8479</v>
      </c>
      <c r="E2252" s="97" t="s">
        <v>1695</v>
      </c>
      <c r="F2252" s="96" t="s">
        <v>162</v>
      </c>
      <c r="G2252" s="100">
        <v>8700</v>
      </c>
    </row>
    <row r="2253" spans="2:7" ht="17">
      <c r="B2253" s="118" t="s">
        <v>1782</v>
      </c>
      <c r="C2253" s="119">
        <v>8450</v>
      </c>
      <c r="E2253" s="97" t="s">
        <v>1696</v>
      </c>
      <c r="F2253" s="96" t="s">
        <v>162</v>
      </c>
      <c r="G2253" s="100">
        <v>8706</v>
      </c>
    </row>
    <row r="2254" spans="2:7" ht="17">
      <c r="B2254" s="118" t="s">
        <v>2705</v>
      </c>
      <c r="C2254" s="119">
        <v>8544</v>
      </c>
      <c r="E2254" s="97" t="s">
        <v>1697</v>
      </c>
      <c r="F2254" s="96" t="s">
        <v>162</v>
      </c>
      <c r="G2254" s="100">
        <v>8805</v>
      </c>
    </row>
    <row r="2255" spans="2:7" ht="17">
      <c r="B2255" s="118" t="s">
        <v>2487</v>
      </c>
      <c r="C2255" s="119">
        <v>8804</v>
      </c>
      <c r="E2255" s="97" t="s">
        <v>1698</v>
      </c>
      <c r="F2255" s="96" t="s">
        <v>162</v>
      </c>
      <c r="G2255" s="100">
        <v>8702</v>
      </c>
    </row>
    <row r="2256" spans="2:7" ht="17">
      <c r="B2256" s="118" t="s">
        <v>2706</v>
      </c>
      <c r="C2256" s="119">
        <v>8331</v>
      </c>
      <c r="E2256" s="97" t="s">
        <v>1699</v>
      </c>
      <c r="F2256" s="96" t="s">
        <v>162</v>
      </c>
      <c r="G2256" s="100">
        <v>8630</v>
      </c>
    </row>
    <row r="2257" spans="2:7" ht="17">
      <c r="B2257" s="118" t="s">
        <v>1756</v>
      </c>
      <c r="C2257" s="119">
        <v>8184</v>
      </c>
      <c r="E2257" s="97" t="s">
        <v>1700</v>
      </c>
      <c r="F2257" s="96" t="s">
        <v>162</v>
      </c>
      <c r="G2257" s="100">
        <v>8910</v>
      </c>
    </row>
    <row r="2258" spans="2:7" ht="17">
      <c r="B2258" s="118" t="s">
        <v>2520</v>
      </c>
      <c r="C2258" s="119">
        <v>8164</v>
      </c>
      <c r="E2258" s="97" t="s">
        <v>1701</v>
      </c>
      <c r="F2258" s="96" t="s">
        <v>162</v>
      </c>
      <c r="G2258" s="100">
        <v>8330</v>
      </c>
    </row>
    <row r="2259" spans="2:7" ht="17">
      <c r="B2259" s="118" t="s">
        <v>2520</v>
      </c>
      <c r="C2259" s="119">
        <v>8164</v>
      </c>
      <c r="E2259" s="97" t="s">
        <v>1702</v>
      </c>
      <c r="F2259" s="96" t="s">
        <v>162</v>
      </c>
      <c r="G2259" s="100">
        <v>8303</v>
      </c>
    </row>
    <row r="2260" spans="2:7" ht="17">
      <c r="B2260" s="118" t="s">
        <v>2707</v>
      </c>
      <c r="C2260" s="119">
        <v>8471</v>
      </c>
      <c r="E2260" s="97" t="s">
        <v>1703</v>
      </c>
      <c r="F2260" s="96" t="s">
        <v>162</v>
      </c>
      <c r="G2260" s="100">
        <v>8340</v>
      </c>
    </row>
    <row r="2261" spans="2:7" ht="17">
      <c r="B2261" s="118" t="s">
        <v>2522</v>
      </c>
      <c r="C2261" s="119">
        <v>8344</v>
      </c>
      <c r="E2261" s="97" t="s">
        <v>1704</v>
      </c>
      <c r="F2261" s="96" t="s">
        <v>162</v>
      </c>
      <c r="G2261" s="100">
        <v>8708</v>
      </c>
    </row>
    <row r="2262" spans="2:7" ht="17">
      <c r="B2262" s="118" t="s">
        <v>1702</v>
      </c>
      <c r="C2262" s="119">
        <v>8303</v>
      </c>
      <c r="E2262" s="97" t="s">
        <v>1705</v>
      </c>
      <c r="F2262" s="96" t="s">
        <v>162</v>
      </c>
      <c r="G2262" s="100">
        <v>8124</v>
      </c>
    </row>
    <row r="2263" spans="2:7" ht="17">
      <c r="B2263" s="118" t="s">
        <v>1745</v>
      </c>
      <c r="C2263" s="119">
        <v>8494</v>
      </c>
      <c r="E2263" s="97" t="s">
        <v>1706</v>
      </c>
      <c r="F2263" s="96" t="s">
        <v>162</v>
      </c>
      <c r="G2263" s="100">
        <v>8625</v>
      </c>
    </row>
    <row r="2264" spans="2:7" ht="17">
      <c r="B2264" s="118" t="s">
        <v>1745</v>
      </c>
      <c r="C2264" s="119">
        <v>8494</v>
      </c>
      <c r="E2264" s="97" t="s">
        <v>1707</v>
      </c>
      <c r="F2264" s="96" t="s">
        <v>162</v>
      </c>
      <c r="G2264" s="100">
        <v>8636</v>
      </c>
    </row>
    <row r="2265" spans="2:7" ht="17">
      <c r="B2265" s="118" t="s">
        <v>2708</v>
      </c>
      <c r="C2265" s="119">
        <v>8121</v>
      </c>
      <c r="E2265" s="97" t="s">
        <v>1708</v>
      </c>
      <c r="F2265" s="96" t="s">
        <v>162</v>
      </c>
      <c r="G2265" s="100">
        <v>8902</v>
      </c>
    </row>
    <row r="2266" spans="2:7" ht="17">
      <c r="B2266" s="118" t="s">
        <v>2709</v>
      </c>
      <c r="C2266" s="119">
        <v>8463</v>
      </c>
      <c r="E2266" s="97" t="s">
        <v>1709</v>
      </c>
      <c r="F2266" s="96" t="s">
        <v>162</v>
      </c>
      <c r="G2266" s="100">
        <v>8424</v>
      </c>
    </row>
    <row r="2267" spans="2:7" ht="17">
      <c r="B2267" s="118" t="s">
        <v>2710</v>
      </c>
      <c r="C2267" s="119">
        <v>8471</v>
      </c>
      <c r="E2267" s="97" t="s">
        <v>1710</v>
      </c>
      <c r="F2267" s="96" t="s">
        <v>162</v>
      </c>
      <c r="G2267" s="100">
        <v>8155</v>
      </c>
    </row>
    <row r="2268" spans="2:7" ht="17">
      <c r="B2268" s="118" t="s">
        <v>2521</v>
      </c>
      <c r="C2268" s="119">
        <v>8415</v>
      </c>
      <c r="E2268" s="97" t="s">
        <v>1711</v>
      </c>
      <c r="F2268" s="96" t="s">
        <v>162</v>
      </c>
      <c r="G2268" s="100">
        <v>8634</v>
      </c>
    </row>
    <row r="2269" spans="2:7" ht="17">
      <c r="B2269" s="118" t="s">
        <v>2711</v>
      </c>
      <c r="C2269" s="119">
        <v>8543</v>
      </c>
      <c r="E2269" s="97" t="s">
        <v>1712</v>
      </c>
      <c r="F2269" s="96" t="s">
        <v>162</v>
      </c>
      <c r="G2269" s="100">
        <v>8117</v>
      </c>
    </row>
    <row r="2270" spans="2:7" ht="17">
      <c r="B2270" s="118" t="s">
        <v>2712</v>
      </c>
      <c r="C2270" s="119">
        <v>8614</v>
      </c>
      <c r="E2270" s="97" t="s">
        <v>1713</v>
      </c>
      <c r="F2270" s="96" t="s">
        <v>162</v>
      </c>
      <c r="G2270" s="100">
        <v>8802</v>
      </c>
    </row>
    <row r="2271" spans="2:7" ht="17">
      <c r="B2271" s="118" t="s">
        <v>2713</v>
      </c>
      <c r="C2271" s="119">
        <v>8363</v>
      </c>
      <c r="E2271" s="97" t="s">
        <v>1714</v>
      </c>
      <c r="F2271" s="96" t="s">
        <v>162</v>
      </c>
      <c r="G2271" s="100">
        <v>8132</v>
      </c>
    </row>
    <row r="2272" spans="2:7" ht="17">
      <c r="B2272" s="118" t="s">
        <v>2714</v>
      </c>
      <c r="C2272" s="119">
        <v>8122</v>
      </c>
      <c r="E2272" s="97" t="s">
        <v>1715</v>
      </c>
      <c r="F2272" s="96" t="s">
        <v>162</v>
      </c>
      <c r="G2272" s="100">
        <v>8153</v>
      </c>
    </row>
    <row r="2273" spans="2:7" ht="17">
      <c r="B2273" s="118" t="s">
        <v>2715</v>
      </c>
      <c r="C2273" s="119">
        <v>8903</v>
      </c>
      <c r="E2273" s="97" t="s">
        <v>1716</v>
      </c>
      <c r="F2273" s="96" t="s">
        <v>162</v>
      </c>
      <c r="G2273" s="100">
        <v>8602</v>
      </c>
    </row>
    <row r="2274" spans="2:7" ht="17">
      <c r="B2274" s="118" t="s">
        <v>1737</v>
      </c>
      <c r="C2274" s="119">
        <v>8906</v>
      </c>
      <c r="E2274" s="97" t="s">
        <v>1717</v>
      </c>
      <c r="F2274" s="96" t="s">
        <v>162</v>
      </c>
      <c r="G2274" s="100">
        <v>8305</v>
      </c>
    </row>
    <row r="2275" spans="2:7" ht="17">
      <c r="B2275" s="118" t="s">
        <v>1801</v>
      </c>
      <c r="C2275" s="119">
        <v>8113</v>
      </c>
      <c r="E2275" s="97" t="s">
        <v>1718</v>
      </c>
      <c r="F2275" s="96" t="s">
        <v>162</v>
      </c>
      <c r="G2275" s="100">
        <v>8635</v>
      </c>
    </row>
    <row r="2276" spans="2:7" ht="17">
      <c r="B2276" s="118" t="s">
        <v>1784</v>
      </c>
      <c r="C2276" s="119">
        <v>8311</v>
      </c>
      <c r="E2276" s="97" t="s">
        <v>1719</v>
      </c>
      <c r="F2276" s="96" t="s">
        <v>162</v>
      </c>
      <c r="G2276" s="100">
        <v>8135</v>
      </c>
    </row>
    <row r="2277" spans="2:7" ht="17">
      <c r="B2277" s="118" t="s">
        <v>2716</v>
      </c>
      <c r="C2277" s="119">
        <v>8306</v>
      </c>
      <c r="E2277" s="97" t="s">
        <v>1720</v>
      </c>
      <c r="F2277" s="96" t="s">
        <v>162</v>
      </c>
      <c r="G2277" s="100">
        <v>8472</v>
      </c>
    </row>
    <row r="2278" spans="2:7" ht="17">
      <c r="B2278" s="118" t="s">
        <v>1721</v>
      </c>
      <c r="C2278" s="119">
        <v>8608</v>
      </c>
      <c r="E2278" s="97" t="s">
        <v>1721</v>
      </c>
      <c r="F2278" s="96" t="s">
        <v>162</v>
      </c>
      <c r="G2278" s="100">
        <v>8608</v>
      </c>
    </row>
    <row r="2279" spans="2:7" ht="17">
      <c r="B2279" s="118" t="s">
        <v>1721</v>
      </c>
      <c r="C2279" s="119">
        <v>8608</v>
      </c>
      <c r="E2279" s="97" t="s">
        <v>1722</v>
      </c>
      <c r="F2279" s="96" t="s">
        <v>162</v>
      </c>
      <c r="G2279" s="100">
        <v>8154</v>
      </c>
    </row>
    <row r="2280" spans="2:7" ht="17">
      <c r="B2280" s="118" t="s">
        <v>1812</v>
      </c>
      <c r="C2280" s="119">
        <v>8414</v>
      </c>
      <c r="E2280" s="97" t="s">
        <v>1723</v>
      </c>
      <c r="F2280" s="96" t="s">
        <v>162</v>
      </c>
      <c r="G2280" s="100">
        <v>8102</v>
      </c>
    </row>
    <row r="2281" spans="2:7" ht="17">
      <c r="B2281" s="118" t="s">
        <v>2717</v>
      </c>
      <c r="C2281" s="119">
        <v>8107</v>
      </c>
      <c r="E2281" s="97" t="s">
        <v>1724</v>
      </c>
      <c r="F2281" s="96" t="s">
        <v>162</v>
      </c>
      <c r="G2281" s="100">
        <v>8320</v>
      </c>
    </row>
    <row r="2282" spans="2:7" ht="17">
      <c r="B2282" s="118" t="s">
        <v>2717</v>
      </c>
      <c r="C2282" s="119">
        <v>8107</v>
      </c>
      <c r="E2282" s="97" t="s">
        <v>1725</v>
      </c>
      <c r="F2282" s="96" t="s">
        <v>162</v>
      </c>
      <c r="G2282" s="100">
        <v>8903</v>
      </c>
    </row>
    <row r="2283" spans="2:7" ht="17">
      <c r="B2283" s="118" t="s">
        <v>1685</v>
      </c>
      <c r="C2283" s="119">
        <v>8180</v>
      </c>
      <c r="E2283" s="97" t="s">
        <v>1726</v>
      </c>
      <c r="F2283" s="96" t="s">
        <v>162</v>
      </c>
      <c r="G2283" s="100">
        <v>8542</v>
      </c>
    </row>
    <row r="2284" spans="2:7" ht="17">
      <c r="B2284" s="118" t="s">
        <v>1685</v>
      </c>
      <c r="C2284" s="119">
        <v>8180</v>
      </c>
      <c r="E2284" s="97" t="s">
        <v>1727</v>
      </c>
      <c r="F2284" s="96" t="s">
        <v>162</v>
      </c>
      <c r="G2284" s="100">
        <v>8107</v>
      </c>
    </row>
    <row r="2285" spans="2:7" ht="17">
      <c r="B2285" s="118" t="s">
        <v>1685</v>
      </c>
      <c r="C2285" s="119">
        <v>8180</v>
      </c>
      <c r="E2285" s="97" t="s">
        <v>1728</v>
      </c>
      <c r="F2285" s="96" t="s">
        <v>162</v>
      </c>
      <c r="G2285" s="100">
        <v>8704</v>
      </c>
    </row>
    <row r="2286" spans="2:7" ht="17">
      <c r="B2286" s="118" t="s">
        <v>1788</v>
      </c>
      <c r="C2286" s="119">
        <v>8447</v>
      </c>
      <c r="E2286" s="97" t="s">
        <v>1729</v>
      </c>
      <c r="F2286" s="96" t="s">
        <v>162</v>
      </c>
      <c r="G2286" s="100">
        <v>8707</v>
      </c>
    </row>
    <row r="2287" spans="2:7" ht="17">
      <c r="B2287" s="118" t="s">
        <v>1788</v>
      </c>
      <c r="C2287" s="119">
        <v>8447</v>
      </c>
      <c r="E2287" s="97" t="s">
        <v>1730</v>
      </c>
      <c r="F2287" s="96" t="s">
        <v>162</v>
      </c>
      <c r="G2287" s="100">
        <v>8157</v>
      </c>
    </row>
    <row r="2288" spans="2:7" ht="17">
      <c r="B2288" s="118" t="s">
        <v>1810</v>
      </c>
      <c r="C2288" s="119">
        <v>8471</v>
      </c>
      <c r="E2288" s="97" t="s">
        <v>1731</v>
      </c>
      <c r="F2288" s="96" t="s">
        <v>162</v>
      </c>
      <c r="G2288" s="100">
        <v>8487</v>
      </c>
    </row>
    <row r="2289" spans="2:7" ht="17">
      <c r="B2289" s="118" t="s">
        <v>1755</v>
      </c>
      <c r="C2289" s="119">
        <v>8108</v>
      </c>
      <c r="E2289" s="97" t="s">
        <v>1732</v>
      </c>
      <c r="F2289" s="96" t="s">
        <v>162</v>
      </c>
      <c r="G2289" s="100">
        <v>8803</v>
      </c>
    </row>
    <row r="2290" spans="2:7" ht="17">
      <c r="B2290" s="118" t="s">
        <v>2718</v>
      </c>
      <c r="C2290" s="119">
        <v>8114</v>
      </c>
      <c r="E2290" s="97" t="s">
        <v>1733</v>
      </c>
      <c r="F2290" s="96" t="s">
        <v>162</v>
      </c>
      <c r="G2290" s="100">
        <v>8315</v>
      </c>
    </row>
    <row r="2291" spans="2:7" ht="17">
      <c r="B2291" s="118" t="s">
        <v>1817</v>
      </c>
      <c r="C2291" s="119">
        <v>8421</v>
      </c>
      <c r="E2291" s="97" t="s">
        <v>1734</v>
      </c>
      <c r="F2291" s="96" t="s">
        <v>162</v>
      </c>
      <c r="G2291" s="100">
        <v>8309</v>
      </c>
    </row>
    <row r="2292" spans="2:7" ht="17">
      <c r="B2292" s="118" t="s">
        <v>2719</v>
      </c>
      <c r="C2292" s="119">
        <v>8354</v>
      </c>
      <c r="E2292" s="97" t="s">
        <v>1735</v>
      </c>
      <c r="F2292" s="96" t="s">
        <v>162</v>
      </c>
      <c r="G2292" s="100">
        <v>8703</v>
      </c>
    </row>
    <row r="2293" spans="2:7" ht="17">
      <c r="B2293" s="118" t="s">
        <v>1730</v>
      </c>
      <c r="C2293" s="119">
        <v>8157</v>
      </c>
      <c r="E2293" s="97" t="s">
        <v>1736</v>
      </c>
      <c r="F2293" s="96" t="s">
        <v>162</v>
      </c>
      <c r="G2293" s="100">
        <v>8412</v>
      </c>
    </row>
    <row r="2294" spans="2:7" ht="17">
      <c r="B2294" s="118" t="s">
        <v>1679</v>
      </c>
      <c r="C2294" s="119">
        <v>8953</v>
      </c>
      <c r="E2294" s="97" t="s">
        <v>1737</v>
      </c>
      <c r="F2294" s="96" t="s">
        <v>162</v>
      </c>
      <c r="G2294" s="100">
        <v>8906</v>
      </c>
    </row>
    <row r="2295" spans="2:7" ht="17">
      <c r="B2295" s="118" t="s">
        <v>1717</v>
      </c>
      <c r="C2295" s="119">
        <v>8305</v>
      </c>
      <c r="E2295" s="97" t="s">
        <v>1738</v>
      </c>
      <c r="F2295" s="96" t="s">
        <v>162</v>
      </c>
      <c r="G2295" s="100">
        <v>8912</v>
      </c>
    </row>
    <row r="2296" spans="2:7" ht="17">
      <c r="B2296" s="118" t="s">
        <v>1795</v>
      </c>
      <c r="C2296" s="119">
        <v>8474</v>
      </c>
      <c r="E2296" s="97" t="s">
        <v>1739</v>
      </c>
      <c r="F2296" s="96" t="s">
        <v>162</v>
      </c>
      <c r="G2296" s="100">
        <v>8606</v>
      </c>
    </row>
    <row r="2297" spans="2:7" ht="17">
      <c r="B2297" s="118" t="s">
        <v>1820</v>
      </c>
      <c r="C2297" s="119">
        <v>8458</v>
      </c>
      <c r="E2297" s="97" t="s">
        <v>1740</v>
      </c>
      <c r="F2297" s="96" t="s">
        <v>162</v>
      </c>
      <c r="G2297" s="100">
        <v>8192</v>
      </c>
    </row>
    <row r="2298" spans="2:7" ht="17">
      <c r="B2298" s="118" t="s">
        <v>1677</v>
      </c>
      <c r="C2298" s="119">
        <v>8600</v>
      </c>
      <c r="E2298" s="97" t="s">
        <v>1741</v>
      </c>
      <c r="F2298" s="96" t="s">
        <v>162</v>
      </c>
      <c r="G2298" s="100">
        <v>8193</v>
      </c>
    </row>
    <row r="2299" spans="2:7" ht="17">
      <c r="B2299" s="118" t="s">
        <v>1677</v>
      </c>
      <c r="C2299" s="119">
        <v>8600</v>
      </c>
      <c r="E2299" s="97" t="s">
        <v>1742</v>
      </c>
      <c r="F2299" s="96" t="s">
        <v>162</v>
      </c>
      <c r="G2299" s="100">
        <v>8126</v>
      </c>
    </row>
    <row r="2300" spans="2:7" ht="17">
      <c r="B2300" s="118" t="s">
        <v>1677</v>
      </c>
      <c r="C2300" s="119">
        <v>8600</v>
      </c>
      <c r="E2300" s="97" t="s">
        <v>1743</v>
      </c>
      <c r="F2300" s="96" t="s">
        <v>162</v>
      </c>
      <c r="G2300" s="100">
        <v>8172</v>
      </c>
    </row>
    <row r="2301" spans="2:7" ht="17">
      <c r="B2301" s="118" t="s">
        <v>1718</v>
      </c>
      <c r="C2301" s="119">
        <v>8635</v>
      </c>
      <c r="E2301" s="97" t="s">
        <v>1744</v>
      </c>
      <c r="F2301" s="96" t="s">
        <v>162</v>
      </c>
      <c r="G2301" s="100">
        <v>8954</v>
      </c>
    </row>
    <row r="2302" spans="2:7" ht="17">
      <c r="B2302" s="118" t="s">
        <v>2720</v>
      </c>
      <c r="C2302" s="119">
        <v>8925</v>
      </c>
      <c r="E2302" s="97" t="s">
        <v>1745</v>
      </c>
      <c r="F2302" s="96" t="s">
        <v>162</v>
      </c>
      <c r="G2302" s="100">
        <v>8494</v>
      </c>
    </row>
    <row r="2303" spans="2:7" ht="17">
      <c r="B2303" s="118" t="s">
        <v>2721</v>
      </c>
      <c r="C2303" s="119">
        <v>8123</v>
      </c>
      <c r="E2303" s="97" t="s">
        <v>1746</v>
      </c>
      <c r="F2303" s="96" t="s">
        <v>162</v>
      </c>
      <c r="G2303" s="100">
        <v>8353</v>
      </c>
    </row>
    <row r="2304" spans="2:7" ht="17">
      <c r="B2304" s="118" t="s">
        <v>2722</v>
      </c>
      <c r="C2304" s="119">
        <v>8307</v>
      </c>
      <c r="E2304" s="97" t="s">
        <v>1747</v>
      </c>
      <c r="F2304" s="96" t="s">
        <v>162</v>
      </c>
      <c r="G2304" s="100">
        <v>8932</v>
      </c>
    </row>
    <row r="2305" spans="2:7" ht="17">
      <c r="B2305" s="118" t="s">
        <v>2722</v>
      </c>
      <c r="C2305" s="119">
        <v>8307</v>
      </c>
      <c r="E2305" s="97" t="s">
        <v>1748</v>
      </c>
      <c r="F2305" s="96" t="s">
        <v>162</v>
      </c>
      <c r="G2305" s="100">
        <v>8104</v>
      </c>
    </row>
    <row r="2306" spans="2:7" ht="17">
      <c r="B2306" s="118" t="s">
        <v>2723</v>
      </c>
      <c r="C2306" s="119">
        <v>8132</v>
      </c>
      <c r="E2306" s="97" t="s">
        <v>1749</v>
      </c>
      <c r="F2306" s="96" t="s">
        <v>162</v>
      </c>
      <c r="G2306" s="100">
        <v>8618</v>
      </c>
    </row>
    <row r="2307" spans="2:7" ht="17">
      <c r="B2307" s="118" t="s">
        <v>1741</v>
      </c>
      <c r="C2307" s="119">
        <v>8193</v>
      </c>
      <c r="E2307" s="97" t="s">
        <v>1750</v>
      </c>
      <c r="F2307" s="96" t="s">
        <v>162</v>
      </c>
      <c r="G2307" s="100">
        <v>8488</v>
      </c>
    </row>
    <row r="2308" spans="2:7" ht="17">
      <c r="B2308" s="118" t="s">
        <v>1741</v>
      </c>
      <c r="C2308" s="119">
        <v>8193</v>
      </c>
      <c r="E2308" s="97" t="s">
        <v>1751</v>
      </c>
      <c r="F2308" s="96" t="s">
        <v>162</v>
      </c>
      <c r="G2308" s="100">
        <v>8185</v>
      </c>
    </row>
    <row r="2309" spans="2:7" ht="17">
      <c r="B2309" s="118" t="s">
        <v>2724</v>
      </c>
      <c r="C2309" s="119">
        <v>8489</v>
      </c>
      <c r="E2309" s="97" t="s">
        <v>1752</v>
      </c>
      <c r="F2309" s="96" t="s">
        <v>162</v>
      </c>
      <c r="G2309" s="100">
        <v>8197</v>
      </c>
    </row>
    <row r="2310" spans="2:7" ht="17">
      <c r="B2310" s="118" t="s">
        <v>1746</v>
      </c>
      <c r="C2310" s="119">
        <v>8353</v>
      </c>
      <c r="E2310" s="97" t="s">
        <v>1753</v>
      </c>
      <c r="F2310" s="96" t="s">
        <v>162</v>
      </c>
      <c r="G2310" s="100">
        <v>8332</v>
      </c>
    </row>
    <row r="2311" spans="2:7" ht="17">
      <c r="B2311" s="118" t="s">
        <v>2725</v>
      </c>
      <c r="C2311" s="119">
        <v>8464</v>
      </c>
      <c r="E2311" s="97" t="s">
        <v>1754</v>
      </c>
      <c r="F2311" s="96" t="s">
        <v>162</v>
      </c>
      <c r="G2311" s="100">
        <v>8142</v>
      </c>
    </row>
    <row r="2312" spans="2:7" ht="17">
      <c r="B2312" s="118" t="s">
        <v>2725</v>
      </c>
      <c r="C2312" s="119">
        <v>8464</v>
      </c>
      <c r="E2312" s="97" t="s">
        <v>1755</v>
      </c>
      <c r="F2312" s="96" t="s">
        <v>162</v>
      </c>
      <c r="G2312" s="100">
        <v>8108</v>
      </c>
    </row>
    <row r="2313" spans="2:7" ht="17">
      <c r="B2313" s="118" t="s">
        <v>1815</v>
      </c>
      <c r="C2313" s="119">
        <v>8548</v>
      </c>
      <c r="E2313" s="97" t="s">
        <v>1756</v>
      </c>
      <c r="F2313" s="96" t="s">
        <v>162</v>
      </c>
      <c r="G2313" s="100">
        <v>8184</v>
      </c>
    </row>
    <row r="2314" spans="2:7" ht="17">
      <c r="B2314" s="118" t="s">
        <v>1765</v>
      </c>
      <c r="C2314" s="119">
        <v>8352</v>
      </c>
      <c r="E2314" s="97" t="s">
        <v>1757</v>
      </c>
      <c r="F2314" s="96" t="s">
        <v>162</v>
      </c>
      <c r="G2314" s="100">
        <v>8422</v>
      </c>
    </row>
    <row r="2315" spans="2:7" ht="17">
      <c r="B2315" s="118" t="s">
        <v>1709</v>
      </c>
      <c r="C2315" s="119">
        <v>8424</v>
      </c>
      <c r="E2315" s="97" t="s">
        <v>1758</v>
      </c>
      <c r="F2315" s="96" t="s">
        <v>162</v>
      </c>
      <c r="G2315" s="100">
        <v>8103</v>
      </c>
    </row>
    <row r="2316" spans="2:7" ht="17">
      <c r="B2316" s="118" t="s">
        <v>2726</v>
      </c>
      <c r="C2316" s="119">
        <v>8703</v>
      </c>
      <c r="E2316" s="97" t="s">
        <v>1759</v>
      </c>
      <c r="F2316" s="96" t="s">
        <v>162</v>
      </c>
      <c r="G2316" s="100">
        <v>8617</v>
      </c>
    </row>
    <row r="2317" spans="2:7" ht="17">
      <c r="B2317" s="118" t="s">
        <v>2726</v>
      </c>
      <c r="C2317" s="119">
        <v>8703</v>
      </c>
      <c r="E2317" s="97" t="s">
        <v>1760</v>
      </c>
      <c r="F2317" s="96" t="s">
        <v>162</v>
      </c>
      <c r="G2317" s="100">
        <v>8143</v>
      </c>
    </row>
    <row r="2318" spans="2:7" ht="17">
      <c r="B2318" s="118" t="s">
        <v>2727</v>
      </c>
      <c r="C2318" s="119">
        <v>8133</v>
      </c>
      <c r="E2318" s="97" t="s">
        <v>1761</v>
      </c>
      <c r="F2318" s="96" t="s">
        <v>162</v>
      </c>
      <c r="G2318" s="100">
        <v>8908</v>
      </c>
    </row>
    <row r="2319" spans="2:7" ht="17">
      <c r="B2319" s="118" t="s">
        <v>2728</v>
      </c>
      <c r="C2319" s="119">
        <v>8951</v>
      </c>
      <c r="E2319" s="97" t="s">
        <v>1762</v>
      </c>
      <c r="F2319" s="96" t="s">
        <v>162</v>
      </c>
      <c r="G2319" s="100">
        <v>8915</v>
      </c>
    </row>
    <row r="2320" spans="2:7" ht="17">
      <c r="B2320" s="118" t="s">
        <v>2728</v>
      </c>
      <c r="C2320" s="119">
        <v>8951</v>
      </c>
      <c r="E2320" s="97" t="s">
        <v>1763</v>
      </c>
      <c r="F2320" s="96" t="s">
        <v>162</v>
      </c>
      <c r="G2320" s="100">
        <v>8245</v>
      </c>
    </row>
    <row r="2321" spans="2:7" ht="17">
      <c r="B2321" s="118" t="s">
        <v>2728</v>
      </c>
      <c r="C2321" s="119">
        <v>8951</v>
      </c>
      <c r="E2321" s="97" t="s">
        <v>1764</v>
      </c>
      <c r="F2321" s="96" t="s">
        <v>162</v>
      </c>
      <c r="G2321" s="100">
        <v>8335</v>
      </c>
    </row>
    <row r="2322" spans="2:7" ht="17">
      <c r="B2322" s="118" t="s">
        <v>1712</v>
      </c>
      <c r="C2322" s="119">
        <v>8117</v>
      </c>
      <c r="E2322" s="97" t="s">
        <v>1765</v>
      </c>
      <c r="F2322" s="96" t="s">
        <v>162</v>
      </c>
      <c r="G2322" s="100">
        <v>8352</v>
      </c>
    </row>
    <row r="2323" spans="2:7" ht="17">
      <c r="B2323" s="118" t="s">
        <v>1724</v>
      </c>
      <c r="C2323" s="119">
        <v>8320</v>
      </c>
      <c r="E2323" s="97" t="s">
        <v>1766</v>
      </c>
      <c r="F2323" s="96" t="s">
        <v>162</v>
      </c>
      <c r="G2323" s="100">
        <v>8162</v>
      </c>
    </row>
    <row r="2324" spans="2:7" ht="17">
      <c r="B2324" s="118" t="s">
        <v>2729</v>
      </c>
      <c r="C2324" s="119">
        <v>8714</v>
      </c>
      <c r="E2324" s="97" t="s">
        <v>1767</v>
      </c>
      <c r="F2324" s="96" t="s">
        <v>162</v>
      </c>
      <c r="G2324" s="100">
        <v>8627</v>
      </c>
    </row>
    <row r="2325" spans="2:7" ht="17">
      <c r="B2325" s="118" t="s">
        <v>1763</v>
      </c>
      <c r="C2325" s="119">
        <v>8245</v>
      </c>
      <c r="E2325" s="97" t="s">
        <v>1768</v>
      </c>
      <c r="F2325" s="96" t="s">
        <v>162</v>
      </c>
      <c r="G2325" s="100">
        <v>8484</v>
      </c>
    </row>
    <row r="2326" spans="2:7" ht="17">
      <c r="B2326" s="118" t="s">
        <v>1775</v>
      </c>
      <c r="C2326" s="119">
        <v>8497</v>
      </c>
      <c r="E2326" s="97" t="s">
        <v>1769</v>
      </c>
      <c r="F2326" s="96" t="s">
        <v>162</v>
      </c>
      <c r="G2326" s="100">
        <v>8442</v>
      </c>
    </row>
    <row r="2327" spans="2:7" ht="17">
      <c r="B2327" s="118" t="s">
        <v>1775</v>
      </c>
      <c r="C2327" s="119">
        <v>8497</v>
      </c>
      <c r="E2327" s="97" t="s">
        <v>1770</v>
      </c>
      <c r="F2327" s="96" t="s">
        <v>162</v>
      </c>
      <c r="G2327" s="100">
        <v>8173</v>
      </c>
    </row>
    <row r="2328" spans="2:7" ht="17">
      <c r="B2328" s="118" t="s">
        <v>1800</v>
      </c>
      <c r="C2328" s="119">
        <v>8416</v>
      </c>
      <c r="E2328" s="97" t="s">
        <v>1771</v>
      </c>
      <c r="F2328" s="96" t="s">
        <v>162</v>
      </c>
      <c r="G2328" s="100">
        <v>8477</v>
      </c>
    </row>
    <row r="2329" spans="2:7" ht="17">
      <c r="B2329" s="118" t="s">
        <v>1797</v>
      </c>
      <c r="C2329" s="119">
        <v>8247</v>
      </c>
      <c r="E2329" s="97" t="s">
        <v>1772</v>
      </c>
      <c r="F2329" s="96" t="s">
        <v>162</v>
      </c>
      <c r="G2329" s="100">
        <v>8181</v>
      </c>
    </row>
    <row r="2330" spans="2:7" ht="17">
      <c r="B2330" s="118" t="s">
        <v>2730</v>
      </c>
      <c r="C2330" s="119">
        <v>8127</v>
      </c>
      <c r="E2330" s="97" t="s">
        <v>1773</v>
      </c>
      <c r="F2330" s="96" t="s">
        <v>162</v>
      </c>
      <c r="G2330" s="100">
        <v>8545</v>
      </c>
    </row>
    <row r="2331" spans="2:7" ht="17">
      <c r="B2331" s="118" t="s">
        <v>2730</v>
      </c>
      <c r="C2331" s="119">
        <v>8127</v>
      </c>
      <c r="E2331" s="97" t="s">
        <v>1774</v>
      </c>
      <c r="F2331" s="96" t="s">
        <v>162</v>
      </c>
      <c r="G2331" s="100">
        <v>8913</v>
      </c>
    </row>
    <row r="2332" spans="2:7" ht="17">
      <c r="B2332" s="118" t="s">
        <v>2730</v>
      </c>
      <c r="C2332" s="119">
        <v>8127</v>
      </c>
      <c r="E2332" s="97" t="s">
        <v>1775</v>
      </c>
      <c r="F2332" s="96" t="s">
        <v>162</v>
      </c>
      <c r="G2332" s="100">
        <v>8615</v>
      </c>
    </row>
    <row r="2333" spans="2:7" ht="17">
      <c r="B2333" s="118" t="s">
        <v>2731</v>
      </c>
      <c r="C2333" s="119">
        <v>8427</v>
      </c>
      <c r="E2333" s="97" t="s">
        <v>1776</v>
      </c>
      <c r="F2333" s="96" t="s">
        <v>162</v>
      </c>
      <c r="G2333" s="100">
        <v>8955</v>
      </c>
    </row>
    <row r="2334" spans="2:7" ht="17">
      <c r="B2334" s="118" t="s">
        <v>2476</v>
      </c>
      <c r="C2334" s="119">
        <v>8615</v>
      </c>
      <c r="E2334" s="97" t="s">
        <v>1777</v>
      </c>
      <c r="F2334" s="96" t="s">
        <v>162</v>
      </c>
      <c r="G2334" s="100">
        <v>8426</v>
      </c>
    </row>
    <row r="2335" spans="2:7" ht="17">
      <c r="B2335" s="118" t="s">
        <v>2486</v>
      </c>
      <c r="C2335" s="119">
        <v>8136</v>
      </c>
      <c r="E2335" s="97" t="s">
        <v>1778</v>
      </c>
      <c r="F2335" s="96" t="s">
        <v>162</v>
      </c>
      <c r="G2335" s="100">
        <v>8427</v>
      </c>
    </row>
    <row r="2336" spans="2:7" ht="17">
      <c r="B2336" s="118" t="s">
        <v>2732</v>
      </c>
      <c r="C2336" s="119">
        <v>8500</v>
      </c>
      <c r="E2336" s="97" t="s">
        <v>1779</v>
      </c>
      <c r="F2336" s="96" t="s">
        <v>162</v>
      </c>
      <c r="G2336" s="100">
        <v>8934</v>
      </c>
    </row>
    <row r="2337" spans="2:7" ht="17">
      <c r="B2337" s="118" t="s">
        <v>1744</v>
      </c>
      <c r="C2337" s="119">
        <v>8954</v>
      </c>
      <c r="E2337" s="97" t="s">
        <v>1780</v>
      </c>
      <c r="F2337" s="96" t="s">
        <v>162</v>
      </c>
      <c r="G2337" s="100">
        <v>8174</v>
      </c>
    </row>
    <row r="2338" spans="2:7" ht="17">
      <c r="B2338" s="118" t="s">
        <v>2733</v>
      </c>
      <c r="C2338" s="119">
        <v>8498</v>
      </c>
      <c r="E2338" s="97" t="s">
        <v>1781</v>
      </c>
      <c r="F2338" s="96" t="s">
        <v>162</v>
      </c>
      <c r="G2338" s="100">
        <v>8444</v>
      </c>
    </row>
    <row r="2339" spans="2:7" ht="17">
      <c r="B2339" s="118" t="s">
        <v>2733</v>
      </c>
      <c r="C2339" s="119">
        <v>8498</v>
      </c>
      <c r="E2339" s="97" t="s">
        <v>1782</v>
      </c>
      <c r="F2339" s="96" t="s">
        <v>162</v>
      </c>
      <c r="G2339" s="100">
        <v>8450</v>
      </c>
    </row>
    <row r="2340" spans="2:7" ht="17">
      <c r="B2340" s="118" t="s">
        <v>2733</v>
      </c>
      <c r="C2340" s="119">
        <v>8498</v>
      </c>
      <c r="E2340" s="97" t="s">
        <v>1783</v>
      </c>
      <c r="F2340" s="96" t="s">
        <v>162</v>
      </c>
      <c r="G2340" s="100">
        <v>8451</v>
      </c>
    </row>
    <row r="2341" spans="2:7" ht="17">
      <c r="B2341" s="118" t="s">
        <v>2493</v>
      </c>
      <c r="C2341" s="119">
        <v>8152</v>
      </c>
      <c r="E2341" s="97" t="s">
        <v>1784</v>
      </c>
      <c r="F2341" s="96" t="s">
        <v>162</v>
      </c>
      <c r="G2341" s="100">
        <v>8311</v>
      </c>
    </row>
    <row r="2342" spans="2:7" ht="17">
      <c r="B2342" s="118" t="s">
        <v>2493</v>
      </c>
      <c r="C2342" s="119">
        <v>8152</v>
      </c>
      <c r="E2342" s="97" t="s">
        <v>1785</v>
      </c>
      <c r="F2342" s="96" t="s">
        <v>162</v>
      </c>
      <c r="G2342" s="100">
        <v>8492</v>
      </c>
    </row>
    <row r="2343" spans="2:7" ht="17">
      <c r="B2343" s="118" t="s">
        <v>2493</v>
      </c>
      <c r="C2343" s="119">
        <v>8152</v>
      </c>
      <c r="E2343" s="97" t="s">
        <v>1786</v>
      </c>
      <c r="F2343" s="96" t="s">
        <v>162</v>
      </c>
      <c r="G2343" s="100">
        <v>8460</v>
      </c>
    </row>
    <row r="2344" spans="2:7" ht="17">
      <c r="B2344" s="118" t="s">
        <v>1740</v>
      </c>
      <c r="C2344" s="119">
        <v>8192</v>
      </c>
      <c r="E2344" s="97" t="s">
        <v>1787</v>
      </c>
      <c r="F2344" s="96" t="s">
        <v>162</v>
      </c>
      <c r="G2344" s="100">
        <v>8914</v>
      </c>
    </row>
    <row r="2345" spans="2:7" ht="17">
      <c r="B2345" s="118" t="s">
        <v>1740</v>
      </c>
      <c r="C2345" s="119">
        <v>8192</v>
      </c>
      <c r="E2345" s="97" t="s">
        <v>1788</v>
      </c>
      <c r="F2345" s="96" t="s">
        <v>162</v>
      </c>
      <c r="G2345" s="100">
        <v>8447</v>
      </c>
    </row>
    <row r="2346" spans="2:7" ht="17">
      <c r="B2346" s="118" t="s">
        <v>1740</v>
      </c>
      <c r="C2346" s="119">
        <v>8192</v>
      </c>
      <c r="E2346" s="97" t="s">
        <v>1789</v>
      </c>
      <c r="F2346" s="96" t="s">
        <v>162</v>
      </c>
      <c r="G2346" s="100">
        <v>8182</v>
      </c>
    </row>
    <row r="2347" spans="2:7" ht="17">
      <c r="B2347" s="118" t="s">
        <v>2492</v>
      </c>
      <c r="C2347" s="119">
        <v>8152</v>
      </c>
      <c r="E2347" s="97" t="s">
        <v>1790</v>
      </c>
      <c r="F2347" s="96" t="s">
        <v>162</v>
      </c>
      <c r="G2347" s="100">
        <v>8114</v>
      </c>
    </row>
    <row r="2348" spans="2:7" ht="17">
      <c r="B2348" s="118" t="s">
        <v>2734</v>
      </c>
      <c r="C2348" s="119">
        <v>8044</v>
      </c>
      <c r="E2348" s="97" t="s">
        <v>1791</v>
      </c>
      <c r="F2348" s="96" t="s">
        <v>162</v>
      </c>
      <c r="G2348" s="100">
        <v>8165</v>
      </c>
    </row>
    <row r="2349" spans="2:7" ht="17">
      <c r="B2349" s="118" t="s">
        <v>2735</v>
      </c>
      <c r="C2349" s="119">
        <v>8625</v>
      </c>
      <c r="E2349" s="97" t="s">
        <v>1792</v>
      </c>
      <c r="F2349" s="96" t="s">
        <v>162</v>
      </c>
      <c r="G2349" s="100">
        <v>8187</v>
      </c>
    </row>
    <row r="2350" spans="2:7" ht="17">
      <c r="B2350" s="118" t="s">
        <v>2736</v>
      </c>
      <c r="C2350" s="119">
        <v>8310</v>
      </c>
      <c r="E2350" s="97" t="s">
        <v>1793</v>
      </c>
      <c r="F2350" s="96" t="s">
        <v>162</v>
      </c>
      <c r="G2350" s="100">
        <v>8248</v>
      </c>
    </row>
    <row r="2351" spans="2:7" ht="17">
      <c r="B2351" s="118" t="s">
        <v>2737</v>
      </c>
      <c r="C2351" s="119">
        <v>8415</v>
      </c>
      <c r="E2351" s="97" t="s">
        <v>1794</v>
      </c>
      <c r="F2351" s="96" t="s">
        <v>162</v>
      </c>
      <c r="G2351" s="100">
        <v>8475</v>
      </c>
    </row>
    <row r="2352" spans="2:7" ht="17">
      <c r="B2352" s="118" t="s">
        <v>1739</v>
      </c>
      <c r="C2352" s="119">
        <v>8606</v>
      </c>
      <c r="E2352" s="97" t="s">
        <v>1795</v>
      </c>
      <c r="F2352" s="96" t="s">
        <v>162</v>
      </c>
      <c r="G2352" s="100">
        <v>8474</v>
      </c>
    </row>
    <row r="2353" spans="2:7" ht="17">
      <c r="B2353" s="118" t="s">
        <v>1767</v>
      </c>
      <c r="C2353" s="119">
        <v>8627</v>
      </c>
      <c r="E2353" s="97" t="s">
        <v>1796</v>
      </c>
      <c r="F2353" s="96" t="s">
        <v>162</v>
      </c>
      <c r="G2353" s="100">
        <v>8607</v>
      </c>
    </row>
    <row r="2354" spans="2:7" ht="17">
      <c r="B2354" s="118" t="s">
        <v>1767</v>
      </c>
      <c r="C2354" s="119">
        <v>8627</v>
      </c>
      <c r="E2354" s="97" t="s">
        <v>1797</v>
      </c>
      <c r="F2354" s="96" t="s">
        <v>162</v>
      </c>
      <c r="G2354" s="100">
        <v>8247</v>
      </c>
    </row>
    <row r="2355" spans="2:7" ht="17">
      <c r="B2355" s="118" t="s">
        <v>1767</v>
      </c>
      <c r="C2355" s="119">
        <v>8627</v>
      </c>
      <c r="E2355" s="97" t="s">
        <v>1798</v>
      </c>
      <c r="F2355" s="96" t="s">
        <v>162</v>
      </c>
      <c r="G2355" s="100">
        <v>8196</v>
      </c>
    </row>
    <row r="2356" spans="2:7" ht="17">
      <c r="B2356" s="118" t="s">
        <v>2738</v>
      </c>
      <c r="C2356" s="119">
        <v>8624</v>
      </c>
      <c r="E2356" s="97" t="s">
        <v>1799</v>
      </c>
      <c r="F2356" s="96" t="s">
        <v>162</v>
      </c>
      <c r="G2356" s="100">
        <v>8165</v>
      </c>
    </row>
    <row r="2357" spans="2:7" ht="17">
      <c r="B2357" s="118" t="s">
        <v>2739</v>
      </c>
      <c r="C2357" s="119">
        <v>8543</v>
      </c>
      <c r="E2357" s="97" t="s">
        <v>1800</v>
      </c>
      <c r="F2357" s="96" t="s">
        <v>162</v>
      </c>
      <c r="G2357" s="100">
        <v>8416</v>
      </c>
    </row>
    <row r="2358" spans="2:7" ht="17">
      <c r="B2358" s="118" t="s">
        <v>2740</v>
      </c>
      <c r="C2358" s="119">
        <v>8322</v>
      </c>
      <c r="E2358" s="97" t="s">
        <v>1801</v>
      </c>
      <c r="F2358" s="96" t="s">
        <v>162</v>
      </c>
      <c r="G2358" s="100">
        <v>8113</v>
      </c>
    </row>
    <row r="2359" spans="2:7" ht="17">
      <c r="B2359" s="118" t="s">
        <v>2741</v>
      </c>
      <c r="C2359" s="119">
        <v>8468</v>
      </c>
      <c r="E2359" s="97" t="s">
        <v>1802</v>
      </c>
      <c r="F2359" s="96" t="s">
        <v>162</v>
      </c>
      <c r="G2359" s="100">
        <v>8904</v>
      </c>
    </row>
    <row r="2360" spans="2:7" ht="17">
      <c r="B2360" s="118" t="s">
        <v>2494</v>
      </c>
      <c r="C2360" s="119">
        <v>8605</v>
      </c>
      <c r="E2360" s="97" t="s">
        <v>1803</v>
      </c>
      <c r="F2360" s="96" t="s">
        <v>162</v>
      </c>
      <c r="G2360" s="100">
        <v>8462</v>
      </c>
    </row>
    <row r="2361" spans="2:7" ht="17">
      <c r="B2361" s="118" t="s">
        <v>2494</v>
      </c>
      <c r="C2361" s="119">
        <v>8605</v>
      </c>
      <c r="E2361" s="97" t="s">
        <v>1804</v>
      </c>
      <c r="F2361" s="96" t="s">
        <v>162</v>
      </c>
      <c r="G2361" s="100">
        <v>8926</v>
      </c>
    </row>
    <row r="2362" spans="2:7" ht="17">
      <c r="B2362" s="118" t="s">
        <v>2742</v>
      </c>
      <c r="C2362" s="119">
        <v>8523</v>
      </c>
      <c r="E2362" s="97" t="s">
        <v>1805</v>
      </c>
      <c r="F2362" s="96" t="s">
        <v>162</v>
      </c>
      <c r="G2362" s="100">
        <v>8523</v>
      </c>
    </row>
    <row r="2363" spans="2:7" ht="17">
      <c r="B2363" s="118" t="s">
        <v>2742</v>
      </c>
      <c r="C2363" s="119">
        <v>8523</v>
      </c>
      <c r="E2363" s="97" t="s">
        <v>1806</v>
      </c>
      <c r="F2363" s="96" t="s">
        <v>162</v>
      </c>
      <c r="G2363" s="100">
        <v>8911</v>
      </c>
    </row>
    <row r="2364" spans="2:7" ht="17">
      <c r="B2364" s="118" t="s">
        <v>2743</v>
      </c>
      <c r="C2364" s="119">
        <v>8926</v>
      </c>
      <c r="E2364" s="97" t="s">
        <v>1807</v>
      </c>
      <c r="F2364" s="96" t="s">
        <v>162</v>
      </c>
      <c r="G2364" s="100">
        <v>8466</v>
      </c>
    </row>
    <row r="2365" spans="2:7" ht="17">
      <c r="B2365" s="118" t="s">
        <v>1762</v>
      </c>
      <c r="C2365" s="119">
        <v>8915</v>
      </c>
      <c r="E2365" s="97" t="s">
        <v>1808</v>
      </c>
      <c r="F2365" s="96" t="s">
        <v>162</v>
      </c>
      <c r="G2365" s="100">
        <v>8425</v>
      </c>
    </row>
    <row r="2366" spans="2:7" ht="17">
      <c r="B2366" s="118" t="s">
        <v>1761</v>
      </c>
      <c r="C2366" s="119">
        <v>8908</v>
      </c>
      <c r="E2366" s="97" t="s">
        <v>1809</v>
      </c>
      <c r="F2366" s="96" t="s">
        <v>162</v>
      </c>
      <c r="G2366" s="100">
        <v>8194</v>
      </c>
    </row>
    <row r="2367" spans="2:7" ht="17">
      <c r="B2367" s="118" t="s">
        <v>1781</v>
      </c>
      <c r="C2367" s="119">
        <v>8444</v>
      </c>
      <c r="E2367" s="97" t="s">
        <v>1810</v>
      </c>
      <c r="F2367" s="96" t="s">
        <v>162</v>
      </c>
      <c r="G2367" s="100">
        <v>8471</v>
      </c>
    </row>
    <row r="2368" spans="2:7" ht="17">
      <c r="B2368" s="118" t="s">
        <v>1728</v>
      </c>
      <c r="C2368" s="119">
        <v>8704</v>
      </c>
      <c r="E2368" s="97" t="s">
        <v>1811</v>
      </c>
      <c r="F2368" s="96" t="s">
        <v>162</v>
      </c>
      <c r="G2368" s="100">
        <v>8489</v>
      </c>
    </row>
    <row r="2369" spans="2:7" ht="17">
      <c r="B2369" s="118" t="s">
        <v>1769</v>
      </c>
      <c r="C2369" s="119">
        <v>8442</v>
      </c>
      <c r="E2369" s="97" t="s">
        <v>1812</v>
      </c>
      <c r="F2369" s="96" t="s">
        <v>162</v>
      </c>
      <c r="G2369" s="100">
        <v>8414</v>
      </c>
    </row>
    <row r="2370" spans="2:7" ht="17">
      <c r="B2370" s="118" t="s">
        <v>2744</v>
      </c>
      <c r="C2370" s="119">
        <v>8132</v>
      </c>
      <c r="E2370" s="97" t="s">
        <v>1813</v>
      </c>
      <c r="F2370" s="96" t="s">
        <v>162</v>
      </c>
      <c r="G2370" s="100">
        <v>8115</v>
      </c>
    </row>
    <row r="2371" spans="2:7" ht="17">
      <c r="B2371" s="118" t="s">
        <v>2744</v>
      </c>
      <c r="C2371" s="119">
        <v>8132</v>
      </c>
      <c r="E2371" s="97" t="s">
        <v>1814</v>
      </c>
      <c r="F2371" s="96" t="s">
        <v>162</v>
      </c>
      <c r="G2371" s="100">
        <v>8478</v>
      </c>
    </row>
    <row r="2372" spans="2:7" ht="17">
      <c r="B2372" s="118" t="s">
        <v>1703</v>
      </c>
      <c r="C2372" s="119">
        <v>8340</v>
      </c>
      <c r="E2372" s="97" t="s">
        <v>1815</v>
      </c>
      <c r="F2372" s="96" t="s">
        <v>162</v>
      </c>
      <c r="G2372" s="100">
        <v>8548</v>
      </c>
    </row>
    <row r="2373" spans="2:7" ht="17">
      <c r="B2373" s="118" t="s">
        <v>1703</v>
      </c>
      <c r="C2373" s="119">
        <v>8340</v>
      </c>
      <c r="E2373" s="97" t="s">
        <v>1816</v>
      </c>
      <c r="F2373" s="96" t="s">
        <v>162</v>
      </c>
      <c r="G2373" s="100">
        <v>8463</v>
      </c>
    </row>
    <row r="2374" spans="2:7" ht="17">
      <c r="B2374" s="118" t="s">
        <v>1703</v>
      </c>
      <c r="C2374" s="119">
        <v>8340</v>
      </c>
      <c r="E2374" s="97" t="s">
        <v>1817</v>
      </c>
      <c r="F2374" s="96" t="s">
        <v>162</v>
      </c>
      <c r="G2374" s="100">
        <v>8421</v>
      </c>
    </row>
    <row r="2375" spans="2:7" ht="17">
      <c r="B2375" s="118" t="s">
        <v>1703</v>
      </c>
      <c r="C2375" s="119">
        <v>8340</v>
      </c>
      <c r="E2375" s="97" t="s">
        <v>1818</v>
      </c>
      <c r="F2375" s="96" t="s">
        <v>162</v>
      </c>
      <c r="G2375" s="100">
        <v>8165</v>
      </c>
    </row>
    <row r="2376" spans="2:7" ht="17">
      <c r="B2376" s="118" t="s">
        <v>2482</v>
      </c>
      <c r="C2376" s="119">
        <v>8816</v>
      </c>
      <c r="E2376" s="97" t="s">
        <v>1819</v>
      </c>
      <c r="F2376" s="96" t="s">
        <v>162</v>
      </c>
      <c r="G2376" s="100">
        <v>8418</v>
      </c>
    </row>
    <row r="2377" spans="2:7" ht="17">
      <c r="B2377" s="118" t="s">
        <v>1764</v>
      </c>
      <c r="C2377" s="119">
        <v>8335</v>
      </c>
      <c r="E2377" s="97" t="s">
        <v>1820</v>
      </c>
      <c r="F2377" s="96" t="s">
        <v>162</v>
      </c>
      <c r="G2377" s="100">
        <v>8458</v>
      </c>
    </row>
    <row r="2378" spans="2:7" ht="17">
      <c r="B2378" s="118" t="s">
        <v>1789</v>
      </c>
      <c r="C2378" s="119">
        <v>8182</v>
      </c>
      <c r="E2378" s="97" t="s">
        <v>1821</v>
      </c>
      <c r="F2378" s="96" t="s">
        <v>162</v>
      </c>
      <c r="G2378" s="100">
        <v>8479</v>
      </c>
    </row>
    <row r="2379" spans="2:7" ht="17">
      <c r="B2379" s="118" t="s">
        <v>2745</v>
      </c>
      <c r="C2379" s="119">
        <v>8354</v>
      </c>
      <c r="E2379" s="97" t="s">
        <v>170</v>
      </c>
      <c r="F2379" s="96" t="s">
        <v>170</v>
      </c>
      <c r="G2379" s="100">
        <v>9000</v>
      </c>
    </row>
    <row r="2380" spans="2:7" ht="17">
      <c r="B2380" s="118" t="s">
        <v>2745</v>
      </c>
      <c r="C2380" s="119">
        <v>8354</v>
      </c>
      <c r="E2380" s="97" t="s">
        <v>1822</v>
      </c>
      <c r="F2380" s="96" t="s">
        <v>170</v>
      </c>
      <c r="G2380" s="100">
        <v>9470</v>
      </c>
    </row>
    <row r="2381" spans="2:7" ht="17">
      <c r="B2381" s="118" t="s">
        <v>1711</v>
      </c>
      <c r="C2381" s="119">
        <v>8634</v>
      </c>
      <c r="E2381" s="97" t="s">
        <v>1823</v>
      </c>
      <c r="F2381" s="96" t="s">
        <v>170</v>
      </c>
      <c r="G2381" s="100">
        <v>8640</v>
      </c>
    </row>
    <row r="2382" spans="2:7" ht="17">
      <c r="B2382" s="118" t="s">
        <v>1711</v>
      </c>
      <c r="C2382" s="119">
        <v>8634</v>
      </c>
      <c r="E2382" s="97" t="s">
        <v>1824</v>
      </c>
      <c r="F2382" s="96" t="s">
        <v>170</v>
      </c>
      <c r="G2382" s="100">
        <v>9500</v>
      </c>
    </row>
    <row r="2383" spans="2:7" ht="17">
      <c r="B2383" s="118" t="s">
        <v>1683</v>
      </c>
      <c r="C2383" s="119">
        <v>8810</v>
      </c>
      <c r="E2383" s="97" t="s">
        <v>1825</v>
      </c>
      <c r="F2383" s="96" t="s">
        <v>170</v>
      </c>
      <c r="G2383" s="100">
        <v>8730</v>
      </c>
    </row>
    <row r="2384" spans="2:7" ht="17">
      <c r="B2384" s="118" t="s">
        <v>2483</v>
      </c>
      <c r="C2384" s="119">
        <v>8815</v>
      </c>
      <c r="E2384" s="97" t="s">
        <v>1826</v>
      </c>
      <c r="F2384" s="96" t="s">
        <v>170</v>
      </c>
      <c r="G2384" s="100">
        <v>9450</v>
      </c>
    </row>
    <row r="2385" spans="2:7" ht="17">
      <c r="B2385" s="118" t="s">
        <v>1772</v>
      </c>
      <c r="C2385" s="119">
        <v>8181</v>
      </c>
      <c r="E2385" s="97" t="s">
        <v>1827</v>
      </c>
      <c r="F2385" s="96" t="s">
        <v>170</v>
      </c>
      <c r="G2385" s="100">
        <v>8880</v>
      </c>
    </row>
    <row r="2386" spans="2:7" ht="17">
      <c r="B2386" s="118" t="s">
        <v>2746</v>
      </c>
      <c r="C2386" s="119">
        <v>8457</v>
      </c>
      <c r="E2386" s="97" t="s">
        <v>1828</v>
      </c>
      <c r="F2386" s="96" t="s">
        <v>170</v>
      </c>
      <c r="G2386" s="100">
        <v>9200</v>
      </c>
    </row>
    <row r="2387" spans="2:7" ht="17">
      <c r="B2387" s="118" t="s">
        <v>2747</v>
      </c>
      <c r="C2387" s="119">
        <v>8412</v>
      </c>
      <c r="E2387" s="97" t="s">
        <v>1829</v>
      </c>
      <c r="F2387" s="96" t="s">
        <v>170</v>
      </c>
      <c r="G2387" s="100">
        <v>7320</v>
      </c>
    </row>
    <row r="2388" spans="2:7" ht="17">
      <c r="B2388" s="118" t="s">
        <v>1809</v>
      </c>
      <c r="C2388" s="119">
        <v>8194</v>
      </c>
      <c r="E2388" s="97" t="s">
        <v>1830</v>
      </c>
      <c r="F2388" s="96" t="s">
        <v>170</v>
      </c>
      <c r="G2388" s="100">
        <v>9466</v>
      </c>
    </row>
    <row r="2389" spans="2:7" ht="17">
      <c r="B2389" s="118" t="s">
        <v>2489</v>
      </c>
      <c r="C2389" s="119">
        <v>8825</v>
      </c>
      <c r="E2389" s="97" t="s">
        <v>1831</v>
      </c>
      <c r="F2389" s="96" t="s">
        <v>170</v>
      </c>
      <c r="G2389" s="100">
        <v>9476</v>
      </c>
    </row>
    <row r="2390" spans="2:7" ht="17">
      <c r="B2390" s="118" t="s">
        <v>1813</v>
      </c>
      <c r="C2390" s="119">
        <v>8115</v>
      </c>
      <c r="E2390" s="97" t="s">
        <v>1832</v>
      </c>
      <c r="F2390" s="96" t="s">
        <v>170</v>
      </c>
      <c r="G2390" s="100">
        <v>8737</v>
      </c>
    </row>
    <row r="2391" spans="2:7" ht="17">
      <c r="B2391" s="118" t="s">
        <v>2748</v>
      </c>
      <c r="C2391" s="119">
        <v>8308</v>
      </c>
      <c r="E2391" s="97" t="s">
        <v>1833</v>
      </c>
      <c r="F2391" s="96" t="s">
        <v>170</v>
      </c>
      <c r="G2391" s="100">
        <v>9475</v>
      </c>
    </row>
    <row r="2392" spans="2:7" ht="17">
      <c r="B2392" s="118" t="s">
        <v>2748</v>
      </c>
      <c r="C2392" s="119">
        <v>8308</v>
      </c>
      <c r="E2392" s="97" t="s">
        <v>1834</v>
      </c>
      <c r="F2392" s="96" t="s">
        <v>170</v>
      </c>
      <c r="G2392" s="100">
        <v>9642</v>
      </c>
    </row>
    <row r="2393" spans="2:7" ht="17">
      <c r="B2393" s="118" t="s">
        <v>1804</v>
      </c>
      <c r="C2393" s="119">
        <v>8926</v>
      </c>
      <c r="E2393" s="97" t="s">
        <v>1835</v>
      </c>
      <c r="F2393" s="96" t="s">
        <v>170</v>
      </c>
      <c r="G2393" s="100">
        <v>8890</v>
      </c>
    </row>
    <row r="2394" spans="2:7" ht="17">
      <c r="B2394" s="118" t="s">
        <v>2749</v>
      </c>
      <c r="C2394" s="119">
        <v>8543</v>
      </c>
      <c r="E2394" s="97" t="s">
        <v>1836</v>
      </c>
      <c r="F2394" s="96" t="s">
        <v>170</v>
      </c>
      <c r="G2394" s="100">
        <v>7324</v>
      </c>
    </row>
    <row r="2395" spans="2:7" ht="17">
      <c r="B2395" s="118" t="s">
        <v>2750</v>
      </c>
      <c r="C2395" s="119">
        <v>8310</v>
      </c>
      <c r="E2395" s="97" t="s">
        <v>1837</v>
      </c>
      <c r="F2395" s="96" t="s">
        <v>170</v>
      </c>
      <c r="G2395" s="100">
        <v>8722</v>
      </c>
    </row>
    <row r="2396" spans="2:7" ht="17">
      <c r="B2396" s="118" t="s">
        <v>2750</v>
      </c>
      <c r="C2396" s="119">
        <v>8310</v>
      </c>
      <c r="E2396" s="97" t="s">
        <v>1838</v>
      </c>
      <c r="F2396" s="96" t="s">
        <v>170</v>
      </c>
      <c r="G2396" s="100">
        <v>9524</v>
      </c>
    </row>
    <row r="2397" spans="2:7" ht="17">
      <c r="B2397" s="118" t="s">
        <v>2751</v>
      </c>
      <c r="C2397" s="119">
        <v>8802</v>
      </c>
      <c r="E2397" s="97" t="s">
        <v>1839</v>
      </c>
      <c r="F2397" s="96" t="s">
        <v>170</v>
      </c>
      <c r="G2397" s="100">
        <v>9606</v>
      </c>
    </row>
    <row r="2398" spans="2:7" ht="17">
      <c r="B2398" s="118" t="s">
        <v>1783</v>
      </c>
      <c r="C2398" s="119">
        <v>8451</v>
      </c>
      <c r="E2398" s="97" t="s">
        <v>1840</v>
      </c>
      <c r="F2398" s="96" t="s">
        <v>170</v>
      </c>
      <c r="G2398" s="100">
        <v>9436</v>
      </c>
    </row>
    <row r="2399" spans="2:7" ht="17">
      <c r="B2399" s="118" t="s">
        <v>1686</v>
      </c>
      <c r="C2399" s="119">
        <v>8302</v>
      </c>
      <c r="E2399" s="97" t="s">
        <v>1841</v>
      </c>
      <c r="F2399" s="96" t="s">
        <v>170</v>
      </c>
      <c r="G2399" s="100">
        <v>9445</v>
      </c>
    </row>
    <row r="2400" spans="2:7" ht="17">
      <c r="B2400" s="118" t="s">
        <v>1779</v>
      </c>
      <c r="C2400" s="119">
        <v>8934</v>
      </c>
      <c r="E2400" s="97" t="s">
        <v>1842</v>
      </c>
      <c r="F2400" s="96" t="s">
        <v>170</v>
      </c>
      <c r="G2400" s="100">
        <v>9245</v>
      </c>
    </row>
    <row r="2401" spans="2:7" ht="17">
      <c r="B2401" s="118" t="s">
        <v>2752</v>
      </c>
      <c r="C2401" s="119">
        <v>8483</v>
      </c>
      <c r="E2401" s="97" t="s">
        <v>1843</v>
      </c>
      <c r="F2401" s="96" t="s">
        <v>170</v>
      </c>
      <c r="G2401" s="100">
        <v>9113</v>
      </c>
    </row>
    <row r="2402" spans="2:7" ht="17">
      <c r="B2402" s="118" t="s">
        <v>2752</v>
      </c>
      <c r="C2402" s="119">
        <v>8483</v>
      </c>
      <c r="E2402" s="97" t="s">
        <v>1844</v>
      </c>
      <c r="F2402" s="96" t="s">
        <v>170</v>
      </c>
      <c r="G2402" s="100">
        <v>9113</v>
      </c>
    </row>
    <row r="2403" spans="2:7" ht="17">
      <c r="B2403" s="118" t="s">
        <v>2753</v>
      </c>
      <c r="C2403" s="119">
        <v>8700</v>
      </c>
      <c r="E2403" s="97" t="s">
        <v>1845</v>
      </c>
      <c r="F2403" s="96" t="s">
        <v>170</v>
      </c>
      <c r="G2403" s="100">
        <v>9442</v>
      </c>
    </row>
    <row r="2404" spans="2:7" ht="17">
      <c r="B2404" s="118" t="s">
        <v>2754</v>
      </c>
      <c r="C2404" s="119">
        <v>8314</v>
      </c>
      <c r="E2404" s="97" t="s">
        <v>1846</v>
      </c>
      <c r="F2404" s="96" t="s">
        <v>170</v>
      </c>
      <c r="G2404" s="100">
        <v>8718</v>
      </c>
    </row>
    <row r="2405" spans="2:7" ht="17">
      <c r="B2405" s="118" t="s">
        <v>1719</v>
      </c>
      <c r="C2405" s="119">
        <v>8135</v>
      </c>
      <c r="E2405" s="97" t="s">
        <v>1847</v>
      </c>
      <c r="F2405" s="96" t="s">
        <v>170</v>
      </c>
      <c r="G2405" s="100">
        <v>9243</v>
      </c>
    </row>
    <row r="2406" spans="2:7" ht="17">
      <c r="B2406" s="118" t="s">
        <v>1719</v>
      </c>
      <c r="C2406" s="119">
        <v>8135</v>
      </c>
      <c r="E2406" s="97" t="s">
        <v>1848</v>
      </c>
      <c r="F2406" s="96" t="s">
        <v>170</v>
      </c>
      <c r="G2406" s="100">
        <v>8716</v>
      </c>
    </row>
    <row r="2407" spans="2:7" ht="17">
      <c r="B2407" s="118" t="s">
        <v>1719</v>
      </c>
      <c r="C2407" s="119">
        <v>8135</v>
      </c>
      <c r="E2407" s="97" t="s">
        <v>1849</v>
      </c>
      <c r="F2407" s="96" t="s">
        <v>170</v>
      </c>
      <c r="G2407" s="100">
        <v>9650</v>
      </c>
    </row>
    <row r="2408" spans="2:7">
      <c r="B2408" s="118" t="s">
        <v>2755</v>
      </c>
      <c r="C2408" s="119">
        <v>8246</v>
      </c>
      <c r="E2408" s="96" t="s">
        <v>1850</v>
      </c>
      <c r="F2408" s="96" t="s">
        <v>170</v>
      </c>
      <c r="G2408" s="100">
        <v>9323</v>
      </c>
    </row>
    <row r="2409" spans="2:7">
      <c r="B2409" s="118" t="s">
        <v>2756</v>
      </c>
      <c r="C2409" s="119">
        <v>8637</v>
      </c>
      <c r="E2409" s="96" t="s">
        <v>1851</v>
      </c>
      <c r="F2409" s="96" t="s">
        <v>170</v>
      </c>
      <c r="G2409" s="100">
        <v>9402</v>
      </c>
    </row>
    <row r="2410" spans="2:7">
      <c r="B2410" s="118" t="s">
        <v>1733</v>
      </c>
      <c r="C2410" s="119">
        <v>8315</v>
      </c>
      <c r="E2410" s="96" t="s">
        <v>1852</v>
      </c>
      <c r="F2410" s="96" t="s">
        <v>170</v>
      </c>
      <c r="G2410" s="100">
        <v>9205</v>
      </c>
    </row>
    <row r="2411" spans="2:7">
      <c r="B2411" s="118" t="s">
        <v>1777</v>
      </c>
      <c r="C2411" s="119">
        <v>8426</v>
      </c>
      <c r="E2411" s="96" t="s">
        <v>1853</v>
      </c>
      <c r="F2411" s="96" t="s">
        <v>170</v>
      </c>
      <c r="G2411" s="100">
        <v>9424</v>
      </c>
    </row>
    <row r="2412" spans="2:7">
      <c r="B2412" s="118" t="s">
        <v>2757</v>
      </c>
      <c r="C2412" s="119">
        <v>8322</v>
      </c>
      <c r="E2412" s="96" t="s">
        <v>1854</v>
      </c>
      <c r="F2412" s="96" t="s">
        <v>170</v>
      </c>
      <c r="G2412" s="100">
        <v>9473</v>
      </c>
    </row>
    <row r="2413" spans="2:7">
      <c r="B2413" s="118" t="s">
        <v>2757</v>
      </c>
      <c r="C2413" s="119">
        <v>8322</v>
      </c>
      <c r="E2413" s="96" t="s">
        <v>1855</v>
      </c>
      <c r="F2413" s="96" t="s">
        <v>170</v>
      </c>
      <c r="G2413" s="100">
        <v>9527</v>
      </c>
    </row>
    <row r="2414" spans="2:7">
      <c r="B2414" s="118" t="s">
        <v>1704</v>
      </c>
      <c r="C2414" s="119">
        <v>8708</v>
      </c>
      <c r="E2414" s="96" t="s">
        <v>1856</v>
      </c>
      <c r="F2414" s="96" t="s">
        <v>170</v>
      </c>
      <c r="G2414" s="100">
        <v>8717</v>
      </c>
    </row>
    <row r="2415" spans="2:7">
      <c r="B2415" s="118" t="s">
        <v>1786</v>
      </c>
      <c r="C2415" s="119">
        <v>8460</v>
      </c>
      <c r="E2415" s="96" t="s">
        <v>1857</v>
      </c>
      <c r="F2415" s="96" t="s">
        <v>170</v>
      </c>
      <c r="G2415" s="100">
        <v>9607</v>
      </c>
    </row>
    <row r="2416" spans="2:7">
      <c r="B2416" s="118" t="s">
        <v>2527</v>
      </c>
      <c r="C2416" s="119">
        <v>8933</v>
      </c>
      <c r="E2416" s="96" t="s">
        <v>1858</v>
      </c>
      <c r="F2416" s="96" t="s">
        <v>170</v>
      </c>
      <c r="G2416" s="100">
        <v>9658</v>
      </c>
    </row>
    <row r="2417" spans="2:7">
      <c r="B2417" s="118" t="s">
        <v>1705</v>
      </c>
      <c r="C2417" s="119">
        <v>8124</v>
      </c>
      <c r="E2417" s="96" t="s">
        <v>1859</v>
      </c>
      <c r="F2417" s="96" t="s">
        <v>170</v>
      </c>
      <c r="G2417" s="100">
        <v>9464</v>
      </c>
    </row>
    <row r="2418" spans="2:7">
      <c r="B2418" s="118" t="s">
        <v>1696</v>
      </c>
      <c r="C2418" s="119">
        <v>8706</v>
      </c>
      <c r="E2418" s="96" t="s">
        <v>1860</v>
      </c>
      <c r="F2418" s="96" t="s">
        <v>170</v>
      </c>
      <c r="G2418" s="100">
        <v>9034</v>
      </c>
    </row>
    <row r="2419" spans="2:7">
      <c r="B2419" s="118" t="s">
        <v>2758</v>
      </c>
      <c r="C2419" s="119">
        <v>8546</v>
      </c>
      <c r="E2419" s="96" t="s">
        <v>1861</v>
      </c>
      <c r="F2419" s="96" t="s">
        <v>170</v>
      </c>
      <c r="G2419" s="100">
        <v>9437</v>
      </c>
    </row>
    <row r="2420" spans="2:7">
      <c r="B2420" s="118" t="s">
        <v>1747</v>
      </c>
      <c r="C2420" s="119">
        <v>8932</v>
      </c>
      <c r="E2420" s="96" t="s">
        <v>1862</v>
      </c>
      <c r="F2420" s="96" t="s">
        <v>170</v>
      </c>
      <c r="G2420" s="100">
        <v>9204</v>
      </c>
    </row>
    <row r="2421" spans="2:7">
      <c r="B2421" s="118" t="s">
        <v>1759</v>
      </c>
      <c r="C2421" s="119">
        <v>8617</v>
      </c>
      <c r="E2421" s="96" t="s">
        <v>1863</v>
      </c>
      <c r="F2421" s="96" t="s">
        <v>170</v>
      </c>
      <c r="G2421" s="100">
        <v>9620</v>
      </c>
    </row>
    <row r="2422" spans="2:7">
      <c r="B2422" s="118" t="s">
        <v>1759</v>
      </c>
      <c r="C2422" s="119">
        <v>8617</v>
      </c>
      <c r="E2422" s="96" t="s">
        <v>1864</v>
      </c>
      <c r="F2422" s="96" t="s">
        <v>170</v>
      </c>
      <c r="G2422" s="100">
        <v>8873</v>
      </c>
    </row>
    <row r="2423" spans="2:7">
      <c r="B2423" s="118" t="s">
        <v>1759</v>
      </c>
      <c r="C2423" s="119">
        <v>8617</v>
      </c>
      <c r="E2423" s="96" t="s">
        <v>1865</v>
      </c>
      <c r="F2423" s="96" t="s">
        <v>170</v>
      </c>
      <c r="G2423" s="100">
        <v>8872</v>
      </c>
    </row>
    <row r="2424" spans="2:7">
      <c r="B2424" s="118" t="s">
        <v>2477</v>
      </c>
      <c r="C2424" s="119">
        <v>8606</v>
      </c>
      <c r="E2424" s="96" t="s">
        <v>1866</v>
      </c>
      <c r="F2424" s="96" t="s">
        <v>170</v>
      </c>
      <c r="G2424" s="100">
        <v>7312</v>
      </c>
    </row>
    <row r="2425" spans="2:7">
      <c r="B2425" s="118" t="s">
        <v>2759</v>
      </c>
      <c r="C2425" s="119">
        <v>8155</v>
      </c>
      <c r="E2425" s="96" t="s">
        <v>1867</v>
      </c>
      <c r="F2425" s="96" t="s">
        <v>170</v>
      </c>
      <c r="G2425" s="100">
        <v>9604</v>
      </c>
    </row>
    <row r="2426" spans="2:7">
      <c r="B2426" s="118" t="s">
        <v>1770</v>
      </c>
      <c r="C2426" s="119">
        <v>8173</v>
      </c>
      <c r="E2426" s="96" t="s">
        <v>1868</v>
      </c>
      <c r="F2426" s="96" t="s">
        <v>170</v>
      </c>
      <c r="G2426" s="100">
        <v>9246</v>
      </c>
    </row>
    <row r="2427" spans="2:7">
      <c r="B2427" s="118" t="s">
        <v>1736</v>
      </c>
      <c r="C2427" s="119">
        <v>8413</v>
      </c>
      <c r="E2427" s="96" t="s">
        <v>1869</v>
      </c>
      <c r="F2427" s="96" t="s">
        <v>170</v>
      </c>
      <c r="G2427" s="100">
        <v>9453</v>
      </c>
    </row>
    <row r="2428" spans="2:7">
      <c r="B2428" s="118" t="s">
        <v>2760</v>
      </c>
      <c r="C2428" s="119">
        <v>8484</v>
      </c>
      <c r="E2428" s="96" t="s">
        <v>1870</v>
      </c>
      <c r="F2428" s="96" t="s">
        <v>170</v>
      </c>
      <c r="G2428" s="100">
        <v>9327</v>
      </c>
    </row>
    <row r="2429" spans="2:7">
      <c r="B2429" s="118" t="s">
        <v>2761</v>
      </c>
      <c r="C2429" s="119">
        <v>8172</v>
      </c>
      <c r="E2429" s="96" t="s">
        <v>1871</v>
      </c>
      <c r="F2429" s="96" t="s">
        <v>170</v>
      </c>
      <c r="G2429" s="100">
        <v>9312</v>
      </c>
    </row>
    <row r="2430" spans="2:7">
      <c r="B2430" s="118" t="s">
        <v>1710</v>
      </c>
      <c r="C2430" s="119">
        <v>8155</v>
      </c>
      <c r="E2430" s="96" t="s">
        <v>1872</v>
      </c>
      <c r="F2430" s="96" t="s">
        <v>170</v>
      </c>
      <c r="G2430" s="100">
        <v>9621</v>
      </c>
    </row>
    <row r="2431" spans="2:7">
      <c r="B2431" s="118" t="s">
        <v>1710</v>
      </c>
      <c r="C2431" s="119">
        <v>8155</v>
      </c>
      <c r="E2431" s="96" t="s">
        <v>1873</v>
      </c>
      <c r="F2431" s="96" t="s">
        <v>170</v>
      </c>
      <c r="G2431" s="100">
        <v>9313</v>
      </c>
    </row>
    <row r="2432" spans="2:7">
      <c r="B2432" s="118" t="s">
        <v>1710</v>
      </c>
      <c r="C2432" s="119">
        <v>8155</v>
      </c>
      <c r="E2432" s="96" t="s">
        <v>1874</v>
      </c>
      <c r="F2432" s="96" t="s">
        <v>170</v>
      </c>
      <c r="G2432" s="100">
        <v>9033</v>
      </c>
    </row>
    <row r="2433" spans="2:7">
      <c r="B2433" s="118" t="s">
        <v>2529</v>
      </c>
      <c r="C2433" s="119">
        <v>8166</v>
      </c>
      <c r="E2433" s="96" t="s">
        <v>1875</v>
      </c>
      <c r="F2433" s="96" t="s">
        <v>170</v>
      </c>
      <c r="G2433" s="100">
        <v>9633</v>
      </c>
    </row>
    <row r="2434" spans="2:7">
      <c r="B2434" s="118" t="s">
        <v>2762</v>
      </c>
      <c r="C2434" s="119">
        <v>8212</v>
      </c>
      <c r="E2434" s="96" t="s">
        <v>1876</v>
      </c>
      <c r="F2434" s="96" t="s">
        <v>170</v>
      </c>
      <c r="G2434" s="100">
        <v>9305</v>
      </c>
    </row>
    <row r="2435" spans="2:7">
      <c r="B2435" s="118" t="s">
        <v>1734</v>
      </c>
      <c r="C2435" s="119">
        <v>8309</v>
      </c>
      <c r="E2435" s="96" t="s">
        <v>1877</v>
      </c>
      <c r="F2435" s="96" t="s">
        <v>1878</v>
      </c>
      <c r="G2435" s="100">
        <v>9100</v>
      </c>
    </row>
    <row r="2436" spans="2:7">
      <c r="B2436" s="118" t="s">
        <v>1734</v>
      </c>
      <c r="C2436" s="119">
        <v>8309</v>
      </c>
      <c r="E2436" s="96" t="s">
        <v>1879</v>
      </c>
      <c r="F2436" s="96" t="s">
        <v>1878</v>
      </c>
      <c r="G2436" s="100">
        <v>9053</v>
      </c>
    </row>
    <row r="2437" spans="2:7">
      <c r="B2437" s="118" t="s">
        <v>1808</v>
      </c>
      <c r="C2437" s="119">
        <v>8425</v>
      </c>
      <c r="E2437" s="96" t="s">
        <v>1880</v>
      </c>
      <c r="F2437" s="96" t="s">
        <v>1878</v>
      </c>
      <c r="G2437" s="100">
        <v>9042</v>
      </c>
    </row>
    <row r="2438" spans="2:7">
      <c r="B2438" s="118" t="s">
        <v>1723</v>
      </c>
      <c r="C2438" s="119">
        <v>8102</v>
      </c>
      <c r="E2438" s="96" t="s">
        <v>1881</v>
      </c>
      <c r="F2438" s="96" t="s">
        <v>1878</v>
      </c>
      <c r="G2438" s="100">
        <v>9410</v>
      </c>
    </row>
    <row r="2439" spans="2:7">
      <c r="B2439" s="118" t="s">
        <v>2763</v>
      </c>
      <c r="C2439" s="119">
        <v>8154</v>
      </c>
      <c r="E2439" s="96" t="s">
        <v>1882</v>
      </c>
      <c r="F2439" s="96" t="s">
        <v>1878</v>
      </c>
      <c r="G2439" s="100">
        <v>9056</v>
      </c>
    </row>
    <row r="2440" spans="2:7">
      <c r="B2440" s="118" t="s">
        <v>2764</v>
      </c>
      <c r="C2440" s="119">
        <v>8156</v>
      </c>
      <c r="E2440" s="96" t="s">
        <v>1883</v>
      </c>
      <c r="F2440" s="96" t="s">
        <v>1878</v>
      </c>
      <c r="G2440" s="100">
        <v>9107</v>
      </c>
    </row>
    <row r="2441" spans="2:7">
      <c r="B2441" s="118" t="s">
        <v>2530</v>
      </c>
      <c r="C2441" s="119">
        <v>8942</v>
      </c>
      <c r="E2441" s="96" t="s">
        <v>1884</v>
      </c>
      <c r="F2441" s="96" t="s">
        <v>1878</v>
      </c>
      <c r="G2441" s="100">
        <v>9428</v>
      </c>
    </row>
    <row r="2442" spans="2:7">
      <c r="B2442" s="118" t="s">
        <v>2765</v>
      </c>
      <c r="C2442" s="119">
        <v>8477</v>
      </c>
      <c r="E2442" s="96" t="s">
        <v>1885</v>
      </c>
      <c r="F2442" s="96" t="s">
        <v>1878</v>
      </c>
      <c r="G2442" s="100">
        <v>9104</v>
      </c>
    </row>
    <row r="2443" spans="2:7">
      <c r="B2443" s="118" t="s">
        <v>1791</v>
      </c>
      <c r="C2443" s="119">
        <v>8165</v>
      </c>
      <c r="E2443" s="96" t="s">
        <v>1886</v>
      </c>
      <c r="F2443" s="96" t="s">
        <v>1878</v>
      </c>
      <c r="G2443" s="100">
        <v>9427</v>
      </c>
    </row>
    <row r="2444" spans="2:7">
      <c r="B2444" s="118" t="s">
        <v>2766</v>
      </c>
      <c r="C2444" s="119">
        <v>8471</v>
      </c>
      <c r="E2444" s="96" t="s">
        <v>1887</v>
      </c>
      <c r="F2444" s="96" t="s">
        <v>1878</v>
      </c>
      <c r="G2444" s="100">
        <v>9055</v>
      </c>
    </row>
    <row r="2445" spans="2:7">
      <c r="B2445" s="118" t="s">
        <v>1738</v>
      </c>
      <c r="C2445" s="119">
        <v>8912</v>
      </c>
      <c r="E2445" s="96" t="s">
        <v>1888</v>
      </c>
      <c r="F2445" s="96" t="s">
        <v>1878</v>
      </c>
      <c r="G2445" s="100">
        <v>9038</v>
      </c>
    </row>
    <row r="2446" spans="2:7">
      <c r="B2446" s="118" t="s">
        <v>2767</v>
      </c>
      <c r="C2446" s="119">
        <v>8461</v>
      </c>
      <c r="E2446" s="96" t="s">
        <v>1889</v>
      </c>
      <c r="F2446" s="96" t="s">
        <v>1878</v>
      </c>
      <c r="G2446" s="100">
        <v>9043</v>
      </c>
    </row>
    <row r="2447" spans="2:7">
      <c r="B2447" s="118" t="s">
        <v>1749</v>
      </c>
      <c r="C2447" s="119">
        <v>8618</v>
      </c>
      <c r="E2447" s="96" t="s">
        <v>1890</v>
      </c>
      <c r="F2447" s="96" t="s">
        <v>1878</v>
      </c>
      <c r="G2447" s="100">
        <v>9103</v>
      </c>
    </row>
    <row r="2448" spans="2:7">
      <c r="B2448" s="118" t="s">
        <v>1749</v>
      </c>
      <c r="C2448" s="119">
        <v>8618</v>
      </c>
      <c r="E2448" s="96" t="s">
        <v>1891</v>
      </c>
      <c r="F2448" s="96" t="s">
        <v>1878</v>
      </c>
      <c r="G2448" s="100">
        <v>9063</v>
      </c>
    </row>
    <row r="2449" spans="2:7">
      <c r="B2449" s="118" t="s">
        <v>1776</v>
      </c>
      <c r="C2449" s="119">
        <v>8955</v>
      </c>
      <c r="E2449" s="96" t="s">
        <v>1892</v>
      </c>
      <c r="F2449" s="96" t="s">
        <v>1878</v>
      </c>
      <c r="G2449" s="100">
        <v>9426</v>
      </c>
    </row>
    <row r="2450" spans="2:7">
      <c r="B2450" s="118" t="s">
        <v>1684</v>
      </c>
      <c r="C2450" s="119">
        <v>8152</v>
      </c>
      <c r="E2450" s="96" t="s">
        <v>1893</v>
      </c>
      <c r="F2450" s="96" t="s">
        <v>1878</v>
      </c>
      <c r="G2450" s="100">
        <v>9035</v>
      </c>
    </row>
    <row r="2451" spans="2:7">
      <c r="B2451" s="118" t="s">
        <v>1794</v>
      </c>
      <c r="C2451" s="119">
        <v>8475</v>
      </c>
      <c r="E2451" s="96" t="s">
        <v>1894</v>
      </c>
      <c r="F2451" s="96" t="s">
        <v>1878</v>
      </c>
      <c r="G2451" s="100">
        <v>9064</v>
      </c>
    </row>
    <row r="2452" spans="2:7">
      <c r="B2452" s="118" t="s">
        <v>2532</v>
      </c>
      <c r="C2452" s="119">
        <v>8112</v>
      </c>
      <c r="E2452" s="96" t="s">
        <v>1895</v>
      </c>
      <c r="F2452" s="96" t="s">
        <v>1878</v>
      </c>
      <c r="G2452" s="100">
        <v>9044</v>
      </c>
    </row>
    <row r="2453" spans="2:7">
      <c r="B2453" s="118" t="s">
        <v>1774</v>
      </c>
      <c r="C2453" s="119">
        <v>8913</v>
      </c>
      <c r="E2453" s="96" t="s">
        <v>1896</v>
      </c>
      <c r="F2453" s="96" t="s">
        <v>1878</v>
      </c>
      <c r="G2453" s="100">
        <v>9411</v>
      </c>
    </row>
    <row r="2454" spans="2:7">
      <c r="B2454" s="118" t="s">
        <v>2768</v>
      </c>
      <c r="C2454" s="119">
        <v>8626</v>
      </c>
      <c r="E2454" s="96" t="s">
        <v>1897</v>
      </c>
      <c r="F2454" s="96" t="s">
        <v>1878</v>
      </c>
      <c r="G2454" s="100">
        <v>9105</v>
      </c>
    </row>
    <row r="2455" spans="2:7">
      <c r="B2455" s="118" t="s">
        <v>2769</v>
      </c>
      <c r="C2455" s="119">
        <v>8307</v>
      </c>
      <c r="E2455" s="96" t="s">
        <v>1898</v>
      </c>
      <c r="F2455" s="96" t="s">
        <v>1899</v>
      </c>
      <c r="G2455" s="100">
        <v>9050</v>
      </c>
    </row>
    <row r="2456" spans="2:7">
      <c r="B2456" s="118" t="s">
        <v>2770</v>
      </c>
      <c r="C2456" s="119">
        <v>8118</v>
      </c>
      <c r="E2456" s="96" t="s">
        <v>1900</v>
      </c>
      <c r="F2456" s="96" t="s">
        <v>1899</v>
      </c>
      <c r="G2456" s="100">
        <v>9050</v>
      </c>
    </row>
    <row r="2457" spans="2:7">
      <c r="B2457" s="118" t="s">
        <v>2771</v>
      </c>
      <c r="C2457" s="119">
        <v>8330</v>
      </c>
      <c r="E2457" s="96" t="s">
        <v>1901</v>
      </c>
      <c r="F2457" s="96" t="s">
        <v>1899</v>
      </c>
      <c r="G2457" s="100">
        <v>9057</v>
      </c>
    </row>
    <row r="2458" spans="2:7">
      <c r="B2458" s="118" t="s">
        <v>1757</v>
      </c>
      <c r="C2458" s="119">
        <v>8422</v>
      </c>
      <c r="E2458" s="96" t="s">
        <v>1902</v>
      </c>
      <c r="F2458" s="96" t="s">
        <v>1899</v>
      </c>
      <c r="G2458" s="100">
        <v>9413</v>
      </c>
    </row>
    <row r="2459" spans="2:7">
      <c r="B2459" s="118" t="s">
        <v>1752</v>
      </c>
      <c r="C2459" s="119">
        <v>8197</v>
      </c>
      <c r="E2459" s="96" t="s">
        <v>1903</v>
      </c>
      <c r="F2459" s="96" t="s">
        <v>1899</v>
      </c>
      <c r="G2459" s="100">
        <v>9108</v>
      </c>
    </row>
    <row r="2460" spans="2:7">
      <c r="B2460" s="118" t="s">
        <v>1752</v>
      </c>
      <c r="C2460" s="119">
        <v>8197</v>
      </c>
      <c r="E2460" s="96" t="s">
        <v>1904</v>
      </c>
      <c r="F2460" s="96" t="s">
        <v>1899</v>
      </c>
      <c r="G2460" s="100">
        <v>9054</v>
      </c>
    </row>
    <row r="2461" spans="2:7">
      <c r="B2461" s="118" t="s">
        <v>1752</v>
      </c>
      <c r="C2461" s="119">
        <v>8197</v>
      </c>
      <c r="E2461" s="96" t="s">
        <v>1905</v>
      </c>
      <c r="F2461" s="96" t="s">
        <v>172</v>
      </c>
      <c r="G2461" s="100">
        <v>8500</v>
      </c>
    </row>
    <row r="2462" spans="2:7">
      <c r="B2462" s="118" t="s">
        <v>2772</v>
      </c>
      <c r="C2462" s="119">
        <v>8487</v>
      </c>
      <c r="E2462" s="96" t="s">
        <v>1906</v>
      </c>
      <c r="F2462" s="96" t="s">
        <v>172</v>
      </c>
      <c r="G2462" s="100">
        <v>8280</v>
      </c>
    </row>
    <row r="2463" spans="2:7">
      <c r="B2463" s="118" t="s">
        <v>2533</v>
      </c>
      <c r="C2463" s="119">
        <v>8158</v>
      </c>
      <c r="E2463" s="96" t="s">
        <v>1907</v>
      </c>
      <c r="F2463" s="96" t="s">
        <v>172</v>
      </c>
      <c r="G2463" s="100">
        <v>9320</v>
      </c>
    </row>
    <row r="2464" spans="2:7">
      <c r="B2464" s="118" t="s">
        <v>2533</v>
      </c>
      <c r="C2464" s="119">
        <v>8158</v>
      </c>
      <c r="E2464" s="96" t="s">
        <v>1908</v>
      </c>
      <c r="F2464" s="96" t="s">
        <v>172</v>
      </c>
      <c r="G2464" s="100">
        <v>8580</v>
      </c>
    </row>
    <row r="2465" spans="2:7">
      <c r="B2465" s="118" t="s">
        <v>1690</v>
      </c>
      <c r="C2465" s="119">
        <v>8105</v>
      </c>
      <c r="E2465" s="96" t="s">
        <v>1909</v>
      </c>
      <c r="F2465" s="96" t="s">
        <v>172</v>
      </c>
      <c r="G2465" s="100">
        <v>8570</v>
      </c>
    </row>
    <row r="2466" spans="2:7">
      <c r="B2466" s="118" t="s">
        <v>2474</v>
      </c>
      <c r="C2466" s="119">
        <v>8404</v>
      </c>
      <c r="E2466" s="96" t="s">
        <v>1910</v>
      </c>
      <c r="F2466" s="96" t="s">
        <v>172</v>
      </c>
      <c r="G2466" s="100">
        <v>8590</v>
      </c>
    </row>
    <row r="2467" spans="2:7">
      <c r="B2467" s="118" t="s">
        <v>1803</v>
      </c>
      <c r="C2467" s="119">
        <v>8462</v>
      </c>
      <c r="E2467" s="96" t="s">
        <v>1911</v>
      </c>
      <c r="F2467" s="96" t="s">
        <v>172</v>
      </c>
      <c r="G2467" s="100">
        <v>8355</v>
      </c>
    </row>
    <row r="2468" spans="2:7">
      <c r="B2468" s="118" t="s">
        <v>1697</v>
      </c>
      <c r="C2468" s="119">
        <v>8805</v>
      </c>
      <c r="E2468" s="96" t="s">
        <v>1912</v>
      </c>
      <c r="F2468" s="96" t="s">
        <v>172</v>
      </c>
      <c r="G2468" s="100">
        <v>8370</v>
      </c>
    </row>
    <row r="2469" spans="2:7">
      <c r="B2469" s="118" t="s">
        <v>2773</v>
      </c>
      <c r="C2469" s="119">
        <v>8545</v>
      </c>
      <c r="E2469" s="96" t="s">
        <v>1913</v>
      </c>
      <c r="F2469" s="96" t="s">
        <v>172</v>
      </c>
      <c r="G2469" s="100">
        <v>9220</v>
      </c>
    </row>
    <row r="2470" spans="2:7">
      <c r="B2470" s="118" t="s">
        <v>2773</v>
      </c>
      <c r="C2470" s="119">
        <v>8545</v>
      </c>
      <c r="E2470" s="96" t="s">
        <v>1914</v>
      </c>
      <c r="F2470" s="96" t="s">
        <v>172</v>
      </c>
      <c r="G2470" s="100">
        <v>9542</v>
      </c>
    </row>
    <row r="2471" spans="2:7">
      <c r="B2471" s="118" t="s">
        <v>2774</v>
      </c>
      <c r="C2471" s="119">
        <v>8545</v>
      </c>
      <c r="E2471" s="96" t="s">
        <v>1915</v>
      </c>
      <c r="F2471" s="96" t="s">
        <v>172</v>
      </c>
      <c r="G2471" s="100">
        <v>9322</v>
      </c>
    </row>
    <row r="2472" spans="2:7">
      <c r="B2472" s="118" t="s">
        <v>2475</v>
      </c>
      <c r="C2472" s="119">
        <v>8352</v>
      </c>
      <c r="E2472" s="96" t="s">
        <v>1916</v>
      </c>
      <c r="F2472" s="96" t="s">
        <v>172</v>
      </c>
      <c r="G2472" s="100">
        <v>9545</v>
      </c>
    </row>
    <row r="2473" spans="2:7">
      <c r="B2473" s="118" t="s">
        <v>2480</v>
      </c>
      <c r="C2473" s="119">
        <v>8616</v>
      </c>
      <c r="E2473" s="96" t="s">
        <v>1917</v>
      </c>
      <c r="F2473" s="96" t="s">
        <v>172</v>
      </c>
      <c r="G2473" s="100">
        <v>8274</v>
      </c>
    </row>
    <row r="2474" spans="2:7">
      <c r="B2474" s="118" t="s">
        <v>2775</v>
      </c>
      <c r="C2474" s="119">
        <v>8412</v>
      </c>
      <c r="E2474" s="96" t="s">
        <v>1918</v>
      </c>
      <c r="F2474" s="96" t="s">
        <v>172</v>
      </c>
      <c r="G2474" s="100">
        <v>8360</v>
      </c>
    </row>
    <row r="2475" spans="2:7">
      <c r="B2475" s="118" t="s">
        <v>1806</v>
      </c>
      <c r="C2475" s="119">
        <v>8911</v>
      </c>
      <c r="E2475" s="96" t="s">
        <v>1919</v>
      </c>
      <c r="F2475" s="96" t="s">
        <v>172</v>
      </c>
      <c r="G2475" s="100">
        <v>8547</v>
      </c>
    </row>
    <row r="2476" spans="2:7">
      <c r="B2476" s="118" t="s">
        <v>2776</v>
      </c>
      <c r="C2476" s="119">
        <v>8486</v>
      </c>
      <c r="E2476" s="96" t="s">
        <v>1920</v>
      </c>
      <c r="F2476" s="96" t="s">
        <v>172</v>
      </c>
      <c r="G2476" s="100">
        <v>8253</v>
      </c>
    </row>
    <row r="2477" spans="2:7">
      <c r="B2477" s="118" t="s">
        <v>2776</v>
      </c>
      <c r="C2477" s="119">
        <v>8486</v>
      </c>
      <c r="E2477" s="96" t="s">
        <v>1921</v>
      </c>
      <c r="F2477" s="96" t="s">
        <v>172</v>
      </c>
      <c r="G2477" s="100">
        <v>8575</v>
      </c>
    </row>
    <row r="2478" spans="2:7">
      <c r="B2478" s="118" t="s">
        <v>2534</v>
      </c>
      <c r="C2478" s="119">
        <v>8427</v>
      </c>
      <c r="E2478" s="96" t="s">
        <v>1922</v>
      </c>
      <c r="F2478" s="96" t="s">
        <v>172</v>
      </c>
      <c r="G2478" s="100">
        <v>8266</v>
      </c>
    </row>
    <row r="2479" spans="2:7">
      <c r="B2479" s="118" t="s">
        <v>2777</v>
      </c>
      <c r="C2479" s="119">
        <v>8465</v>
      </c>
      <c r="E2479" s="96" t="s">
        <v>1923</v>
      </c>
      <c r="F2479" s="96" t="s">
        <v>172</v>
      </c>
      <c r="G2479" s="100">
        <v>8583</v>
      </c>
    </row>
    <row r="2480" spans="2:7">
      <c r="B2480" s="118" t="s">
        <v>1715</v>
      </c>
      <c r="C2480" s="119">
        <v>8153</v>
      </c>
      <c r="E2480" s="96" t="s">
        <v>1924</v>
      </c>
      <c r="F2480" s="96" t="s">
        <v>172</v>
      </c>
      <c r="G2480" s="100">
        <v>8586</v>
      </c>
    </row>
    <row r="2481" spans="2:7">
      <c r="B2481" s="118" t="s">
        <v>2778</v>
      </c>
      <c r="C2481" s="119">
        <v>8332</v>
      </c>
      <c r="E2481" s="96" t="s">
        <v>1925</v>
      </c>
      <c r="F2481" s="96" t="s">
        <v>172</v>
      </c>
      <c r="G2481" s="100">
        <v>9214</v>
      </c>
    </row>
    <row r="2482" spans="2:7">
      <c r="B2482" s="118" t="s">
        <v>1732</v>
      </c>
      <c r="C2482" s="119">
        <v>8803</v>
      </c>
      <c r="E2482" s="96" t="s">
        <v>1926</v>
      </c>
      <c r="F2482" s="96" t="s">
        <v>172</v>
      </c>
      <c r="G2482" s="100">
        <v>8596</v>
      </c>
    </row>
    <row r="2483" spans="2:7">
      <c r="B2483" s="118" t="s">
        <v>1732</v>
      </c>
      <c r="C2483" s="119">
        <v>8803</v>
      </c>
      <c r="E2483" s="96" t="s">
        <v>1927</v>
      </c>
      <c r="F2483" s="96" t="s">
        <v>172</v>
      </c>
      <c r="G2483" s="100">
        <v>8272</v>
      </c>
    </row>
    <row r="2484" spans="2:7">
      <c r="B2484" s="118" t="s">
        <v>1753</v>
      </c>
      <c r="C2484" s="119">
        <v>8332</v>
      </c>
      <c r="E2484" s="96" t="s">
        <v>1928</v>
      </c>
      <c r="F2484" s="96" t="s">
        <v>172</v>
      </c>
      <c r="G2484" s="100">
        <v>8572</v>
      </c>
    </row>
    <row r="2485" spans="2:7">
      <c r="B2485" s="118" t="s">
        <v>2779</v>
      </c>
      <c r="C2485" s="119">
        <v>8630</v>
      </c>
      <c r="E2485" s="96" t="s">
        <v>1929</v>
      </c>
      <c r="F2485" s="96" t="s">
        <v>172</v>
      </c>
      <c r="G2485" s="100">
        <v>9325</v>
      </c>
    </row>
    <row r="2486" spans="2:7">
      <c r="B2486" s="118" t="s">
        <v>2779</v>
      </c>
      <c r="C2486" s="119">
        <v>8630</v>
      </c>
      <c r="E2486" s="96" t="s">
        <v>1930</v>
      </c>
      <c r="F2486" s="96" t="s">
        <v>172</v>
      </c>
      <c r="G2486" s="100">
        <v>8555</v>
      </c>
    </row>
    <row r="2487" spans="2:7">
      <c r="B2487" s="118" t="s">
        <v>2780</v>
      </c>
      <c r="C2487" s="119">
        <v>8471</v>
      </c>
      <c r="E2487" s="96" t="s">
        <v>1931</v>
      </c>
      <c r="F2487" s="96" t="s">
        <v>172</v>
      </c>
      <c r="G2487" s="100">
        <v>9548</v>
      </c>
    </row>
    <row r="2488" spans="2:7">
      <c r="B2488" s="118" t="s">
        <v>2781</v>
      </c>
      <c r="C2488" s="119">
        <v>8493</v>
      </c>
      <c r="E2488" s="96" t="s">
        <v>1932</v>
      </c>
      <c r="F2488" s="96" t="s">
        <v>172</v>
      </c>
      <c r="G2488" s="100">
        <v>8363</v>
      </c>
    </row>
    <row r="2489" spans="2:7">
      <c r="B2489" s="118" t="s">
        <v>2781</v>
      </c>
      <c r="C2489" s="119">
        <v>8493</v>
      </c>
      <c r="E2489" s="96" t="s">
        <v>1933</v>
      </c>
      <c r="F2489" s="96" t="s">
        <v>172</v>
      </c>
      <c r="G2489" s="100">
        <v>8560</v>
      </c>
    </row>
    <row r="2490" spans="2:7">
      <c r="B2490" s="118" t="s">
        <v>2491</v>
      </c>
      <c r="C2490" s="119">
        <v>8833</v>
      </c>
      <c r="E2490" s="96" t="s">
        <v>1934</v>
      </c>
      <c r="F2490" s="96" t="s">
        <v>172</v>
      </c>
      <c r="G2490" s="100">
        <v>8552</v>
      </c>
    </row>
    <row r="2491" spans="2:7">
      <c r="B2491" s="118" t="s">
        <v>2782</v>
      </c>
      <c r="C2491" s="119">
        <v>8489</v>
      </c>
      <c r="E2491" s="96" t="s">
        <v>1935</v>
      </c>
      <c r="F2491" s="96" t="s">
        <v>172</v>
      </c>
      <c r="G2491" s="100">
        <v>8581</v>
      </c>
    </row>
    <row r="2492" spans="2:7">
      <c r="B2492" s="118" t="s">
        <v>2783</v>
      </c>
      <c r="C2492" s="119">
        <v>8418</v>
      </c>
      <c r="E2492" s="96" t="s">
        <v>1936</v>
      </c>
      <c r="F2492" s="96" t="s">
        <v>172</v>
      </c>
      <c r="G2492" s="100">
        <v>9326</v>
      </c>
    </row>
    <row r="2493" spans="2:7">
      <c r="B2493" s="118" t="s">
        <v>1818</v>
      </c>
      <c r="C2493" s="119">
        <v>8165</v>
      </c>
      <c r="E2493" s="96" t="s">
        <v>1937</v>
      </c>
      <c r="F2493" s="96" t="s">
        <v>172</v>
      </c>
      <c r="G2493" s="100">
        <v>8376</v>
      </c>
    </row>
    <row r="2494" spans="2:7">
      <c r="B2494" s="118" t="s">
        <v>1688</v>
      </c>
      <c r="C2494" s="119">
        <v>8952</v>
      </c>
      <c r="E2494" s="96" t="s">
        <v>1938</v>
      </c>
      <c r="F2494" s="96" t="s">
        <v>172</v>
      </c>
      <c r="G2494" s="100">
        <v>9556</v>
      </c>
    </row>
    <row r="2495" spans="2:7">
      <c r="B2495" s="118" t="s">
        <v>1688</v>
      </c>
      <c r="C2495" s="119">
        <v>8952</v>
      </c>
      <c r="E2495" s="96" t="s">
        <v>1939</v>
      </c>
      <c r="F2495" s="96" t="s">
        <v>172</v>
      </c>
      <c r="G2495" s="100">
        <v>9535</v>
      </c>
    </row>
    <row r="2496" spans="2:7">
      <c r="B2496" s="118" t="s">
        <v>2784</v>
      </c>
      <c r="C2496" s="119">
        <v>8495</v>
      </c>
      <c r="E2496" s="96" t="s">
        <v>1940</v>
      </c>
      <c r="F2496" s="96" t="s">
        <v>172</v>
      </c>
      <c r="G2496" s="100">
        <v>8573</v>
      </c>
    </row>
    <row r="2497" spans="2:7">
      <c r="B2497" s="118" t="s">
        <v>1799</v>
      </c>
      <c r="C2497" s="119">
        <v>8165</v>
      </c>
      <c r="E2497" s="96" t="s">
        <v>1941</v>
      </c>
      <c r="F2497" s="96" t="s">
        <v>172</v>
      </c>
      <c r="G2497" s="100">
        <v>8556</v>
      </c>
    </row>
    <row r="2498" spans="2:7">
      <c r="B2498" s="118" t="s">
        <v>2488</v>
      </c>
      <c r="C2498" s="119">
        <v>8824</v>
      </c>
      <c r="E2498" s="96" t="s">
        <v>1942</v>
      </c>
      <c r="F2498" s="96" t="s">
        <v>172</v>
      </c>
      <c r="G2498" s="100">
        <v>8588</v>
      </c>
    </row>
    <row r="2499" spans="2:7">
      <c r="B2499" s="118" t="s">
        <v>2535</v>
      </c>
      <c r="C2499" s="119">
        <v>8603</v>
      </c>
      <c r="E2499" s="96" t="s">
        <v>1943</v>
      </c>
      <c r="F2499" s="96" t="s">
        <v>172</v>
      </c>
      <c r="G2499" s="100">
        <v>9565</v>
      </c>
    </row>
    <row r="2500" spans="2:7">
      <c r="B2500" s="118" t="s">
        <v>2535</v>
      </c>
      <c r="C2500" s="119">
        <v>8603</v>
      </c>
      <c r="E2500" s="96" t="s">
        <v>1944</v>
      </c>
      <c r="F2500" s="96" t="s">
        <v>172</v>
      </c>
      <c r="G2500" s="100">
        <v>8595</v>
      </c>
    </row>
    <row r="2501" spans="2:7">
      <c r="B2501" s="118" t="s">
        <v>2473</v>
      </c>
      <c r="C2501" s="119">
        <v>8482</v>
      </c>
      <c r="E2501" s="96" t="s">
        <v>1945</v>
      </c>
      <c r="F2501" s="96" t="s">
        <v>172</v>
      </c>
      <c r="G2501" s="100">
        <v>8598</v>
      </c>
    </row>
    <row r="2502" spans="2:7">
      <c r="B2502" s="118" t="s">
        <v>2473</v>
      </c>
      <c r="C2502" s="119">
        <v>8482</v>
      </c>
      <c r="E2502" s="96" t="s">
        <v>1946</v>
      </c>
      <c r="F2502" s="96" t="s">
        <v>172</v>
      </c>
      <c r="G2502" s="100">
        <v>8505</v>
      </c>
    </row>
    <row r="2503" spans="2:7">
      <c r="B2503" s="118" t="s">
        <v>1720</v>
      </c>
      <c r="C2503" s="119">
        <v>8472</v>
      </c>
      <c r="E2503" s="96" t="s">
        <v>1947</v>
      </c>
      <c r="F2503" s="96" t="s">
        <v>172</v>
      </c>
      <c r="G2503" s="100">
        <v>9213</v>
      </c>
    </row>
    <row r="2504" spans="2:7">
      <c r="B2504" s="118" t="s">
        <v>673</v>
      </c>
      <c r="C2504" s="119">
        <v>5462</v>
      </c>
      <c r="E2504" s="96" t="s">
        <v>1948</v>
      </c>
      <c r="F2504" s="96" t="s">
        <v>172</v>
      </c>
      <c r="G2504" s="100">
        <v>8592</v>
      </c>
    </row>
    <row r="2505" spans="2:7">
      <c r="B2505" s="118" t="s">
        <v>2785</v>
      </c>
      <c r="C2505" s="119">
        <v>6340</v>
      </c>
      <c r="E2505" s="96" t="s">
        <v>1949</v>
      </c>
      <c r="F2505" s="96" t="s">
        <v>172</v>
      </c>
      <c r="G2505" s="100">
        <v>8254</v>
      </c>
    </row>
    <row r="2506" spans="2:7">
      <c r="B2506" s="118" t="s">
        <v>2785</v>
      </c>
      <c r="C2506" s="119">
        <v>6340</v>
      </c>
      <c r="E2506" s="96" t="s">
        <v>1950</v>
      </c>
      <c r="F2506" s="96" t="s">
        <v>172</v>
      </c>
      <c r="G2506" s="100">
        <v>8264</v>
      </c>
    </row>
    <row r="2507" spans="2:7">
      <c r="B2507" s="118" t="s">
        <v>2485</v>
      </c>
      <c r="C2507" s="119">
        <v>8135</v>
      </c>
      <c r="E2507" s="96" t="s">
        <v>1951</v>
      </c>
      <c r="F2507" s="96" t="s">
        <v>172</v>
      </c>
      <c r="G2507" s="100">
        <v>8574</v>
      </c>
    </row>
    <row r="2508" spans="2:7">
      <c r="B2508" s="118" t="s">
        <v>2484</v>
      </c>
      <c r="C2508" s="119">
        <v>8135</v>
      </c>
      <c r="E2508" s="96" t="s">
        <v>1952</v>
      </c>
      <c r="F2508" s="96" t="s">
        <v>172</v>
      </c>
      <c r="G2508" s="100">
        <v>8536</v>
      </c>
    </row>
    <row r="2509" spans="2:7">
      <c r="B2509" s="118" t="s">
        <v>2472</v>
      </c>
      <c r="C2509" s="119">
        <v>8404</v>
      </c>
      <c r="E2509" s="96" t="s">
        <v>1953</v>
      </c>
      <c r="F2509" s="96" t="s">
        <v>172</v>
      </c>
      <c r="G2509" s="100">
        <v>8252</v>
      </c>
    </row>
    <row r="2510" spans="2:7">
      <c r="B2510" s="118" t="s">
        <v>2786</v>
      </c>
      <c r="C2510" s="119">
        <v>8174</v>
      </c>
      <c r="E2510" s="96" t="s">
        <v>1954</v>
      </c>
      <c r="F2510" s="96" t="s">
        <v>172</v>
      </c>
      <c r="G2510" s="100">
        <v>8259</v>
      </c>
    </row>
    <row r="2511" spans="2:7">
      <c r="B2511" s="118" t="s">
        <v>2786</v>
      </c>
      <c r="C2511" s="119">
        <v>8174</v>
      </c>
      <c r="E2511" s="96" t="s">
        <v>1955</v>
      </c>
      <c r="F2511" s="96" t="s">
        <v>172</v>
      </c>
      <c r="G2511" s="100">
        <v>8594</v>
      </c>
    </row>
    <row r="2512" spans="2:7">
      <c r="B2512" s="118" t="s">
        <v>1694</v>
      </c>
      <c r="C2512" s="119">
        <v>8712</v>
      </c>
      <c r="E2512" s="96" t="s">
        <v>1956</v>
      </c>
      <c r="F2512" s="96" t="s">
        <v>172</v>
      </c>
      <c r="G2512" s="100">
        <v>9555</v>
      </c>
    </row>
    <row r="2513" spans="2:7">
      <c r="B2513" s="118" t="s">
        <v>1760</v>
      </c>
      <c r="C2513" s="119">
        <v>8143</v>
      </c>
      <c r="E2513" s="96" t="s">
        <v>1957</v>
      </c>
      <c r="F2513" s="96" t="s">
        <v>172</v>
      </c>
      <c r="G2513" s="100">
        <v>8508</v>
      </c>
    </row>
    <row r="2514" spans="2:7">
      <c r="B2514" s="118" t="s">
        <v>2787</v>
      </c>
      <c r="C2514" s="119">
        <v>8496</v>
      </c>
      <c r="E2514" s="96" t="s">
        <v>1958</v>
      </c>
      <c r="F2514" s="96" t="s">
        <v>172</v>
      </c>
      <c r="G2514" s="100">
        <v>8512</v>
      </c>
    </row>
    <row r="2515" spans="2:7">
      <c r="B2515" s="118" t="s">
        <v>1766</v>
      </c>
      <c r="C2515" s="119">
        <v>8162</v>
      </c>
      <c r="E2515" s="96" t="s">
        <v>1959</v>
      </c>
      <c r="F2515" s="96" t="s">
        <v>172</v>
      </c>
      <c r="G2515" s="100">
        <v>8599</v>
      </c>
    </row>
    <row r="2516" spans="2:7">
      <c r="B2516" s="118" t="s">
        <v>1766</v>
      </c>
      <c r="C2516" s="119">
        <v>8162</v>
      </c>
      <c r="E2516" s="96" t="s">
        <v>1960</v>
      </c>
      <c r="F2516" s="96" t="s">
        <v>172</v>
      </c>
      <c r="G2516" s="100">
        <v>8577</v>
      </c>
    </row>
    <row r="2517" spans="2:7">
      <c r="B2517" s="118" t="s">
        <v>2788</v>
      </c>
      <c r="C2517" s="119">
        <v>8499</v>
      </c>
      <c r="E2517" s="96" t="s">
        <v>1961</v>
      </c>
      <c r="F2517" s="96" t="s">
        <v>172</v>
      </c>
      <c r="G2517" s="100">
        <v>8514</v>
      </c>
    </row>
    <row r="2518" spans="2:7">
      <c r="B2518" s="118" t="s">
        <v>2478</v>
      </c>
      <c r="C2518" s="119">
        <v>8614</v>
      </c>
      <c r="E2518" s="96" t="s">
        <v>1962</v>
      </c>
      <c r="F2518" s="96" t="s">
        <v>172</v>
      </c>
      <c r="G2518" s="100">
        <v>8532</v>
      </c>
    </row>
    <row r="2519" spans="2:7">
      <c r="B2519" s="118" t="s">
        <v>2789</v>
      </c>
      <c r="C2519" s="119">
        <v>8162</v>
      </c>
      <c r="E2519" s="96" t="s">
        <v>1963</v>
      </c>
      <c r="F2519" s="96" t="s">
        <v>172</v>
      </c>
      <c r="G2519" s="100">
        <v>8585</v>
      </c>
    </row>
    <row r="2520" spans="2:7">
      <c r="B2520" s="118" t="s">
        <v>2790</v>
      </c>
      <c r="C2520" s="119">
        <v>8317</v>
      </c>
      <c r="E2520" s="96" t="s">
        <v>1964</v>
      </c>
      <c r="F2520" s="96" t="s">
        <v>172</v>
      </c>
      <c r="G2520" s="100">
        <v>8268</v>
      </c>
    </row>
    <row r="2521" spans="2:7">
      <c r="B2521" s="118" t="s">
        <v>2791</v>
      </c>
      <c r="C2521" s="119">
        <v>8632</v>
      </c>
      <c r="E2521" s="96" t="s">
        <v>1965</v>
      </c>
      <c r="F2521" s="96" t="s">
        <v>172</v>
      </c>
      <c r="G2521" s="100">
        <v>9553</v>
      </c>
    </row>
    <row r="2522" spans="2:7">
      <c r="B2522" s="118" t="s">
        <v>2792</v>
      </c>
      <c r="C2522" s="119">
        <v>8428</v>
      </c>
      <c r="E2522" s="96" t="s">
        <v>1966</v>
      </c>
      <c r="F2522" s="96" t="s">
        <v>172</v>
      </c>
      <c r="G2522" s="100">
        <v>9506</v>
      </c>
    </row>
    <row r="2523" spans="2:7">
      <c r="B2523" s="118" t="s">
        <v>2792</v>
      </c>
      <c r="C2523" s="119">
        <v>8428</v>
      </c>
      <c r="E2523" s="96" t="s">
        <v>1967</v>
      </c>
      <c r="F2523" s="96" t="s">
        <v>172</v>
      </c>
      <c r="G2523" s="100">
        <v>9507</v>
      </c>
    </row>
    <row r="2524" spans="2:7">
      <c r="B2524" s="118" t="s">
        <v>1814</v>
      </c>
      <c r="C2524" s="119">
        <v>8478</v>
      </c>
      <c r="E2524" s="96" t="s">
        <v>1968</v>
      </c>
      <c r="F2524" s="96" t="s">
        <v>172</v>
      </c>
      <c r="G2524" s="100">
        <v>8580</v>
      </c>
    </row>
    <row r="2525" spans="2:7">
      <c r="B2525" s="118" t="s">
        <v>1691</v>
      </c>
      <c r="C2525" s="119">
        <v>8800</v>
      </c>
      <c r="E2525" s="96" t="s">
        <v>1969</v>
      </c>
      <c r="F2525" s="96" t="s">
        <v>172</v>
      </c>
      <c r="G2525" s="100">
        <v>9514</v>
      </c>
    </row>
    <row r="2526" spans="2:7">
      <c r="B2526" s="118" t="s">
        <v>2793</v>
      </c>
      <c r="C2526" s="119">
        <v>8484</v>
      </c>
      <c r="E2526" s="96" t="s">
        <v>1970</v>
      </c>
      <c r="F2526" s="96" t="s">
        <v>172</v>
      </c>
      <c r="G2526" s="100">
        <v>8553</v>
      </c>
    </row>
    <row r="2527" spans="2:7">
      <c r="B2527" s="118" t="s">
        <v>1807</v>
      </c>
      <c r="C2527" s="119">
        <v>8466</v>
      </c>
      <c r="E2527" s="96" t="s">
        <v>1971</v>
      </c>
      <c r="F2527" s="96" t="s">
        <v>172</v>
      </c>
      <c r="G2527" s="100">
        <v>8564</v>
      </c>
    </row>
    <row r="2528" spans="2:7">
      <c r="B2528" s="118" t="s">
        <v>1807</v>
      </c>
      <c r="C2528" s="119">
        <v>8466</v>
      </c>
      <c r="E2528" s="96" t="s">
        <v>1972</v>
      </c>
      <c r="F2528" s="96" t="s">
        <v>172</v>
      </c>
      <c r="G2528" s="100">
        <v>8535</v>
      </c>
    </row>
    <row r="2529" spans="2:7">
      <c r="B2529" s="118" t="s">
        <v>2537</v>
      </c>
      <c r="C2529" s="119">
        <v>8467</v>
      </c>
      <c r="E2529" s="96" t="s">
        <v>1973</v>
      </c>
      <c r="F2529" s="96" t="s">
        <v>172</v>
      </c>
      <c r="G2529" s="100">
        <v>8525</v>
      </c>
    </row>
    <row r="2530" spans="2:7">
      <c r="B2530" s="118" t="s">
        <v>1750</v>
      </c>
      <c r="C2530" s="119">
        <v>8488</v>
      </c>
      <c r="E2530" s="96" t="s">
        <v>1974</v>
      </c>
      <c r="F2530" s="96" t="s">
        <v>172</v>
      </c>
      <c r="G2530" s="100">
        <v>8593</v>
      </c>
    </row>
    <row r="2531" spans="2:7">
      <c r="B2531" s="118" t="s">
        <v>1750</v>
      </c>
      <c r="C2531" s="119">
        <v>8488</v>
      </c>
      <c r="E2531" s="96" t="s">
        <v>1975</v>
      </c>
      <c r="F2531" s="96" t="s">
        <v>172</v>
      </c>
      <c r="G2531" s="100">
        <v>8267</v>
      </c>
    </row>
    <row r="2532" spans="2:7">
      <c r="B2532" s="118" t="s">
        <v>2481</v>
      </c>
      <c r="C2532" s="119">
        <v>8713</v>
      </c>
      <c r="E2532" s="96" t="s">
        <v>1976</v>
      </c>
      <c r="F2532" s="96" t="s">
        <v>172</v>
      </c>
      <c r="G2532" s="100">
        <v>8577</v>
      </c>
    </row>
    <row r="2533" spans="2:7">
      <c r="B2533" s="118" t="s">
        <v>2794</v>
      </c>
      <c r="C2533" s="119">
        <v>8926</v>
      </c>
      <c r="E2533" s="96" t="s">
        <v>1977</v>
      </c>
      <c r="F2533" s="96" t="s">
        <v>172</v>
      </c>
      <c r="G2533" s="100">
        <v>8553</v>
      </c>
    </row>
    <row r="2534" spans="2:7">
      <c r="B2534" s="118" t="s">
        <v>1729</v>
      </c>
      <c r="C2534" s="119">
        <v>8707</v>
      </c>
      <c r="E2534" s="96" t="s">
        <v>1978</v>
      </c>
      <c r="F2534" s="96" t="s">
        <v>172</v>
      </c>
      <c r="G2534" s="100">
        <v>9502</v>
      </c>
    </row>
    <row r="2535" spans="2:7">
      <c r="B2535" s="118" t="s">
        <v>2795</v>
      </c>
      <c r="C2535" s="119">
        <v>8143</v>
      </c>
      <c r="E2535" s="96" t="s">
        <v>1979</v>
      </c>
      <c r="F2535" s="96" t="s">
        <v>172</v>
      </c>
      <c r="G2535" s="100">
        <v>8582</v>
      </c>
    </row>
    <row r="2536" spans="2:7">
      <c r="B2536" s="118" t="s">
        <v>2795</v>
      </c>
      <c r="C2536" s="119">
        <v>8143</v>
      </c>
      <c r="E2536" s="96" t="s">
        <v>1980</v>
      </c>
      <c r="F2536" s="96" t="s">
        <v>172</v>
      </c>
      <c r="G2536" s="100">
        <v>8265</v>
      </c>
    </row>
    <row r="2537" spans="2:7">
      <c r="B2537" s="118" t="s">
        <v>2795</v>
      </c>
      <c r="C2537" s="119">
        <v>8143</v>
      </c>
      <c r="E2537" s="96" t="s">
        <v>1981</v>
      </c>
      <c r="F2537" s="96" t="s">
        <v>172</v>
      </c>
      <c r="G2537" s="100">
        <v>9216</v>
      </c>
    </row>
    <row r="2538" spans="2:7">
      <c r="B2538" s="118" t="s">
        <v>2796</v>
      </c>
      <c r="C2538" s="119">
        <v>8248</v>
      </c>
      <c r="E2538" s="96" t="s">
        <v>1982</v>
      </c>
      <c r="F2538" s="96" t="s">
        <v>172</v>
      </c>
      <c r="G2538" s="100">
        <v>8580</v>
      </c>
    </row>
    <row r="2539" spans="2:7">
      <c r="B2539" s="118" t="s">
        <v>2797</v>
      </c>
      <c r="C2539" s="119">
        <v>8142</v>
      </c>
      <c r="E2539" s="96" t="s">
        <v>1983</v>
      </c>
      <c r="F2539" s="96" t="s">
        <v>172</v>
      </c>
      <c r="G2539" s="100">
        <v>8564</v>
      </c>
    </row>
    <row r="2540" spans="2:7">
      <c r="B2540" s="118" t="s">
        <v>2797</v>
      </c>
      <c r="C2540" s="119">
        <v>8142</v>
      </c>
      <c r="E2540" s="96" t="s">
        <v>1984</v>
      </c>
      <c r="F2540" s="96" t="s">
        <v>172</v>
      </c>
      <c r="G2540" s="100">
        <v>8274</v>
      </c>
    </row>
    <row r="2541" spans="2:7">
      <c r="B2541" s="118" t="s">
        <v>2797</v>
      </c>
      <c r="C2541" s="119">
        <v>8142</v>
      </c>
      <c r="E2541" s="96" t="s">
        <v>1985</v>
      </c>
      <c r="F2541" s="96" t="s">
        <v>181</v>
      </c>
      <c r="G2541" s="100">
        <v>6460</v>
      </c>
    </row>
    <row r="2542" spans="2:7">
      <c r="B2542" s="118" t="s">
        <v>1758</v>
      </c>
      <c r="C2542" s="119">
        <v>8103</v>
      </c>
      <c r="E2542" s="96" t="s">
        <v>1986</v>
      </c>
      <c r="F2542" s="96" t="s">
        <v>181</v>
      </c>
      <c r="G2542" s="100">
        <v>6467</v>
      </c>
    </row>
    <row r="2543" spans="2:7">
      <c r="B2543" s="118" t="s">
        <v>2798</v>
      </c>
      <c r="C2543" s="119">
        <v>8476</v>
      </c>
      <c r="E2543" s="96" t="s">
        <v>1987</v>
      </c>
      <c r="F2543" s="96" t="s">
        <v>181</v>
      </c>
      <c r="G2543" s="100">
        <v>6463</v>
      </c>
    </row>
    <row r="2544" spans="2:7">
      <c r="B2544" s="118" t="s">
        <v>1708</v>
      </c>
      <c r="C2544" s="119">
        <v>8902</v>
      </c>
      <c r="E2544" s="96" t="s">
        <v>1988</v>
      </c>
      <c r="F2544" s="96" t="s">
        <v>181</v>
      </c>
      <c r="G2544" s="100">
        <v>6472</v>
      </c>
    </row>
    <row r="2545" spans="2:7">
      <c r="B2545" s="118" t="s">
        <v>1708</v>
      </c>
      <c r="C2545" s="119">
        <v>8902</v>
      </c>
      <c r="E2545" s="96" t="s">
        <v>1989</v>
      </c>
      <c r="F2545" s="96" t="s">
        <v>181</v>
      </c>
      <c r="G2545" s="100">
        <v>6473</v>
      </c>
    </row>
    <row r="2546" spans="2:7">
      <c r="B2546" s="118" t="s">
        <v>1675</v>
      </c>
      <c r="C2546" s="119">
        <v>8610</v>
      </c>
      <c r="E2546" s="96" t="s">
        <v>1990</v>
      </c>
      <c r="F2546" s="96" t="s">
        <v>181</v>
      </c>
      <c r="G2546" s="100">
        <v>6454</v>
      </c>
    </row>
    <row r="2547" spans="2:7">
      <c r="B2547" s="118" t="s">
        <v>2538</v>
      </c>
      <c r="C2547" s="119">
        <v>8459</v>
      </c>
      <c r="E2547" s="96" t="s">
        <v>1991</v>
      </c>
      <c r="F2547" s="96" t="s">
        <v>181</v>
      </c>
      <c r="G2547" s="100">
        <v>6462</v>
      </c>
    </row>
    <row r="2548" spans="2:7">
      <c r="B2548" s="118" t="s">
        <v>1689</v>
      </c>
      <c r="C2548" s="119">
        <v>8604</v>
      </c>
      <c r="E2548" s="96" t="s">
        <v>1992</v>
      </c>
      <c r="F2548" s="96" t="s">
        <v>181</v>
      </c>
      <c r="G2548" s="100">
        <v>6468</v>
      </c>
    </row>
    <row r="2549" spans="2:7">
      <c r="B2549" s="118" t="s">
        <v>1681</v>
      </c>
      <c r="C2549" s="119">
        <v>8820</v>
      </c>
      <c r="E2549" s="96" t="s">
        <v>1993</v>
      </c>
      <c r="F2549" s="96" t="s">
        <v>181</v>
      </c>
      <c r="G2549" s="100">
        <v>6490</v>
      </c>
    </row>
    <row r="2550" spans="2:7">
      <c r="B2550" s="118" t="s">
        <v>2799</v>
      </c>
      <c r="C2550" s="119">
        <v>8636</v>
      </c>
      <c r="E2550" s="96" t="s">
        <v>1994</v>
      </c>
      <c r="F2550" s="96" t="s">
        <v>181</v>
      </c>
      <c r="G2550" s="100">
        <v>6440</v>
      </c>
    </row>
    <row r="2551" spans="2:7">
      <c r="B2551" s="118" t="s">
        <v>2799</v>
      </c>
      <c r="C2551" s="119">
        <v>8636</v>
      </c>
      <c r="E2551" s="96" t="s">
        <v>1995</v>
      </c>
      <c r="F2551" s="96" t="s">
        <v>181</v>
      </c>
      <c r="G2551" s="100">
        <v>6465</v>
      </c>
    </row>
    <row r="2552" spans="2:7">
      <c r="B2552" s="118" t="s">
        <v>2799</v>
      </c>
      <c r="C2552" s="119">
        <v>8636</v>
      </c>
      <c r="E2552" s="96" t="s">
        <v>1996</v>
      </c>
      <c r="F2552" s="96" t="s">
        <v>181</v>
      </c>
      <c r="G2552" s="100">
        <v>6377</v>
      </c>
    </row>
    <row r="2553" spans="2:7">
      <c r="B2553" s="118" t="s">
        <v>1693</v>
      </c>
      <c r="C2553" s="119">
        <v>8304</v>
      </c>
      <c r="E2553" s="96" t="s">
        <v>1997</v>
      </c>
      <c r="F2553" s="96" t="s">
        <v>181</v>
      </c>
      <c r="G2553" s="100">
        <v>6482</v>
      </c>
    </row>
    <row r="2554" spans="2:7">
      <c r="B2554" s="118" t="s">
        <v>2800</v>
      </c>
      <c r="C2554" s="119">
        <v>8468</v>
      </c>
      <c r="E2554" s="96" t="s">
        <v>1998</v>
      </c>
      <c r="F2554" s="96" t="s">
        <v>181</v>
      </c>
      <c r="G2554" s="100">
        <v>6476</v>
      </c>
    </row>
    <row r="2555" spans="2:7">
      <c r="B2555" s="118" t="s">
        <v>2801</v>
      </c>
      <c r="C2555" s="119">
        <v>8602</v>
      </c>
      <c r="E2555" s="96" t="s">
        <v>1999</v>
      </c>
      <c r="F2555" s="96" t="s">
        <v>181</v>
      </c>
      <c r="G2555" s="100">
        <v>6487</v>
      </c>
    </row>
    <row r="2556" spans="2:7">
      <c r="B2556" s="118" t="s">
        <v>2539</v>
      </c>
      <c r="C2556" s="119">
        <v>8195</v>
      </c>
      <c r="E2556" s="96" t="s">
        <v>2000</v>
      </c>
      <c r="F2556" s="96" t="s">
        <v>181</v>
      </c>
      <c r="G2556" s="100">
        <v>6484</v>
      </c>
    </row>
    <row r="2557" spans="2:7">
      <c r="B2557" s="118" t="s">
        <v>2490</v>
      </c>
      <c r="C2557" s="119">
        <v>8105</v>
      </c>
      <c r="E2557" s="96" t="s">
        <v>2001</v>
      </c>
      <c r="F2557" s="96" t="s">
        <v>181</v>
      </c>
      <c r="G2557" s="100">
        <v>6452</v>
      </c>
    </row>
    <row r="2558" spans="2:7">
      <c r="B2558" s="118" t="s">
        <v>1792</v>
      </c>
      <c r="C2558" s="119">
        <v>8187</v>
      </c>
      <c r="E2558" s="96" t="s">
        <v>2002</v>
      </c>
      <c r="F2558" s="96" t="s">
        <v>181</v>
      </c>
      <c r="G2558" s="100">
        <v>6493</v>
      </c>
    </row>
    <row r="2559" spans="2:7">
      <c r="B2559" s="118" t="s">
        <v>2802</v>
      </c>
      <c r="C2559" s="119">
        <v>8104</v>
      </c>
      <c r="E2559" s="96" t="s">
        <v>2003</v>
      </c>
      <c r="F2559" s="96" t="s">
        <v>181</v>
      </c>
      <c r="G2559" s="100">
        <v>6466</v>
      </c>
    </row>
    <row r="2560" spans="2:7">
      <c r="B2560" s="118" t="s">
        <v>1768</v>
      </c>
      <c r="C2560" s="119">
        <v>8484</v>
      </c>
      <c r="E2560" s="96" t="s">
        <v>2004</v>
      </c>
      <c r="F2560" s="96" t="s">
        <v>181</v>
      </c>
      <c r="G2560" s="100">
        <v>6491</v>
      </c>
    </row>
    <row r="2561" spans="2:7">
      <c r="B2561" s="118" t="s">
        <v>2479</v>
      </c>
      <c r="C2561" s="119">
        <v>8615</v>
      </c>
      <c r="E2561" s="96" t="s">
        <v>2005</v>
      </c>
      <c r="F2561" s="96" t="s">
        <v>179</v>
      </c>
      <c r="G2561" s="100">
        <v>6370</v>
      </c>
    </row>
    <row r="2562" spans="2:7">
      <c r="B2562" s="118" t="s">
        <v>2803</v>
      </c>
      <c r="C2562" s="119">
        <v>8342</v>
      </c>
      <c r="E2562" s="96" t="s">
        <v>2006</v>
      </c>
      <c r="F2562" s="96" t="s">
        <v>179</v>
      </c>
      <c r="G2562" s="100">
        <v>6052</v>
      </c>
    </row>
    <row r="2563" spans="2:7">
      <c r="B2563" s="118" t="s">
        <v>2804</v>
      </c>
      <c r="C2563" s="119">
        <v>8907</v>
      </c>
      <c r="E2563" s="96" t="s">
        <v>2007</v>
      </c>
      <c r="F2563" s="96" t="s">
        <v>179</v>
      </c>
      <c r="G2563" s="100">
        <v>6374</v>
      </c>
    </row>
    <row r="2564" spans="2:7">
      <c r="B2564" s="118" t="s">
        <v>2805</v>
      </c>
      <c r="C2564" s="119">
        <v>8620</v>
      </c>
      <c r="E2564" s="96" t="s">
        <v>2008</v>
      </c>
      <c r="F2564" s="96" t="s">
        <v>179</v>
      </c>
      <c r="G2564" s="100">
        <v>6373</v>
      </c>
    </row>
    <row r="2565" spans="2:7">
      <c r="B2565" s="118" t="s">
        <v>2805</v>
      </c>
      <c r="C2565" s="119">
        <v>8623</v>
      </c>
      <c r="E2565" s="96" t="s">
        <v>2009</v>
      </c>
      <c r="F2565" s="96" t="s">
        <v>179</v>
      </c>
      <c r="G2565" s="100">
        <v>6362</v>
      </c>
    </row>
    <row r="2566" spans="2:7">
      <c r="B2566" s="118" t="s">
        <v>2805</v>
      </c>
      <c r="C2566" s="119">
        <v>8623</v>
      </c>
      <c r="E2566" s="96" t="s">
        <v>2010</v>
      </c>
      <c r="F2566" s="96" t="s">
        <v>179</v>
      </c>
      <c r="G2566" s="100">
        <v>6375</v>
      </c>
    </row>
    <row r="2567" spans="2:7">
      <c r="B2567" s="118" t="s">
        <v>1726</v>
      </c>
      <c r="C2567" s="119">
        <v>8542</v>
      </c>
      <c r="E2567" s="96" t="s">
        <v>2011</v>
      </c>
      <c r="F2567" s="96" t="s">
        <v>179</v>
      </c>
      <c r="G2567" s="100">
        <v>6370</v>
      </c>
    </row>
    <row r="2568" spans="2:7">
      <c r="B2568" s="118" t="s">
        <v>1726</v>
      </c>
      <c r="C2568" s="119">
        <v>8542</v>
      </c>
      <c r="E2568" s="96" t="s">
        <v>2012</v>
      </c>
      <c r="F2568" s="96" t="s">
        <v>179</v>
      </c>
      <c r="G2568" s="100">
        <v>6372</v>
      </c>
    </row>
    <row r="2569" spans="2:7">
      <c r="B2569" s="118" t="s">
        <v>2806</v>
      </c>
      <c r="C2569" s="119">
        <v>8196</v>
      </c>
      <c r="E2569" s="96" t="s">
        <v>2013</v>
      </c>
      <c r="F2569" s="96" t="s">
        <v>179</v>
      </c>
      <c r="G2569" s="100">
        <v>6386</v>
      </c>
    </row>
    <row r="2570" spans="2:7">
      <c r="B2570" s="118" t="s">
        <v>2806</v>
      </c>
      <c r="C2570" s="119">
        <v>8196</v>
      </c>
      <c r="E2570" s="96" t="s">
        <v>2014</v>
      </c>
      <c r="F2570" s="96" t="s">
        <v>179</v>
      </c>
      <c r="G2570" s="100">
        <v>6383</v>
      </c>
    </row>
    <row r="2571" spans="2:7">
      <c r="B2571" s="118" t="s">
        <v>1785</v>
      </c>
      <c r="C2571" s="119">
        <v>8492</v>
      </c>
      <c r="E2571" s="96" t="s">
        <v>2015</v>
      </c>
      <c r="F2571" s="96" t="s">
        <v>179</v>
      </c>
      <c r="G2571" s="100">
        <v>6376</v>
      </c>
    </row>
    <row r="2572" spans="2:7">
      <c r="B2572" s="118" t="s">
        <v>1785</v>
      </c>
      <c r="C2572" s="119">
        <v>8492</v>
      </c>
      <c r="E2572" s="96" t="s">
        <v>2016</v>
      </c>
      <c r="F2572" s="96" t="s">
        <v>2017</v>
      </c>
      <c r="G2572" s="100">
        <v>6060</v>
      </c>
    </row>
    <row r="2573" spans="2:7">
      <c r="B2573" s="118" t="s">
        <v>1811</v>
      </c>
      <c r="C2573" s="119">
        <v>8489</v>
      </c>
      <c r="E2573" s="96" t="s">
        <v>2018</v>
      </c>
      <c r="F2573" s="96" t="s">
        <v>2017</v>
      </c>
      <c r="G2573" s="100">
        <v>6064</v>
      </c>
    </row>
    <row r="2574" spans="2:7">
      <c r="B2574" s="118" t="s">
        <v>2807</v>
      </c>
      <c r="C2574" s="119">
        <v>8465</v>
      </c>
      <c r="E2574" s="96" t="s">
        <v>2019</v>
      </c>
      <c r="F2574" s="96" t="s">
        <v>2017</v>
      </c>
      <c r="G2574" s="100">
        <v>6055</v>
      </c>
    </row>
    <row r="2575" spans="2:7">
      <c r="B2575" s="118" t="s">
        <v>2808</v>
      </c>
      <c r="C2575" s="119">
        <v>8525</v>
      </c>
      <c r="E2575" s="96" t="s">
        <v>2020</v>
      </c>
      <c r="F2575" s="96" t="s">
        <v>2017</v>
      </c>
      <c r="G2575" s="100">
        <v>6072</v>
      </c>
    </row>
    <row r="2576" spans="2:7">
      <c r="B2576" s="118" t="s">
        <v>2809</v>
      </c>
      <c r="C2576" s="119">
        <v>8175</v>
      </c>
      <c r="E2576" s="96" t="s">
        <v>2021</v>
      </c>
      <c r="F2576" s="96" t="s">
        <v>2017</v>
      </c>
      <c r="G2576" s="100">
        <v>6390</v>
      </c>
    </row>
    <row r="2577" spans="2:7">
      <c r="B2577" s="118" t="s">
        <v>1751</v>
      </c>
      <c r="C2577" s="119">
        <v>8185</v>
      </c>
      <c r="E2577" s="96" t="s">
        <v>2022</v>
      </c>
      <c r="F2577" s="96" t="s">
        <v>2017</v>
      </c>
      <c r="G2577" s="100">
        <v>6074</v>
      </c>
    </row>
    <row r="2578" spans="2:7">
      <c r="B2578" s="118" t="s">
        <v>2810</v>
      </c>
      <c r="C2578" s="119">
        <v>8312</v>
      </c>
      <c r="E2578" s="96" t="s">
        <v>2023</v>
      </c>
      <c r="F2578" s="96" t="s">
        <v>2017</v>
      </c>
      <c r="G2578" s="100">
        <v>6078</v>
      </c>
    </row>
    <row r="2579" spans="2:7">
      <c r="B2579" s="118" t="s">
        <v>1676</v>
      </c>
      <c r="C2579" s="119">
        <v>8405</v>
      </c>
      <c r="E2579" s="96" t="s">
        <v>2024</v>
      </c>
      <c r="F2579" s="96" t="s">
        <v>2025</v>
      </c>
      <c r="G2579" s="96"/>
    </row>
    <row r="2580" spans="2:7">
      <c r="B2580" s="118" t="s">
        <v>1676</v>
      </c>
      <c r="C2580" s="119">
        <v>8400</v>
      </c>
      <c r="E2580" s="96" t="s">
        <v>2026</v>
      </c>
      <c r="F2580" s="96" t="s">
        <v>2025</v>
      </c>
      <c r="G2580" s="100">
        <v>2540</v>
      </c>
    </row>
    <row r="2581" spans="2:7">
      <c r="B2581" s="118" t="s">
        <v>1676</v>
      </c>
      <c r="C2581" s="119">
        <v>8404</v>
      </c>
      <c r="E2581" s="96" t="s">
        <v>169</v>
      </c>
      <c r="F2581" s="96" t="s">
        <v>2025</v>
      </c>
      <c r="G2581" s="100">
        <v>4500</v>
      </c>
    </row>
    <row r="2582" spans="2:7">
      <c r="B2582" s="118" t="s">
        <v>1676</v>
      </c>
      <c r="C2582" s="119">
        <v>8405</v>
      </c>
      <c r="E2582" s="96" t="s">
        <v>2027</v>
      </c>
      <c r="F2582" s="96" t="s">
        <v>2025</v>
      </c>
      <c r="G2582" s="100">
        <v>4528</v>
      </c>
    </row>
    <row r="2583" spans="2:7">
      <c r="B2583" s="118" t="s">
        <v>1676</v>
      </c>
      <c r="C2583" s="119">
        <v>8406</v>
      </c>
      <c r="E2583" s="96" t="s">
        <v>2028</v>
      </c>
      <c r="F2583" s="96" t="s">
        <v>2025</v>
      </c>
      <c r="G2583" s="100">
        <v>4562</v>
      </c>
    </row>
    <row r="2584" spans="2:7">
      <c r="B2584" s="118" t="s">
        <v>1676</v>
      </c>
      <c r="C2584" s="119">
        <v>8408</v>
      </c>
      <c r="E2584" s="96" t="s">
        <v>2029</v>
      </c>
      <c r="F2584" s="96" t="s">
        <v>2025</v>
      </c>
      <c r="G2584" s="100">
        <v>4143</v>
      </c>
    </row>
    <row r="2585" spans="2:7">
      <c r="B2585" s="118" t="s">
        <v>1676</v>
      </c>
      <c r="C2585" s="119">
        <v>8409</v>
      </c>
      <c r="E2585" s="96" t="s">
        <v>2030</v>
      </c>
      <c r="F2585" s="96" t="s">
        <v>2025</v>
      </c>
      <c r="G2585" s="100">
        <v>4632</v>
      </c>
    </row>
    <row r="2586" spans="2:7">
      <c r="B2586" s="118" t="s">
        <v>2811</v>
      </c>
      <c r="C2586" s="119">
        <v>8633</v>
      </c>
      <c r="E2586" s="96" t="s">
        <v>2031</v>
      </c>
      <c r="F2586" s="96" t="s">
        <v>2025</v>
      </c>
      <c r="G2586" s="100">
        <v>4552</v>
      </c>
    </row>
    <row r="2587" spans="2:7">
      <c r="B2587" s="118" t="s">
        <v>2812</v>
      </c>
      <c r="C2587" s="119">
        <v>8487</v>
      </c>
      <c r="E2587" s="96" t="s">
        <v>2032</v>
      </c>
      <c r="F2587" s="96" t="s">
        <v>2025</v>
      </c>
      <c r="G2587" s="100">
        <v>4702</v>
      </c>
    </row>
    <row r="2588" spans="2:7">
      <c r="B2588" s="118" t="s">
        <v>2495</v>
      </c>
      <c r="C2588" s="119">
        <v>8125</v>
      </c>
      <c r="E2588" s="96" t="s">
        <v>2033</v>
      </c>
      <c r="F2588" s="96" t="s">
        <v>2025</v>
      </c>
      <c r="G2588" s="100">
        <v>4710</v>
      </c>
    </row>
    <row r="2589" spans="2:7">
      <c r="B2589" s="118" t="s">
        <v>2495</v>
      </c>
      <c r="C2589" s="119">
        <v>8125</v>
      </c>
      <c r="E2589" s="96" t="s">
        <v>2034</v>
      </c>
      <c r="F2589" s="96" t="s">
        <v>2025</v>
      </c>
      <c r="G2589" s="100">
        <v>4512</v>
      </c>
    </row>
    <row r="2590" spans="2:7">
      <c r="B2590" s="118" t="s">
        <v>1698</v>
      </c>
      <c r="C2590" s="119">
        <v>8702</v>
      </c>
      <c r="E2590" s="96" t="s">
        <v>2035</v>
      </c>
      <c r="F2590" s="96" t="s">
        <v>2025</v>
      </c>
      <c r="G2590" s="100">
        <v>4563</v>
      </c>
    </row>
    <row r="2591" spans="2:7">
      <c r="B2591" s="118" t="s">
        <v>1742</v>
      </c>
      <c r="C2591" s="119">
        <v>8126</v>
      </c>
      <c r="E2591" s="96" t="s">
        <v>2036</v>
      </c>
      <c r="F2591" s="96" t="s">
        <v>2025</v>
      </c>
      <c r="G2591" s="100">
        <v>4612</v>
      </c>
    </row>
    <row r="2592" spans="2:7">
      <c r="B2592" s="118" t="s">
        <v>162</v>
      </c>
      <c r="C2592" s="119">
        <v>8052</v>
      </c>
      <c r="E2592" s="96" t="s">
        <v>2037</v>
      </c>
      <c r="F2592" s="96" t="s">
        <v>2025</v>
      </c>
      <c r="G2592" s="100">
        <v>4614</v>
      </c>
    </row>
    <row r="2593" spans="2:7">
      <c r="B2593" s="118" t="s">
        <v>162</v>
      </c>
      <c r="C2593" s="119">
        <v>8052</v>
      </c>
      <c r="E2593" s="96" t="s">
        <v>2038</v>
      </c>
      <c r="F2593" s="96" t="s">
        <v>2025</v>
      </c>
      <c r="G2593" s="100">
        <v>4657</v>
      </c>
    </row>
    <row r="2594" spans="2:7">
      <c r="B2594" s="118" t="s">
        <v>162</v>
      </c>
      <c r="C2594" s="119">
        <v>8041</v>
      </c>
      <c r="E2594" s="96" t="s">
        <v>2039</v>
      </c>
      <c r="F2594" s="96" t="s">
        <v>2025</v>
      </c>
      <c r="G2594" s="100">
        <v>2544</v>
      </c>
    </row>
    <row r="2595" spans="2:7">
      <c r="B2595" s="118" t="s">
        <v>162</v>
      </c>
      <c r="C2595" s="119">
        <v>8051</v>
      </c>
      <c r="E2595" s="96" t="s">
        <v>2040</v>
      </c>
      <c r="F2595" s="96" t="s">
        <v>2025</v>
      </c>
      <c r="G2595" s="100">
        <v>5012</v>
      </c>
    </row>
    <row r="2596" spans="2:7">
      <c r="B2596" s="118" t="s">
        <v>162</v>
      </c>
      <c r="C2596" s="119">
        <v>8001</v>
      </c>
      <c r="E2596" s="96" t="s">
        <v>2041</v>
      </c>
      <c r="F2596" s="96" t="s">
        <v>2025</v>
      </c>
      <c r="G2596" s="100">
        <v>4654</v>
      </c>
    </row>
    <row r="2597" spans="2:7">
      <c r="B2597" s="118" t="s">
        <v>162</v>
      </c>
      <c r="C2597" s="119">
        <v>8002</v>
      </c>
      <c r="E2597" s="96" t="s">
        <v>2042</v>
      </c>
      <c r="F2597" s="96" t="s">
        <v>2025</v>
      </c>
      <c r="G2597" s="100">
        <v>5013</v>
      </c>
    </row>
    <row r="2598" spans="2:7">
      <c r="B2598" s="118" t="s">
        <v>162</v>
      </c>
      <c r="C2598" s="119">
        <v>8003</v>
      </c>
      <c r="E2598" s="96" t="s">
        <v>2043</v>
      </c>
      <c r="F2598" s="96" t="s">
        <v>2025</v>
      </c>
      <c r="G2598" s="100">
        <v>4226</v>
      </c>
    </row>
    <row r="2599" spans="2:7">
      <c r="B2599" s="118" t="s">
        <v>162</v>
      </c>
      <c r="C2599" s="119">
        <v>8004</v>
      </c>
      <c r="E2599" s="96" t="s">
        <v>2044</v>
      </c>
      <c r="F2599" s="96" t="s">
        <v>2025</v>
      </c>
      <c r="G2599" s="100">
        <v>4513</v>
      </c>
    </row>
    <row r="2600" spans="2:7">
      <c r="B2600" s="118" t="s">
        <v>162</v>
      </c>
      <c r="C2600" s="119">
        <v>8005</v>
      </c>
      <c r="E2600" s="96" t="s">
        <v>2045</v>
      </c>
      <c r="F2600" s="96" t="s">
        <v>2025</v>
      </c>
      <c r="G2600" s="100">
        <v>5018</v>
      </c>
    </row>
    <row r="2601" spans="2:7">
      <c r="B2601" s="118" t="s">
        <v>162</v>
      </c>
      <c r="C2601" s="119">
        <v>8006</v>
      </c>
      <c r="E2601" s="96" t="s">
        <v>2046</v>
      </c>
      <c r="F2601" s="96" t="s">
        <v>2025</v>
      </c>
      <c r="G2601" s="100">
        <v>4622</v>
      </c>
    </row>
    <row r="2602" spans="2:7">
      <c r="B2602" s="118" t="s">
        <v>162</v>
      </c>
      <c r="C2602" s="119">
        <v>8008</v>
      </c>
      <c r="E2602" s="96" t="s">
        <v>2047</v>
      </c>
      <c r="F2602" s="96" t="s">
        <v>2025</v>
      </c>
      <c r="G2602" s="100">
        <v>4542</v>
      </c>
    </row>
    <row r="2603" spans="2:7">
      <c r="B2603" s="118" t="s">
        <v>162</v>
      </c>
      <c r="C2603" s="119">
        <v>8032</v>
      </c>
      <c r="E2603" s="96" t="s">
        <v>2048</v>
      </c>
      <c r="F2603" s="96" t="s">
        <v>2025</v>
      </c>
      <c r="G2603" s="100">
        <v>2545</v>
      </c>
    </row>
    <row r="2604" spans="2:7">
      <c r="B2604" s="118" t="s">
        <v>162</v>
      </c>
      <c r="C2604" s="119">
        <v>8037</v>
      </c>
      <c r="E2604" s="96" t="s">
        <v>2049</v>
      </c>
      <c r="F2604" s="96" t="s">
        <v>2025</v>
      </c>
      <c r="G2604" s="100">
        <v>4616</v>
      </c>
    </row>
    <row r="2605" spans="2:7">
      <c r="B2605" s="118" t="s">
        <v>162</v>
      </c>
      <c r="C2605" s="119">
        <v>8038</v>
      </c>
      <c r="E2605" s="96" t="s">
        <v>2050</v>
      </c>
      <c r="F2605" s="96" t="s">
        <v>2025</v>
      </c>
      <c r="G2605" s="100">
        <v>4553</v>
      </c>
    </row>
    <row r="2606" spans="2:7">
      <c r="B2606" s="118" t="s">
        <v>162</v>
      </c>
      <c r="C2606" s="119">
        <v>8041</v>
      </c>
      <c r="E2606" s="96" t="s">
        <v>2051</v>
      </c>
      <c r="F2606" s="96" t="s">
        <v>2025</v>
      </c>
      <c r="G2606" s="100">
        <v>4114</v>
      </c>
    </row>
    <row r="2607" spans="2:7">
      <c r="B2607" s="118" t="s">
        <v>162</v>
      </c>
      <c r="C2607" s="119">
        <v>8044</v>
      </c>
      <c r="E2607" s="96" t="s">
        <v>2052</v>
      </c>
      <c r="F2607" s="96" t="s">
        <v>2025</v>
      </c>
      <c r="G2607" s="100">
        <v>4573</v>
      </c>
    </row>
    <row r="2608" spans="2:7">
      <c r="B2608" s="118" t="s">
        <v>162</v>
      </c>
      <c r="C2608" s="119">
        <v>8045</v>
      </c>
      <c r="E2608" s="96" t="s">
        <v>2053</v>
      </c>
      <c r="F2608" s="96" t="s">
        <v>2025</v>
      </c>
      <c r="G2608" s="100">
        <v>4658</v>
      </c>
    </row>
    <row r="2609" spans="2:7">
      <c r="B2609" s="118" t="s">
        <v>162</v>
      </c>
      <c r="C2609" s="119">
        <v>8046</v>
      </c>
      <c r="E2609" s="96" t="s">
        <v>2054</v>
      </c>
      <c r="F2609" s="96" t="s">
        <v>2025</v>
      </c>
      <c r="G2609" s="100">
        <v>5014</v>
      </c>
    </row>
    <row r="2610" spans="2:7">
      <c r="B2610" s="118" t="s">
        <v>162</v>
      </c>
      <c r="C2610" s="119">
        <v>8047</v>
      </c>
      <c r="E2610" s="96" t="s">
        <v>2055</v>
      </c>
      <c r="F2610" s="96" t="s">
        <v>2025</v>
      </c>
      <c r="G2610" s="100">
        <v>4583</v>
      </c>
    </row>
    <row r="2611" spans="2:7">
      <c r="B2611" s="118" t="s">
        <v>162</v>
      </c>
      <c r="C2611" s="119">
        <v>8048</v>
      </c>
      <c r="E2611" s="96" t="s">
        <v>2056</v>
      </c>
      <c r="F2611" s="96" t="s">
        <v>2025</v>
      </c>
      <c r="G2611" s="100">
        <v>4717</v>
      </c>
    </row>
    <row r="2612" spans="2:7">
      <c r="B2612" s="118" t="s">
        <v>162</v>
      </c>
      <c r="C2612" s="119">
        <v>8049</v>
      </c>
      <c r="E2612" s="96" t="s">
        <v>2057</v>
      </c>
      <c r="F2612" s="96" t="s">
        <v>2025</v>
      </c>
      <c r="G2612" s="100">
        <v>4533</v>
      </c>
    </row>
    <row r="2613" spans="2:7">
      <c r="B2613" s="118" t="s">
        <v>162</v>
      </c>
      <c r="C2613" s="119">
        <v>8050</v>
      </c>
      <c r="E2613" s="96" t="s">
        <v>2058</v>
      </c>
      <c r="F2613" s="96" t="s">
        <v>2025</v>
      </c>
      <c r="G2613" s="100">
        <v>4227</v>
      </c>
    </row>
    <row r="2614" spans="2:7">
      <c r="B2614" s="118" t="s">
        <v>162</v>
      </c>
      <c r="C2614" s="119">
        <v>8051</v>
      </c>
      <c r="E2614" s="96" t="s">
        <v>2059</v>
      </c>
      <c r="F2614" s="96" t="s">
        <v>2025</v>
      </c>
      <c r="G2614" s="100">
        <v>4625</v>
      </c>
    </row>
    <row r="2615" spans="2:7">
      <c r="B2615" s="118" t="s">
        <v>162</v>
      </c>
      <c r="C2615" s="119">
        <v>8052</v>
      </c>
      <c r="E2615" s="96" t="s">
        <v>2060</v>
      </c>
      <c r="F2615" s="96" t="s">
        <v>2025</v>
      </c>
      <c r="G2615" s="100">
        <v>4543</v>
      </c>
    </row>
    <row r="2616" spans="2:7">
      <c r="B2616" s="118" t="s">
        <v>162</v>
      </c>
      <c r="C2616" s="119">
        <v>8053</v>
      </c>
      <c r="E2616" s="96" t="s">
        <v>2061</v>
      </c>
      <c r="F2616" s="96" t="s">
        <v>2025</v>
      </c>
      <c r="G2616" s="100">
        <v>4653</v>
      </c>
    </row>
    <row r="2617" spans="2:7">
      <c r="B2617" s="118" t="s">
        <v>162</v>
      </c>
      <c r="C2617" s="119">
        <v>8055</v>
      </c>
      <c r="E2617" s="96" t="s">
        <v>2062</v>
      </c>
      <c r="F2617" s="96" t="s">
        <v>2025</v>
      </c>
      <c r="G2617" s="100">
        <v>4628</v>
      </c>
    </row>
    <row r="2618" spans="2:7">
      <c r="B2618" s="118" t="s">
        <v>162</v>
      </c>
      <c r="C2618" s="119">
        <v>8057</v>
      </c>
      <c r="E2618" s="96" t="s">
        <v>2063</v>
      </c>
      <c r="F2618" s="96" t="s">
        <v>2025</v>
      </c>
      <c r="G2618" s="100">
        <v>4623</v>
      </c>
    </row>
    <row r="2619" spans="2:7">
      <c r="B2619" s="118" t="s">
        <v>162</v>
      </c>
      <c r="C2619" s="119">
        <v>8064</v>
      </c>
      <c r="E2619" s="96" t="s">
        <v>2064</v>
      </c>
      <c r="F2619" s="96" t="s">
        <v>2025</v>
      </c>
      <c r="G2619" s="100">
        <v>4565</v>
      </c>
    </row>
    <row r="2620" spans="2:7">
      <c r="B2620" s="118" t="s">
        <v>2813</v>
      </c>
      <c r="C2620" s="119">
        <v>8192</v>
      </c>
      <c r="E2620" s="96" t="s">
        <v>2065</v>
      </c>
      <c r="F2620" s="96" t="s">
        <v>2025</v>
      </c>
      <c r="G2620" s="100">
        <v>4208</v>
      </c>
    </row>
    <row r="2621" spans="2:7">
      <c r="B2621" s="118" t="s">
        <v>2814</v>
      </c>
      <c r="C2621" s="119">
        <v>8909</v>
      </c>
      <c r="E2621" s="96" t="s">
        <v>2066</v>
      </c>
      <c r="F2621" s="96" t="s">
        <v>2025</v>
      </c>
      <c r="G2621" s="100">
        <v>4652</v>
      </c>
    </row>
    <row r="2622" spans="2:7">
      <c r="B2622" s="118" t="s">
        <v>2192</v>
      </c>
      <c r="C2622" s="119">
        <v>3250</v>
      </c>
      <c r="E2622" s="96" t="s">
        <v>2067</v>
      </c>
      <c r="F2622" s="96" t="s">
        <v>2025</v>
      </c>
      <c r="G2622" s="100">
        <v>4703</v>
      </c>
    </row>
    <row r="2623" spans="2:7">
      <c r="B2623" s="118" t="s">
        <v>2815</v>
      </c>
      <c r="C2623" s="119">
        <v>3267</v>
      </c>
      <c r="E2623" s="96" t="s">
        <v>2068</v>
      </c>
      <c r="F2623" s="96" t="s">
        <v>2025</v>
      </c>
      <c r="G2623" s="100">
        <v>4629</v>
      </c>
    </row>
    <row r="2624" spans="2:7">
      <c r="B2624" s="118" t="s">
        <v>2229</v>
      </c>
      <c r="C2624" s="119">
        <v>3270</v>
      </c>
      <c r="E2624" s="96" t="s">
        <v>2069</v>
      </c>
      <c r="F2624" s="96" t="s">
        <v>2025</v>
      </c>
      <c r="G2624" s="100">
        <v>4712</v>
      </c>
    </row>
    <row r="2625" spans="2:7">
      <c r="B2625" s="118" t="s">
        <v>2575</v>
      </c>
      <c r="C2625" s="119">
        <v>3273</v>
      </c>
      <c r="E2625" s="96" t="s">
        <v>2070</v>
      </c>
      <c r="F2625" s="96" t="s">
        <v>2025</v>
      </c>
      <c r="G2625" s="100">
        <v>4515</v>
      </c>
    </row>
    <row r="2626" spans="2:7">
      <c r="B2626" s="118" t="s">
        <v>2816</v>
      </c>
      <c r="C2626" s="119">
        <v>3282</v>
      </c>
      <c r="E2626" s="96" t="s">
        <v>2071</v>
      </c>
      <c r="F2626" s="96" t="s">
        <v>2025</v>
      </c>
      <c r="G2626" s="100">
        <v>4656</v>
      </c>
    </row>
    <row r="2627" spans="2:7">
      <c r="B2627" s="118" t="s">
        <v>2300</v>
      </c>
      <c r="C2627" s="119">
        <v>3283</v>
      </c>
      <c r="E2627" s="96" t="s">
        <v>2072</v>
      </c>
      <c r="F2627" s="96" t="s">
        <v>2025</v>
      </c>
      <c r="G2627" s="100">
        <v>4617</v>
      </c>
    </row>
    <row r="2628" spans="2:7">
      <c r="B2628" s="118" t="s">
        <v>2265</v>
      </c>
      <c r="C2628" s="119">
        <v>3257</v>
      </c>
      <c r="E2628" s="96" t="s">
        <v>2073</v>
      </c>
      <c r="F2628" s="96" t="s">
        <v>2025</v>
      </c>
      <c r="G2628" s="100">
        <v>4624</v>
      </c>
    </row>
    <row r="2629" spans="2:7">
      <c r="B2629" s="118" t="s">
        <v>2817</v>
      </c>
      <c r="C2629" s="119">
        <v>3257</v>
      </c>
      <c r="E2629" s="96" t="s">
        <v>2074</v>
      </c>
      <c r="F2629" s="96" t="s">
        <v>2025</v>
      </c>
      <c r="G2629" s="100">
        <v>4514</v>
      </c>
    </row>
    <row r="2630" spans="2:7">
      <c r="B2630" s="118" t="s">
        <v>2818</v>
      </c>
      <c r="C2630" s="119">
        <v>3262</v>
      </c>
      <c r="E2630" s="96" t="s">
        <v>2075</v>
      </c>
      <c r="F2630" s="96" t="s">
        <v>2025</v>
      </c>
      <c r="G2630" s="100">
        <v>4108</v>
      </c>
    </row>
    <row r="2631" spans="2:7">
      <c r="B2631" s="118" t="s">
        <v>2819</v>
      </c>
      <c r="C2631" s="119">
        <v>3207</v>
      </c>
      <c r="E2631" s="96" t="s">
        <v>2076</v>
      </c>
      <c r="F2631" s="96" t="s">
        <v>2025</v>
      </c>
      <c r="G2631" s="100">
        <v>4522</v>
      </c>
    </row>
    <row r="2632" spans="2:7">
      <c r="B2632" s="118" t="s">
        <v>2468</v>
      </c>
      <c r="C2632" s="119">
        <v>3226</v>
      </c>
      <c r="E2632" s="96" t="s">
        <v>2077</v>
      </c>
      <c r="F2632" s="96" t="s">
        <v>2025</v>
      </c>
      <c r="G2632" s="100">
        <v>3254</v>
      </c>
    </row>
    <row r="2633" spans="2:7">
      <c r="B2633" s="118" t="s">
        <v>2300</v>
      </c>
      <c r="C2633" s="119">
        <v>3283</v>
      </c>
      <c r="E2633" s="96" t="s">
        <v>2079</v>
      </c>
      <c r="F2633" s="96" t="s">
        <v>2025</v>
      </c>
      <c r="G2633" s="100">
        <v>4412</v>
      </c>
    </row>
    <row r="2634" spans="2:7">
      <c r="B2634" s="118" t="s">
        <v>2820</v>
      </c>
      <c r="C2634" s="119">
        <v>3283</v>
      </c>
      <c r="E2634" s="96" t="s">
        <v>2081</v>
      </c>
      <c r="F2634" s="96" t="s">
        <v>2025</v>
      </c>
      <c r="G2634" s="100">
        <v>4713</v>
      </c>
    </row>
    <row r="2635" spans="2:7">
      <c r="B2635" s="118" t="s">
        <v>2192</v>
      </c>
      <c r="C2635" s="119">
        <v>3250</v>
      </c>
      <c r="E2635" s="96" t="s">
        <v>2083</v>
      </c>
      <c r="F2635" s="96" t="s">
        <v>2025</v>
      </c>
      <c r="G2635" s="100">
        <v>4118</v>
      </c>
    </row>
    <row r="2636" spans="2:7">
      <c r="B2636" s="118" t="s">
        <v>2299</v>
      </c>
      <c r="C2636" s="119">
        <v>3252</v>
      </c>
      <c r="E2636" s="96" t="s">
        <v>2085</v>
      </c>
      <c r="F2636" s="96" t="s">
        <v>2025</v>
      </c>
      <c r="G2636" s="100">
        <v>4566</v>
      </c>
    </row>
    <row r="2637" spans="2:7">
      <c r="B2637" s="118" t="s">
        <v>2575</v>
      </c>
      <c r="C2637" s="119">
        <v>3273</v>
      </c>
      <c r="E2637" s="96" t="s">
        <v>2087</v>
      </c>
      <c r="F2637" s="96" t="s">
        <v>2025</v>
      </c>
      <c r="G2637" s="100">
        <v>4146</v>
      </c>
    </row>
    <row r="2638" spans="2:7">
      <c r="B2638" s="118" t="s">
        <v>2821</v>
      </c>
      <c r="C2638" s="119">
        <v>2557</v>
      </c>
      <c r="E2638" s="96" t="s">
        <v>2089</v>
      </c>
      <c r="F2638" s="96" t="s">
        <v>2025</v>
      </c>
      <c r="G2638" s="100">
        <v>4245</v>
      </c>
    </row>
    <row r="2639" spans="2:7">
      <c r="B2639" s="118" t="s">
        <v>2192</v>
      </c>
      <c r="C2639" s="119">
        <v>3250</v>
      </c>
      <c r="E2639" s="96" t="s">
        <v>2091</v>
      </c>
      <c r="F2639" s="96" t="s">
        <v>2025</v>
      </c>
      <c r="G2639" s="100">
        <v>4556</v>
      </c>
    </row>
    <row r="2640" spans="2:7">
      <c r="B2640" s="118" t="s">
        <v>2822</v>
      </c>
      <c r="C2640" s="119">
        <v>3292</v>
      </c>
      <c r="E2640" s="96" t="s">
        <v>2093</v>
      </c>
      <c r="F2640" s="96" t="s">
        <v>2025</v>
      </c>
      <c r="G2640" s="100">
        <v>4112</v>
      </c>
    </row>
    <row r="2641" spans="2:7">
      <c r="B2641" s="118" t="s">
        <v>2823</v>
      </c>
      <c r="C2641" s="119">
        <v>3042</v>
      </c>
      <c r="E2641" s="96" t="s">
        <v>2095</v>
      </c>
      <c r="F2641" s="96" t="s">
        <v>2025</v>
      </c>
      <c r="G2641" s="100">
        <v>4626</v>
      </c>
    </row>
    <row r="2642" spans="2:7">
      <c r="B2642" s="118" t="s">
        <v>2283</v>
      </c>
      <c r="C2642" s="119">
        <v>3045</v>
      </c>
      <c r="E2642" s="96" t="s">
        <v>2097</v>
      </c>
      <c r="F2642" s="96" t="s">
        <v>2025</v>
      </c>
      <c r="G2642" s="100">
        <v>4524</v>
      </c>
    </row>
    <row r="2643" spans="2:7">
      <c r="B2643" s="118" t="s">
        <v>2824</v>
      </c>
      <c r="C2643" s="119">
        <v>3046</v>
      </c>
      <c r="E2643" s="96" t="s">
        <v>2099</v>
      </c>
      <c r="F2643" s="96" t="s">
        <v>2025</v>
      </c>
      <c r="G2643" s="100">
        <v>4564</v>
      </c>
    </row>
    <row r="2644" spans="2:7">
      <c r="B2644" s="118" t="s">
        <v>2825</v>
      </c>
      <c r="C2644" s="119">
        <v>3036</v>
      </c>
      <c r="E2644" s="96" t="s">
        <v>2101</v>
      </c>
      <c r="F2644" s="96" t="s">
        <v>2025</v>
      </c>
      <c r="G2644" s="100">
        <v>3253</v>
      </c>
    </row>
    <row r="2645" spans="2:7">
      <c r="B2645" s="118" t="s">
        <v>2826</v>
      </c>
      <c r="C2645" s="119">
        <v>3271</v>
      </c>
      <c r="E2645" s="96" t="s">
        <v>2103</v>
      </c>
      <c r="F2645" s="96" t="s">
        <v>2025</v>
      </c>
      <c r="G2645" s="100">
        <v>4716</v>
      </c>
    </row>
    <row r="2646" spans="2:7">
      <c r="B2646" s="118" t="s">
        <v>2827</v>
      </c>
      <c r="C2646" s="119">
        <v>3053</v>
      </c>
      <c r="E2646" s="96" t="s">
        <v>2105</v>
      </c>
      <c r="F2646" s="96" t="s">
        <v>2025</v>
      </c>
      <c r="G2646" s="100">
        <v>4655</v>
      </c>
    </row>
    <row r="2647" spans="2:7">
      <c r="B2647" s="118" t="s">
        <v>2828</v>
      </c>
      <c r="C2647" s="119">
        <v>3251</v>
      </c>
      <c r="E2647" s="96" t="s">
        <v>2107</v>
      </c>
      <c r="F2647" s="96" t="s">
        <v>2025</v>
      </c>
      <c r="G2647" s="100">
        <v>4574</v>
      </c>
    </row>
    <row r="2648" spans="2:7">
      <c r="B2648" s="118" t="s">
        <v>2829</v>
      </c>
      <c r="C2648" s="119">
        <v>3251</v>
      </c>
      <c r="E2648" s="96" t="s">
        <v>2109</v>
      </c>
      <c r="F2648" s="96" t="s">
        <v>2025</v>
      </c>
      <c r="G2648" s="100">
        <v>4413</v>
      </c>
    </row>
    <row r="2649" spans="2:7">
      <c r="B2649" s="118" t="s">
        <v>2077</v>
      </c>
      <c r="C2649" s="119">
        <v>3254</v>
      </c>
      <c r="E2649" s="96" t="s">
        <v>2111</v>
      </c>
      <c r="F2649" s="96" t="s">
        <v>2025</v>
      </c>
      <c r="G2649" s="100">
        <v>4206</v>
      </c>
    </row>
    <row r="2650" spans="2:7">
      <c r="B2650" s="118" t="s">
        <v>2830</v>
      </c>
      <c r="C2650" s="119">
        <v>3255</v>
      </c>
      <c r="E2650" s="96" t="s">
        <v>2113</v>
      </c>
      <c r="F2650" s="96" t="s">
        <v>2025</v>
      </c>
      <c r="G2650" s="100">
        <v>4532</v>
      </c>
    </row>
    <row r="2651" spans="2:7">
      <c r="B2651" s="118" t="s">
        <v>2831</v>
      </c>
      <c r="C2651" s="119">
        <v>3256</v>
      </c>
      <c r="E2651" s="96" t="s">
        <v>2115</v>
      </c>
      <c r="F2651" s="96" t="s">
        <v>2025</v>
      </c>
      <c r="G2651" s="100">
        <v>4534</v>
      </c>
    </row>
    <row r="2652" spans="2:7">
      <c r="B2652" s="118" t="s">
        <v>2832</v>
      </c>
      <c r="C2652" s="119">
        <v>3256</v>
      </c>
      <c r="E2652" s="96" t="s">
        <v>2117</v>
      </c>
      <c r="F2652" s="96" t="s">
        <v>2025</v>
      </c>
      <c r="G2652" s="100">
        <v>4532</v>
      </c>
    </row>
    <row r="2653" spans="2:7">
      <c r="B2653" s="118" t="s">
        <v>2833</v>
      </c>
      <c r="C2653" s="119">
        <v>3256</v>
      </c>
      <c r="E2653" s="96" t="s">
        <v>2119</v>
      </c>
      <c r="F2653" s="96" t="s">
        <v>2025</v>
      </c>
      <c r="G2653" s="100">
        <v>4116</v>
      </c>
    </row>
    <row r="2654" spans="2:7">
      <c r="B2654" s="118" t="s">
        <v>2200</v>
      </c>
      <c r="C2654" s="119">
        <v>3053</v>
      </c>
      <c r="E2654" s="96" t="s">
        <v>2121</v>
      </c>
      <c r="F2654" s="96" t="s">
        <v>2025</v>
      </c>
      <c r="G2654" s="100">
        <v>4204</v>
      </c>
    </row>
    <row r="2655" spans="2:7">
      <c r="B2655" s="118" t="s">
        <v>2246</v>
      </c>
      <c r="C2655" s="119">
        <v>3054</v>
      </c>
      <c r="E2655" s="96" t="s">
        <v>2123</v>
      </c>
      <c r="F2655" s="96" t="s">
        <v>2025</v>
      </c>
      <c r="G2655" s="100">
        <v>4228</v>
      </c>
    </row>
    <row r="2656" spans="2:7">
      <c r="B2656" s="118" t="s">
        <v>2834</v>
      </c>
      <c r="C2656" s="119">
        <v>3035</v>
      </c>
      <c r="E2656" s="96" t="s">
        <v>2125</v>
      </c>
      <c r="F2656" s="96" t="s">
        <v>2025</v>
      </c>
      <c r="G2656" s="100">
        <v>4145</v>
      </c>
    </row>
    <row r="2657" spans="2:7">
      <c r="B2657" s="118" t="s">
        <v>2835</v>
      </c>
      <c r="C2657" s="119">
        <v>3266</v>
      </c>
      <c r="E2657" s="96" t="s">
        <v>2127</v>
      </c>
      <c r="F2657" s="96" t="s">
        <v>2025</v>
      </c>
      <c r="G2657" s="100">
        <v>4567</v>
      </c>
    </row>
    <row r="2658" spans="2:7">
      <c r="B2658" s="118" t="s">
        <v>2815</v>
      </c>
      <c r="C2658" s="119">
        <v>3267</v>
      </c>
      <c r="E2658" s="96" t="s">
        <v>2129</v>
      </c>
      <c r="F2658" s="96" t="s">
        <v>2025</v>
      </c>
      <c r="G2658" s="100">
        <v>4557</v>
      </c>
    </row>
    <row r="2659" spans="2:7">
      <c r="B2659" s="118" t="s">
        <v>2836</v>
      </c>
      <c r="C2659" s="119">
        <v>3268</v>
      </c>
      <c r="E2659" s="96" t="s">
        <v>2130</v>
      </c>
      <c r="F2659" s="96" t="s">
        <v>2025</v>
      </c>
      <c r="G2659" s="100">
        <v>4554</v>
      </c>
    </row>
    <row r="2660" spans="2:7">
      <c r="B2660" s="118" t="s">
        <v>2229</v>
      </c>
      <c r="C2660" s="119">
        <v>3270</v>
      </c>
      <c r="E2660" s="96" t="s">
        <v>2132</v>
      </c>
      <c r="F2660" s="96" t="s">
        <v>2025</v>
      </c>
      <c r="G2660" s="100">
        <v>4562</v>
      </c>
    </row>
    <row r="2661" spans="2:7">
      <c r="B2661" s="118" t="s">
        <v>2230</v>
      </c>
      <c r="C2661" s="119">
        <v>4912</v>
      </c>
      <c r="E2661" s="96" t="s">
        <v>2134</v>
      </c>
      <c r="F2661" s="96" t="s">
        <v>2025</v>
      </c>
      <c r="G2661" s="100">
        <v>4224</v>
      </c>
    </row>
    <row r="2662" spans="2:7">
      <c r="B2662" s="118" t="s">
        <v>2837</v>
      </c>
      <c r="C2662" s="119">
        <v>4922</v>
      </c>
      <c r="E2662" s="96" t="s">
        <v>2136</v>
      </c>
      <c r="F2662" s="96" t="s">
        <v>2025</v>
      </c>
      <c r="G2662" s="100">
        <v>4571</v>
      </c>
    </row>
    <row r="2663" spans="2:7">
      <c r="B2663" s="118" t="s">
        <v>2331</v>
      </c>
      <c r="C2663" s="119">
        <v>4938</v>
      </c>
      <c r="E2663" s="96" t="s">
        <v>2137</v>
      </c>
      <c r="F2663" s="96" t="s">
        <v>2025</v>
      </c>
      <c r="G2663" s="100">
        <v>4618</v>
      </c>
    </row>
    <row r="2664" spans="2:7">
      <c r="B2664" s="118" t="s">
        <v>2460</v>
      </c>
      <c r="C2664" s="119">
        <v>4944</v>
      </c>
      <c r="E2664" s="96" t="s">
        <v>2139</v>
      </c>
      <c r="F2664" s="96" t="s">
        <v>2025</v>
      </c>
      <c r="G2664" s="100">
        <v>4535</v>
      </c>
    </row>
    <row r="2665" spans="2:7">
      <c r="B2665" s="118" t="s">
        <v>2230</v>
      </c>
      <c r="C2665" s="119">
        <v>4912</v>
      </c>
      <c r="E2665" s="96" t="s">
        <v>2141</v>
      </c>
      <c r="F2665" s="96" t="s">
        <v>2025</v>
      </c>
      <c r="G2665" s="100">
        <v>4557</v>
      </c>
    </row>
    <row r="2666" spans="2:7">
      <c r="B2666" s="118" t="s">
        <v>2413</v>
      </c>
      <c r="C2666" s="119">
        <v>4913</v>
      </c>
      <c r="E2666" s="96" t="s">
        <v>2143</v>
      </c>
      <c r="F2666" s="96" t="s">
        <v>2025</v>
      </c>
      <c r="G2666" s="100">
        <v>5746</v>
      </c>
    </row>
    <row r="2667" spans="2:7">
      <c r="B2667" s="118" t="s">
        <v>2410</v>
      </c>
      <c r="C2667" s="119">
        <v>3368</v>
      </c>
      <c r="E2667" s="96" t="s">
        <v>2145</v>
      </c>
      <c r="F2667" s="96" t="s">
        <v>2025</v>
      </c>
      <c r="G2667" s="100">
        <v>4718</v>
      </c>
    </row>
    <row r="2668" spans="2:7">
      <c r="B2668" s="118" t="s">
        <v>2838</v>
      </c>
      <c r="C2668" s="119">
        <v>4917</v>
      </c>
      <c r="E2668" s="96" t="s">
        <v>2147</v>
      </c>
      <c r="F2668" s="96" t="s">
        <v>2025</v>
      </c>
      <c r="G2668" s="100">
        <v>4234</v>
      </c>
    </row>
    <row r="2669" spans="2:7">
      <c r="B2669" s="118" t="s">
        <v>2408</v>
      </c>
      <c r="C2669" s="119">
        <v>4955</v>
      </c>
      <c r="E2669" s="96" t="s">
        <v>2149</v>
      </c>
      <c r="F2669" s="96" t="s">
        <v>2025</v>
      </c>
      <c r="G2669" s="100">
        <v>4233</v>
      </c>
    </row>
    <row r="2670" spans="2:7">
      <c r="B2670" s="118" t="s">
        <v>1591</v>
      </c>
      <c r="C2670" s="119">
        <v>4900</v>
      </c>
      <c r="E2670" s="96" t="s">
        <v>2151</v>
      </c>
      <c r="F2670" s="96" t="s">
        <v>2025</v>
      </c>
      <c r="G2670" s="100">
        <v>4556</v>
      </c>
    </row>
    <row r="2671" spans="2:7">
      <c r="B2671" s="118" t="s">
        <v>1592</v>
      </c>
      <c r="C2671" s="119">
        <v>4916</v>
      </c>
      <c r="E2671" s="96" t="s">
        <v>2152</v>
      </c>
      <c r="F2671" s="96" t="s">
        <v>2025</v>
      </c>
      <c r="G2671" s="100">
        <v>4232</v>
      </c>
    </row>
    <row r="2672" spans="2:7">
      <c r="B2672" s="118" t="s">
        <v>2469</v>
      </c>
      <c r="C2672" s="119">
        <v>4924</v>
      </c>
      <c r="E2672" s="96" t="s">
        <v>2154</v>
      </c>
      <c r="F2672" s="96" t="s">
        <v>2025</v>
      </c>
      <c r="G2672" s="100">
        <v>4715</v>
      </c>
    </row>
    <row r="2673" spans="2:7">
      <c r="B2673" s="118" t="s">
        <v>2410</v>
      </c>
      <c r="C2673" s="119">
        <v>3368</v>
      </c>
      <c r="E2673" s="96" t="s">
        <v>2156</v>
      </c>
      <c r="F2673" s="96" t="s">
        <v>2025</v>
      </c>
      <c r="G2673" s="100">
        <v>4715</v>
      </c>
    </row>
    <row r="2674" spans="2:7">
      <c r="B2674" s="118" t="s">
        <v>2281</v>
      </c>
      <c r="C2674" s="119">
        <v>4932</v>
      </c>
      <c r="E2674" s="96" t="s">
        <v>2158</v>
      </c>
      <c r="F2674" s="96" t="s">
        <v>2025</v>
      </c>
      <c r="G2674" s="100">
        <v>4468</v>
      </c>
    </row>
    <row r="2675" spans="2:7">
      <c r="B2675" s="118" t="s">
        <v>2591</v>
      </c>
      <c r="C2675" s="119">
        <v>4919</v>
      </c>
      <c r="E2675" s="96" t="s">
        <v>2160</v>
      </c>
      <c r="F2675" s="96" t="s">
        <v>2025</v>
      </c>
      <c r="G2675" s="100">
        <v>4247</v>
      </c>
    </row>
    <row r="2676" spans="2:7">
      <c r="B2676" s="118" t="s">
        <v>2839</v>
      </c>
      <c r="C2676" s="119">
        <v>4932</v>
      </c>
      <c r="E2676" s="96" t="s">
        <v>2162</v>
      </c>
      <c r="F2676" s="96" t="s">
        <v>2025</v>
      </c>
      <c r="G2676" s="100">
        <v>4634</v>
      </c>
    </row>
    <row r="2677" spans="2:7">
      <c r="B2677" s="118" t="s">
        <v>2257</v>
      </c>
      <c r="C2677" s="119">
        <v>4934</v>
      </c>
      <c r="E2677" s="96" t="s">
        <v>2164</v>
      </c>
      <c r="F2677" s="96" t="s">
        <v>2025</v>
      </c>
      <c r="G2677" s="100">
        <v>5012</v>
      </c>
    </row>
    <row r="2678" spans="2:7">
      <c r="B2678" s="118" t="s">
        <v>2840</v>
      </c>
      <c r="C2678" s="119">
        <v>4935</v>
      </c>
      <c r="E2678" s="96" t="s">
        <v>2166</v>
      </c>
      <c r="F2678" s="96" t="s">
        <v>2025</v>
      </c>
      <c r="G2678" s="100">
        <v>4584</v>
      </c>
    </row>
    <row r="2679" spans="2:7">
      <c r="B2679" s="118" t="s">
        <v>2841</v>
      </c>
      <c r="C2679" s="119">
        <v>4936</v>
      </c>
      <c r="E2679" s="96" t="s">
        <v>2168</v>
      </c>
      <c r="F2679" s="96" t="s">
        <v>2025</v>
      </c>
      <c r="G2679" s="100">
        <v>4585</v>
      </c>
    </row>
    <row r="2680" spans="2:7">
      <c r="B2680" s="118" t="s">
        <v>2329</v>
      </c>
      <c r="C2680" s="119">
        <v>4917</v>
      </c>
      <c r="E2680" s="96" t="s">
        <v>2170</v>
      </c>
      <c r="F2680" s="96" t="s">
        <v>2025</v>
      </c>
      <c r="G2680" s="100">
        <v>4633</v>
      </c>
    </row>
    <row r="2681" spans="2:7">
      <c r="B2681" s="118" t="s">
        <v>1335</v>
      </c>
      <c r="C2681" s="119">
        <v>6146</v>
      </c>
      <c r="E2681" s="96" t="s">
        <v>2172</v>
      </c>
      <c r="F2681" s="96" t="s">
        <v>2025</v>
      </c>
      <c r="G2681" s="100">
        <v>4229</v>
      </c>
    </row>
    <row r="2682" spans="2:7">
      <c r="B2682" s="118" t="s">
        <v>1331</v>
      </c>
      <c r="C2682" s="119">
        <v>6147</v>
      </c>
      <c r="E2682" s="96" t="s">
        <v>2174</v>
      </c>
      <c r="F2682" s="96" t="s">
        <v>2025</v>
      </c>
      <c r="G2682" s="100">
        <v>4586</v>
      </c>
    </row>
    <row r="2683" spans="2:7">
      <c r="B2683" s="118" t="s">
        <v>2586</v>
      </c>
      <c r="C2683" s="119">
        <v>4943</v>
      </c>
      <c r="E2683" s="96" t="s">
        <v>2176</v>
      </c>
      <c r="F2683" s="96" t="s">
        <v>2025</v>
      </c>
      <c r="G2683" s="100">
        <v>4514</v>
      </c>
    </row>
    <row r="2684" spans="2:7">
      <c r="B2684" s="118" t="s">
        <v>2591</v>
      </c>
      <c r="C2684" s="119">
        <v>4919</v>
      </c>
      <c r="E2684" s="96" t="s">
        <v>2178</v>
      </c>
      <c r="F2684" s="96" t="s">
        <v>2025</v>
      </c>
      <c r="G2684" s="100">
        <v>4544</v>
      </c>
    </row>
    <row r="2685" spans="2:7">
      <c r="B2685" s="118" t="s">
        <v>2842</v>
      </c>
      <c r="C2685" s="119">
        <v>4914</v>
      </c>
      <c r="E2685" s="96" t="s">
        <v>2180</v>
      </c>
      <c r="F2685" s="96" t="s">
        <v>2025</v>
      </c>
      <c r="G2685" s="100">
        <v>4655</v>
      </c>
    </row>
    <row r="2686" spans="2:7">
      <c r="B2686" s="118" t="s">
        <v>2331</v>
      </c>
      <c r="C2686" s="119">
        <v>4938</v>
      </c>
      <c r="E2686" s="96" t="s">
        <v>2182</v>
      </c>
      <c r="F2686" s="96" t="s">
        <v>2025</v>
      </c>
      <c r="G2686" s="100">
        <v>4718</v>
      </c>
    </row>
    <row r="2687" spans="2:7">
      <c r="B2687" s="118" t="s">
        <v>2593</v>
      </c>
      <c r="C2687" s="119">
        <v>4938</v>
      </c>
      <c r="E2687" s="96" t="s">
        <v>2184</v>
      </c>
      <c r="F2687" s="96" t="s">
        <v>2025</v>
      </c>
      <c r="G2687" s="100">
        <v>4535</v>
      </c>
    </row>
    <row r="2688" spans="2:7">
      <c r="B2688" s="118" t="s">
        <v>2435</v>
      </c>
      <c r="C2688" s="119">
        <v>4933</v>
      </c>
      <c r="E2688" s="96" t="s">
        <v>164</v>
      </c>
      <c r="F2688" s="96" t="s">
        <v>164</v>
      </c>
      <c r="G2688" s="100">
        <v>3000</v>
      </c>
    </row>
    <row r="2689" spans="2:7">
      <c r="B2689" s="118" t="s">
        <v>2446</v>
      </c>
      <c r="C2689" s="119">
        <v>4911</v>
      </c>
      <c r="E2689" s="96" t="s">
        <v>2186</v>
      </c>
      <c r="F2689" s="96" t="s">
        <v>164</v>
      </c>
      <c r="G2689" s="100">
        <v>2500</v>
      </c>
    </row>
    <row r="2690" spans="2:7">
      <c r="B2690" s="118" t="s">
        <v>2837</v>
      </c>
      <c r="C2690" s="119">
        <v>4922</v>
      </c>
      <c r="E2690" s="96" t="s">
        <v>2187</v>
      </c>
      <c r="F2690" s="96" t="s">
        <v>164</v>
      </c>
      <c r="G2690" s="100">
        <v>3600</v>
      </c>
    </row>
    <row r="2691" spans="2:7">
      <c r="B2691" s="118" t="s">
        <v>2256</v>
      </c>
      <c r="C2691" s="119">
        <v>4922</v>
      </c>
      <c r="E2691" s="96" t="s">
        <v>2188</v>
      </c>
      <c r="F2691" s="96" t="s">
        <v>164</v>
      </c>
      <c r="G2691" s="100">
        <v>3098</v>
      </c>
    </row>
    <row r="2692" spans="2:7">
      <c r="B2692" s="118" t="s">
        <v>2841</v>
      </c>
      <c r="C2692" s="119">
        <v>4936</v>
      </c>
      <c r="E2692" s="96" t="s">
        <v>2189</v>
      </c>
      <c r="F2692" s="96" t="s">
        <v>164</v>
      </c>
      <c r="G2692" s="100">
        <v>3072</v>
      </c>
    </row>
    <row r="2693" spans="2:7">
      <c r="B2693" s="118" t="s">
        <v>2388</v>
      </c>
      <c r="C2693" s="119">
        <v>4937</v>
      </c>
      <c r="E2693" s="96" t="s">
        <v>2190</v>
      </c>
      <c r="F2693" s="96" t="s">
        <v>164</v>
      </c>
      <c r="G2693" s="100">
        <v>3400</v>
      </c>
    </row>
    <row r="2694" spans="2:7">
      <c r="B2694" s="118" t="s">
        <v>2843</v>
      </c>
      <c r="C2694" s="119">
        <v>4942</v>
      </c>
      <c r="E2694" s="96" t="s">
        <v>2191</v>
      </c>
      <c r="F2694" s="96" t="s">
        <v>164</v>
      </c>
      <c r="G2694" s="100">
        <v>3612</v>
      </c>
    </row>
    <row r="2695" spans="2:7">
      <c r="B2695" s="118" t="s">
        <v>2586</v>
      </c>
      <c r="C2695" s="119">
        <v>4943</v>
      </c>
      <c r="E2695" s="96" t="s">
        <v>1591</v>
      </c>
      <c r="F2695" s="96" t="s">
        <v>164</v>
      </c>
      <c r="G2695" s="100">
        <v>4900</v>
      </c>
    </row>
    <row r="2696" spans="2:7">
      <c r="B2696" s="118" t="s">
        <v>2321</v>
      </c>
      <c r="C2696" s="119">
        <v>4923</v>
      </c>
      <c r="E2696" s="96" t="s">
        <v>2192</v>
      </c>
      <c r="F2696" s="96" t="s">
        <v>164</v>
      </c>
      <c r="G2696" s="100">
        <v>3250</v>
      </c>
    </row>
    <row r="2697" spans="2:7">
      <c r="B2697" s="118" t="s">
        <v>164</v>
      </c>
      <c r="C2697" s="119">
        <v>3004</v>
      </c>
      <c r="E2697" s="96" t="s">
        <v>2193</v>
      </c>
      <c r="F2697" s="96" t="s">
        <v>164</v>
      </c>
      <c r="G2697" s="100">
        <v>3074</v>
      </c>
    </row>
    <row r="2698" spans="2:7">
      <c r="B2698" s="118" t="s">
        <v>164</v>
      </c>
      <c r="C2698" s="119">
        <v>3005</v>
      </c>
      <c r="E2698" s="96" t="s">
        <v>2194</v>
      </c>
      <c r="F2698" s="96" t="s">
        <v>164</v>
      </c>
      <c r="G2698" s="100">
        <v>3700</v>
      </c>
    </row>
    <row r="2699" spans="2:7">
      <c r="B2699" s="118" t="s">
        <v>164</v>
      </c>
      <c r="C2699" s="119">
        <v>3006</v>
      </c>
      <c r="E2699" s="96" t="s">
        <v>2195</v>
      </c>
      <c r="F2699" s="96" t="s">
        <v>164</v>
      </c>
      <c r="G2699" s="100">
        <v>3110</v>
      </c>
    </row>
    <row r="2700" spans="2:7">
      <c r="B2700" s="118" t="s">
        <v>164</v>
      </c>
      <c r="C2700" s="119">
        <v>3007</v>
      </c>
      <c r="E2700" s="96" t="s">
        <v>2196</v>
      </c>
      <c r="F2700" s="96" t="s">
        <v>164</v>
      </c>
      <c r="G2700" s="100">
        <v>3123</v>
      </c>
    </row>
    <row r="2701" spans="2:7">
      <c r="B2701" s="118" t="s">
        <v>164</v>
      </c>
      <c r="C2701" s="119">
        <v>3008</v>
      </c>
      <c r="E2701" s="96" t="s">
        <v>2197</v>
      </c>
      <c r="F2701" s="96" t="s">
        <v>164</v>
      </c>
      <c r="G2701" s="100">
        <v>3076</v>
      </c>
    </row>
    <row r="2702" spans="2:7">
      <c r="B2702" s="118" t="s">
        <v>164</v>
      </c>
      <c r="C2702" s="119">
        <v>3010</v>
      </c>
      <c r="E2702" s="96" t="s">
        <v>2198</v>
      </c>
      <c r="F2702" s="96" t="s">
        <v>164</v>
      </c>
      <c r="G2702" s="100">
        <v>3063</v>
      </c>
    </row>
    <row r="2703" spans="2:7">
      <c r="B2703" s="118" t="s">
        <v>164</v>
      </c>
      <c r="C2703" s="119">
        <v>3011</v>
      </c>
      <c r="E2703" s="96" t="s">
        <v>2199</v>
      </c>
      <c r="F2703" s="96" t="s">
        <v>164</v>
      </c>
      <c r="G2703" s="100">
        <v>3052</v>
      </c>
    </row>
    <row r="2704" spans="2:7">
      <c r="B2704" s="118" t="s">
        <v>164</v>
      </c>
      <c r="C2704" s="119">
        <v>3012</v>
      </c>
      <c r="E2704" s="96" t="s">
        <v>2200</v>
      </c>
      <c r="F2704" s="96" t="s">
        <v>164</v>
      </c>
      <c r="G2704" s="100">
        <v>3053</v>
      </c>
    </row>
    <row r="2705" spans="2:7">
      <c r="B2705" s="118" t="s">
        <v>164</v>
      </c>
      <c r="C2705" s="119">
        <v>3013</v>
      </c>
      <c r="E2705" s="96" t="s">
        <v>2201</v>
      </c>
      <c r="F2705" s="96" t="s">
        <v>164</v>
      </c>
      <c r="G2705" s="100">
        <v>3550</v>
      </c>
    </row>
    <row r="2706" spans="2:7">
      <c r="B2706" s="118" t="s">
        <v>164</v>
      </c>
      <c r="C2706" s="119">
        <v>3014</v>
      </c>
      <c r="E2706" s="96" t="s">
        <v>2202</v>
      </c>
      <c r="F2706" s="96" t="s">
        <v>164</v>
      </c>
      <c r="G2706" s="100">
        <v>3033</v>
      </c>
    </row>
    <row r="2707" spans="2:7">
      <c r="B2707" s="118" t="s">
        <v>164</v>
      </c>
      <c r="C2707" s="119">
        <v>3015</v>
      </c>
      <c r="E2707" s="96" t="s">
        <v>2203</v>
      </c>
      <c r="F2707" s="96" t="s">
        <v>164</v>
      </c>
      <c r="G2707" s="100">
        <v>2740</v>
      </c>
    </row>
    <row r="2708" spans="2:7">
      <c r="B2708" s="118" t="s">
        <v>164</v>
      </c>
      <c r="C2708" s="119">
        <v>3018</v>
      </c>
      <c r="E2708" s="96" t="s">
        <v>2204</v>
      </c>
      <c r="F2708" s="96" t="s">
        <v>164</v>
      </c>
      <c r="G2708" s="100">
        <v>3360</v>
      </c>
    </row>
    <row r="2709" spans="2:7">
      <c r="B2709" s="118" t="s">
        <v>164</v>
      </c>
      <c r="C2709" s="119">
        <v>3019</v>
      </c>
      <c r="E2709" s="96" t="s">
        <v>2205</v>
      </c>
      <c r="F2709" s="96" t="s">
        <v>164</v>
      </c>
      <c r="G2709" s="100">
        <v>3714</v>
      </c>
    </row>
    <row r="2710" spans="2:7">
      <c r="B2710" s="118" t="s">
        <v>164</v>
      </c>
      <c r="C2710" s="119">
        <v>3020</v>
      </c>
      <c r="E2710" s="96" t="s">
        <v>2206</v>
      </c>
      <c r="F2710" s="96" t="s">
        <v>164</v>
      </c>
      <c r="G2710" s="100">
        <v>3792</v>
      </c>
    </row>
    <row r="2711" spans="2:7">
      <c r="B2711" s="118" t="s">
        <v>164</v>
      </c>
      <c r="C2711" s="119">
        <v>3027</v>
      </c>
      <c r="E2711" s="96" t="s">
        <v>2207</v>
      </c>
      <c r="F2711" s="96" t="s">
        <v>164</v>
      </c>
      <c r="G2711" s="100">
        <v>2560</v>
      </c>
    </row>
    <row r="2712" spans="2:7">
      <c r="B2712" s="118" t="s">
        <v>2844</v>
      </c>
      <c r="C2712" s="119">
        <v>3032</v>
      </c>
      <c r="E2712" s="96" t="s">
        <v>2208</v>
      </c>
      <c r="F2712" s="96" t="s">
        <v>164</v>
      </c>
      <c r="G2712" s="100">
        <v>3150</v>
      </c>
    </row>
    <row r="2713" spans="2:7">
      <c r="B2713" s="118" t="s">
        <v>2845</v>
      </c>
      <c r="C2713" s="119">
        <v>3037</v>
      </c>
      <c r="E2713" s="96" t="s">
        <v>2209</v>
      </c>
      <c r="F2713" s="96" t="s">
        <v>164</v>
      </c>
      <c r="G2713" s="100">
        <v>3627</v>
      </c>
    </row>
    <row r="2714" spans="2:7">
      <c r="B2714" s="118" t="s">
        <v>2846</v>
      </c>
      <c r="C2714" s="119">
        <v>3048</v>
      </c>
      <c r="E2714" s="96" t="s">
        <v>2210</v>
      </c>
      <c r="F2714" s="96" t="s">
        <v>164</v>
      </c>
      <c r="G2714" s="100">
        <v>3065</v>
      </c>
    </row>
    <row r="2715" spans="2:7">
      <c r="B2715" s="118" t="s">
        <v>2198</v>
      </c>
      <c r="C2715" s="119">
        <v>3063</v>
      </c>
      <c r="E2715" s="96" t="s">
        <v>2211</v>
      </c>
      <c r="F2715" s="96" t="s">
        <v>164</v>
      </c>
      <c r="G2715" s="100">
        <v>3322</v>
      </c>
    </row>
    <row r="2716" spans="2:7">
      <c r="B2716" s="118" t="s">
        <v>2189</v>
      </c>
      <c r="C2716" s="119">
        <v>3072</v>
      </c>
      <c r="E2716" s="96" t="s">
        <v>2212</v>
      </c>
      <c r="F2716" s="96" t="s">
        <v>164</v>
      </c>
      <c r="G2716" s="100">
        <v>3661</v>
      </c>
    </row>
    <row r="2717" spans="2:7">
      <c r="B2717" s="118" t="s">
        <v>2847</v>
      </c>
      <c r="C2717" s="119">
        <v>3073</v>
      </c>
      <c r="E2717" s="96" t="s">
        <v>2213</v>
      </c>
      <c r="F2717" s="96" t="s">
        <v>164</v>
      </c>
      <c r="G2717" s="100">
        <v>3422</v>
      </c>
    </row>
    <row r="2718" spans="2:7">
      <c r="B2718" s="118" t="s">
        <v>2848</v>
      </c>
      <c r="C2718" s="119">
        <v>3084</v>
      </c>
      <c r="E2718" s="96" t="s">
        <v>2214</v>
      </c>
      <c r="F2718" s="96" t="s">
        <v>164</v>
      </c>
      <c r="G2718" s="100">
        <v>3800</v>
      </c>
    </row>
    <row r="2719" spans="2:7">
      <c r="B2719" s="118" t="s">
        <v>2849</v>
      </c>
      <c r="C2719" s="119">
        <v>3097</v>
      </c>
      <c r="E2719" s="96" t="s">
        <v>2215</v>
      </c>
      <c r="F2719" s="96" t="s">
        <v>164</v>
      </c>
      <c r="G2719" s="100">
        <v>3303</v>
      </c>
    </row>
    <row r="2720" spans="2:7">
      <c r="B2720" s="118" t="s">
        <v>2850</v>
      </c>
      <c r="C2720" s="119">
        <v>3172</v>
      </c>
      <c r="E2720" s="96" t="s">
        <v>2216</v>
      </c>
      <c r="F2720" s="96" t="s">
        <v>164</v>
      </c>
      <c r="G2720" s="100">
        <v>3800</v>
      </c>
    </row>
    <row r="2721" spans="2:7">
      <c r="B2721" s="118" t="s">
        <v>2210</v>
      </c>
      <c r="C2721" s="119">
        <v>3065</v>
      </c>
      <c r="E2721" s="96" t="s">
        <v>2217</v>
      </c>
      <c r="F2721" s="96" t="s">
        <v>164</v>
      </c>
      <c r="G2721" s="100">
        <v>3176</v>
      </c>
    </row>
    <row r="2722" spans="2:7">
      <c r="B2722" s="118" t="s">
        <v>2263</v>
      </c>
      <c r="C2722" s="119">
        <v>3066</v>
      </c>
      <c r="E2722" s="96" t="s">
        <v>2218</v>
      </c>
      <c r="F2722" s="96" t="s">
        <v>164</v>
      </c>
      <c r="G2722" s="100">
        <v>3510</v>
      </c>
    </row>
    <row r="2723" spans="2:7">
      <c r="B2723" s="118" t="s">
        <v>2294</v>
      </c>
      <c r="C2723" s="119">
        <v>3326</v>
      </c>
      <c r="E2723" s="96" t="s">
        <v>2219</v>
      </c>
      <c r="F2723" s="96" t="s">
        <v>164</v>
      </c>
      <c r="G2723" s="100">
        <v>3067</v>
      </c>
    </row>
    <row r="2724" spans="2:7">
      <c r="B2724" s="118" t="s">
        <v>2851</v>
      </c>
      <c r="C2724" s="119">
        <v>3047</v>
      </c>
      <c r="E2724" s="96" t="s">
        <v>2220</v>
      </c>
      <c r="F2724" s="96" t="s">
        <v>164</v>
      </c>
      <c r="G2724" s="100">
        <v>2543</v>
      </c>
    </row>
    <row r="2725" spans="2:7">
      <c r="B2725" s="118" t="s">
        <v>2845</v>
      </c>
      <c r="C2725" s="119">
        <v>3037</v>
      </c>
      <c r="E2725" s="96" t="s">
        <v>2221</v>
      </c>
      <c r="F2725" s="96" t="s">
        <v>164</v>
      </c>
      <c r="G2725" s="100">
        <v>2610</v>
      </c>
    </row>
    <row r="2726" spans="2:7">
      <c r="B2726" s="118" t="s">
        <v>2267</v>
      </c>
      <c r="C2726" s="119">
        <v>3038</v>
      </c>
      <c r="E2726" s="96" t="s">
        <v>2222</v>
      </c>
      <c r="F2726" s="96" t="s">
        <v>164</v>
      </c>
      <c r="G2726" s="100">
        <v>3454</v>
      </c>
    </row>
    <row r="2727" spans="2:7">
      <c r="B2727" s="118" t="s">
        <v>2823</v>
      </c>
      <c r="C2727" s="119">
        <v>3042</v>
      </c>
      <c r="E2727" s="96" t="s">
        <v>2223</v>
      </c>
      <c r="F2727" s="96" t="s">
        <v>164</v>
      </c>
      <c r="G2727" s="100">
        <v>3312</v>
      </c>
    </row>
    <row r="2728" spans="2:7">
      <c r="B2728" s="118" t="s">
        <v>164</v>
      </c>
      <c r="C2728" s="119">
        <v>3007</v>
      </c>
      <c r="E2728" s="96" t="s">
        <v>2224</v>
      </c>
      <c r="F2728" s="96" t="s">
        <v>164</v>
      </c>
      <c r="G2728" s="100">
        <v>4950</v>
      </c>
    </row>
    <row r="2729" spans="2:7">
      <c r="B2729" s="118" t="s">
        <v>2848</v>
      </c>
      <c r="C2729" s="119">
        <v>3084</v>
      </c>
      <c r="E2729" s="96" t="s">
        <v>2225</v>
      </c>
      <c r="F2729" s="96" t="s">
        <v>164</v>
      </c>
      <c r="G2729" s="100">
        <v>3655</v>
      </c>
    </row>
    <row r="2730" spans="2:7">
      <c r="B2730" s="118" t="s">
        <v>2852</v>
      </c>
      <c r="C2730" s="119">
        <v>3095</v>
      </c>
      <c r="E2730" s="96" t="s">
        <v>2226</v>
      </c>
      <c r="F2730" s="96" t="s">
        <v>164</v>
      </c>
      <c r="G2730" s="100">
        <v>4704</v>
      </c>
    </row>
    <row r="2731" spans="2:7">
      <c r="B2731" s="118" t="s">
        <v>2849</v>
      </c>
      <c r="C2731" s="119">
        <v>3097</v>
      </c>
      <c r="E2731" s="96" t="s">
        <v>2227</v>
      </c>
      <c r="F2731" s="96" t="s">
        <v>164</v>
      </c>
      <c r="G2731" s="100">
        <v>3860</v>
      </c>
    </row>
    <row r="2732" spans="2:7">
      <c r="B2732" s="118" t="s">
        <v>2188</v>
      </c>
      <c r="C2732" s="119">
        <v>3098</v>
      </c>
      <c r="E2732" s="96" t="s">
        <v>2228</v>
      </c>
      <c r="F2732" s="96" t="s">
        <v>164</v>
      </c>
      <c r="G2732" s="100">
        <v>2720</v>
      </c>
    </row>
    <row r="2733" spans="2:7">
      <c r="B2733" s="118" t="s">
        <v>2188</v>
      </c>
      <c r="C2733" s="119">
        <v>3098</v>
      </c>
      <c r="E2733" s="96" t="s">
        <v>2229</v>
      </c>
      <c r="F2733" s="96" t="s">
        <v>164</v>
      </c>
      <c r="G2733" s="100">
        <v>3270</v>
      </c>
    </row>
    <row r="2734" spans="2:7">
      <c r="B2734" s="118" t="s">
        <v>2853</v>
      </c>
      <c r="C2734" s="119">
        <v>3098</v>
      </c>
      <c r="E2734" s="96" t="s">
        <v>2230</v>
      </c>
      <c r="F2734" s="96" t="s">
        <v>164</v>
      </c>
      <c r="G2734" s="100">
        <v>4912</v>
      </c>
    </row>
    <row r="2735" spans="2:7">
      <c r="B2735" s="118" t="s">
        <v>2854</v>
      </c>
      <c r="C2735" s="119">
        <v>3144</v>
      </c>
      <c r="E2735" s="96" t="s">
        <v>2231</v>
      </c>
      <c r="F2735" s="96" t="s">
        <v>164</v>
      </c>
      <c r="G2735" s="100">
        <v>3047</v>
      </c>
    </row>
    <row r="2736" spans="2:7">
      <c r="B2736" s="118" t="s">
        <v>2855</v>
      </c>
      <c r="C2736" s="119">
        <v>3145</v>
      </c>
      <c r="E2736" s="96" t="s">
        <v>2232</v>
      </c>
      <c r="F2736" s="96" t="s">
        <v>164</v>
      </c>
      <c r="G2736" s="100">
        <v>3114</v>
      </c>
    </row>
    <row r="2737" spans="2:7">
      <c r="B2737" s="118" t="s">
        <v>2856</v>
      </c>
      <c r="C2737" s="119">
        <v>3147</v>
      </c>
      <c r="E2737" s="96" t="s">
        <v>2233</v>
      </c>
      <c r="F2737" s="96" t="s">
        <v>164</v>
      </c>
      <c r="G2737" s="100">
        <v>3427</v>
      </c>
    </row>
    <row r="2738" spans="2:7">
      <c r="B2738" s="118" t="s">
        <v>2850</v>
      </c>
      <c r="C2738" s="119">
        <v>3172</v>
      </c>
      <c r="E2738" s="96" t="s">
        <v>2234</v>
      </c>
      <c r="F2738" s="96" t="s">
        <v>164</v>
      </c>
      <c r="G2738" s="100">
        <v>2555</v>
      </c>
    </row>
    <row r="2739" spans="2:7">
      <c r="B2739" s="118" t="s">
        <v>2857</v>
      </c>
      <c r="C2739" s="119">
        <v>3173</v>
      </c>
      <c r="E2739" s="96" t="s">
        <v>2235</v>
      </c>
      <c r="F2739" s="96" t="s">
        <v>164</v>
      </c>
      <c r="G2739" s="100">
        <v>3122</v>
      </c>
    </row>
    <row r="2740" spans="2:7">
      <c r="B2740" s="118" t="s">
        <v>2858</v>
      </c>
      <c r="C2740" s="119">
        <v>3174</v>
      </c>
      <c r="E2740" s="96" t="s">
        <v>2236</v>
      </c>
      <c r="F2740" s="96" t="s">
        <v>164</v>
      </c>
      <c r="G2740" s="100">
        <v>2542</v>
      </c>
    </row>
    <row r="2741" spans="2:7">
      <c r="B2741" s="118" t="s">
        <v>2847</v>
      </c>
      <c r="C2741" s="119">
        <v>3073</v>
      </c>
      <c r="E2741" s="96" t="s">
        <v>2237</v>
      </c>
      <c r="F2741" s="96" t="s">
        <v>164</v>
      </c>
      <c r="G2741" s="100">
        <v>3506</v>
      </c>
    </row>
    <row r="2742" spans="2:7">
      <c r="B2742" s="118" t="s">
        <v>2859</v>
      </c>
      <c r="C2742" s="119">
        <v>3074</v>
      </c>
      <c r="E2742" s="96" t="s">
        <v>2238</v>
      </c>
      <c r="F2742" s="96" t="s">
        <v>164</v>
      </c>
      <c r="G2742" s="100">
        <v>3432</v>
      </c>
    </row>
    <row r="2743" spans="2:7">
      <c r="B2743" s="118" t="s">
        <v>2197</v>
      </c>
      <c r="C2743" s="119">
        <v>3076</v>
      </c>
      <c r="E2743" s="96" t="s">
        <v>2239</v>
      </c>
      <c r="F2743" s="96" t="s">
        <v>164</v>
      </c>
      <c r="G2743" s="100">
        <v>3302</v>
      </c>
    </row>
    <row r="2744" spans="2:7">
      <c r="B2744" s="118" t="s">
        <v>2860</v>
      </c>
      <c r="C2744" s="119">
        <v>3086</v>
      </c>
      <c r="E2744" s="96" t="s">
        <v>2240</v>
      </c>
      <c r="F2744" s="96" t="s">
        <v>164</v>
      </c>
      <c r="G2744" s="100">
        <v>3652</v>
      </c>
    </row>
    <row r="2745" spans="2:7">
      <c r="B2745" s="118" t="s">
        <v>2391</v>
      </c>
      <c r="C2745" s="119">
        <v>3096</v>
      </c>
      <c r="E2745" s="96" t="s">
        <v>2241</v>
      </c>
      <c r="F2745" s="96" t="s">
        <v>164</v>
      </c>
      <c r="G2745" s="100">
        <v>3800</v>
      </c>
    </row>
    <row r="2746" spans="2:7">
      <c r="B2746" s="118" t="s">
        <v>2855</v>
      </c>
      <c r="C2746" s="119">
        <v>3145</v>
      </c>
      <c r="E2746" s="96" t="s">
        <v>2242</v>
      </c>
      <c r="F2746" s="96" t="s">
        <v>164</v>
      </c>
      <c r="G2746" s="100">
        <v>4914</v>
      </c>
    </row>
    <row r="2747" spans="2:7">
      <c r="B2747" s="118" t="s">
        <v>2856</v>
      </c>
      <c r="C2747" s="119">
        <v>3147</v>
      </c>
      <c r="E2747" s="96" t="s">
        <v>2243</v>
      </c>
      <c r="F2747" s="96" t="s">
        <v>164</v>
      </c>
      <c r="G2747" s="100">
        <v>2732</v>
      </c>
    </row>
    <row r="2748" spans="2:7">
      <c r="B2748" s="118" t="s">
        <v>2263</v>
      </c>
      <c r="C2748" s="119">
        <v>3066</v>
      </c>
      <c r="E2748" s="96" t="s">
        <v>2244</v>
      </c>
      <c r="F2748" s="96" t="s">
        <v>164</v>
      </c>
      <c r="G2748" s="100">
        <v>2563</v>
      </c>
    </row>
    <row r="2749" spans="2:7">
      <c r="B2749" s="118" t="s">
        <v>2861</v>
      </c>
      <c r="C2749" s="119">
        <v>3067</v>
      </c>
      <c r="E2749" s="96" t="s">
        <v>2245</v>
      </c>
      <c r="F2749" s="96" t="s">
        <v>164</v>
      </c>
      <c r="G2749" s="100">
        <v>3818</v>
      </c>
    </row>
    <row r="2750" spans="2:7">
      <c r="B2750" s="118" t="s">
        <v>2197</v>
      </c>
      <c r="C2750" s="119">
        <v>3076</v>
      </c>
      <c r="E2750" s="96" t="s">
        <v>2246</v>
      </c>
      <c r="F2750" s="96" t="s">
        <v>164</v>
      </c>
      <c r="G2750" s="100">
        <v>3054</v>
      </c>
    </row>
    <row r="2751" spans="2:7">
      <c r="B2751" s="118" t="s">
        <v>2263</v>
      </c>
      <c r="C2751" s="119">
        <v>3066</v>
      </c>
      <c r="E2751" s="96" t="s">
        <v>2247</v>
      </c>
      <c r="F2751" s="96" t="s">
        <v>164</v>
      </c>
      <c r="G2751" s="100">
        <v>2520</v>
      </c>
    </row>
    <row r="2752" spans="2:7">
      <c r="B2752" s="118" t="s">
        <v>2861</v>
      </c>
      <c r="C2752" s="119">
        <v>3067</v>
      </c>
      <c r="E2752" s="96" t="s">
        <v>2248</v>
      </c>
      <c r="F2752" s="96" t="s">
        <v>164</v>
      </c>
      <c r="G2752" s="100">
        <v>2710</v>
      </c>
    </row>
    <row r="2753" spans="2:7">
      <c r="B2753" s="118" t="s">
        <v>2862</v>
      </c>
      <c r="C2753" s="119">
        <v>3068</v>
      </c>
      <c r="E2753" s="96" t="s">
        <v>2249</v>
      </c>
      <c r="F2753" s="96" t="s">
        <v>164</v>
      </c>
      <c r="G2753" s="100">
        <v>2562</v>
      </c>
    </row>
    <row r="2754" spans="2:7">
      <c r="B2754" s="118" t="s">
        <v>2197</v>
      </c>
      <c r="C2754" s="119">
        <v>3076</v>
      </c>
      <c r="E2754" s="96" t="s">
        <v>2250</v>
      </c>
      <c r="F2754" s="96" t="s">
        <v>164</v>
      </c>
      <c r="G2754" s="100">
        <v>3713</v>
      </c>
    </row>
    <row r="2755" spans="2:7">
      <c r="B2755" s="118" t="s">
        <v>2863</v>
      </c>
      <c r="C2755" s="119">
        <v>3513</v>
      </c>
      <c r="E2755" s="96" t="s">
        <v>2251</v>
      </c>
      <c r="F2755" s="96" t="s">
        <v>164</v>
      </c>
      <c r="G2755" s="100">
        <v>3294</v>
      </c>
    </row>
    <row r="2756" spans="2:7">
      <c r="B2756" s="118" t="s">
        <v>2844</v>
      </c>
      <c r="C2756" s="119">
        <v>3032</v>
      </c>
      <c r="E2756" s="96" t="s">
        <v>2252</v>
      </c>
      <c r="F2756" s="96" t="s">
        <v>164</v>
      </c>
      <c r="G2756" s="100">
        <v>3232</v>
      </c>
    </row>
    <row r="2757" spans="2:7">
      <c r="B2757" s="118" t="s">
        <v>2864</v>
      </c>
      <c r="C2757" s="119">
        <v>3033</v>
      </c>
      <c r="E2757" s="96" t="s">
        <v>2253</v>
      </c>
      <c r="F2757" s="96" t="s">
        <v>164</v>
      </c>
      <c r="G2757" s="100">
        <v>3672</v>
      </c>
    </row>
    <row r="2758" spans="2:7">
      <c r="B2758" s="118" t="s">
        <v>2865</v>
      </c>
      <c r="C2758" s="119">
        <v>3034</v>
      </c>
      <c r="E2758" s="96" t="s">
        <v>2254</v>
      </c>
      <c r="F2758" s="96" t="s">
        <v>164</v>
      </c>
      <c r="G2758" s="100">
        <v>3715</v>
      </c>
    </row>
    <row r="2759" spans="2:7">
      <c r="B2759" s="118" t="s">
        <v>2834</v>
      </c>
      <c r="C2759" s="119">
        <v>3035</v>
      </c>
      <c r="E2759" s="96" t="s">
        <v>2255</v>
      </c>
      <c r="F2759" s="96" t="s">
        <v>164</v>
      </c>
      <c r="G2759" s="100">
        <v>3415</v>
      </c>
    </row>
    <row r="2760" spans="2:7">
      <c r="B2760" s="118" t="s">
        <v>2825</v>
      </c>
      <c r="C2760" s="119">
        <v>3036</v>
      </c>
      <c r="E2760" s="96" t="s">
        <v>2256</v>
      </c>
      <c r="F2760" s="96" t="s">
        <v>164</v>
      </c>
      <c r="G2760" s="100">
        <v>4922</v>
      </c>
    </row>
    <row r="2761" spans="2:7">
      <c r="B2761" s="118" t="s">
        <v>2845</v>
      </c>
      <c r="C2761" s="119">
        <v>3037</v>
      </c>
      <c r="E2761" s="96" t="s">
        <v>2257</v>
      </c>
      <c r="F2761" s="96" t="s">
        <v>164</v>
      </c>
      <c r="G2761" s="100">
        <v>4934</v>
      </c>
    </row>
    <row r="2762" spans="2:7">
      <c r="B2762" s="118" t="s">
        <v>2823</v>
      </c>
      <c r="C2762" s="119">
        <v>3042</v>
      </c>
      <c r="E2762" s="96" t="s">
        <v>2258</v>
      </c>
      <c r="F2762" s="96" t="s">
        <v>164</v>
      </c>
      <c r="G2762" s="100">
        <v>2557</v>
      </c>
    </row>
    <row r="2763" spans="2:7">
      <c r="B2763" s="118" t="s">
        <v>2866</v>
      </c>
      <c r="C2763" s="119">
        <v>3043</v>
      </c>
      <c r="E2763" s="96" t="s">
        <v>2259</v>
      </c>
      <c r="F2763" s="96" t="s">
        <v>164</v>
      </c>
      <c r="G2763" s="100">
        <v>3417</v>
      </c>
    </row>
    <row r="2764" spans="2:7">
      <c r="B2764" s="118" t="s">
        <v>2867</v>
      </c>
      <c r="C2764" s="119">
        <v>3044</v>
      </c>
      <c r="E2764" s="96" t="s">
        <v>2260</v>
      </c>
      <c r="F2764" s="96" t="s">
        <v>164</v>
      </c>
      <c r="G2764" s="100">
        <v>3315</v>
      </c>
    </row>
    <row r="2765" spans="2:7">
      <c r="B2765" s="118" t="s">
        <v>2283</v>
      </c>
      <c r="C2765" s="119">
        <v>3045</v>
      </c>
      <c r="E2765" s="96" t="s">
        <v>2261</v>
      </c>
      <c r="F2765" s="96" t="s">
        <v>164</v>
      </c>
      <c r="G2765" s="100">
        <v>3855</v>
      </c>
    </row>
    <row r="2766" spans="2:7">
      <c r="B2766" s="118" t="s">
        <v>2868</v>
      </c>
      <c r="C2766" s="119">
        <v>3049</v>
      </c>
      <c r="E2766" s="96" t="s">
        <v>2262</v>
      </c>
      <c r="F2766" s="96" t="s">
        <v>164</v>
      </c>
      <c r="G2766" s="100">
        <v>3267</v>
      </c>
    </row>
    <row r="2767" spans="2:7">
      <c r="B2767" s="118" t="s">
        <v>2199</v>
      </c>
      <c r="C2767" s="119">
        <v>3052</v>
      </c>
      <c r="E2767" s="96" t="s">
        <v>2263</v>
      </c>
      <c r="F2767" s="96" t="s">
        <v>164</v>
      </c>
      <c r="G2767" s="100">
        <v>3066</v>
      </c>
    </row>
    <row r="2768" spans="2:7">
      <c r="B2768" s="118" t="s">
        <v>2846</v>
      </c>
      <c r="C2768" s="119">
        <v>3048</v>
      </c>
      <c r="E2768" s="96" t="s">
        <v>2264</v>
      </c>
      <c r="F2768" s="96" t="s">
        <v>164</v>
      </c>
      <c r="G2768" s="100">
        <v>3177</v>
      </c>
    </row>
    <row r="2769" spans="2:7">
      <c r="B2769" s="118" t="s">
        <v>2198</v>
      </c>
      <c r="C2769" s="119">
        <v>3063</v>
      </c>
      <c r="E2769" s="96" t="s">
        <v>2265</v>
      </c>
      <c r="F2769" s="96" t="s">
        <v>164</v>
      </c>
      <c r="G2769" s="100">
        <v>3257</v>
      </c>
    </row>
    <row r="2770" spans="2:7">
      <c r="B2770" s="118" t="s">
        <v>2198</v>
      </c>
      <c r="C2770" s="119">
        <v>3063</v>
      </c>
      <c r="E2770" s="96" t="s">
        <v>2266</v>
      </c>
      <c r="F2770" s="96" t="s">
        <v>164</v>
      </c>
      <c r="G2770" s="100">
        <v>3770</v>
      </c>
    </row>
    <row r="2771" spans="2:7">
      <c r="B2771" s="118" t="s">
        <v>2210</v>
      </c>
      <c r="C2771" s="119">
        <v>3065</v>
      </c>
      <c r="E2771" s="96" t="s">
        <v>2267</v>
      </c>
      <c r="F2771" s="96" t="s">
        <v>164</v>
      </c>
      <c r="G2771" s="100">
        <v>3038</v>
      </c>
    </row>
    <row r="2772" spans="2:7">
      <c r="B2772" s="118" t="s">
        <v>2263</v>
      </c>
      <c r="C2772" s="119">
        <v>3066</v>
      </c>
      <c r="E2772" s="96" t="s">
        <v>2268</v>
      </c>
      <c r="F2772" s="96" t="s">
        <v>164</v>
      </c>
      <c r="G2772" s="100">
        <v>3203</v>
      </c>
    </row>
    <row r="2773" spans="2:7">
      <c r="B2773" s="118" t="s">
        <v>2189</v>
      </c>
      <c r="C2773" s="119">
        <v>3072</v>
      </c>
      <c r="E2773" s="96" t="s">
        <v>2269</v>
      </c>
      <c r="F2773" s="96" t="s">
        <v>164</v>
      </c>
      <c r="G2773" s="100">
        <v>3113</v>
      </c>
    </row>
    <row r="2774" spans="2:7">
      <c r="B2774" s="118" t="s">
        <v>2847</v>
      </c>
      <c r="C2774" s="119">
        <v>3073</v>
      </c>
      <c r="E2774" s="96" t="s">
        <v>2270</v>
      </c>
      <c r="F2774" s="96" t="s">
        <v>164</v>
      </c>
      <c r="G2774" s="100">
        <v>3414</v>
      </c>
    </row>
    <row r="2775" spans="2:7">
      <c r="B2775" s="118" t="s">
        <v>2545</v>
      </c>
      <c r="C2775" s="119">
        <v>2502</v>
      </c>
      <c r="E2775" s="96" t="s">
        <v>2271</v>
      </c>
      <c r="F2775" s="96" t="s">
        <v>164</v>
      </c>
      <c r="G2775" s="100">
        <v>3665</v>
      </c>
    </row>
    <row r="2776" spans="2:7">
      <c r="B2776" s="118" t="s">
        <v>2545</v>
      </c>
      <c r="C2776" s="119">
        <v>2503</v>
      </c>
      <c r="E2776" s="96" t="s">
        <v>2272</v>
      </c>
      <c r="F2776" s="96" t="s">
        <v>164</v>
      </c>
      <c r="G2776" s="100">
        <v>2575</v>
      </c>
    </row>
    <row r="2777" spans="2:7">
      <c r="B2777" s="118" t="s">
        <v>2545</v>
      </c>
      <c r="C2777" s="119">
        <v>2504</v>
      </c>
      <c r="E2777" s="96" t="s">
        <v>2273</v>
      </c>
      <c r="F2777" s="96" t="s">
        <v>164</v>
      </c>
      <c r="G2777" s="100">
        <v>2552</v>
      </c>
    </row>
    <row r="2778" spans="2:7">
      <c r="B2778" s="118" t="s">
        <v>2545</v>
      </c>
      <c r="C2778" s="119">
        <v>2505</v>
      </c>
      <c r="E2778" s="96" t="s">
        <v>2274</v>
      </c>
      <c r="F2778" s="96" t="s">
        <v>164</v>
      </c>
      <c r="G2778" s="100">
        <v>3534</v>
      </c>
    </row>
    <row r="2779" spans="2:7">
      <c r="B2779" s="118" t="s">
        <v>2869</v>
      </c>
      <c r="C2779" s="119">
        <v>2532</v>
      </c>
      <c r="E2779" s="96" t="s">
        <v>2275</v>
      </c>
      <c r="F2779" s="96" t="s">
        <v>164</v>
      </c>
      <c r="G2779" s="100">
        <v>3812</v>
      </c>
    </row>
    <row r="2780" spans="2:7">
      <c r="B2780" s="118" t="s">
        <v>2869</v>
      </c>
      <c r="C2780" s="119">
        <v>2532</v>
      </c>
      <c r="E2780" s="96" t="s">
        <v>2276</v>
      </c>
      <c r="F2780" s="96" t="s">
        <v>164</v>
      </c>
      <c r="G2780" s="100">
        <v>3852</v>
      </c>
    </row>
    <row r="2781" spans="2:7">
      <c r="B2781" s="118" t="s">
        <v>2278</v>
      </c>
      <c r="C2781" s="119">
        <v>2533</v>
      </c>
      <c r="E2781" s="96" t="s">
        <v>2277</v>
      </c>
      <c r="F2781" s="96" t="s">
        <v>164</v>
      </c>
      <c r="G2781" s="100">
        <v>3255</v>
      </c>
    </row>
    <row r="2782" spans="2:7">
      <c r="B2782" s="118" t="s">
        <v>2325</v>
      </c>
      <c r="C2782" s="119">
        <v>3296</v>
      </c>
      <c r="E2782" s="96" t="s">
        <v>2278</v>
      </c>
      <c r="F2782" s="96" t="s">
        <v>164</v>
      </c>
      <c r="G2782" s="100">
        <v>2533</v>
      </c>
    </row>
    <row r="2783" spans="2:7">
      <c r="B2783" s="118" t="s">
        <v>2821</v>
      </c>
      <c r="C2783" s="119">
        <v>2557</v>
      </c>
      <c r="E2783" s="96" t="s">
        <v>2279</v>
      </c>
      <c r="F2783" s="96" t="s">
        <v>164</v>
      </c>
      <c r="G2783" s="100">
        <v>3438</v>
      </c>
    </row>
    <row r="2784" spans="2:7">
      <c r="B2784" s="118" t="s">
        <v>2393</v>
      </c>
      <c r="C2784" s="119">
        <v>3263</v>
      </c>
      <c r="E2784" s="96" t="s">
        <v>2280</v>
      </c>
      <c r="F2784" s="96" t="s">
        <v>164</v>
      </c>
      <c r="G2784" s="100">
        <v>3125</v>
      </c>
    </row>
    <row r="2785" spans="2:7">
      <c r="B2785" s="118" t="s">
        <v>2251</v>
      </c>
      <c r="C2785" s="119">
        <v>3294</v>
      </c>
      <c r="E2785" s="96" t="s">
        <v>2281</v>
      </c>
      <c r="F2785" s="96" t="s">
        <v>164</v>
      </c>
      <c r="G2785" s="100">
        <v>4932</v>
      </c>
    </row>
    <row r="2786" spans="2:7">
      <c r="B2786" s="118" t="s">
        <v>2870</v>
      </c>
      <c r="C2786" s="119">
        <v>3264</v>
      </c>
      <c r="E2786" s="96" t="s">
        <v>2282</v>
      </c>
      <c r="F2786" s="96" t="s">
        <v>164</v>
      </c>
      <c r="G2786" s="100">
        <v>3806</v>
      </c>
    </row>
    <row r="2787" spans="2:7">
      <c r="B2787" s="118" t="s">
        <v>2330</v>
      </c>
      <c r="C2787" s="119">
        <v>3293</v>
      </c>
      <c r="E2787" s="96" t="s">
        <v>2283</v>
      </c>
      <c r="F2787" s="96" t="s">
        <v>164</v>
      </c>
      <c r="G2787" s="100">
        <v>3045</v>
      </c>
    </row>
    <row r="2788" spans="2:7">
      <c r="B2788" s="118" t="s">
        <v>2251</v>
      </c>
      <c r="C2788" s="119">
        <v>3294</v>
      </c>
      <c r="E2788" s="96" t="s">
        <v>2284</v>
      </c>
      <c r="F2788" s="96" t="s">
        <v>164</v>
      </c>
      <c r="G2788" s="100">
        <v>3324</v>
      </c>
    </row>
    <row r="2789" spans="2:7">
      <c r="B2789" s="118" t="s">
        <v>2871</v>
      </c>
      <c r="C2789" s="119">
        <v>2543</v>
      </c>
      <c r="E2789" s="96" t="s">
        <v>2285</v>
      </c>
      <c r="F2789" s="96" t="s">
        <v>164</v>
      </c>
      <c r="G2789" s="100">
        <v>3132</v>
      </c>
    </row>
    <row r="2790" spans="2:7">
      <c r="B2790" s="118" t="s">
        <v>2350</v>
      </c>
      <c r="C2790" s="119">
        <v>3297</v>
      </c>
      <c r="E2790" s="96" t="s">
        <v>2286</v>
      </c>
      <c r="F2790" s="96" t="s">
        <v>164</v>
      </c>
      <c r="G2790" s="100">
        <v>3537</v>
      </c>
    </row>
    <row r="2791" spans="2:7">
      <c r="B2791" s="118" t="s">
        <v>2580</v>
      </c>
      <c r="C2791" s="119">
        <v>3294</v>
      </c>
      <c r="E2791" s="96" t="s">
        <v>2287</v>
      </c>
      <c r="F2791" s="96" t="s">
        <v>164</v>
      </c>
      <c r="G2791" s="100">
        <v>3752</v>
      </c>
    </row>
    <row r="2792" spans="2:7">
      <c r="B2792" s="118" t="s">
        <v>2345</v>
      </c>
      <c r="C2792" s="119">
        <v>2554</v>
      </c>
      <c r="E2792" s="96" t="s">
        <v>2288</v>
      </c>
      <c r="F2792" s="96" t="s">
        <v>164</v>
      </c>
      <c r="G2792" s="100">
        <v>3653</v>
      </c>
    </row>
    <row r="2793" spans="2:7">
      <c r="B2793" s="118" t="s">
        <v>2872</v>
      </c>
      <c r="C2793" s="119">
        <v>3298</v>
      </c>
      <c r="E2793" s="96" t="s">
        <v>2289</v>
      </c>
      <c r="F2793" s="96" t="s">
        <v>164</v>
      </c>
      <c r="G2793" s="100">
        <v>3623</v>
      </c>
    </row>
    <row r="2794" spans="2:7">
      <c r="B2794" s="118" t="s">
        <v>2236</v>
      </c>
      <c r="C2794" s="119">
        <v>2542</v>
      </c>
      <c r="E2794" s="96" t="s">
        <v>2290</v>
      </c>
      <c r="F2794" s="96" t="s">
        <v>164</v>
      </c>
      <c r="G2794" s="100">
        <v>3422</v>
      </c>
    </row>
    <row r="2795" spans="2:7">
      <c r="B2795" s="118" t="s">
        <v>2873</v>
      </c>
      <c r="C2795" s="119">
        <v>3295</v>
      </c>
      <c r="E2795" s="96" t="s">
        <v>2291</v>
      </c>
      <c r="F2795" s="96" t="s">
        <v>164</v>
      </c>
      <c r="G2795" s="100">
        <v>3437</v>
      </c>
    </row>
    <row r="2796" spans="2:7">
      <c r="B2796" s="118" t="s">
        <v>2828</v>
      </c>
      <c r="C2796" s="119">
        <v>3251</v>
      </c>
      <c r="E2796" s="96" t="s">
        <v>2292</v>
      </c>
      <c r="F2796" s="96" t="s">
        <v>164</v>
      </c>
      <c r="G2796" s="100">
        <v>3822</v>
      </c>
    </row>
    <row r="2797" spans="2:7">
      <c r="B2797" s="118" t="s">
        <v>2265</v>
      </c>
      <c r="C2797" s="119">
        <v>3257</v>
      </c>
      <c r="E2797" s="96" t="s">
        <v>2293</v>
      </c>
      <c r="F2797" s="96" t="s">
        <v>164</v>
      </c>
      <c r="G2797" s="100">
        <v>3775</v>
      </c>
    </row>
    <row r="2798" spans="2:7">
      <c r="B2798" s="118" t="s">
        <v>2368</v>
      </c>
      <c r="C2798" s="119">
        <v>3426</v>
      </c>
      <c r="E2798" s="96" t="s">
        <v>2294</v>
      </c>
      <c r="F2798" s="96" t="s">
        <v>164</v>
      </c>
      <c r="G2798" s="100">
        <v>3326</v>
      </c>
    </row>
    <row r="2799" spans="2:7">
      <c r="B2799" s="118" t="s">
        <v>2430</v>
      </c>
      <c r="C2799" s="119">
        <v>3473</v>
      </c>
      <c r="E2799" s="96" t="s">
        <v>2295</v>
      </c>
      <c r="F2799" s="96" t="s">
        <v>164</v>
      </c>
      <c r="G2799" s="100">
        <v>4537</v>
      </c>
    </row>
    <row r="2800" spans="2:7">
      <c r="B2800" s="118" t="s">
        <v>2874</v>
      </c>
      <c r="C2800" s="119">
        <v>3323</v>
      </c>
      <c r="E2800" s="96" t="s">
        <v>2296</v>
      </c>
      <c r="F2800" s="96" t="s">
        <v>164</v>
      </c>
      <c r="G2800" s="100">
        <v>2738</v>
      </c>
    </row>
    <row r="2801" spans="2:7">
      <c r="B2801" s="118" t="s">
        <v>2190</v>
      </c>
      <c r="C2801" s="119">
        <v>3400</v>
      </c>
      <c r="E2801" s="96" t="s">
        <v>2297</v>
      </c>
      <c r="F2801" s="96" t="s">
        <v>164</v>
      </c>
      <c r="G2801" s="100">
        <v>3380</v>
      </c>
    </row>
    <row r="2802" spans="2:7">
      <c r="B2802" s="118" t="s">
        <v>2875</v>
      </c>
      <c r="C2802" s="119">
        <v>3413</v>
      </c>
      <c r="E2802" s="96" t="s">
        <v>2298</v>
      </c>
      <c r="F2802" s="96" t="s">
        <v>164</v>
      </c>
      <c r="G2802" s="100">
        <v>3703</v>
      </c>
    </row>
    <row r="2803" spans="2:7">
      <c r="B2803" s="118" t="s">
        <v>2270</v>
      </c>
      <c r="C2803" s="119">
        <v>3414</v>
      </c>
      <c r="E2803" s="96" t="s">
        <v>2299</v>
      </c>
      <c r="F2803" s="96" t="s">
        <v>164</v>
      </c>
      <c r="G2803" s="100">
        <v>3252</v>
      </c>
    </row>
    <row r="2804" spans="2:7">
      <c r="B2804" s="118" t="s">
        <v>2308</v>
      </c>
      <c r="C2804" s="119">
        <v>3472</v>
      </c>
      <c r="E2804" s="96" t="s">
        <v>2300</v>
      </c>
      <c r="F2804" s="96" t="s">
        <v>164</v>
      </c>
      <c r="G2804" s="100">
        <v>3283</v>
      </c>
    </row>
    <row r="2805" spans="2:7">
      <c r="B2805" s="118" t="s">
        <v>2876</v>
      </c>
      <c r="C2805" s="119">
        <v>3422</v>
      </c>
      <c r="E2805" s="96" t="s">
        <v>2301</v>
      </c>
      <c r="F2805" s="96" t="s">
        <v>164</v>
      </c>
      <c r="G2805" s="100">
        <v>3754</v>
      </c>
    </row>
    <row r="2806" spans="2:7">
      <c r="B2806" s="118" t="s">
        <v>2305</v>
      </c>
      <c r="C2806" s="119">
        <v>3423</v>
      </c>
      <c r="E2806" s="96" t="s">
        <v>2302</v>
      </c>
      <c r="F2806" s="96" t="s">
        <v>164</v>
      </c>
      <c r="G2806" s="100">
        <v>3662</v>
      </c>
    </row>
    <row r="2807" spans="2:7">
      <c r="B2807" s="118" t="s">
        <v>2877</v>
      </c>
      <c r="C2807" s="119">
        <v>3424</v>
      </c>
      <c r="E2807" s="96" t="s">
        <v>2303</v>
      </c>
      <c r="F2807" s="96" t="s">
        <v>164</v>
      </c>
      <c r="G2807" s="100">
        <v>3425</v>
      </c>
    </row>
    <row r="2808" spans="2:7">
      <c r="B2808" s="118" t="s">
        <v>2878</v>
      </c>
      <c r="C2808" s="119">
        <v>3424</v>
      </c>
      <c r="E2808" s="96" t="s">
        <v>2304</v>
      </c>
      <c r="F2808" s="96" t="s">
        <v>164</v>
      </c>
      <c r="G2808" s="100">
        <v>3628</v>
      </c>
    </row>
    <row r="2809" spans="2:7">
      <c r="B2809" s="118" t="s">
        <v>2303</v>
      </c>
      <c r="C2809" s="119">
        <v>3425</v>
      </c>
      <c r="E2809" s="96" t="s">
        <v>2305</v>
      </c>
      <c r="F2809" s="96" t="s">
        <v>164</v>
      </c>
      <c r="G2809" s="100">
        <v>3423</v>
      </c>
    </row>
    <row r="2810" spans="2:7">
      <c r="B2810" s="118" t="s">
        <v>2595</v>
      </c>
      <c r="C2810" s="119">
        <v>3472</v>
      </c>
      <c r="E2810" s="96" t="s">
        <v>2306</v>
      </c>
      <c r="F2810" s="96" t="s">
        <v>164</v>
      </c>
      <c r="G2810" s="100">
        <v>2615</v>
      </c>
    </row>
    <row r="2811" spans="2:7">
      <c r="B2811" s="118" t="s">
        <v>1590</v>
      </c>
      <c r="C2811" s="119">
        <v>3415</v>
      </c>
      <c r="E2811" s="96" t="s">
        <v>2307</v>
      </c>
      <c r="F2811" s="96" t="s">
        <v>164</v>
      </c>
      <c r="G2811" s="100">
        <v>2558</v>
      </c>
    </row>
    <row r="2812" spans="2:7">
      <c r="B2812" s="118" t="s">
        <v>1588</v>
      </c>
      <c r="C2812" s="119">
        <v>3415</v>
      </c>
      <c r="E2812" s="96" t="s">
        <v>2308</v>
      </c>
      <c r="F2812" s="96" t="s">
        <v>164</v>
      </c>
      <c r="G2812" s="100">
        <v>3404</v>
      </c>
    </row>
    <row r="2813" spans="2:7">
      <c r="B2813" s="118" t="s">
        <v>1589</v>
      </c>
      <c r="C2813" s="119">
        <v>3419</v>
      </c>
      <c r="E2813" s="96" t="s">
        <v>2309</v>
      </c>
      <c r="F2813" s="96" t="s">
        <v>164</v>
      </c>
      <c r="G2813" s="100">
        <v>2605</v>
      </c>
    </row>
    <row r="2814" spans="2:7">
      <c r="B2814" s="118" t="s">
        <v>2879</v>
      </c>
      <c r="C2814" s="119">
        <v>3432</v>
      </c>
      <c r="E2814" s="96" t="s">
        <v>2310</v>
      </c>
      <c r="F2814" s="96" t="s">
        <v>164</v>
      </c>
      <c r="G2814" s="100">
        <v>2603</v>
      </c>
    </row>
    <row r="2815" spans="2:7">
      <c r="B2815" s="118" t="s">
        <v>2880</v>
      </c>
      <c r="C2815" s="119">
        <v>3433</v>
      </c>
      <c r="E2815" s="96" t="s">
        <v>2311</v>
      </c>
      <c r="F2815" s="96" t="s">
        <v>164</v>
      </c>
      <c r="G2815" s="100">
        <v>2553</v>
      </c>
    </row>
    <row r="2816" spans="2:7">
      <c r="B2816" s="118" t="s">
        <v>2863</v>
      </c>
      <c r="C2816" s="119">
        <v>3513</v>
      </c>
      <c r="E2816" s="96" t="s">
        <v>2312</v>
      </c>
      <c r="F2816" s="96" t="s">
        <v>164</v>
      </c>
      <c r="G2816" s="100">
        <v>3116</v>
      </c>
    </row>
    <row r="2817" spans="2:7">
      <c r="B2817" s="118" t="s">
        <v>2324</v>
      </c>
      <c r="C2817" s="119">
        <v>3412</v>
      </c>
      <c r="E2817" s="96" t="s">
        <v>2313</v>
      </c>
      <c r="F2817" s="96" t="s">
        <v>164</v>
      </c>
      <c r="G2817" s="100">
        <v>3507</v>
      </c>
    </row>
    <row r="2818" spans="2:7">
      <c r="B2818" s="118" t="s">
        <v>2875</v>
      </c>
      <c r="C2818" s="119">
        <v>3413</v>
      </c>
      <c r="E2818" s="96" t="s">
        <v>2314</v>
      </c>
      <c r="F2818" s="96" t="s">
        <v>164</v>
      </c>
      <c r="G2818" s="100">
        <v>3088</v>
      </c>
    </row>
    <row r="2819" spans="2:7">
      <c r="B2819" s="118" t="s">
        <v>2881</v>
      </c>
      <c r="C2819" s="119">
        <v>3415</v>
      </c>
      <c r="E2819" s="96" t="s">
        <v>2315</v>
      </c>
      <c r="F2819" s="96" t="s">
        <v>164</v>
      </c>
      <c r="G2819" s="100">
        <v>3512</v>
      </c>
    </row>
    <row r="2820" spans="2:7">
      <c r="B2820" s="118" t="s">
        <v>2363</v>
      </c>
      <c r="C2820" s="119">
        <v>3416</v>
      </c>
      <c r="E2820" s="96" t="s">
        <v>2316</v>
      </c>
      <c r="F2820" s="96" t="s">
        <v>164</v>
      </c>
      <c r="G2820" s="100">
        <v>3762</v>
      </c>
    </row>
    <row r="2821" spans="2:7">
      <c r="B2821" s="118" t="s">
        <v>2882</v>
      </c>
      <c r="C2821" s="119">
        <v>3418</v>
      </c>
      <c r="E2821" s="96" t="s">
        <v>2317</v>
      </c>
      <c r="F2821" s="96" t="s">
        <v>164</v>
      </c>
      <c r="G2821" s="100">
        <v>4538</v>
      </c>
    </row>
    <row r="2822" spans="2:7">
      <c r="B2822" s="118" t="s">
        <v>2308</v>
      </c>
      <c r="C2822" s="119">
        <v>3472</v>
      </c>
      <c r="E2822" s="96" t="s">
        <v>2318</v>
      </c>
      <c r="F2822" s="96" t="s">
        <v>164</v>
      </c>
      <c r="G2822" s="100">
        <v>3362</v>
      </c>
    </row>
    <row r="2823" spans="2:7">
      <c r="B2823" s="118" t="s">
        <v>2568</v>
      </c>
      <c r="C2823" s="119">
        <v>3429</v>
      </c>
      <c r="E2823" s="96" t="s">
        <v>2319</v>
      </c>
      <c r="F2823" s="96" t="s">
        <v>164</v>
      </c>
      <c r="G2823" s="100">
        <v>2606</v>
      </c>
    </row>
    <row r="2824" spans="2:7">
      <c r="B2824" s="118" t="s">
        <v>2284</v>
      </c>
      <c r="C2824" s="119">
        <v>3324</v>
      </c>
      <c r="E2824" s="96" t="s">
        <v>2320</v>
      </c>
      <c r="F2824" s="96" t="s">
        <v>164</v>
      </c>
      <c r="G2824" s="100">
        <v>2564</v>
      </c>
    </row>
    <row r="2825" spans="2:7">
      <c r="B2825" s="118" t="s">
        <v>2883</v>
      </c>
      <c r="C2825" s="119">
        <v>3324</v>
      </c>
      <c r="E2825" s="96" t="s">
        <v>2321</v>
      </c>
      <c r="F2825" s="96" t="s">
        <v>164</v>
      </c>
      <c r="G2825" s="100">
        <v>4923</v>
      </c>
    </row>
    <row r="2826" spans="2:7">
      <c r="B2826" s="118" t="s">
        <v>2884</v>
      </c>
      <c r="C2826" s="119">
        <v>3325</v>
      </c>
      <c r="E2826" s="96" t="s">
        <v>2322</v>
      </c>
      <c r="F2826" s="96" t="s">
        <v>164</v>
      </c>
      <c r="G2826" s="100">
        <v>3153</v>
      </c>
    </row>
    <row r="2827" spans="2:7">
      <c r="B2827" s="118" t="s">
        <v>2336</v>
      </c>
      <c r="C2827" s="119">
        <v>3421</v>
      </c>
      <c r="E2827" s="96" t="s">
        <v>2323</v>
      </c>
      <c r="F2827" s="96" t="s">
        <v>164</v>
      </c>
      <c r="G2827" s="100">
        <v>3532</v>
      </c>
    </row>
    <row r="2828" spans="2:7">
      <c r="B2828" s="118" t="s">
        <v>2572</v>
      </c>
      <c r="C2828" s="119">
        <v>3429</v>
      </c>
      <c r="E2828" s="96" t="s">
        <v>2324</v>
      </c>
      <c r="F2828" s="96" t="s">
        <v>164</v>
      </c>
      <c r="G2828" s="100">
        <v>3412</v>
      </c>
    </row>
    <row r="2829" spans="2:7">
      <c r="B2829" s="118" t="s">
        <v>2442</v>
      </c>
      <c r="C2829" s="119">
        <v>3309</v>
      </c>
      <c r="E2829" s="96" t="s">
        <v>2325</v>
      </c>
      <c r="F2829" s="96" t="s">
        <v>164</v>
      </c>
      <c r="G2829" s="100">
        <v>3296</v>
      </c>
    </row>
    <row r="2830" spans="2:7">
      <c r="B2830" s="118" t="s">
        <v>2190</v>
      </c>
      <c r="C2830" s="119">
        <v>3400</v>
      </c>
      <c r="E2830" s="96" t="s">
        <v>2326</v>
      </c>
      <c r="F2830" s="96" t="s">
        <v>164</v>
      </c>
      <c r="G2830" s="100">
        <v>3615</v>
      </c>
    </row>
    <row r="2831" spans="2:7">
      <c r="B2831" s="118" t="s">
        <v>2876</v>
      </c>
      <c r="C2831" s="119">
        <v>3422</v>
      </c>
      <c r="E2831" s="96" t="s">
        <v>2327</v>
      </c>
      <c r="F2831" s="96" t="s">
        <v>164</v>
      </c>
      <c r="G2831" s="100">
        <v>3365</v>
      </c>
    </row>
    <row r="2832" spans="2:7">
      <c r="B2832" s="118" t="s">
        <v>2303</v>
      </c>
      <c r="C2832" s="119">
        <v>3425</v>
      </c>
      <c r="E2832" s="96" t="s">
        <v>2328</v>
      </c>
      <c r="F2832" s="96" t="s">
        <v>164</v>
      </c>
      <c r="G2832" s="100">
        <v>3158</v>
      </c>
    </row>
    <row r="2833" spans="2:7">
      <c r="B2833" s="118" t="s">
        <v>2884</v>
      </c>
      <c r="C2833" s="119">
        <v>3325</v>
      </c>
      <c r="E2833" s="96" t="s">
        <v>2329</v>
      </c>
      <c r="F2833" s="96" t="s">
        <v>164</v>
      </c>
      <c r="G2833" s="100">
        <v>4917</v>
      </c>
    </row>
    <row r="2834" spans="2:7">
      <c r="B2834" s="118" t="s">
        <v>2294</v>
      </c>
      <c r="C2834" s="119">
        <v>3326</v>
      </c>
      <c r="E2834" s="96" t="s">
        <v>2330</v>
      </c>
      <c r="F2834" s="96" t="s">
        <v>164</v>
      </c>
      <c r="G2834" s="100">
        <v>3293</v>
      </c>
    </row>
    <row r="2835" spans="2:7">
      <c r="B2835" s="118" t="s">
        <v>2284</v>
      </c>
      <c r="C2835" s="119">
        <v>3324</v>
      </c>
      <c r="E2835" s="96" t="s">
        <v>2331</v>
      </c>
      <c r="F2835" s="96" t="s">
        <v>164</v>
      </c>
      <c r="G2835" s="100">
        <v>4938</v>
      </c>
    </row>
    <row r="2836" spans="2:7">
      <c r="B2836" s="118" t="s">
        <v>2336</v>
      </c>
      <c r="C2836" s="119">
        <v>3421</v>
      </c>
      <c r="E2836" s="96" t="s">
        <v>2332</v>
      </c>
      <c r="F2836" s="96" t="s">
        <v>164</v>
      </c>
      <c r="G2836" s="100">
        <v>4536</v>
      </c>
    </row>
    <row r="2837" spans="2:7">
      <c r="B2837" s="118" t="s">
        <v>2885</v>
      </c>
      <c r="C2837" s="119">
        <v>3422</v>
      </c>
      <c r="E2837" s="96" t="s">
        <v>2333</v>
      </c>
      <c r="F2837" s="96" t="s">
        <v>164</v>
      </c>
      <c r="G2837" s="100">
        <v>3555</v>
      </c>
    </row>
    <row r="2838" spans="2:7">
      <c r="B2838" s="118" t="s">
        <v>2270</v>
      </c>
      <c r="C2838" s="119">
        <v>3414</v>
      </c>
      <c r="E2838" s="96" t="s">
        <v>2334</v>
      </c>
      <c r="F2838" s="96" t="s">
        <v>164</v>
      </c>
      <c r="G2838" s="100">
        <v>2738</v>
      </c>
    </row>
    <row r="2839" spans="2:7">
      <c r="B2839" s="118" t="s">
        <v>2336</v>
      </c>
      <c r="C2839" s="119">
        <v>3421</v>
      </c>
      <c r="E2839" s="96" t="s">
        <v>2335</v>
      </c>
      <c r="F2839" s="96" t="s">
        <v>164</v>
      </c>
      <c r="G2839" s="100">
        <v>3235</v>
      </c>
    </row>
    <row r="2840" spans="2:7">
      <c r="B2840" s="118" t="s">
        <v>2886</v>
      </c>
      <c r="C2840" s="119">
        <v>3422</v>
      </c>
      <c r="E2840" s="96" t="s">
        <v>2336</v>
      </c>
      <c r="F2840" s="96" t="s">
        <v>164</v>
      </c>
      <c r="G2840" s="100">
        <v>3421</v>
      </c>
    </row>
    <row r="2841" spans="2:7">
      <c r="B2841" s="118" t="s">
        <v>2885</v>
      </c>
      <c r="C2841" s="119">
        <v>3422</v>
      </c>
      <c r="E2841" s="96" t="s">
        <v>2337</v>
      </c>
      <c r="F2841" s="96" t="s">
        <v>164</v>
      </c>
      <c r="G2841" s="100">
        <v>4952</v>
      </c>
    </row>
    <row r="2842" spans="2:7">
      <c r="B2842" s="118" t="s">
        <v>2595</v>
      </c>
      <c r="C2842" s="119">
        <v>3472</v>
      </c>
      <c r="E2842" s="96" t="s">
        <v>2338</v>
      </c>
      <c r="F2842" s="96" t="s">
        <v>164</v>
      </c>
      <c r="G2842" s="100">
        <v>3225</v>
      </c>
    </row>
    <row r="2843" spans="2:7">
      <c r="B2843" s="118" t="s">
        <v>2887</v>
      </c>
      <c r="C2843" s="119">
        <v>3421</v>
      </c>
      <c r="E2843" s="96" t="s">
        <v>2339</v>
      </c>
      <c r="F2843" s="96" t="s">
        <v>164</v>
      </c>
      <c r="G2843" s="100">
        <v>2608</v>
      </c>
    </row>
    <row r="2844" spans="2:7">
      <c r="B2844" s="118" t="s">
        <v>2613</v>
      </c>
      <c r="C2844" s="119">
        <v>3425</v>
      </c>
      <c r="E2844" s="96" t="s">
        <v>2340</v>
      </c>
      <c r="F2844" s="96" t="s">
        <v>164</v>
      </c>
      <c r="G2844" s="100">
        <v>2572</v>
      </c>
    </row>
    <row r="2845" spans="2:7">
      <c r="B2845" s="118" t="s">
        <v>2888</v>
      </c>
      <c r="C2845" s="119">
        <v>3464</v>
      </c>
      <c r="E2845" s="96" t="s">
        <v>2341</v>
      </c>
      <c r="F2845" s="96" t="s">
        <v>164</v>
      </c>
      <c r="G2845" s="100">
        <v>3127</v>
      </c>
    </row>
    <row r="2846" spans="2:7">
      <c r="B2846" s="118" t="s">
        <v>2308</v>
      </c>
      <c r="C2846" s="119">
        <v>3472</v>
      </c>
      <c r="E2846" s="96" t="s">
        <v>2342</v>
      </c>
      <c r="F2846" s="96" t="s">
        <v>164</v>
      </c>
      <c r="G2846" s="100">
        <v>3533</v>
      </c>
    </row>
    <row r="2847" spans="2:7">
      <c r="B2847" s="118" t="s">
        <v>2889</v>
      </c>
      <c r="C2847" s="119">
        <v>3474</v>
      </c>
      <c r="E2847" s="96" t="s">
        <v>2343</v>
      </c>
      <c r="F2847" s="96" t="s">
        <v>164</v>
      </c>
      <c r="G2847" s="100">
        <v>3556</v>
      </c>
    </row>
    <row r="2848" spans="2:7">
      <c r="B2848" s="118" t="s">
        <v>2890</v>
      </c>
      <c r="C2848" s="119">
        <v>2534</v>
      </c>
      <c r="E2848" s="96" t="s">
        <v>2344</v>
      </c>
      <c r="F2848" s="96" t="s">
        <v>164</v>
      </c>
      <c r="G2848" s="100">
        <v>3772</v>
      </c>
    </row>
    <row r="2849" spans="2:7">
      <c r="B2849" s="118" t="s">
        <v>2319</v>
      </c>
      <c r="C2849" s="119">
        <v>2606</v>
      </c>
      <c r="E2849" s="96" t="s">
        <v>2345</v>
      </c>
      <c r="F2849" s="96" t="s">
        <v>164</v>
      </c>
      <c r="G2849" s="100">
        <v>2554</v>
      </c>
    </row>
    <row r="2850" spans="2:7">
      <c r="B2850" s="118" t="s">
        <v>2891</v>
      </c>
      <c r="C2850" s="119">
        <v>2608</v>
      </c>
      <c r="E2850" s="96" t="s">
        <v>2346</v>
      </c>
      <c r="F2850" s="96" t="s">
        <v>164</v>
      </c>
      <c r="G2850" s="100">
        <v>3718</v>
      </c>
    </row>
    <row r="2851" spans="2:7">
      <c r="B2851" s="118" t="s">
        <v>2892</v>
      </c>
      <c r="C2851" s="119">
        <v>2720</v>
      </c>
      <c r="E2851" s="96" t="s">
        <v>2347</v>
      </c>
      <c r="F2851" s="96" t="s">
        <v>164</v>
      </c>
      <c r="G2851" s="100">
        <v>3673</v>
      </c>
    </row>
    <row r="2852" spans="2:7">
      <c r="B2852" s="118" t="s">
        <v>2891</v>
      </c>
      <c r="C2852" s="119">
        <v>2608</v>
      </c>
      <c r="E2852" s="96" t="s">
        <v>2348</v>
      </c>
      <c r="F2852" s="96" t="s">
        <v>164</v>
      </c>
      <c r="G2852" s="100">
        <v>3766</v>
      </c>
    </row>
    <row r="2853" spans="2:7">
      <c r="B2853" s="118" t="s">
        <v>2893</v>
      </c>
      <c r="C2853" s="119">
        <v>2610</v>
      </c>
      <c r="E2853" s="96" t="s">
        <v>2349</v>
      </c>
      <c r="F2853" s="96" t="s">
        <v>164</v>
      </c>
      <c r="G2853" s="100">
        <v>3271</v>
      </c>
    </row>
    <row r="2854" spans="2:7">
      <c r="B2854" s="118" t="s">
        <v>2453</v>
      </c>
      <c r="C2854" s="119">
        <v>2612</v>
      </c>
      <c r="E2854" s="96" t="s">
        <v>2350</v>
      </c>
      <c r="F2854" s="96" t="s">
        <v>164</v>
      </c>
      <c r="G2854" s="100">
        <v>3297</v>
      </c>
    </row>
    <row r="2855" spans="2:7">
      <c r="B2855" s="118" t="s">
        <v>2385</v>
      </c>
      <c r="C2855" s="119">
        <v>2613</v>
      </c>
      <c r="E2855" s="96" t="s">
        <v>2351</v>
      </c>
      <c r="F2855" s="96" t="s">
        <v>164</v>
      </c>
      <c r="G2855" s="100">
        <v>3206</v>
      </c>
    </row>
    <row r="2856" spans="2:7">
      <c r="B2856" s="118" t="s">
        <v>2409</v>
      </c>
      <c r="C2856" s="119">
        <v>2607</v>
      </c>
      <c r="E2856" s="96" t="s">
        <v>2352</v>
      </c>
      <c r="F2856" s="96" t="s">
        <v>164</v>
      </c>
      <c r="G2856" s="100">
        <v>2615</v>
      </c>
    </row>
    <row r="2857" spans="2:7">
      <c r="B2857" s="118" t="s">
        <v>2891</v>
      </c>
      <c r="C2857" s="119">
        <v>2608</v>
      </c>
      <c r="E2857" s="96" t="s">
        <v>2353</v>
      </c>
      <c r="F2857" s="96" t="s">
        <v>164</v>
      </c>
      <c r="G2857" s="100">
        <v>3202</v>
      </c>
    </row>
    <row r="2858" spans="2:7">
      <c r="B2858" s="118" t="s">
        <v>2582</v>
      </c>
      <c r="C2858" s="119">
        <v>2723</v>
      </c>
      <c r="E2858" s="96" t="s">
        <v>2354</v>
      </c>
      <c r="F2858" s="96" t="s">
        <v>164</v>
      </c>
      <c r="G2858" s="100">
        <v>3638</v>
      </c>
    </row>
    <row r="2859" spans="2:7">
      <c r="B2859" s="118" t="s">
        <v>2339</v>
      </c>
      <c r="C2859" s="119">
        <v>2608</v>
      </c>
      <c r="E2859" s="96" t="s">
        <v>2355</v>
      </c>
      <c r="F2859" s="96" t="s">
        <v>164</v>
      </c>
      <c r="G2859" s="100">
        <v>3803</v>
      </c>
    </row>
    <row r="2860" spans="2:7">
      <c r="B2860" s="118" t="s">
        <v>2891</v>
      </c>
      <c r="C2860" s="119">
        <v>2608</v>
      </c>
      <c r="E2860" s="96" t="s">
        <v>2356</v>
      </c>
      <c r="F2860" s="96" t="s">
        <v>164</v>
      </c>
      <c r="G2860" s="100">
        <v>2534</v>
      </c>
    </row>
    <row r="2861" spans="2:7">
      <c r="B2861" s="118" t="s">
        <v>2893</v>
      </c>
      <c r="C2861" s="119">
        <v>2610</v>
      </c>
      <c r="E2861" s="96" t="s">
        <v>2357</v>
      </c>
      <c r="F2861" s="96" t="s">
        <v>164</v>
      </c>
      <c r="G2861" s="100">
        <v>3115</v>
      </c>
    </row>
    <row r="2862" spans="2:7">
      <c r="B2862" s="118" t="s">
        <v>2582</v>
      </c>
      <c r="C2862" s="119">
        <v>2723</v>
      </c>
      <c r="E2862" s="96" t="s">
        <v>2358</v>
      </c>
      <c r="F2862" s="96" t="s">
        <v>164</v>
      </c>
      <c r="G2862" s="100">
        <v>3538</v>
      </c>
    </row>
    <row r="2863" spans="2:7">
      <c r="B2863" s="118" t="s">
        <v>2441</v>
      </c>
      <c r="C2863" s="119">
        <v>2333</v>
      </c>
      <c r="E2863" s="96" t="s">
        <v>2359</v>
      </c>
      <c r="F2863" s="96" t="s">
        <v>164</v>
      </c>
      <c r="G2863" s="100">
        <v>6083</v>
      </c>
    </row>
    <row r="2864" spans="2:7">
      <c r="B2864" s="118" t="s">
        <v>2894</v>
      </c>
      <c r="C2864" s="119">
        <v>2333</v>
      </c>
      <c r="E2864" s="96" t="s">
        <v>2360</v>
      </c>
      <c r="F2864" s="96" t="s">
        <v>164</v>
      </c>
      <c r="G2864" s="100">
        <v>3086</v>
      </c>
    </row>
    <row r="2865" spans="2:7">
      <c r="B2865" s="118" t="s">
        <v>2895</v>
      </c>
      <c r="C2865" s="119">
        <v>2610</v>
      </c>
      <c r="E2865" s="96" t="s">
        <v>2361</v>
      </c>
      <c r="F2865" s="96" t="s">
        <v>164</v>
      </c>
      <c r="G2865" s="100">
        <v>4954</v>
      </c>
    </row>
    <row r="2866" spans="2:7">
      <c r="B2866" s="118" t="s">
        <v>2228</v>
      </c>
      <c r="C2866" s="119">
        <v>2720</v>
      </c>
      <c r="E2866" s="96" t="s">
        <v>2362</v>
      </c>
      <c r="F2866" s="96" t="s">
        <v>164</v>
      </c>
      <c r="G2866" s="100">
        <v>2513</v>
      </c>
    </row>
    <row r="2867" spans="2:7">
      <c r="B2867" s="118" t="s">
        <v>2582</v>
      </c>
      <c r="C2867" s="119">
        <v>2723</v>
      </c>
      <c r="E2867" s="96" t="s">
        <v>2363</v>
      </c>
      <c r="F2867" s="96" t="s">
        <v>164</v>
      </c>
      <c r="G2867" s="100">
        <v>3416</v>
      </c>
    </row>
    <row r="2868" spans="2:7">
      <c r="B2868" s="118" t="s">
        <v>2356</v>
      </c>
      <c r="C2868" s="119">
        <v>2534</v>
      </c>
      <c r="E2868" s="96" t="s">
        <v>2364</v>
      </c>
      <c r="F2868" s="96" t="s">
        <v>164</v>
      </c>
      <c r="G2868" s="100">
        <v>3723</v>
      </c>
    </row>
    <row r="2869" spans="2:7">
      <c r="B2869" s="118" t="s">
        <v>2890</v>
      </c>
      <c r="C2869" s="119">
        <v>2534</v>
      </c>
      <c r="E2869" s="96" t="s">
        <v>2365</v>
      </c>
      <c r="F2869" s="96" t="s">
        <v>164</v>
      </c>
      <c r="G2869" s="100">
        <v>3367</v>
      </c>
    </row>
    <row r="2870" spans="2:7">
      <c r="B2870" s="118" t="s">
        <v>2896</v>
      </c>
      <c r="C2870" s="119">
        <v>2535</v>
      </c>
      <c r="E2870" s="96" t="s">
        <v>2366</v>
      </c>
      <c r="F2870" s="96" t="s">
        <v>164</v>
      </c>
      <c r="G2870" s="100">
        <v>3373</v>
      </c>
    </row>
    <row r="2871" spans="2:7">
      <c r="B2871" s="118" t="s">
        <v>2897</v>
      </c>
      <c r="C2871" s="119">
        <v>2616</v>
      </c>
      <c r="E2871" s="96" t="s">
        <v>2367</v>
      </c>
      <c r="F2871" s="96" t="s">
        <v>164</v>
      </c>
      <c r="G2871" s="100">
        <v>3664</v>
      </c>
    </row>
    <row r="2872" spans="2:7">
      <c r="B2872" s="118" t="s">
        <v>2894</v>
      </c>
      <c r="C2872" s="119">
        <v>2616</v>
      </c>
      <c r="E2872" s="96" t="s">
        <v>2368</v>
      </c>
      <c r="F2872" s="96" t="s">
        <v>164</v>
      </c>
      <c r="G2872" s="100">
        <v>3426</v>
      </c>
    </row>
    <row r="2873" spans="2:7">
      <c r="B2873" s="118" t="s">
        <v>2898</v>
      </c>
      <c r="C2873" s="119">
        <v>2536</v>
      </c>
      <c r="E2873" s="96" t="s">
        <v>2369</v>
      </c>
      <c r="F2873" s="96" t="s">
        <v>164</v>
      </c>
      <c r="G2873" s="100">
        <v>3126</v>
      </c>
    </row>
    <row r="2874" spans="2:7">
      <c r="B2874" s="118" t="s">
        <v>2899</v>
      </c>
      <c r="C2874" s="119">
        <v>2538</v>
      </c>
      <c r="E2874" s="96" t="s">
        <v>2370</v>
      </c>
      <c r="F2874" s="96" t="s">
        <v>164</v>
      </c>
      <c r="G2874" s="100">
        <v>3706</v>
      </c>
    </row>
    <row r="2875" spans="2:7">
      <c r="B2875" s="118" t="s">
        <v>2900</v>
      </c>
      <c r="C2875" s="119">
        <v>2603</v>
      </c>
      <c r="E2875" s="96" t="s">
        <v>2371</v>
      </c>
      <c r="F2875" s="96" t="s">
        <v>164</v>
      </c>
      <c r="G2875" s="100">
        <v>3862</v>
      </c>
    </row>
    <row r="2876" spans="2:7">
      <c r="B2876" s="118" t="s">
        <v>2901</v>
      </c>
      <c r="C2876" s="119">
        <v>2345</v>
      </c>
      <c r="E2876" s="96" t="s">
        <v>2372</v>
      </c>
      <c r="F2876" s="96" t="s">
        <v>164</v>
      </c>
      <c r="G2876" s="100">
        <v>3323</v>
      </c>
    </row>
    <row r="2877" spans="2:7">
      <c r="B2877" s="118" t="s">
        <v>2902</v>
      </c>
      <c r="C2877" s="119">
        <v>2610</v>
      </c>
      <c r="E2877" s="96" t="s">
        <v>2373</v>
      </c>
      <c r="F2877" s="96" t="s">
        <v>164</v>
      </c>
      <c r="G2877" s="100">
        <v>3465</v>
      </c>
    </row>
    <row r="2878" spans="2:7">
      <c r="B2878" s="118" t="s">
        <v>2895</v>
      </c>
      <c r="C2878" s="119">
        <v>2610</v>
      </c>
      <c r="E2878" s="96" t="s">
        <v>2374</v>
      </c>
      <c r="F2878" s="96" t="s">
        <v>164</v>
      </c>
      <c r="G2878" s="100">
        <v>3282</v>
      </c>
    </row>
    <row r="2879" spans="2:7">
      <c r="B2879" s="118" t="s">
        <v>2903</v>
      </c>
      <c r="C2879" s="119">
        <v>2610</v>
      </c>
      <c r="E2879" s="96" t="s">
        <v>2375</v>
      </c>
      <c r="F2879" s="96" t="s">
        <v>164</v>
      </c>
      <c r="G2879" s="100">
        <v>3272</v>
      </c>
    </row>
    <row r="2880" spans="2:7">
      <c r="B2880" s="118" t="s">
        <v>2309</v>
      </c>
      <c r="C2880" s="119">
        <v>2605</v>
      </c>
      <c r="E2880" s="96" t="s">
        <v>2376</v>
      </c>
      <c r="F2880" s="96" t="s">
        <v>164</v>
      </c>
      <c r="G2880" s="100">
        <v>3624</v>
      </c>
    </row>
    <row r="2881" spans="2:7">
      <c r="B2881" s="118" t="s">
        <v>2319</v>
      </c>
      <c r="C2881" s="119">
        <v>2606</v>
      </c>
      <c r="E2881" s="96" t="s">
        <v>2377</v>
      </c>
      <c r="F2881" s="96" t="s">
        <v>164</v>
      </c>
      <c r="G2881" s="100">
        <v>3264</v>
      </c>
    </row>
    <row r="2882" spans="2:7">
      <c r="B2882" s="118" t="s">
        <v>2892</v>
      </c>
      <c r="C2882" s="119">
        <v>2720</v>
      </c>
      <c r="E2882" s="96" t="s">
        <v>2378</v>
      </c>
      <c r="F2882" s="96" t="s">
        <v>164</v>
      </c>
      <c r="G2882" s="100">
        <v>3629</v>
      </c>
    </row>
    <row r="2883" spans="2:7">
      <c r="B2883" s="118" t="s">
        <v>2441</v>
      </c>
      <c r="C2883" s="119">
        <v>2333</v>
      </c>
      <c r="E2883" s="96" t="s">
        <v>2379</v>
      </c>
      <c r="F2883" s="96" t="s">
        <v>164</v>
      </c>
      <c r="G2883" s="100">
        <v>3614</v>
      </c>
    </row>
    <row r="2884" spans="2:7">
      <c r="B2884" s="118" t="s">
        <v>2901</v>
      </c>
      <c r="C2884" s="119">
        <v>2345</v>
      </c>
      <c r="E2884" s="96" t="s">
        <v>2380</v>
      </c>
      <c r="F2884" s="96" t="s">
        <v>164</v>
      </c>
      <c r="G2884" s="100">
        <v>3647</v>
      </c>
    </row>
    <row r="2885" spans="2:7">
      <c r="B2885" s="118" t="s">
        <v>2895</v>
      </c>
      <c r="C2885" s="119">
        <v>2610</v>
      </c>
      <c r="E2885" s="96" t="s">
        <v>2381</v>
      </c>
      <c r="F2885" s="96" t="s">
        <v>164</v>
      </c>
      <c r="G2885" s="100">
        <v>3785</v>
      </c>
    </row>
    <row r="2886" spans="2:7">
      <c r="B2886" s="118" t="s">
        <v>2352</v>
      </c>
      <c r="C2886" s="119">
        <v>2615</v>
      </c>
      <c r="E2886" s="96" t="s">
        <v>2382</v>
      </c>
      <c r="F2886" s="96" t="s">
        <v>164</v>
      </c>
      <c r="G2886" s="100">
        <v>3236</v>
      </c>
    </row>
    <row r="2887" spans="2:7">
      <c r="B2887" s="118" t="s">
        <v>2904</v>
      </c>
      <c r="C2887" s="119">
        <v>2615</v>
      </c>
      <c r="E2887" s="96" t="s">
        <v>2383</v>
      </c>
      <c r="F2887" s="96" t="s">
        <v>164</v>
      </c>
      <c r="G2887" s="100">
        <v>3456</v>
      </c>
    </row>
    <row r="2888" spans="2:7">
      <c r="B2888" s="118" t="s">
        <v>2228</v>
      </c>
      <c r="C2888" s="119">
        <v>2720</v>
      </c>
      <c r="E2888" s="96" t="s">
        <v>2384</v>
      </c>
      <c r="F2888" s="96" t="s">
        <v>164</v>
      </c>
      <c r="G2888" s="100">
        <v>3508</v>
      </c>
    </row>
    <row r="2889" spans="2:7">
      <c r="B2889" s="118" t="s">
        <v>2892</v>
      </c>
      <c r="C2889" s="119">
        <v>2720</v>
      </c>
      <c r="E2889" s="96" t="s">
        <v>2385</v>
      </c>
      <c r="F2889" s="96" t="s">
        <v>164</v>
      </c>
      <c r="G2889" s="100">
        <v>2613</v>
      </c>
    </row>
    <row r="2890" spans="2:7">
      <c r="B2890" s="118" t="s">
        <v>2905</v>
      </c>
      <c r="C2890" s="119">
        <v>2722</v>
      </c>
      <c r="E2890" s="96" t="s">
        <v>2386</v>
      </c>
      <c r="F2890" s="96" t="s">
        <v>164</v>
      </c>
      <c r="G2890" s="100">
        <v>2616</v>
      </c>
    </row>
    <row r="2891" spans="2:7">
      <c r="B2891" s="118" t="s">
        <v>2582</v>
      </c>
      <c r="C2891" s="119">
        <v>2723</v>
      </c>
      <c r="E2891" s="96" t="s">
        <v>2387</v>
      </c>
      <c r="F2891" s="96" t="s">
        <v>164</v>
      </c>
      <c r="G2891" s="100">
        <v>3428</v>
      </c>
    </row>
    <row r="2892" spans="2:7">
      <c r="B2892" s="118" t="s">
        <v>993</v>
      </c>
      <c r="C2892" s="119">
        <v>2345</v>
      </c>
      <c r="E2892" s="96" t="s">
        <v>2388</v>
      </c>
      <c r="F2892" s="96" t="s">
        <v>164</v>
      </c>
      <c r="G2892" s="100">
        <v>4937</v>
      </c>
    </row>
    <row r="2893" spans="2:7">
      <c r="B2893" s="118" t="s">
        <v>2903</v>
      </c>
      <c r="C2893" s="119">
        <v>2610</v>
      </c>
      <c r="E2893" s="96" t="s">
        <v>2389</v>
      </c>
      <c r="F2893" s="96" t="s">
        <v>164</v>
      </c>
      <c r="G2893" s="100">
        <v>6197</v>
      </c>
    </row>
    <row r="2894" spans="2:7">
      <c r="B2894" s="118" t="s">
        <v>2893</v>
      </c>
      <c r="C2894" s="119">
        <v>2610</v>
      </c>
      <c r="E2894" s="96" t="s">
        <v>2390</v>
      </c>
      <c r="F2894" s="96" t="s">
        <v>164</v>
      </c>
      <c r="G2894" s="100">
        <v>3274</v>
      </c>
    </row>
    <row r="2895" spans="2:7">
      <c r="B2895" s="118" t="s">
        <v>2385</v>
      </c>
      <c r="C2895" s="119">
        <v>2613</v>
      </c>
      <c r="E2895" s="96" t="s">
        <v>2391</v>
      </c>
      <c r="F2895" s="96" t="s">
        <v>164</v>
      </c>
      <c r="G2895" s="100">
        <v>3096</v>
      </c>
    </row>
    <row r="2896" spans="2:7">
      <c r="B2896" s="118" t="s">
        <v>2896</v>
      </c>
      <c r="C2896" s="119">
        <v>2535</v>
      </c>
      <c r="E2896" s="96" t="s">
        <v>2392</v>
      </c>
      <c r="F2896" s="96" t="s">
        <v>164</v>
      </c>
      <c r="G2896" s="100">
        <v>3763</v>
      </c>
    </row>
    <row r="2897" spans="2:7">
      <c r="B2897" s="118" t="s">
        <v>2898</v>
      </c>
      <c r="C2897" s="119">
        <v>2536</v>
      </c>
      <c r="E2897" s="96" t="s">
        <v>2393</v>
      </c>
      <c r="F2897" s="96" t="s">
        <v>164</v>
      </c>
      <c r="G2897" s="100">
        <v>3263</v>
      </c>
    </row>
    <row r="2898" spans="2:7">
      <c r="B2898" s="118" t="s">
        <v>2906</v>
      </c>
      <c r="C2898" s="119">
        <v>2537</v>
      </c>
      <c r="E2898" s="96" t="s">
        <v>2394</v>
      </c>
      <c r="F2898" s="96" t="s">
        <v>164</v>
      </c>
      <c r="G2898" s="100">
        <v>3237</v>
      </c>
    </row>
    <row r="2899" spans="2:7">
      <c r="B2899" s="118" t="s">
        <v>2896</v>
      </c>
      <c r="C2899" s="119">
        <v>2535</v>
      </c>
      <c r="E2899" s="96" t="s">
        <v>2395</v>
      </c>
      <c r="F2899" s="96" t="s">
        <v>164</v>
      </c>
      <c r="G2899" s="100">
        <v>3298</v>
      </c>
    </row>
    <row r="2900" spans="2:7">
      <c r="B2900" s="118" t="s">
        <v>2900</v>
      </c>
      <c r="C2900" s="119">
        <v>2603</v>
      </c>
      <c r="E2900" s="96" t="s">
        <v>2396</v>
      </c>
      <c r="F2900" s="96" t="s">
        <v>164</v>
      </c>
      <c r="G2900" s="100">
        <v>3295</v>
      </c>
    </row>
    <row r="2901" spans="2:7">
      <c r="B2901" s="118" t="s">
        <v>2907</v>
      </c>
      <c r="C2901" s="119">
        <v>2604</v>
      </c>
      <c r="E2901" s="96" t="s">
        <v>2397</v>
      </c>
      <c r="F2901" s="96" t="s">
        <v>164</v>
      </c>
      <c r="G2901" s="100">
        <v>3663</v>
      </c>
    </row>
    <row r="2902" spans="2:7">
      <c r="B2902" s="118" t="s">
        <v>2296</v>
      </c>
      <c r="C2902" s="119">
        <v>2732</v>
      </c>
      <c r="E2902" s="96" t="s">
        <v>2398</v>
      </c>
      <c r="F2902" s="96" t="s">
        <v>164</v>
      </c>
      <c r="G2902" s="100">
        <v>3782</v>
      </c>
    </row>
    <row r="2903" spans="2:7">
      <c r="B2903" s="118" t="s">
        <v>2908</v>
      </c>
      <c r="C2903" s="119">
        <v>2735</v>
      </c>
      <c r="E2903" s="96" t="s">
        <v>2399</v>
      </c>
      <c r="F2903" s="96" t="s">
        <v>164</v>
      </c>
      <c r="G2903" s="100">
        <v>3633</v>
      </c>
    </row>
    <row r="2904" spans="2:7">
      <c r="B2904" s="118" t="s">
        <v>2428</v>
      </c>
      <c r="C2904" s="119">
        <v>3237</v>
      </c>
      <c r="E2904" s="96" t="s">
        <v>2400</v>
      </c>
      <c r="F2904" s="96" t="s">
        <v>164</v>
      </c>
      <c r="G2904" s="100">
        <v>2606</v>
      </c>
    </row>
    <row r="2905" spans="2:7">
      <c r="B2905" s="118" t="s">
        <v>2252</v>
      </c>
      <c r="C2905" s="119">
        <v>3232</v>
      </c>
      <c r="E2905" s="96" t="s">
        <v>2401</v>
      </c>
      <c r="F2905" s="96" t="s">
        <v>164</v>
      </c>
      <c r="G2905" s="100">
        <v>3238</v>
      </c>
    </row>
    <row r="2906" spans="2:7">
      <c r="B2906" s="118" t="s">
        <v>2461</v>
      </c>
      <c r="C2906" s="119">
        <v>3233</v>
      </c>
      <c r="E2906" s="96" t="s">
        <v>2402</v>
      </c>
      <c r="F2906" s="96" t="s">
        <v>164</v>
      </c>
      <c r="G2906" s="100">
        <v>3755</v>
      </c>
    </row>
    <row r="2907" spans="2:7">
      <c r="B2907" s="118" t="s">
        <v>2335</v>
      </c>
      <c r="C2907" s="119">
        <v>3235</v>
      </c>
      <c r="E2907" s="96" t="s">
        <v>2403</v>
      </c>
      <c r="F2907" s="96" t="s">
        <v>164</v>
      </c>
      <c r="G2907" s="100">
        <v>3617</v>
      </c>
    </row>
    <row r="2908" spans="2:7">
      <c r="B2908" s="118" t="s">
        <v>2438</v>
      </c>
      <c r="C2908" s="119">
        <v>2577</v>
      </c>
      <c r="E2908" s="96" t="s">
        <v>2404</v>
      </c>
      <c r="F2908" s="96" t="s">
        <v>164</v>
      </c>
      <c r="G2908" s="100">
        <v>3716</v>
      </c>
    </row>
    <row r="2909" spans="2:7">
      <c r="B2909" s="118" t="s">
        <v>1356</v>
      </c>
      <c r="C2909" s="119">
        <v>2525</v>
      </c>
      <c r="E2909" s="96" t="s">
        <v>2405</v>
      </c>
      <c r="F2909" s="96" t="s">
        <v>164</v>
      </c>
      <c r="G2909" s="100">
        <v>3634</v>
      </c>
    </row>
    <row r="2910" spans="2:7">
      <c r="B2910" s="118" t="s">
        <v>2335</v>
      </c>
      <c r="C2910" s="119">
        <v>3235</v>
      </c>
      <c r="E2910" s="96" t="s">
        <v>2406</v>
      </c>
      <c r="F2910" s="96" t="s">
        <v>164</v>
      </c>
      <c r="G2910" s="100">
        <v>2513</v>
      </c>
    </row>
    <row r="2911" spans="2:7">
      <c r="B2911" s="118" t="s">
        <v>2401</v>
      </c>
      <c r="C2911" s="119">
        <v>3238</v>
      </c>
      <c r="E2911" s="96" t="s">
        <v>2407</v>
      </c>
      <c r="F2911" s="96" t="s">
        <v>164</v>
      </c>
      <c r="G2911" s="100">
        <v>3531</v>
      </c>
    </row>
    <row r="2912" spans="2:7">
      <c r="B2912" s="118" t="s">
        <v>2382</v>
      </c>
      <c r="C2912" s="119">
        <v>3236</v>
      </c>
      <c r="E2912" s="96" t="s">
        <v>2408</v>
      </c>
      <c r="F2912" s="96" t="s">
        <v>164</v>
      </c>
      <c r="G2912" s="100">
        <v>4955</v>
      </c>
    </row>
    <row r="2913" spans="2:7">
      <c r="B2913" s="118" t="s">
        <v>2252</v>
      </c>
      <c r="C2913" s="119">
        <v>3232</v>
      </c>
      <c r="E2913" s="96" t="s">
        <v>2409</v>
      </c>
      <c r="F2913" s="96" t="s">
        <v>164</v>
      </c>
      <c r="G2913" s="100">
        <v>2607</v>
      </c>
    </row>
    <row r="2914" spans="2:7">
      <c r="B2914" s="118" t="s">
        <v>2382</v>
      </c>
      <c r="C2914" s="119">
        <v>3236</v>
      </c>
      <c r="E2914" s="96" t="s">
        <v>2410</v>
      </c>
      <c r="F2914" s="96" t="s">
        <v>164</v>
      </c>
      <c r="G2914" s="100">
        <v>3368</v>
      </c>
    </row>
    <row r="2915" spans="2:7">
      <c r="B2915" s="118" t="s">
        <v>2566</v>
      </c>
      <c r="C2915" s="119">
        <v>2575</v>
      </c>
      <c r="E2915" s="96" t="s">
        <v>2411</v>
      </c>
      <c r="F2915" s="96" t="s">
        <v>164</v>
      </c>
      <c r="G2915" s="100">
        <v>3635</v>
      </c>
    </row>
    <row r="2916" spans="2:7">
      <c r="B2916" s="118" t="s">
        <v>2440</v>
      </c>
      <c r="C2916" s="119">
        <v>2576</v>
      </c>
      <c r="E2916" s="96" t="s">
        <v>2412</v>
      </c>
      <c r="F2916" s="96" t="s">
        <v>164</v>
      </c>
      <c r="G2916" s="100">
        <v>3625</v>
      </c>
    </row>
    <row r="2917" spans="2:7">
      <c r="B2917" s="118" t="s">
        <v>2338</v>
      </c>
      <c r="C2917" s="119">
        <v>3225</v>
      </c>
      <c r="E2917" s="96" t="s">
        <v>2413</v>
      </c>
      <c r="F2917" s="96" t="s">
        <v>164</v>
      </c>
      <c r="G2917" s="100">
        <v>4913</v>
      </c>
    </row>
    <row r="2918" spans="2:7">
      <c r="B2918" s="118" t="s">
        <v>2909</v>
      </c>
      <c r="C2918" s="119">
        <v>2577</v>
      </c>
      <c r="E2918" s="96" t="s">
        <v>2414</v>
      </c>
      <c r="F2918" s="96" t="s">
        <v>164</v>
      </c>
      <c r="G2918" s="100">
        <v>2556</v>
      </c>
    </row>
    <row r="2919" spans="2:7">
      <c r="B2919" s="118" t="s">
        <v>2468</v>
      </c>
      <c r="C2919" s="119">
        <v>3226</v>
      </c>
      <c r="E2919" s="96" t="s">
        <v>2415</v>
      </c>
      <c r="F2919" s="96" t="s">
        <v>164</v>
      </c>
      <c r="G2919" s="100">
        <v>2565</v>
      </c>
    </row>
    <row r="2920" spans="2:7">
      <c r="B2920" s="118" t="s">
        <v>2461</v>
      </c>
      <c r="C2920" s="119">
        <v>3233</v>
      </c>
      <c r="E2920" s="96" t="s">
        <v>2416</v>
      </c>
      <c r="F2920" s="96" t="s">
        <v>164</v>
      </c>
      <c r="G2920" s="100">
        <v>3629</v>
      </c>
    </row>
    <row r="2921" spans="2:7">
      <c r="B2921" s="118" t="s">
        <v>2440</v>
      </c>
      <c r="C2921" s="119">
        <v>2576</v>
      </c>
      <c r="E2921" s="96" t="s">
        <v>2417</v>
      </c>
      <c r="F2921" s="96" t="s">
        <v>164</v>
      </c>
      <c r="G2921" s="100">
        <v>3804</v>
      </c>
    </row>
    <row r="2922" spans="2:7">
      <c r="B2922" s="118" t="s">
        <v>2394</v>
      </c>
      <c r="C2922" s="119">
        <v>3234</v>
      </c>
      <c r="E2922" s="96" t="s">
        <v>2418</v>
      </c>
      <c r="F2922" s="96" t="s">
        <v>164</v>
      </c>
      <c r="G2922" s="100">
        <v>3366</v>
      </c>
    </row>
    <row r="2923" spans="2:7">
      <c r="B2923" s="118" t="s">
        <v>2910</v>
      </c>
      <c r="C2923" s="119">
        <v>3314</v>
      </c>
      <c r="E2923" s="96" t="s">
        <v>2419</v>
      </c>
      <c r="F2923" s="96" t="s">
        <v>164</v>
      </c>
      <c r="G2923" s="100">
        <v>3532</v>
      </c>
    </row>
    <row r="2924" spans="2:7">
      <c r="B2924" s="118" t="s">
        <v>2260</v>
      </c>
      <c r="C2924" s="119">
        <v>3315</v>
      </c>
      <c r="E2924" s="96" t="s">
        <v>2420</v>
      </c>
      <c r="F2924" s="96" t="s">
        <v>164</v>
      </c>
      <c r="G2924" s="100">
        <v>3434</v>
      </c>
    </row>
    <row r="2925" spans="2:7">
      <c r="B2925" s="118" t="s">
        <v>2911</v>
      </c>
      <c r="C2925" s="119">
        <v>3315</v>
      </c>
      <c r="E2925" s="96" t="s">
        <v>2421</v>
      </c>
      <c r="F2925" s="96" t="s">
        <v>164</v>
      </c>
      <c r="G2925" s="100">
        <v>2732</v>
      </c>
    </row>
    <row r="2926" spans="2:7">
      <c r="B2926" s="118" t="s">
        <v>2052</v>
      </c>
      <c r="C2926" s="119">
        <v>4573</v>
      </c>
      <c r="E2926" s="96" t="s">
        <v>2422</v>
      </c>
      <c r="F2926" s="96" t="s">
        <v>164</v>
      </c>
      <c r="G2926" s="100">
        <v>3251</v>
      </c>
    </row>
    <row r="2927" spans="2:7">
      <c r="B2927" s="118" t="s">
        <v>2912</v>
      </c>
      <c r="C2927" s="119">
        <v>3053</v>
      </c>
      <c r="E2927" s="96" t="s">
        <v>2423</v>
      </c>
      <c r="F2927" s="96" t="s">
        <v>164</v>
      </c>
      <c r="G2927" s="100">
        <v>3504</v>
      </c>
    </row>
    <row r="2928" spans="2:7">
      <c r="B2928" s="118" t="s">
        <v>2913</v>
      </c>
      <c r="C2928" s="119">
        <v>3306</v>
      </c>
      <c r="E2928" s="96" t="s">
        <v>2424</v>
      </c>
      <c r="F2928" s="96" t="s">
        <v>164</v>
      </c>
      <c r="G2928" s="100">
        <v>3375</v>
      </c>
    </row>
    <row r="2929" spans="2:7">
      <c r="B2929" s="118" t="s">
        <v>2914</v>
      </c>
      <c r="C2929" s="119">
        <v>3308</v>
      </c>
      <c r="E2929" s="96" t="s">
        <v>2425</v>
      </c>
      <c r="F2929" s="96" t="s">
        <v>164</v>
      </c>
      <c r="G2929" s="100">
        <v>3855</v>
      </c>
    </row>
    <row r="2930" spans="2:7">
      <c r="B2930" s="118" t="s">
        <v>2915</v>
      </c>
      <c r="C2930" s="119">
        <v>3309</v>
      </c>
      <c r="E2930" s="96" t="s">
        <v>2426</v>
      </c>
      <c r="F2930" s="96" t="s">
        <v>164</v>
      </c>
      <c r="G2930" s="100">
        <v>3377</v>
      </c>
    </row>
    <row r="2931" spans="2:7">
      <c r="B2931" s="118" t="s">
        <v>2223</v>
      </c>
      <c r="C2931" s="119">
        <v>3312</v>
      </c>
      <c r="E2931" s="96" t="s">
        <v>2427</v>
      </c>
      <c r="F2931" s="96" t="s">
        <v>164</v>
      </c>
      <c r="G2931" s="100">
        <v>3671</v>
      </c>
    </row>
    <row r="2932" spans="2:7">
      <c r="B2932" s="118" t="s">
        <v>2916</v>
      </c>
      <c r="C2932" s="119">
        <v>3313</v>
      </c>
      <c r="E2932" s="96" t="s">
        <v>2428</v>
      </c>
      <c r="F2932" s="96" t="s">
        <v>164</v>
      </c>
      <c r="G2932" s="100">
        <v>3237</v>
      </c>
    </row>
    <row r="2933" spans="2:7">
      <c r="B2933" s="118" t="s">
        <v>2910</v>
      </c>
      <c r="C2933" s="119">
        <v>3314</v>
      </c>
      <c r="E2933" s="96" t="s">
        <v>2429</v>
      </c>
      <c r="F2933" s="96" t="s">
        <v>164</v>
      </c>
      <c r="G2933" s="100">
        <v>3112</v>
      </c>
    </row>
    <row r="2934" spans="2:7">
      <c r="B2934" s="118" t="s">
        <v>2917</v>
      </c>
      <c r="C2934" s="119">
        <v>3317</v>
      </c>
      <c r="E2934" s="96" t="s">
        <v>2430</v>
      </c>
      <c r="F2934" s="96" t="s">
        <v>164</v>
      </c>
      <c r="G2934" s="100">
        <v>3473</v>
      </c>
    </row>
    <row r="2935" spans="2:7">
      <c r="B2935" s="118" t="s">
        <v>2918</v>
      </c>
      <c r="C2935" s="119">
        <v>3317</v>
      </c>
      <c r="E2935" s="96" t="s">
        <v>2431</v>
      </c>
      <c r="F2935" s="96" t="s">
        <v>164</v>
      </c>
      <c r="G2935" s="100">
        <v>2577</v>
      </c>
    </row>
    <row r="2936" spans="2:7">
      <c r="B2936" s="118" t="s">
        <v>2886</v>
      </c>
      <c r="C2936" s="119">
        <v>3422</v>
      </c>
      <c r="E2936" s="96" t="s">
        <v>2432</v>
      </c>
      <c r="F2936" s="96" t="s">
        <v>164</v>
      </c>
      <c r="G2936" s="100">
        <v>3322</v>
      </c>
    </row>
    <row r="2937" spans="2:7">
      <c r="B2937" s="118" t="s">
        <v>2215</v>
      </c>
      <c r="C2937" s="119">
        <v>3303</v>
      </c>
      <c r="E2937" s="96" t="s">
        <v>2433</v>
      </c>
      <c r="F2937" s="96" t="s">
        <v>164</v>
      </c>
      <c r="G2937" s="100">
        <v>3054</v>
      </c>
    </row>
    <row r="2938" spans="2:7">
      <c r="B2938" s="118" t="s">
        <v>2919</v>
      </c>
      <c r="C2938" s="119">
        <v>3303</v>
      </c>
      <c r="E2938" s="96" t="s">
        <v>2434</v>
      </c>
      <c r="F2938" s="96" t="s">
        <v>164</v>
      </c>
      <c r="G2938" s="100">
        <v>2514</v>
      </c>
    </row>
    <row r="2939" spans="2:7">
      <c r="B2939" s="118" t="s">
        <v>2920</v>
      </c>
      <c r="C2939" s="119">
        <v>3303</v>
      </c>
      <c r="E2939" s="96" t="s">
        <v>2435</v>
      </c>
      <c r="F2939" s="96" t="s">
        <v>164</v>
      </c>
      <c r="G2939" s="100">
        <v>4933</v>
      </c>
    </row>
    <row r="2940" spans="2:7">
      <c r="B2940" s="118" t="s">
        <v>2921</v>
      </c>
      <c r="C2940" s="119">
        <v>3305</v>
      </c>
      <c r="E2940" s="96" t="s">
        <v>2436</v>
      </c>
      <c r="F2940" s="96" t="s">
        <v>164</v>
      </c>
      <c r="G2940" s="100">
        <v>3367</v>
      </c>
    </row>
    <row r="2941" spans="2:7">
      <c r="B2941" s="118" t="s">
        <v>2462</v>
      </c>
      <c r="C2941" s="119">
        <v>3305</v>
      </c>
      <c r="E2941" s="96" t="s">
        <v>2437</v>
      </c>
      <c r="F2941" s="96" t="s">
        <v>164</v>
      </c>
      <c r="G2941" s="100">
        <v>3860</v>
      </c>
    </row>
    <row r="2942" spans="2:7">
      <c r="B2942" s="118" t="s">
        <v>2211</v>
      </c>
      <c r="C2942" s="119">
        <v>3322</v>
      </c>
      <c r="E2942" s="96" t="s">
        <v>2438</v>
      </c>
      <c r="F2942" s="96" t="s">
        <v>164</v>
      </c>
      <c r="G2942" s="100">
        <v>2577</v>
      </c>
    </row>
    <row r="2943" spans="2:7">
      <c r="B2943" s="118" t="s">
        <v>2432</v>
      </c>
      <c r="C2943" s="119">
        <v>3322</v>
      </c>
      <c r="E2943" s="96" t="s">
        <v>2439</v>
      </c>
      <c r="F2943" s="96" t="s">
        <v>164</v>
      </c>
      <c r="G2943" s="100">
        <v>4944</v>
      </c>
    </row>
    <row r="2944" spans="2:7">
      <c r="B2944" s="118" t="s">
        <v>2200</v>
      </c>
      <c r="C2944" s="119">
        <v>3053</v>
      </c>
      <c r="E2944" s="96" t="s">
        <v>2440</v>
      </c>
      <c r="F2944" s="96" t="s">
        <v>164</v>
      </c>
      <c r="G2944" s="100">
        <v>2576</v>
      </c>
    </row>
    <row r="2945" spans="2:7">
      <c r="B2945" s="118" t="s">
        <v>2239</v>
      </c>
      <c r="C2945" s="119">
        <v>3302</v>
      </c>
      <c r="E2945" s="96" t="s">
        <v>2441</v>
      </c>
      <c r="F2945" s="96" t="s">
        <v>164</v>
      </c>
      <c r="G2945" s="100">
        <v>2333</v>
      </c>
    </row>
    <row r="2946" spans="2:7">
      <c r="B2946" s="118" t="s">
        <v>2211</v>
      </c>
      <c r="C2946" s="119">
        <v>3322</v>
      </c>
      <c r="E2946" s="96" t="s">
        <v>2442</v>
      </c>
      <c r="F2946" s="96" t="s">
        <v>164</v>
      </c>
      <c r="G2946" s="100">
        <v>3309</v>
      </c>
    </row>
    <row r="2947" spans="2:7">
      <c r="B2947" s="118" t="s">
        <v>2199</v>
      </c>
      <c r="C2947" s="119">
        <v>3052</v>
      </c>
      <c r="E2947" s="96" t="s">
        <v>2443</v>
      </c>
      <c r="F2947" s="96" t="s">
        <v>164</v>
      </c>
      <c r="G2947" s="100">
        <v>3858</v>
      </c>
    </row>
    <row r="2948" spans="2:7">
      <c r="B2948" s="118" t="s">
        <v>2200</v>
      </c>
      <c r="C2948" s="119">
        <v>3053</v>
      </c>
      <c r="E2948" s="96" t="s">
        <v>2444</v>
      </c>
      <c r="F2948" s="96" t="s">
        <v>164</v>
      </c>
      <c r="G2948" s="100">
        <v>3622</v>
      </c>
    </row>
    <row r="2949" spans="2:7">
      <c r="B2949" s="118" t="s">
        <v>2922</v>
      </c>
      <c r="C2949" s="119">
        <v>3053</v>
      </c>
      <c r="E2949" s="96" t="s">
        <v>2445</v>
      </c>
      <c r="F2949" s="96" t="s">
        <v>164</v>
      </c>
      <c r="G2949" s="100">
        <v>2746</v>
      </c>
    </row>
    <row r="2950" spans="2:7">
      <c r="B2950" s="118" t="s">
        <v>2211</v>
      </c>
      <c r="C2950" s="119">
        <v>3322</v>
      </c>
      <c r="E2950" s="96" t="s">
        <v>2446</v>
      </c>
      <c r="F2950" s="96" t="s">
        <v>164</v>
      </c>
      <c r="G2950" s="100">
        <v>4911</v>
      </c>
    </row>
    <row r="2951" spans="2:7">
      <c r="B2951" s="118" t="s">
        <v>2233</v>
      </c>
      <c r="C2951" s="119">
        <v>3427</v>
      </c>
      <c r="E2951" s="96" t="s">
        <v>2447</v>
      </c>
      <c r="F2951" s="96" t="s">
        <v>164</v>
      </c>
      <c r="G2951" s="100">
        <v>1797</v>
      </c>
    </row>
    <row r="2952" spans="2:7">
      <c r="B2952" s="118" t="s">
        <v>2611</v>
      </c>
      <c r="C2952" s="119">
        <v>3053</v>
      </c>
      <c r="E2952" s="96" t="s">
        <v>2448</v>
      </c>
      <c r="F2952" s="96" t="s">
        <v>164</v>
      </c>
      <c r="G2952" s="100">
        <v>3087</v>
      </c>
    </row>
    <row r="2953" spans="2:7">
      <c r="B2953" s="118" t="s">
        <v>2233</v>
      </c>
      <c r="C2953" s="119">
        <v>3427</v>
      </c>
      <c r="E2953" s="96" t="s">
        <v>2449</v>
      </c>
      <c r="F2953" s="96" t="s">
        <v>164</v>
      </c>
      <c r="G2953" s="100">
        <v>3856</v>
      </c>
    </row>
    <row r="2954" spans="2:7">
      <c r="B2954" s="118" t="s">
        <v>2923</v>
      </c>
      <c r="C2954" s="119">
        <v>3428</v>
      </c>
      <c r="E2954" s="96" t="s">
        <v>2450</v>
      </c>
      <c r="F2954" s="96" t="s">
        <v>164</v>
      </c>
      <c r="G2954" s="100">
        <v>3619</v>
      </c>
    </row>
    <row r="2955" spans="2:7">
      <c r="B2955" s="118" t="s">
        <v>2614</v>
      </c>
      <c r="C2955" s="119">
        <v>4564</v>
      </c>
      <c r="E2955" s="96" t="s">
        <v>2451</v>
      </c>
      <c r="F2955" s="96" t="s">
        <v>164</v>
      </c>
      <c r="G2955" s="100">
        <v>3671</v>
      </c>
    </row>
    <row r="2956" spans="2:7">
      <c r="B2956" s="118" t="s">
        <v>2924</v>
      </c>
      <c r="C2956" s="119">
        <v>3303</v>
      </c>
      <c r="E2956" s="96" t="s">
        <v>2452</v>
      </c>
      <c r="F2956" s="96" t="s">
        <v>164</v>
      </c>
      <c r="G2956" s="100">
        <v>4539</v>
      </c>
    </row>
    <row r="2957" spans="2:7">
      <c r="B2957" s="118" t="s">
        <v>2254</v>
      </c>
      <c r="C2957" s="119">
        <v>3715</v>
      </c>
      <c r="E2957" s="96" t="s">
        <v>2453</v>
      </c>
      <c r="F2957" s="96" t="s">
        <v>164</v>
      </c>
      <c r="G2957" s="100">
        <v>2612</v>
      </c>
    </row>
    <row r="2958" spans="2:7">
      <c r="B2958" s="118" t="s">
        <v>2925</v>
      </c>
      <c r="C2958" s="119">
        <v>3725</v>
      </c>
      <c r="E2958" s="96" t="s">
        <v>2454</v>
      </c>
      <c r="F2958" s="96" t="s">
        <v>164</v>
      </c>
      <c r="G2958" s="100">
        <v>3854</v>
      </c>
    </row>
    <row r="2959" spans="2:7">
      <c r="B2959" s="118" t="s">
        <v>2926</v>
      </c>
      <c r="C2959" s="119">
        <v>3702</v>
      </c>
      <c r="E2959" s="96" t="s">
        <v>2455</v>
      </c>
      <c r="F2959" s="96" t="s">
        <v>164</v>
      </c>
      <c r="G2959" s="100">
        <v>3618</v>
      </c>
    </row>
    <row r="2960" spans="2:7">
      <c r="B2960" s="118" t="s">
        <v>2927</v>
      </c>
      <c r="C2960" s="119">
        <v>3703</v>
      </c>
      <c r="E2960" s="96" t="s">
        <v>2456</v>
      </c>
      <c r="F2960" s="96" t="s">
        <v>164</v>
      </c>
      <c r="G2960" s="100">
        <v>3510</v>
      </c>
    </row>
    <row r="2961" spans="2:7">
      <c r="B2961" s="118" t="s">
        <v>2928</v>
      </c>
      <c r="C2961" s="119">
        <v>3703</v>
      </c>
      <c r="E2961" s="96" t="s">
        <v>2457</v>
      </c>
      <c r="F2961" s="96" t="s">
        <v>164</v>
      </c>
      <c r="G2961" s="100">
        <v>2742</v>
      </c>
    </row>
    <row r="2962" spans="2:7">
      <c r="B2962" s="118" t="s">
        <v>2364</v>
      </c>
      <c r="C2962" s="119">
        <v>3704</v>
      </c>
      <c r="E2962" s="96" t="s">
        <v>2458</v>
      </c>
      <c r="F2962" s="96" t="s">
        <v>164</v>
      </c>
      <c r="G2962" s="100">
        <v>3179</v>
      </c>
    </row>
    <row r="2963" spans="2:7">
      <c r="B2963" s="118" t="s">
        <v>2929</v>
      </c>
      <c r="C2963" s="119">
        <v>3711</v>
      </c>
      <c r="E2963" s="96" t="s">
        <v>2459</v>
      </c>
      <c r="F2963" s="96" t="s">
        <v>164</v>
      </c>
      <c r="G2963" s="100">
        <v>2556</v>
      </c>
    </row>
    <row r="2964" spans="2:7">
      <c r="B2964" s="118" t="s">
        <v>2930</v>
      </c>
      <c r="C2964" s="119">
        <v>3711</v>
      </c>
      <c r="E2964" s="96" t="s">
        <v>2460</v>
      </c>
      <c r="F2964" s="96" t="s">
        <v>164</v>
      </c>
      <c r="G2964" s="100">
        <v>4944</v>
      </c>
    </row>
    <row r="2965" spans="2:7">
      <c r="B2965" s="118" t="s">
        <v>2250</v>
      </c>
      <c r="C2965" s="119">
        <v>3713</v>
      </c>
      <c r="E2965" s="96" t="s">
        <v>2461</v>
      </c>
      <c r="F2965" s="96" t="s">
        <v>164</v>
      </c>
      <c r="G2965" s="100">
        <v>3233</v>
      </c>
    </row>
    <row r="2966" spans="2:7">
      <c r="B2966" s="118" t="s">
        <v>2205</v>
      </c>
      <c r="C2966" s="119">
        <v>3714</v>
      </c>
      <c r="E2966" s="96" t="s">
        <v>2462</v>
      </c>
      <c r="F2966" s="96" t="s">
        <v>164</v>
      </c>
      <c r="G2966" s="100">
        <v>3305</v>
      </c>
    </row>
    <row r="2967" spans="2:7">
      <c r="B2967" s="118" t="s">
        <v>2254</v>
      </c>
      <c r="C2967" s="119">
        <v>3715</v>
      </c>
      <c r="E2967" s="96" t="s">
        <v>2463</v>
      </c>
      <c r="F2967" s="96" t="s">
        <v>164</v>
      </c>
      <c r="G2967" s="100">
        <v>3807</v>
      </c>
    </row>
    <row r="2968" spans="2:7">
      <c r="B2968" s="118" t="s">
        <v>2404</v>
      </c>
      <c r="C2968" s="119">
        <v>3716</v>
      </c>
      <c r="E2968" s="96" t="s">
        <v>2464</v>
      </c>
      <c r="F2968" s="96" t="s">
        <v>164</v>
      </c>
      <c r="G2968" s="100">
        <v>3128</v>
      </c>
    </row>
    <row r="2969" spans="2:7">
      <c r="B2969" s="118" t="s">
        <v>2931</v>
      </c>
      <c r="C2969" s="119">
        <v>3724</v>
      </c>
      <c r="E2969" s="96" t="s">
        <v>2465</v>
      </c>
      <c r="F2969" s="96" t="s">
        <v>164</v>
      </c>
      <c r="G2969" s="100">
        <v>3374</v>
      </c>
    </row>
    <row r="2970" spans="2:7">
      <c r="B2970" s="118" t="s">
        <v>2925</v>
      </c>
      <c r="C2970" s="119">
        <v>3725</v>
      </c>
      <c r="E2970" s="96" t="s">
        <v>2466</v>
      </c>
      <c r="F2970" s="96" t="s">
        <v>164</v>
      </c>
      <c r="G2970" s="100">
        <v>3707</v>
      </c>
    </row>
    <row r="2971" spans="2:7">
      <c r="B2971" s="118" t="s">
        <v>2404</v>
      </c>
      <c r="C2971" s="119">
        <v>3716</v>
      </c>
      <c r="E2971" s="96" t="s">
        <v>2467</v>
      </c>
      <c r="F2971" s="96" t="s">
        <v>164</v>
      </c>
      <c r="G2971" s="100">
        <v>3177</v>
      </c>
    </row>
    <row r="2972" spans="2:7">
      <c r="B2972" s="118" t="s">
        <v>2932</v>
      </c>
      <c r="C2972" s="119">
        <v>3717</v>
      </c>
      <c r="E2972" s="96" t="s">
        <v>2468</v>
      </c>
      <c r="F2972" s="96" t="s">
        <v>164</v>
      </c>
      <c r="G2972" s="100">
        <v>3226</v>
      </c>
    </row>
    <row r="2973" spans="2:7">
      <c r="B2973" s="118" t="s">
        <v>2346</v>
      </c>
      <c r="C2973" s="119">
        <v>3718</v>
      </c>
      <c r="E2973" s="96" t="s">
        <v>2469</v>
      </c>
      <c r="F2973" s="96" t="s">
        <v>164</v>
      </c>
      <c r="G2973" s="100">
        <v>4924</v>
      </c>
    </row>
    <row r="2974" spans="2:7">
      <c r="B2974" s="118" t="s">
        <v>2364</v>
      </c>
      <c r="C2974" s="119">
        <v>3704</v>
      </c>
      <c r="E2974" s="96" t="s">
        <v>182</v>
      </c>
      <c r="F2974" s="96" t="s">
        <v>183</v>
      </c>
      <c r="G2974" s="100">
        <v>1000</v>
      </c>
    </row>
    <row r="2975" spans="2:7">
      <c r="B2975" s="118" t="s">
        <v>2933</v>
      </c>
      <c r="C2975" s="119">
        <v>3705</v>
      </c>
      <c r="E2975" s="96" t="s">
        <v>185</v>
      </c>
      <c r="F2975" s="96" t="s">
        <v>183</v>
      </c>
      <c r="G2975" s="100">
        <v>1400</v>
      </c>
    </row>
    <row r="2976" spans="2:7">
      <c r="B2976" s="118" t="s">
        <v>2930</v>
      </c>
      <c r="C2976" s="119">
        <v>3711</v>
      </c>
      <c r="E2976" s="96" t="s">
        <v>186</v>
      </c>
      <c r="F2976" s="96" t="s">
        <v>183</v>
      </c>
      <c r="G2976" s="100">
        <v>1820</v>
      </c>
    </row>
    <row r="2977" spans="2:7">
      <c r="B2977" s="118" t="s">
        <v>2250</v>
      </c>
      <c r="C2977" s="119">
        <v>3713</v>
      </c>
      <c r="E2977" s="96" t="s">
        <v>187</v>
      </c>
      <c r="F2977" s="96" t="s">
        <v>183</v>
      </c>
      <c r="G2977" s="100">
        <v>1020</v>
      </c>
    </row>
    <row r="2978" spans="2:7">
      <c r="B2978" s="118" t="s">
        <v>2934</v>
      </c>
      <c r="C2978" s="119">
        <v>3714</v>
      </c>
      <c r="E2978" s="96" t="s">
        <v>188</v>
      </c>
      <c r="F2978" s="96" t="s">
        <v>183</v>
      </c>
      <c r="G2978" s="100">
        <v>1260</v>
      </c>
    </row>
    <row r="2979" spans="2:7">
      <c r="B2979" s="118" t="s">
        <v>2935</v>
      </c>
      <c r="C2979" s="119">
        <v>3722</v>
      </c>
      <c r="E2979" s="96" t="s">
        <v>190</v>
      </c>
      <c r="F2979" s="96" t="s">
        <v>183</v>
      </c>
      <c r="G2979" s="100">
        <v>1800</v>
      </c>
    </row>
    <row r="2980" spans="2:7">
      <c r="B2980" s="118" t="s">
        <v>2936</v>
      </c>
      <c r="C2980" s="119">
        <v>3723</v>
      </c>
      <c r="E2980" s="96" t="s">
        <v>191</v>
      </c>
      <c r="F2980" s="96" t="s">
        <v>183</v>
      </c>
      <c r="G2980" s="100">
        <v>1009</v>
      </c>
    </row>
    <row r="2981" spans="2:7">
      <c r="B2981" s="118" t="s">
        <v>2937</v>
      </c>
      <c r="C2981" s="119">
        <v>3800</v>
      </c>
      <c r="E2981" s="96" t="s">
        <v>192</v>
      </c>
      <c r="F2981" s="96" t="s">
        <v>183</v>
      </c>
      <c r="G2981" s="100">
        <v>1110</v>
      </c>
    </row>
    <row r="2982" spans="2:7">
      <c r="B2982" s="118" t="s">
        <v>2355</v>
      </c>
      <c r="C2982" s="119">
        <v>3803</v>
      </c>
      <c r="E2982" s="96" t="s">
        <v>193</v>
      </c>
      <c r="F2982" s="96" t="s">
        <v>183</v>
      </c>
      <c r="G2982" s="100">
        <v>1196</v>
      </c>
    </row>
    <row r="2983" spans="2:7">
      <c r="B2983" s="118" t="s">
        <v>2216</v>
      </c>
      <c r="C2983" s="119">
        <v>3800</v>
      </c>
      <c r="E2983" s="96" t="s">
        <v>194</v>
      </c>
      <c r="F2983" s="96" t="s">
        <v>183</v>
      </c>
      <c r="G2983" s="100">
        <v>1024</v>
      </c>
    </row>
    <row r="2984" spans="2:7">
      <c r="B2984" s="118" t="s">
        <v>2938</v>
      </c>
      <c r="C2984" s="119">
        <v>3806</v>
      </c>
      <c r="E2984" s="96" t="s">
        <v>195</v>
      </c>
      <c r="F2984" s="96" t="s">
        <v>183</v>
      </c>
      <c r="G2984" s="100">
        <v>1008</v>
      </c>
    </row>
    <row r="2985" spans="2:7">
      <c r="B2985" s="118" t="s">
        <v>2939</v>
      </c>
      <c r="C2985" s="119">
        <v>3855</v>
      </c>
      <c r="E2985" s="96" t="s">
        <v>196</v>
      </c>
      <c r="F2985" s="96" t="s">
        <v>183</v>
      </c>
      <c r="G2985" s="100">
        <v>1814</v>
      </c>
    </row>
    <row r="2986" spans="2:7">
      <c r="B2986" s="118" t="s">
        <v>2940</v>
      </c>
      <c r="C2986" s="119">
        <v>3855</v>
      </c>
      <c r="E2986" s="96" t="s">
        <v>197</v>
      </c>
      <c r="F2986" s="96" t="s">
        <v>183</v>
      </c>
      <c r="G2986" s="100">
        <v>1860</v>
      </c>
    </row>
    <row r="2987" spans="2:7">
      <c r="B2987" s="118" t="s">
        <v>2449</v>
      </c>
      <c r="C2987" s="119">
        <v>3856</v>
      </c>
      <c r="E2987" s="96" t="s">
        <v>198</v>
      </c>
      <c r="F2987" s="96" t="s">
        <v>183</v>
      </c>
      <c r="G2987" s="100">
        <v>1095</v>
      </c>
    </row>
    <row r="2988" spans="2:7">
      <c r="B2988" s="118" t="s">
        <v>2227</v>
      </c>
      <c r="C2988" s="119">
        <v>3860</v>
      </c>
      <c r="E2988" s="96" t="s">
        <v>199</v>
      </c>
      <c r="F2988" s="96" t="s">
        <v>183</v>
      </c>
      <c r="G2988" s="100">
        <v>1530</v>
      </c>
    </row>
    <row r="2989" spans="2:7">
      <c r="B2989" s="118" t="s">
        <v>2370</v>
      </c>
      <c r="C2989" s="119">
        <v>3706</v>
      </c>
      <c r="E2989" s="96" t="s">
        <v>200</v>
      </c>
      <c r="F2989" s="96" t="s">
        <v>183</v>
      </c>
      <c r="G2989" s="100">
        <v>1066</v>
      </c>
    </row>
    <row r="2990" spans="2:7">
      <c r="B2990" s="118" t="s">
        <v>2466</v>
      </c>
      <c r="C2990" s="119">
        <v>3707</v>
      </c>
      <c r="E2990" s="96" t="s">
        <v>201</v>
      </c>
      <c r="F2990" s="96" t="s">
        <v>183</v>
      </c>
      <c r="G2990" s="100">
        <v>1030</v>
      </c>
    </row>
    <row r="2991" spans="2:7">
      <c r="B2991" s="118" t="s">
        <v>2579</v>
      </c>
      <c r="C2991" s="119">
        <v>3816</v>
      </c>
      <c r="E2991" s="96" t="s">
        <v>202</v>
      </c>
      <c r="F2991" s="96" t="s">
        <v>183</v>
      </c>
      <c r="G2991" s="100">
        <v>1052</v>
      </c>
    </row>
    <row r="2992" spans="2:7">
      <c r="B2992" s="118" t="s">
        <v>2941</v>
      </c>
      <c r="C2992" s="119">
        <v>3816</v>
      </c>
      <c r="E2992" s="96" t="s">
        <v>203</v>
      </c>
      <c r="F2992" s="96" t="s">
        <v>183</v>
      </c>
      <c r="G2992" s="100">
        <v>1023</v>
      </c>
    </row>
    <row r="2993" spans="2:7">
      <c r="B2993" s="118" t="s">
        <v>2245</v>
      </c>
      <c r="C2993" s="119">
        <v>3818</v>
      </c>
      <c r="E2993" s="96" t="s">
        <v>204</v>
      </c>
      <c r="F2993" s="96" t="s">
        <v>183</v>
      </c>
      <c r="G2993" s="100">
        <v>1880</v>
      </c>
    </row>
    <row r="2994" spans="2:7">
      <c r="B2994" s="118" t="s">
        <v>2942</v>
      </c>
      <c r="C2994" s="119">
        <v>3823</v>
      </c>
      <c r="E2994" s="96" t="s">
        <v>205</v>
      </c>
      <c r="F2994" s="96" t="s">
        <v>183</v>
      </c>
      <c r="G2994" s="100">
        <v>1022</v>
      </c>
    </row>
    <row r="2995" spans="2:7">
      <c r="B2995" s="118" t="s">
        <v>2275</v>
      </c>
      <c r="C2995" s="119">
        <v>3812</v>
      </c>
      <c r="E2995" s="96" t="s">
        <v>206</v>
      </c>
      <c r="F2995" s="96" t="s">
        <v>183</v>
      </c>
      <c r="G2995" s="100">
        <v>1867</v>
      </c>
    </row>
    <row r="2996" spans="2:7">
      <c r="B2996" s="118" t="s">
        <v>2562</v>
      </c>
      <c r="C2996" s="119">
        <v>3814</v>
      </c>
      <c r="E2996" s="96" t="s">
        <v>207</v>
      </c>
      <c r="F2996" s="96" t="s">
        <v>183</v>
      </c>
      <c r="G2996" s="100">
        <v>1350</v>
      </c>
    </row>
    <row r="2997" spans="2:7">
      <c r="B2997" s="118" t="s">
        <v>2275</v>
      </c>
      <c r="C2997" s="119">
        <v>3812</v>
      </c>
      <c r="E2997" s="96" t="s">
        <v>208</v>
      </c>
      <c r="F2997" s="96" t="s">
        <v>183</v>
      </c>
      <c r="G2997" s="100">
        <v>1180</v>
      </c>
    </row>
    <row r="2998" spans="2:7">
      <c r="B2998" s="118" t="s">
        <v>2943</v>
      </c>
      <c r="C2998" s="119">
        <v>3815</v>
      </c>
      <c r="E2998" s="96" t="s">
        <v>209</v>
      </c>
      <c r="F2998" s="96" t="s">
        <v>183</v>
      </c>
      <c r="G2998" s="100">
        <v>1807</v>
      </c>
    </row>
    <row r="2999" spans="2:7">
      <c r="B2999" s="118" t="s">
        <v>2565</v>
      </c>
      <c r="C2999" s="119">
        <v>3815</v>
      </c>
      <c r="E2999" s="96" t="s">
        <v>210</v>
      </c>
      <c r="F2999" s="96" t="s">
        <v>183</v>
      </c>
      <c r="G2999" s="100">
        <v>1510</v>
      </c>
    </row>
    <row r="3000" spans="2:7">
      <c r="B3000" s="118" t="s">
        <v>2417</v>
      </c>
      <c r="C3000" s="119">
        <v>3804</v>
      </c>
      <c r="E3000" s="96" t="s">
        <v>211</v>
      </c>
      <c r="F3000" s="96" t="s">
        <v>183</v>
      </c>
      <c r="G3000" s="100">
        <v>1040</v>
      </c>
    </row>
    <row r="3001" spans="2:7">
      <c r="B3001" s="118" t="s">
        <v>2389</v>
      </c>
      <c r="C3001" s="119">
        <v>6197</v>
      </c>
      <c r="E3001" s="96" t="s">
        <v>212</v>
      </c>
      <c r="F3001" s="96" t="s">
        <v>183</v>
      </c>
      <c r="G3001" s="100">
        <v>1162</v>
      </c>
    </row>
    <row r="3002" spans="2:7">
      <c r="B3002" s="118" t="s">
        <v>2944</v>
      </c>
      <c r="C3002" s="119">
        <v>3858</v>
      </c>
      <c r="E3002" s="96" t="s">
        <v>213</v>
      </c>
      <c r="F3002" s="96" t="s">
        <v>183</v>
      </c>
      <c r="G3002" s="100">
        <v>1844</v>
      </c>
    </row>
    <row r="3003" spans="2:7">
      <c r="B3003" s="118" t="s">
        <v>2216</v>
      </c>
      <c r="C3003" s="119">
        <v>3800</v>
      </c>
      <c r="E3003" s="96" t="s">
        <v>214</v>
      </c>
      <c r="F3003" s="96" t="s">
        <v>183</v>
      </c>
      <c r="G3003" s="100">
        <v>1610</v>
      </c>
    </row>
    <row r="3004" spans="2:7">
      <c r="B3004" s="118" t="s">
        <v>2463</v>
      </c>
      <c r="C3004" s="119">
        <v>3807</v>
      </c>
      <c r="E3004" s="96" t="s">
        <v>215</v>
      </c>
      <c r="F3004" s="96" t="s">
        <v>183</v>
      </c>
      <c r="G3004" s="100">
        <v>1028</v>
      </c>
    </row>
    <row r="3005" spans="2:7">
      <c r="B3005" s="118" t="s">
        <v>2945</v>
      </c>
      <c r="C3005" s="119">
        <v>3801</v>
      </c>
      <c r="E3005" s="96" t="s">
        <v>182</v>
      </c>
      <c r="F3005" s="96" t="s">
        <v>183</v>
      </c>
      <c r="G3005" s="100">
        <v>1000</v>
      </c>
    </row>
    <row r="3006" spans="2:7">
      <c r="B3006" s="118" t="s">
        <v>2292</v>
      </c>
      <c r="C3006" s="119">
        <v>3822</v>
      </c>
      <c r="E3006" s="96" t="s">
        <v>185</v>
      </c>
      <c r="F3006" s="96" t="s">
        <v>183</v>
      </c>
      <c r="G3006" s="100">
        <v>1400</v>
      </c>
    </row>
    <row r="3007" spans="2:7">
      <c r="B3007" s="118" t="s">
        <v>2946</v>
      </c>
      <c r="C3007" s="119">
        <v>3822</v>
      </c>
      <c r="E3007" s="96" t="s">
        <v>186</v>
      </c>
      <c r="F3007" s="96" t="s">
        <v>183</v>
      </c>
      <c r="G3007" s="100">
        <v>1820</v>
      </c>
    </row>
    <row r="3008" spans="2:7">
      <c r="B3008" s="118" t="s">
        <v>2947</v>
      </c>
      <c r="C3008" s="119">
        <v>3823</v>
      </c>
      <c r="E3008" s="96" t="s">
        <v>187</v>
      </c>
      <c r="F3008" s="96" t="s">
        <v>183</v>
      </c>
      <c r="G3008" s="100">
        <v>1020</v>
      </c>
    </row>
    <row r="3009" spans="2:7">
      <c r="B3009" s="118" t="s">
        <v>2942</v>
      </c>
      <c r="C3009" s="119">
        <v>3823</v>
      </c>
      <c r="E3009" s="96" t="s">
        <v>188</v>
      </c>
      <c r="F3009" s="96" t="s">
        <v>183</v>
      </c>
      <c r="G3009" s="100">
        <v>1260</v>
      </c>
    </row>
    <row r="3010" spans="2:7">
      <c r="B3010" s="118" t="s">
        <v>2948</v>
      </c>
      <c r="C3010" s="119">
        <v>3823</v>
      </c>
      <c r="E3010" s="96" t="s">
        <v>190</v>
      </c>
      <c r="F3010" s="96" t="s">
        <v>183</v>
      </c>
      <c r="G3010" s="100">
        <v>1800</v>
      </c>
    </row>
    <row r="3011" spans="2:7">
      <c r="B3011" s="118" t="s">
        <v>2949</v>
      </c>
      <c r="C3011" s="119">
        <v>3824</v>
      </c>
      <c r="E3011" s="96" t="s">
        <v>191</v>
      </c>
      <c r="F3011" s="96" t="s">
        <v>183</v>
      </c>
      <c r="G3011" s="100">
        <v>1009</v>
      </c>
    </row>
    <row r="3012" spans="2:7">
      <c r="B3012" s="118" t="s">
        <v>2950</v>
      </c>
      <c r="C3012" s="119">
        <v>3825</v>
      </c>
      <c r="E3012" s="96" t="s">
        <v>192</v>
      </c>
      <c r="F3012" s="96" t="s">
        <v>183</v>
      </c>
      <c r="G3012" s="100">
        <v>1110</v>
      </c>
    </row>
    <row r="3013" spans="2:7">
      <c r="B3013" s="118" t="s">
        <v>2951</v>
      </c>
      <c r="C3013" s="119">
        <v>3826</v>
      </c>
      <c r="E3013" s="96" t="s">
        <v>193</v>
      </c>
      <c r="F3013" s="96" t="s">
        <v>183</v>
      </c>
      <c r="G3013" s="100">
        <v>1196</v>
      </c>
    </row>
    <row r="3014" spans="2:7">
      <c r="B3014" s="118" t="s">
        <v>2370</v>
      </c>
      <c r="C3014" s="119">
        <v>3706</v>
      </c>
      <c r="E3014" s="96" t="s">
        <v>194</v>
      </c>
      <c r="F3014" s="96" t="s">
        <v>183</v>
      </c>
      <c r="G3014" s="100">
        <v>1024</v>
      </c>
    </row>
    <row r="3015" spans="2:7">
      <c r="B3015" s="118" t="s">
        <v>2579</v>
      </c>
      <c r="C3015" s="119">
        <v>3816</v>
      </c>
      <c r="E3015" s="96" t="s">
        <v>195</v>
      </c>
      <c r="F3015" s="96" t="s">
        <v>183</v>
      </c>
      <c r="G3015" s="100">
        <v>1008</v>
      </c>
    </row>
    <row r="3016" spans="2:7">
      <c r="B3016" s="118" t="s">
        <v>2952</v>
      </c>
      <c r="C3016" s="119">
        <v>3800</v>
      </c>
      <c r="E3016" s="96" t="s">
        <v>196</v>
      </c>
      <c r="F3016" s="96" t="s">
        <v>183</v>
      </c>
      <c r="G3016" s="100">
        <v>1814</v>
      </c>
    </row>
    <row r="3017" spans="2:7">
      <c r="B3017" s="118" t="s">
        <v>2275</v>
      </c>
      <c r="C3017" s="119">
        <v>3812</v>
      </c>
      <c r="E3017" s="96" t="s">
        <v>197</v>
      </c>
      <c r="F3017" s="96" t="s">
        <v>183</v>
      </c>
      <c r="G3017" s="100">
        <v>1860</v>
      </c>
    </row>
    <row r="3018" spans="2:7">
      <c r="B3018" s="118" t="s">
        <v>2953</v>
      </c>
      <c r="C3018" s="119">
        <v>3853</v>
      </c>
      <c r="E3018" s="96" t="s">
        <v>198</v>
      </c>
      <c r="F3018" s="96" t="s">
        <v>183</v>
      </c>
      <c r="G3018" s="100">
        <v>1095</v>
      </c>
    </row>
    <row r="3019" spans="2:7">
      <c r="B3019" s="118" t="s">
        <v>2454</v>
      </c>
      <c r="C3019" s="119">
        <v>3854</v>
      </c>
      <c r="E3019" s="96" t="s">
        <v>199</v>
      </c>
      <c r="F3019" s="96" t="s">
        <v>183</v>
      </c>
      <c r="G3019" s="100">
        <v>1530</v>
      </c>
    </row>
    <row r="3020" spans="2:7">
      <c r="B3020" s="118" t="s">
        <v>2939</v>
      </c>
      <c r="C3020" s="119">
        <v>3855</v>
      </c>
      <c r="E3020" s="96" t="s">
        <v>200</v>
      </c>
      <c r="F3020" s="96" t="s">
        <v>183</v>
      </c>
      <c r="G3020" s="100">
        <v>1066</v>
      </c>
    </row>
    <row r="3021" spans="2:7">
      <c r="B3021" s="118" t="s">
        <v>2954</v>
      </c>
      <c r="C3021" s="119">
        <v>3805</v>
      </c>
      <c r="E3021" s="96" t="s">
        <v>201</v>
      </c>
      <c r="F3021" s="96" t="s">
        <v>183</v>
      </c>
      <c r="G3021" s="100">
        <v>1030</v>
      </c>
    </row>
    <row r="3022" spans="2:7">
      <c r="B3022" s="118" t="s">
        <v>2955</v>
      </c>
      <c r="C3022" s="119">
        <v>3852</v>
      </c>
      <c r="E3022" s="96" t="s">
        <v>202</v>
      </c>
      <c r="F3022" s="96" t="s">
        <v>183</v>
      </c>
      <c r="G3022" s="100">
        <v>1052</v>
      </c>
    </row>
    <row r="3023" spans="2:7">
      <c r="B3023" s="118" t="s">
        <v>2599</v>
      </c>
      <c r="C3023" s="119">
        <v>3813</v>
      </c>
      <c r="E3023" s="96" t="s">
        <v>203</v>
      </c>
      <c r="F3023" s="96" t="s">
        <v>183</v>
      </c>
      <c r="G3023" s="100">
        <v>1023</v>
      </c>
    </row>
    <row r="3024" spans="2:7">
      <c r="B3024" s="118" t="s">
        <v>2956</v>
      </c>
      <c r="C3024" s="119">
        <v>3855</v>
      </c>
      <c r="E3024" s="96" t="s">
        <v>204</v>
      </c>
      <c r="F3024" s="96" t="s">
        <v>183</v>
      </c>
      <c r="G3024" s="100">
        <v>1880</v>
      </c>
    </row>
    <row r="3025" spans="2:7">
      <c r="B3025" s="118" t="s">
        <v>2214</v>
      </c>
      <c r="C3025" s="119">
        <v>3800</v>
      </c>
      <c r="E3025" s="96" t="s">
        <v>205</v>
      </c>
      <c r="F3025" s="96" t="s">
        <v>183</v>
      </c>
      <c r="G3025" s="100">
        <v>1022</v>
      </c>
    </row>
    <row r="3026" spans="2:7">
      <c r="B3026" s="118" t="s">
        <v>2275</v>
      </c>
      <c r="C3026" s="119">
        <v>3812</v>
      </c>
      <c r="E3026" s="96" t="s">
        <v>206</v>
      </c>
      <c r="F3026" s="96" t="s">
        <v>183</v>
      </c>
      <c r="G3026" s="100">
        <v>1867</v>
      </c>
    </row>
    <row r="3027" spans="2:7">
      <c r="B3027" s="118" t="s">
        <v>2313</v>
      </c>
      <c r="C3027" s="119">
        <v>3507</v>
      </c>
      <c r="E3027" s="96" t="s">
        <v>207</v>
      </c>
      <c r="F3027" s="96" t="s">
        <v>183</v>
      </c>
      <c r="G3027" s="100">
        <v>1350</v>
      </c>
    </row>
    <row r="3028" spans="2:7">
      <c r="B3028" s="118" t="s">
        <v>2957</v>
      </c>
      <c r="C3028" s="119">
        <v>3508</v>
      </c>
      <c r="E3028" s="96" t="s">
        <v>208</v>
      </c>
      <c r="F3028" s="96" t="s">
        <v>183</v>
      </c>
      <c r="G3028" s="100">
        <v>1180</v>
      </c>
    </row>
    <row r="3029" spans="2:7">
      <c r="B3029" s="118" t="s">
        <v>2313</v>
      </c>
      <c r="C3029" s="119">
        <v>3507</v>
      </c>
      <c r="E3029" s="96" t="s">
        <v>209</v>
      </c>
      <c r="F3029" s="96" t="s">
        <v>183</v>
      </c>
      <c r="G3029" s="100">
        <v>1807</v>
      </c>
    </row>
    <row r="3030" spans="2:7">
      <c r="B3030" s="118" t="s">
        <v>2407</v>
      </c>
      <c r="C3030" s="119">
        <v>3531</v>
      </c>
      <c r="E3030" s="96" t="s">
        <v>210</v>
      </c>
      <c r="F3030" s="96" t="s">
        <v>183</v>
      </c>
      <c r="G3030" s="100">
        <v>1510</v>
      </c>
    </row>
    <row r="3031" spans="2:7">
      <c r="B3031" s="118" t="s">
        <v>2342</v>
      </c>
      <c r="C3031" s="119">
        <v>3533</v>
      </c>
      <c r="E3031" s="96" t="s">
        <v>211</v>
      </c>
      <c r="F3031" s="96" t="s">
        <v>183</v>
      </c>
      <c r="G3031" s="100">
        <v>1040</v>
      </c>
    </row>
    <row r="3032" spans="2:7">
      <c r="B3032" s="118" t="s">
        <v>2274</v>
      </c>
      <c r="C3032" s="119">
        <v>3534</v>
      </c>
      <c r="E3032" s="96" t="s">
        <v>212</v>
      </c>
      <c r="F3032" s="96" t="s">
        <v>183</v>
      </c>
      <c r="G3032" s="100">
        <v>1162</v>
      </c>
    </row>
    <row r="3033" spans="2:7">
      <c r="B3033" s="118" t="s">
        <v>2358</v>
      </c>
      <c r="C3033" s="119">
        <v>3538</v>
      </c>
      <c r="E3033" s="96" t="s">
        <v>213</v>
      </c>
      <c r="F3033" s="96" t="s">
        <v>183</v>
      </c>
      <c r="G3033" s="100">
        <v>1844</v>
      </c>
    </row>
    <row r="3034" spans="2:7">
      <c r="B3034" s="118" t="s">
        <v>2347</v>
      </c>
      <c r="C3034" s="119">
        <v>3673</v>
      </c>
      <c r="E3034" s="96" t="s">
        <v>214</v>
      </c>
      <c r="F3034" s="96" t="s">
        <v>183</v>
      </c>
      <c r="G3034" s="100">
        <v>1610</v>
      </c>
    </row>
    <row r="3035" spans="2:7">
      <c r="B3035" s="118" t="s">
        <v>2451</v>
      </c>
      <c r="C3035" s="119">
        <v>3671</v>
      </c>
      <c r="E3035" s="96" t="s">
        <v>215</v>
      </c>
      <c r="F3035" s="96" t="s">
        <v>183</v>
      </c>
      <c r="G3035" s="100">
        <v>1028</v>
      </c>
    </row>
    <row r="3036" spans="2:7">
      <c r="B3036" s="118" t="s">
        <v>2456</v>
      </c>
      <c r="C3036" s="119">
        <v>3510</v>
      </c>
      <c r="E3036" s="96" t="s">
        <v>216</v>
      </c>
      <c r="F3036" s="96" t="s">
        <v>183</v>
      </c>
      <c r="G3036" s="100">
        <v>1091</v>
      </c>
    </row>
    <row r="3037" spans="2:7">
      <c r="B3037" s="118" t="s">
        <v>2958</v>
      </c>
      <c r="C3037" s="119">
        <v>3082</v>
      </c>
      <c r="E3037" s="96" t="s">
        <v>217</v>
      </c>
      <c r="F3037" s="96" t="s">
        <v>183</v>
      </c>
      <c r="G3037" s="100">
        <v>1806</v>
      </c>
    </row>
    <row r="3038" spans="2:7">
      <c r="B3038" s="118" t="s">
        <v>2237</v>
      </c>
      <c r="C3038" s="119">
        <v>3506</v>
      </c>
      <c r="E3038" s="96" t="s">
        <v>218</v>
      </c>
      <c r="F3038" s="96" t="s">
        <v>183</v>
      </c>
      <c r="G3038" s="100">
        <v>1450</v>
      </c>
    </row>
    <row r="3039" spans="2:7">
      <c r="B3039" s="118" t="s">
        <v>2571</v>
      </c>
      <c r="C3039" s="119">
        <v>3510</v>
      </c>
      <c r="E3039" s="96" t="s">
        <v>219</v>
      </c>
      <c r="F3039" s="96" t="s">
        <v>183</v>
      </c>
      <c r="G3039" s="100">
        <v>1373</v>
      </c>
    </row>
    <row r="3040" spans="2:7">
      <c r="B3040" s="118" t="s">
        <v>2427</v>
      </c>
      <c r="C3040" s="119">
        <v>3671</v>
      </c>
      <c r="E3040" s="96" t="s">
        <v>220</v>
      </c>
      <c r="F3040" s="96" t="s">
        <v>183</v>
      </c>
      <c r="G3040" s="100">
        <v>1342</v>
      </c>
    </row>
    <row r="3041" spans="2:7">
      <c r="B3041" s="118" t="s">
        <v>2232</v>
      </c>
      <c r="C3041" s="119">
        <v>3114</v>
      </c>
      <c r="E3041" s="96" t="s">
        <v>221</v>
      </c>
      <c r="F3041" s="96" t="s">
        <v>183</v>
      </c>
      <c r="G3041" s="100">
        <v>1025</v>
      </c>
    </row>
    <row r="3042" spans="2:7">
      <c r="B3042" s="118" t="s">
        <v>2378</v>
      </c>
      <c r="C3042" s="119">
        <v>3629</v>
      </c>
      <c r="E3042" s="96" t="s">
        <v>222</v>
      </c>
      <c r="F3042" s="96" t="s">
        <v>183</v>
      </c>
      <c r="G3042" s="100">
        <v>1033</v>
      </c>
    </row>
    <row r="3043" spans="2:7">
      <c r="B3043" s="118" t="s">
        <v>2959</v>
      </c>
      <c r="C3043" s="119">
        <v>3503</v>
      </c>
      <c r="E3043" s="96" t="s">
        <v>223</v>
      </c>
      <c r="F3043" s="96" t="s">
        <v>183</v>
      </c>
      <c r="G3043" s="100">
        <v>1580</v>
      </c>
    </row>
    <row r="3044" spans="2:7">
      <c r="B3044" s="118" t="s">
        <v>2218</v>
      </c>
      <c r="C3044" s="119">
        <v>3510</v>
      </c>
      <c r="E3044" s="96" t="s">
        <v>224</v>
      </c>
      <c r="F3044" s="96" t="s">
        <v>183</v>
      </c>
      <c r="G3044" s="100">
        <v>1522</v>
      </c>
    </row>
    <row r="3045" spans="2:7">
      <c r="B3045" s="118" t="s">
        <v>2960</v>
      </c>
      <c r="C3045" s="119">
        <v>3434</v>
      </c>
      <c r="E3045" s="96" t="s">
        <v>225</v>
      </c>
      <c r="F3045" s="96" t="s">
        <v>183</v>
      </c>
      <c r="G3045" s="100">
        <v>1197</v>
      </c>
    </row>
    <row r="3046" spans="2:7">
      <c r="B3046" s="118" t="s">
        <v>2420</v>
      </c>
      <c r="C3046" s="119">
        <v>3434</v>
      </c>
      <c r="E3046" s="96" t="s">
        <v>226</v>
      </c>
      <c r="F3046" s="96" t="s">
        <v>183</v>
      </c>
      <c r="G3046" s="100">
        <v>1854</v>
      </c>
    </row>
    <row r="3047" spans="2:7">
      <c r="B3047" s="118" t="s">
        <v>2957</v>
      </c>
      <c r="C3047" s="119">
        <v>3508</v>
      </c>
      <c r="E3047" s="96" t="s">
        <v>227</v>
      </c>
      <c r="F3047" s="96" t="s">
        <v>183</v>
      </c>
      <c r="G3047" s="100">
        <v>1337</v>
      </c>
    </row>
    <row r="3048" spans="2:7">
      <c r="B3048" s="118" t="s">
        <v>2358</v>
      </c>
      <c r="C3048" s="119">
        <v>3538</v>
      </c>
      <c r="E3048" s="96" t="s">
        <v>228</v>
      </c>
      <c r="F3048" s="96" t="s">
        <v>183</v>
      </c>
      <c r="G3048" s="100">
        <v>1304</v>
      </c>
    </row>
    <row r="3049" spans="2:7">
      <c r="B3049" s="118" t="s">
        <v>2961</v>
      </c>
      <c r="C3049" s="119">
        <v>3615</v>
      </c>
      <c r="E3049" s="96" t="s">
        <v>229</v>
      </c>
      <c r="F3049" s="96" t="s">
        <v>183</v>
      </c>
      <c r="G3049" s="100">
        <v>1297</v>
      </c>
    </row>
    <row r="3050" spans="2:7">
      <c r="B3050" s="118" t="s">
        <v>2253</v>
      </c>
      <c r="C3050" s="119">
        <v>3672</v>
      </c>
      <c r="E3050" s="96" t="s">
        <v>230</v>
      </c>
      <c r="F3050" s="96" t="s">
        <v>183</v>
      </c>
      <c r="G3050" s="100">
        <v>1092</v>
      </c>
    </row>
    <row r="3051" spans="2:7">
      <c r="B3051" s="118" t="s">
        <v>2347</v>
      </c>
      <c r="C3051" s="119">
        <v>3673</v>
      </c>
      <c r="E3051" s="96" t="s">
        <v>231</v>
      </c>
      <c r="F3051" s="96" t="s">
        <v>183</v>
      </c>
      <c r="G3051" s="100">
        <v>1660</v>
      </c>
    </row>
    <row r="3052" spans="2:7">
      <c r="B3052" s="118" t="s">
        <v>2237</v>
      </c>
      <c r="C3052" s="119">
        <v>3506</v>
      </c>
      <c r="E3052" s="96" t="s">
        <v>232</v>
      </c>
      <c r="F3052" s="96" t="s">
        <v>183</v>
      </c>
      <c r="G3052" s="100">
        <v>1804</v>
      </c>
    </row>
    <row r="3053" spans="2:7">
      <c r="B3053" s="118" t="s">
        <v>2419</v>
      </c>
      <c r="C3053" s="119">
        <v>3532</v>
      </c>
      <c r="E3053" s="96" t="s">
        <v>233</v>
      </c>
      <c r="F3053" s="96" t="s">
        <v>183</v>
      </c>
      <c r="G3053" s="100">
        <v>1462</v>
      </c>
    </row>
    <row r="3054" spans="2:7">
      <c r="B3054" s="118" t="s">
        <v>2962</v>
      </c>
      <c r="C3054" s="119">
        <v>3083</v>
      </c>
      <c r="E3054" s="96" t="s">
        <v>234</v>
      </c>
      <c r="F3054" s="96" t="s">
        <v>183</v>
      </c>
      <c r="G3054" s="100">
        <v>1073</v>
      </c>
    </row>
    <row r="3055" spans="2:7">
      <c r="B3055" s="118" t="s">
        <v>2195</v>
      </c>
      <c r="C3055" s="119">
        <v>3110</v>
      </c>
      <c r="E3055" s="96" t="s">
        <v>235</v>
      </c>
      <c r="F3055" s="96" t="s">
        <v>183</v>
      </c>
      <c r="G3055" s="100">
        <v>1032</v>
      </c>
    </row>
    <row r="3056" spans="2:7">
      <c r="B3056" s="118" t="s">
        <v>2963</v>
      </c>
      <c r="C3056" s="119">
        <v>3111</v>
      </c>
      <c r="E3056" s="96" t="s">
        <v>236</v>
      </c>
      <c r="F3056" s="96" t="s">
        <v>183</v>
      </c>
      <c r="G3056" s="100">
        <v>1422</v>
      </c>
    </row>
    <row r="3057" spans="2:7">
      <c r="B3057" s="118" t="s">
        <v>2423</v>
      </c>
      <c r="C3057" s="119">
        <v>3504</v>
      </c>
      <c r="E3057" s="96" t="s">
        <v>237</v>
      </c>
      <c r="F3057" s="96" t="s">
        <v>183</v>
      </c>
      <c r="G3057" s="100">
        <v>1305</v>
      </c>
    </row>
    <row r="3058" spans="2:7">
      <c r="B3058" s="118" t="s">
        <v>2253</v>
      </c>
      <c r="C3058" s="119">
        <v>3672</v>
      </c>
      <c r="E3058" s="96" t="s">
        <v>238</v>
      </c>
      <c r="F3058" s="96" t="s">
        <v>183</v>
      </c>
      <c r="G3058" s="100">
        <v>1170</v>
      </c>
    </row>
    <row r="3059" spans="2:7">
      <c r="B3059" s="118" t="s">
        <v>2964</v>
      </c>
      <c r="C3059" s="119">
        <v>3672</v>
      </c>
      <c r="E3059" s="96" t="s">
        <v>239</v>
      </c>
      <c r="F3059" s="96" t="s">
        <v>183</v>
      </c>
      <c r="G3059" s="100">
        <v>1296</v>
      </c>
    </row>
    <row r="3060" spans="2:7">
      <c r="B3060" s="118" t="s">
        <v>2965</v>
      </c>
      <c r="C3060" s="119">
        <v>3674</v>
      </c>
      <c r="E3060" s="96" t="s">
        <v>240</v>
      </c>
      <c r="F3060" s="96" t="s">
        <v>183</v>
      </c>
      <c r="G3060" s="100">
        <v>1585</v>
      </c>
    </row>
    <row r="3061" spans="2:7">
      <c r="B3061" s="118" t="s">
        <v>2237</v>
      </c>
      <c r="C3061" s="119">
        <v>3506</v>
      </c>
      <c r="E3061" s="96" t="s">
        <v>241</v>
      </c>
      <c r="F3061" s="96" t="s">
        <v>183</v>
      </c>
      <c r="G3061" s="100">
        <v>1534</v>
      </c>
    </row>
    <row r="3062" spans="2:7">
      <c r="B3062" s="118" t="s">
        <v>2957</v>
      </c>
      <c r="C3062" s="119">
        <v>3508</v>
      </c>
      <c r="E3062" s="96" t="s">
        <v>242</v>
      </c>
      <c r="F3062" s="96" t="s">
        <v>183</v>
      </c>
      <c r="G3062" s="100">
        <v>1163</v>
      </c>
    </row>
    <row r="3063" spans="2:7">
      <c r="B3063" s="118" t="s">
        <v>2407</v>
      </c>
      <c r="C3063" s="119">
        <v>3531</v>
      </c>
      <c r="E3063" s="96" t="s">
        <v>243</v>
      </c>
      <c r="F3063" s="96" t="s">
        <v>183</v>
      </c>
      <c r="G3063" s="100">
        <v>1803</v>
      </c>
    </row>
    <row r="3064" spans="2:7">
      <c r="B3064" s="118" t="s">
        <v>2416</v>
      </c>
      <c r="C3064" s="119">
        <v>3629</v>
      </c>
      <c r="E3064" s="96" t="s">
        <v>244</v>
      </c>
      <c r="F3064" s="96" t="s">
        <v>183</v>
      </c>
      <c r="G3064" s="100">
        <v>1070</v>
      </c>
    </row>
    <row r="3065" spans="2:7">
      <c r="B3065" s="118" t="s">
        <v>2966</v>
      </c>
      <c r="C3065" s="119">
        <v>3112</v>
      </c>
      <c r="E3065" s="96" t="s">
        <v>245</v>
      </c>
      <c r="F3065" s="96" t="s">
        <v>183</v>
      </c>
      <c r="G3065" s="100">
        <v>1291</v>
      </c>
    </row>
    <row r="3066" spans="2:7">
      <c r="B3066" s="118" t="s">
        <v>2269</v>
      </c>
      <c r="C3066" s="119">
        <v>3113</v>
      </c>
      <c r="E3066" s="96" t="s">
        <v>246</v>
      </c>
      <c r="F3066" s="96" t="s">
        <v>183</v>
      </c>
      <c r="G3066" s="100">
        <v>1083</v>
      </c>
    </row>
    <row r="3067" spans="2:7">
      <c r="B3067" s="118" t="s">
        <v>2862</v>
      </c>
      <c r="C3067" s="119">
        <v>3068</v>
      </c>
      <c r="E3067" s="96" t="s">
        <v>247</v>
      </c>
      <c r="F3067" s="96" t="s">
        <v>183</v>
      </c>
      <c r="G3067" s="100">
        <v>1026</v>
      </c>
    </row>
    <row r="3068" spans="2:7">
      <c r="B3068" s="118" t="s">
        <v>1588</v>
      </c>
      <c r="C3068" s="119">
        <v>3415</v>
      </c>
      <c r="E3068" s="96" t="s">
        <v>248</v>
      </c>
      <c r="F3068" s="96" t="s">
        <v>183</v>
      </c>
      <c r="G3068" s="100">
        <v>1053</v>
      </c>
    </row>
    <row r="3069" spans="2:7">
      <c r="B3069" s="118" t="s">
        <v>2315</v>
      </c>
      <c r="C3069" s="119">
        <v>3512</v>
      </c>
      <c r="E3069" s="96" t="s">
        <v>249</v>
      </c>
      <c r="F3069" s="96" t="s">
        <v>183</v>
      </c>
      <c r="G3069" s="100">
        <v>1185</v>
      </c>
    </row>
    <row r="3070" spans="2:7">
      <c r="B3070" s="118" t="s">
        <v>2863</v>
      </c>
      <c r="C3070" s="119">
        <v>3513</v>
      </c>
      <c r="E3070" s="96" t="s">
        <v>250</v>
      </c>
      <c r="F3070" s="96" t="s">
        <v>183</v>
      </c>
      <c r="G3070" s="100">
        <v>1112</v>
      </c>
    </row>
    <row r="3071" spans="2:7">
      <c r="B3071" s="118" t="s">
        <v>2862</v>
      </c>
      <c r="C3071" s="119">
        <v>3068</v>
      </c>
      <c r="E3071" s="96" t="s">
        <v>251</v>
      </c>
      <c r="F3071" s="96" t="s">
        <v>183</v>
      </c>
      <c r="G3071" s="100">
        <v>1273</v>
      </c>
    </row>
    <row r="3072" spans="2:7">
      <c r="B3072" s="118" t="s">
        <v>2967</v>
      </c>
      <c r="C3072" s="119">
        <v>3075</v>
      </c>
      <c r="E3072" s="96" t="s">
        <v>252</v>
      </c>
      <c r="F3072" s="96" t="s">
        <v>183</v>
      </c>
      <c r="G3072" s="100">
        <v>1148</v>
      </c>
    </row>
    <row r="3073" spans="2:7">
      <c r="B3073" s="118" t="s">
        <v>2968</v>
      </c>
      <c r="C3073" s="119">
        <v>3075</v>
      </c>
      <c r="E3073" s="96" t="s">
        <v>253</v>
      </c>
      <c r="F3073" s="96" t="s">
        <v>183</v>
      </c>
      <c r="G3073" s="100">
        <v>1315</v>
      </c>
    </row>
    <row r="3074" spans="2:7">
      <c r="B3074" s="118" t="s">
        <v>2197</v>
      </c>
      <c r="C3074" s="119">
        <v>3076</v>
      </c>
      <c r="E3074" s="96" t="s">
        <v>254</v>
      </c>
      <c r="F3074" s="96" t="s">
        <v>183</v>
      </c>
      <c r="G3074" s="100">
        <v>1055</v>
      </c>
    </row>
    <row r="3075" spans="2:7">
      <c r="B3075" s="118" t="s">
        <v>2969</v>
      </c>
      <c r="C3075" s="119">
        <v>3077</v>
      </c>
      <c r="E3075" s="96" t="s">
        <v>255</v>
      </c>
      <c r="F3075" s="96" t="s">
        <v>183</v>
      </c>
      <c r="G3075" s="100">
        <v>1264</v>
      </c>
    </row>
    <row r="3076" spans="2:7">
      <c r="B3076" s="118" t="s">
        <v>2970</v>
      </c>
      <c r="C3076" s="119">
        <v>3078</v>
      </c>
      <c r="E3076" s="96" t="s">
        <v>256</v>
      </c>
      <c r="F3076" s="96" t="s">
        <v>183</v>
      </c>
      <c r="G3076" s="100">
        <v>1027</v>
      </c>
    </row>
    <row r="3077" spans="2:7">
      <c r="B3077" s="118" t="s">
        <v>2958</v>
      </c>
      <c r="C3077" s="119">
        <v>3082</v>
      </c>
      <c r="E3077" s="96" t="s">
        <v>257</v>
      </c>
      <c r="F3077" s="96" t="s">
        <v>183</v>
      </c>
      <c r="G3077" s="100">
        <v>1562</v>
      </c>
    </row>
    <row r="3078" spans="2:7">
      <c r="B3078" s="118" t="s">
        <v>2269</v>
      </c>
      <c r="C3078" s="119">
        <v>3113</v>
      </c>
      <c r="E3078" s="96" t="s">
        <v>258</v>
      </c>
      <c r="F3078" s="96" t="s">
        <v>183</v>
      </c>
      <c r="G3078" s="100">
        <v>1802</v>
      </c>
    </row>
    <row r="3079" spans="2:7">
      <c r="B3079" s="118" t="s">
        <v>2237</v>
      </c>
      <c r="C3079" s="119">
        <v>3506</v>
      </c>
      <c r="E3079" s="96" t="s">
        <v>259</v>
      </c>
      <c r="F3079" s="96" t="s">
        <v>183</v>
      </c>
      <c r="G3079" s="100">
        <v>1071</v>
      </c>
    </row>
    <row r="3080" spans="2:7">
      <c r="B3080" s="118" t="s">
        <v>2407</v>
      </c>
      <c r="C3080" s="119">
        <v>3531</v>
      </c>
      <c r="E3080" s="96" t="s">
        <v>260</v>
      </c>
      <c r="F3080" s="96" t="s">
        <v>183</v>
      </c>
      <c r="G3080" s="100">
        <v>1299</v>
      </c>
    </row>
    <row r="3081" spans="2:7">
      <c r="B3081" s="118" t="s">
        <v>2323</v>
      </c>
      <c r="C3081" s="119">
        <v>3532</v>
      </c>
      <c r="E3081" s="96" t="s">
        <v>261</v>
      </c>
      <c r="F3081" s="96" t="s">
        <v>183</v>
      </c>
      <c r="G3081" s="100">
        <v>1072</v>
      </c>
    </row>
    <row r="3082" spans="2:7">
      <c r="B3082" s="118" t="s">
        <v>2342</v>
      </c>
      <c r="C3082" s="119">
        <v>3533</v>
      </c>
      <c r="E3082" s="96" t="s">
        <v>262</v>
      </c>
      <c r="F3082" s="96" t="s">
        <v>183</v>
      </c>
      <c r="G3082" s="100">
        <v>1295</v>
      </c>
    </row>
    <row r="3083" spans="2:7">
      <c r="B3083" s="118" t="s">
        <v>2585</v>
      </c>
      <c r="C3083" s="119">
        <v>3504</v>
      </c>
      <c r="E3083" s="96" t="s">
        <v>263</v>
      </c>
      <c r="F3083" s="96" t="s">
        <v>183</v>
      </c>
      <c r="G3083" s="100">
        <v>1188</v>
      </c>
    </row>
    <row r="3084" spans="2:7">
      <c r="B3084" s="118" t="s">
        <v>2323</v>
      </c>
      <c r="C3084" s="119">
        <v>3532</v>
      </c>
      <c r="E3084" s="96" t="s">
        <v>264</v>
      </c>
      <c r="F3084" s="96" t="s">
        <v>183</v>
      </c>
      <c r="G3084" s="100">
        <v>1272</v>
      </c>
    </row>
    <row r="3085" spans="2:7">
      <c r="B3085" s="118" t="s">
        <v>2419</v>
      </c>
      <c r="C3085" s="119">
        <v>3532</v>
      </c>
      <c r="E3085" s="96" t="s">
        <v>265</v>
      </c>
      <c r="F3085" s="96" t="s">
        <v>183</v>
      </c>
      <c r="G3085" s="100">
        <v>1268</v>
      </c>
    </row>
    <row r="3086" spans="2:7">
      <c r="B3086" s="118" t="s">
        <v>2342</v>
      </c>
      <c r="C3086" s="119">
        <v>3533</v>
      </c>
      <c r="E3086" s="96" t="s">
        <v>266</v>
      </c>
      <c r="F3086" s="96" t="s">
        <v>183</v>
      </c>
      <c r="G3086" s="100">
        <v>1077</v>
      </c>
    </row>
    <row r="3087" spans="2:7">
      <c r="B3087" s="118" t="s">
        <v>2347</v>
      </c>
      <c r="C3087" s="119">
        <v>3673</v>
      </c>
      <c r="E3087" s="96" t="s">
        <v>267</v>
      </c>
      <c r="F3087" s="96" t="s">
        <v>183</v>
      </c>
      <c r="G3087" s="100">
        <v>1131</v>
      </c>
    </row>
    <row r="3088" spans="2:7">
      <c r="B3088" s="118" t="s">
        <v>2847</v>
      </c>
      <c r="C3088" s="119">
        <v>3073</v>
      </c>
      <c r="E3088" s="96" t="s">
        <v>268</v>
      </c>
      <c r="F3088" s="96" t="s">
        <v>183</v>
      </c>
      <c r="G3088" s="100">
        <v>1410</v>
      </c>
    </row>
    <row r="3089" spans="2:7">
      <c r="B3089" s="118" t="s">
        <v>2966</v>
      </c>
      <c r="C3089" s="119">
        <v>3112</v>
      </c>
      <c r="E3089" s="96" t="s">
        <v>269</v>
      </c>
      <c r="F3089" s="96" t="s">
        <v>183</v>
      </c>
      <c r="G3089" s="100">
        <v>1303</v>
      </c>
    </row>
    <row r="3090" spans="2:7">
      <c r="B3090" s="118" t="s">
        <v>2232</v>
      </c>
      <c r="C3090" s="119">
        <v>3114</v>
      </c>
      <c r="E3090" s="96" t="s">
        <v>270</v>
      </c>
      <c r="F3090" s="96" t="s">
        <v>183</v>
      </c>
      <c r="G3090" s="100">
        <v>1852</v>
      </c>
    </row>
    <row r="3091" spans="2:7">
      <c r="B3091" s="118" t="s">
        <v>2571</v>
      </c>
      <c r="C3091" s="119">
        <v>3510</v>
      </c>
      <c r="E3091" s="96" t="s">
        <v>271</v>
      </c>
      <c r="F3091" s="96" t="s">
        <v>183</v>
      </c>
      <c r="G3091" s="100">
        <v>1026</v>
      </c>
    </row>
    <row r="3092" spans="2:7">
      <c r="B3092" s="118" t="s">
        <v>2971</v>
      </c>
      <c r="C3092" s="119">
        <v>3177</v>
      </c>
      <c r="E3092" s="96" t="s">
        <v>272</v>
      </c>
      <c r="F3092" s="96" t="s">
        <v>183</v>
      </c>
      <c r="G3092" s="100">
        <v>1262</v>
      </c>
    </row>
    <row r="3093" spans="2:7">
      <c r="B3093" s="118" t="s">
        <v>2972</v>
      </c>
      <c r="C3093" s="119">
        <v>3205</v>
      </c>
      <c r="E3093" s="96" t="s">
        <v>273</v>
      </c>
      <c r="F3093" s="96" t="s">
        <v>183</v>
      </c>
      <c r="G3093" s="100">
        <v>1295</v>
      </c>
    </row>
    <row r="3094" spans="2:7">
      <c r="B3094" s="118" t="s">
        <v>2973</v>
      </c>
      <c r="C3094" s="119">
        <v>3206</v>
      </c>
      <c r="E3094" s="96" t="s">
        <v>274</v>
      </c>
      <c r="F3094" s="96" t="s">
        <v>183</v>
      </c>
      <c r="G3094" s="100">
        <v>1588</v>
      </c>
    </row>
    <row r="3095" spans="2:7">
      <c r="B3095" s="118" t="s">
        <v>2351</v>
      </c>
      <c r="C3095" s="119">
        <v>3206</v>
      </c>
      <c r="E3095" s="96" t="s">
        <v>275</v>
      </c>
      <c r="F3095" s="96" t="s">
        <v>183</v>
      </c>
      <c r="G3095" s="100">
        <v>1145</v>
      </c>
    </row>
    <row r="3096" spans="2:7">
      <c r="B3096" s="118" t="s">
        <v>2974</v>
      </c>
      <c r="C3096" s="119">
        <v>3206</v>
      </c>
      <c r="E3096" s="96" t="s">
        <v>276</v>
      </c>
      <c r="F3096" s="96" t="s">
        <v>183</v>
      </c>
      <c r="G3096" s="100">
        <v>1805</v>
      </c>
    </row>
    <row r="3097" spans="2:7">
      <c r="B3097" s="118" t="s">
        <v>2975</v>
      </c>
      <c r="C3097" s="119">
        <v>3206</v>
      </c>
      <c r="E3097" s="96" t="s">
        <v>277</v>
      </c>
      <c r="F3097" s="96" t="s">
        <v>183</v>
      </c>
      <c r="G3097" s="100">
        <v>1059</v>
      </c>
    </row>
    <row r="3098" spans="2:7">
      <c r="B3098" s="118" t="s">
        <v>2612</v>
      </c>
      <c r="C3098" s="119">
        <v>3207</v>
      </c>
      <c r="E3098" s="96" t="s">
        <v>278</v>
      </c>
      <c r="F3098" s="96" t="s">
        <v>183</v>
      </c>
      <c r="G3098" s="100">
        <v>1166</v>
      </c>
    </row>
    <row r="3099" spans="2:7">
      <c r="B3099" s="118" t="s">
        <v>164</v>
      </c>
      <c r="C3099" s="119">
        <v>3020</v>
      </c>
      <c r="E3099" s="96" t="s">
        <v>279</v>
      </c>
      <c r="F3099" s="96" t="s">
        <v>183</v>
      </c>
      <c r="G3099" s="100">
        <v>1344</v>
      </c>
    </row>
    <row r="3100" spans="2:7">
      <c r="B3100" s="118" t="s">
        <v>2864</v>
      </c>
      <c r="C3100" s="119">
        <v>3033</v>
      </c>
      <c r="E3100" s="96" t="s">
        <v>280</v>
      </c>
      <c r="F3100" s="96" t="s">
        <v>183</v>
      </c>
      <c r="G3100" s="100">
        <v>1094</v>
      </c>
    </row>
    <row r="3101" spans="2:7">
      <c r="B3101" s="118" t="s">
        <v>2353</v>
      </c>
      <c r="C3101" s="119">
        <v>3202</v>
      </c>
      <c r="E3101" s="96" t="s">
        <v>281</v>
      </c>
      <c r="F3101" s="96" t="s">
        <v>183</v>
      </c>
      <c r="G3101" s="100">
        <v>1008</v>
      </c>
    </row>
    <row r="3102" spans="2:7">
      <c r="B3102" s="118" t="s">
        <v>2563</v>
      </c>
      <c r="C3102" s="119">
        <v>3208</v>
      </c>
      <c r="E3102" s="96" t="s">
        <v>282</v>
      </c>
      <c r="F3102" s="96" t="s">
        <v>183</v>
      </c>
      <c r="G3102" s="100">
        <v>1864</v>
      </c>
    </row>
    <row r="3103" spans="2:7">
      <c r="B3103" s="118" t="s">
        <v>1136</v>
      </c>
      <c r="C3103" s="119">
        <v>3210</v>
      </c>
      <c r="E3103" s="96" t="s">
        <v>283</v>
      </c>
      <c r="F3103" s="96" t="s">
        <v>183</v>
      </c>
      <c r="G3103" s="100">
        <v>1143</v>
      </c>
    </row>
    <row r="3104" spans="2:7">
      <c r="B3104" s="118" t="s">
        <v>2467</v>
      </c>
      <c r="C3104" s="119">
        <v>3179</v>
      </c>
      <c r="E3104" s="96" t="s">
        <v>284</v>
      </c>
      <c r="F3104" s="96" t="s">
        <v>183</v>
      </c>
      <c r="G3104" s="100">
        <v>1270</v>
      </c>
    </row>
    <row r="3105" spans="2:7">
      <c r="B3105" s="118" t="s">
        <v>2971</v>
      </c>
      <c r="C3105" s="119">
        <v>3177</v>
      </c>
      <c r="E3105" s="96" t="s">
        <v>285</v>
      </c>
      <c r="F3105" s="96" t="s">
        <v>183</v>
      </c>
      <c r="G3105" s="100">
        <v>1169</v>
      </c>
    </row>
    <row r="3106" spans="2:7">
      <c r="B3106" s="118" t="s">
        <v>2353</v>
      </c>
      <c r="C3106" s="119">
        <v>3202</v>
      </c>
      <c r="E3106" s="96" t="s">
        <v>286</v>
      </c>
      <c r="F3106" s="96" t="s">
        <v>183</v>
      </c>
      <c r="G3106" s="100">
        <v>1882</v>
      </c>
    </row>
    <row r="3107" spans="2:7">
      <c r="B3107" s="118" t="s">
        <v>2268</v>
      </c>
      <c r="C3107" s="119">
        <v>3203</v>
      </c>
      <c r="E3107" s="96" t="s">
        <v>287</v>
      </c>
      <c r="F3107" s="96" t="s">
        <v>183</v>
      </c>
      <c r="G3107" s="100">
        <v>1269</v>
      </c>
    </row>
    <row r="3108" spans="2:7">
      <c r="B3108" s="118" t="s">
        <v>2976</v>
      </c>
      <c r="C3108" s="119">
        <v>3204</v>
      </c>
      <c r="E3108" s="96" t="s">
        <v>288</v>
      </c>
      <c r="F3108" s="96" t="s">
        <v>183</v>
      </c>
      <c r="G3108" s="100">
        <v>1182</v>
      </c>
    </row>
    <row r="3109" spans="2:7">
      <c r="B3109" s="118" t="s">
        <v>2972</v>
      </c>
      <c r="C3109" s="119">
        <v>3205</v>
      </c>
      <c r="E3109" s="96" t="s">
        <v>289</v>
      </c>
      <c r="F3109" s="96" t="s">
        <v>183</v>
      </c>
      <c r="G3109" s="100">
        <v>1279</v>
      </c>
    </row>
    <row r="3110" spans="2:7">
      <c r="B3110" s="118" t="s">
        <v>2447</v>
      </c>
      <c r="C3110" s="119">
        <v>1797</v>
      </c>
      <c r="E3110" s="96" t="s">
        <v>290</v>
      </c>
      <c r="F3110" s="96" t="s">
        <v>183</v>
      </c>
      <c r="G3110" s="100">
        <v>1302</v>
      </c>
    </row>
    <row r="3111" spans="2:7">
      <c r="B3111" s="118" t="s">
        <v>2858</v>
      </c>
      <c r="C3111" s="119">
        <v>3174</v>
      </c>
      <c r="E3111" s="96" t="s">
        <v>291</v>
      </c>
      <c r="F3111" s="96" t="s">
        <v>183</v>
      </c>
      <c r="G3111" s="100">
        <v>1261</v>
      </c>
    </row>
    <row r="3112" spans="2:7">
      <c r="B3112" s="118" t="s">
        <v>2217</v>
      </c>
      <c r="C3112" s="119">
        <v>3176</v>
      </c>
      <c r="E3112" s="96" t="s">
        <v>292</v>
      </c>
      <c r="F3112" s="96" t="s">
        <v>183</v>
      </c>
      <c r="G3112" s="100">
        <v>1041</v>
      </c>
    </row>
    <row r="3113" spans="2:7">
      <c r="B3113" s="118" t="s">
        <v>2971</v>
      </c>
      <c r="C3113" s="119">
        <v>3177</v>
      </c>
      <c r="E3113" s="96" t="s">
        <v>293</v>
      </c>
      <c r="F3113" s="96" t="s">
        <v>183</v>
      </c>
      <c r="G3113" s="100">
        <v>1275</v>
      </c>
    </row>
    <row r="3114" spans="2:7">
      <c r="B3114" s="118" t="s">
        <v>2976</v>
      </c>
      <c r="C3114" s="119">
        <v>3204</v>
      </c>
      <c r="E3114" s="96" t="s">
        <v>294</v>
      </c>
      <c r="F3114" s="96" t="s">
        <v>183</v>
      </c>
      <c r="G3114" s="100">
        <v>1038</v>
      </c>
    </row>
    <row r="3115" spans="2:7">
      <c r="B3115" s="118" t="s">
        <v>2612</v>
      </c>
      <c r="C3115" s="119">
        <v>3207</v>
      </c>
      <c r="E3115" s="96" t="s">
        <v>295</v>
      </c>
      <c r="F3115" s="96" t="s">
        <v>183</v>
      </c>
      <c r="G3115" s="100">
        <v>1276</v>
      </c>
    </row>
    <row r="3116" spans="2:7">
      <c r="B3116" s="118" t="s">
        <v>2543</v>
      </c>
      <c r="C3116" s="119">
        <v>2744</v>
      </c>
      <c r="E3116" s="96" t="s">
        <v>296</v>
      </c>
      <c r="F3116" s="96" t="s">
        <v>183</v>
      </c>
      <c r="G3116" s="100">
        <v>1278</v>
      </c>
    </row>
    <row r="3117" spans="2:7">
      <c r="B3117" s="118" t="s">
        <v>2548</v>
      </c>
      <c r="C3117" s="119">
        <v>2735</v>
      </c>
      <c r="E3117" s="96" t="s">
        <v>297</v>
      </c>
      <c r="F3117" s="96" t="s">
        <v>183</v>
      </c>
      <c r="G3117" s="100">
        <v>1263</v>
      </c>
    </row>
    <row r="3118" spans="2:7">
      <c r="B3118" s="118" t="s">
        <v>2977</v>
      </c>
      <c r="C3118" s="119">
        <v>2747</v>
      </c>
      <c r="E3118" s="96" t="s">
        <v>298</v>
      </c>
      <c r="F3118" s="96" t="s">
        <v>183</v>
      </c>
      <c r="G3118" s="100">
        <v>1047</v>
      </c>
    </row>
    <row r="3119" spans="2:7">
      <c r="B3119" s="118" t="s">
        <v>2548</v>
      </c>
      <c r="C3119" s="119">
        <v>2735</v>
      </c>
      <c r="E3119" s="96" t="s">
        <v>299</v>
      </c>
      <c r="F3119" s="96" t="s">
        <v>183</v>
      </c>
      <c r="G3119" s="100">
        <v>1277</v>
      </c>
    </row>
    <row r="3120" spans="2:7">
      <c r="B3120" s="118" t="s">
        <v>2334</v>
      </c>
      <c r="C3120" s="119">
        <v>2738</v>
      </c>
      <c r="E3120" s="96" t="s">
        <v>300</v>
      </c>
      <c r="F3120" s="96" t="s">
        <v>183</v>
      </c>
      <c r="G3120" s="100">
        <v>1142</v>
      </c>
    </row>
    <row r="3121" spans="2:7">
      <c r="B3121" s="118" t="s">
        <v>2445</v>
      </c>
      <c r="C3121" s="119">
        <v>2746</v>
      </c>
      <c r="E3121" s="96" t="s">
        <v>301</v>
      </c>
      <c r="F3121" s="96" t="s">
        <v>183</v>
      </c>
      <c r="G3121" s="100">
        <v>1037</v>
      </c>
    </row>
    <row r="3122" spans="2:7">
      <c r="B3122" s="118" t="s">
        <v>2182</v>
      </c>
      <c r="C3122" s="119">
        <v>4716</v>
      </c>
      <c r="E3122" s="96" t="s">
        <v>302</v>
      </c>
      <c r="F3122" s="96" t="s">
        <v>183</v>
      </c>
      <c r="G3122" s="100">
        <v>1862</v>
      </c>
    </row>
    <row r="3123" spans="2:7">
      <c r="B3123" s="118" t="s">
        <v>2553</v>
      </c>
      <c r="C3123" s="119">
        <v>2743</v>
      </c>
      <c r="E3123" s="96" t="s">
        <v>303</v>
      </c>
      <c r="F3123" s="96" t="s">
        <v>183</v>
      </c>
      <c r="G3123" s="100">
        <v>1376</v>
      </c>
    </row>
    <row r="3124" spans="2:7">
      <c r="B3124" s="118" t="s">
        <v>2560</v>
      </c>
      <c r="C3124" s="119">
        <v>2745</v>
      </c>
      <c r="E3124" s="96" t="s">
        <v>304</v>
      </c>
      <c r="F3124" s="96" t="s">
        <v>183</v>
      </c>
      <c r="G3124" s="100">
        <v>1312</v>
      </c>
    </row>
    <row r="3125" spans="2:7">
      <c r="B3125" s="118" t="s">
        <v>2577</v>
      </c>
      <c r="C3125" s="119">
        <v>2732</v>
      </c>
      <c r="E3125" s="96" t="s">
        <v>305</v>
      </c>
      <c r="F3125" s="96" t="s">
        <v>183</v>
      </c>
      <c r="G3125" s="100">
        <v>1338</v>
      </c>
    </row>
    <row r="3126" spans="2:7">
      <c r="B3126" s="118" t="s">
        <v>2978</v>
      </c>
      <c r="C3126" s="119">
        <v>2733</v>
      </c>
      <c r="E3126" s="96" t="s">
        <v>306</v>
      </c>
      <c r="F3126" s="96" t="s">
        <v>183</v>
      </c>
      <c r="G3126" s="100">
        <v>1054</v>
      </c>
    </row>
    <row r="3127" spans="2:7">
      <c r="B3127" s="118" t="s">
        <v>2203</v>
      </c>
      <c r="C3127" s="119">
        <v>2740</v>
      </c>
      <c r="E3127" s="96" t="s">
        <v>307</v>
      </c>
      <c r="F3127" s="96" t="s">
        <v>183</v>
      </c>
      <c r="G3127" s="100">
        <v>1266</v>
      </c>
    </row>
    <row r="3128" spans="2:7">
      <c r="B3128" s="118" t="s">
        <v>2457</v>
      </c>
      <c r="C3128" s="119">
        <v>2742</v>
      </c>
      <c r="E3128" s="96" t="s">
        <v>308</v>
      </c>
      <c r="F3128" s="96" t="s">
        <v>183</v>
      </c>
      <c r="G3128" s="100">
        <v>1042</v>
      </c>
    </row>
    <row r="3129" spans="2:7">
      <c r="B3129" s="118" t="s">
        <v>2248</v>
      </c>
      <c r="C3129" s="119">
        <v>2710</v>
      </c>
      <c r="E3129" s="96" t="s">
        <v>309</v>
      </c>
      <c r="F3129" s="96" t="s">
        <v>183</v>
      </c>
      <c r="G3129" s="100">
        <v>1446</v>
      </c>
    </row>
    <row r="3130" spans="2:7">
      <c r="B3130" s="118" t="s">
        <v>2296</v>
      </c>
      <c r="C3130" s="119">
        <v>2732</v>
      </c>
      <c r="E3130" s="96" t="s">
        <v>310</v>
      </c>
      <c r="F3130" s="96" t="s">
        <v>183</v>
      </c>
      <c r="G3130" s="100">
        <v>1845</v>
      </c>
    </row>
    <row r="3131" spans="2:7">
      <c r="B3131" s="118" t="s">
        <v>2203</v>
      </c>
      <c r="C3131" s="119">
        <v>2740</v>
      </c>
      <c r="E3131" s="96" t="s">
        <v>311</v>
      </c>
      <c r="F3131" s="96" t="s">
        <v>183</v>
      </c>
      <c r="G3131" s="100">
        <v>1853</v>
      </c>
    </row>
    <row r="3132" spans="2:7">
      <c r="B3132" s="118" t="s">
        <v>2979</v>
      </c>
      <c r="C3132" s="119">
        <v>2762</v>
      </c>
      <c r="E3132" s="96" t="s">
        <v>312</v>
      </c>
      <c r="F3132" s="96" t="s">
        <v>183</v>
      </c>
      <c r="G3132" s="100">
        <v>1188</v>
      </c>
    </row>
    <row r="3133" spans="2:7">
      <c r="B3133" s="118" t="s">
        <v>2980</v>
      </c>
      <c r="C3133" s="119">
        <v>2712</v>
      </c>
      <c r="E3133" s="96" t="s">
        <v>313</v>
      </c>
      <c r="F3133" s="96" t="s">
        <v>183</v>
      </c>
      <c r="G3133" s="100">
        <v>1424</v>
      </c>
    </row>
    <row r="3134" spans="2:7">
      <c r="B3134" s="118" t="s">
        <v>2981</v>
      </c>
      <c r="C3134" s="119">
        <v>2713</v>
      </c>
      <c r="E3134" s="96" t="s">
        <v>314</v>
      </c>
      <c r="F3134" s="96" t="s">
        <v>183</v>
      </c>
      <c r="G3134" s="100">
        <v>1267</v>
      </c>
    </row>
    <row r="3135" spans="2:7">
      <c r="B3135" s="118" t="s">
        <v>2228</v>
      </c>
      <c r="C3135" s="119">
        <v>2720</v>
      </c>
      <c r="E3135" s="96" t="s">
        <v>315</v>
      </c>
      <c r="F3135" s="96" t="s">
        <v>183</v>
      </c>
      <c r="G3135" s="100">
        <v>1175</v>
      </c>
    </row>
    <row r="3136" spans="2:7">
      <c r="B3136" s="118" t="s">
        <v>2421</v>
      </c>
      <c r="C3136" s="119">
        <v>2732</v>
      </c>
      <c r="E3136" s="96" t="s">
        <v>316</v>
      </c>
      <c r="F3136" s="96" t="s">
        <v>183</v>
      </c>
      <c r="G3136" s="100">
        <v>1036</v>
      </c>
    </row>
    <row r="3137" spans="2:7">
      <c r="B3137" s="118" t="s">
        <v>2982</v>
      </c>
      <c r="C3137" s="119">
        <v>2732</v>
      </c>
      <c r="E3137" s="96" t="s">
        <v>317</v>
      </c>
      <c r="F3137" s="96" t="s">
        <v>183</v>
      </c>
      <c r="G3137" s="100">
        <v>1418</v>
      </c>
    </row>
    <row r="3138" spans="2:7">
      <c r="B3138" s="118" t="s">
        <v>2600</v>
      </c>
      <c r="C3138" s="119">
        <v>2827</v>
      </c>
      <c r="E3138" s="96" t="s">
        <v>318</v>
      </c>
      <c r="F3138" s="96" t="s">
        <v>183</v>
      </c>
      <c r="G3138" s="100">
        <v>1148</v>
      </c>
    </row>
    <row r="3139" spans="2:7">
      <c r="B3139" s="118" t="s">
        <v>2601</v>
      </c>
      <c r="C3139" s="119">
        <v>2747</v>
      </c>
      <c r="E3139" s="96" t="s">
        <v>319</v>
      </c>
      <c r="F3139" s="96" t="s">
        <v>183</v>
      </c>
      <c r="G3139" s="100">
        <v>1306</v>
      </c>
    </row>
    <row r="3140" spans="2:7">
      <c r="B3140" s="118" t="s">
        <v>2603</v>
      </c>
      <c r="C3140" s="119">
        <v>2736</v>
      </c>
      <c r="E3140" s="96" t="s">
        <v>320</v>
      </c>
      <c r="F3140" s="96" t="s">
        <v>183</v>
      </c>
      <c r="G3140" s="100">
        <v>1271</v>
      </c>
    </row>
    <row r="3141" spans="2:7">
      <c r="B3141" s="118" t="s">
        <v>2248</v>
      </c>
      <c r="C3141" s="119">
        <v>2710</v>
      </c>
      <c r="E3141" s="96" t="s">
        <v>321</v>
      </c>
      <c r="F3141" s="96" t="s">
        <v>183</v>
      </c>
      <c r="G3141" s="100">
        <v>1147</v>
      </c>
    </row>
    <row r="3142" spans="2:7">
      <c r="B3142" s="118" t="s">
        <v>2892</v>
      </c>
      <c r="C3142" s="119">
        <v>2720</v>
      </c>
      <c r="E3142" s="96" t="s">
        <v>322</v>
      </c>
      <c r="F3142" s="96" t="s">
        <v>183</v>
      </c>
      <c r="G3142" s="100">
        <v>1034</v>
      </c>
    </row>
    <row r="3143" spans="2:7">
      <c r="B3143" s="118" t="s">
        <v>2590</v>
      </c>
      <c r="C3143" s="119">
        <v>2717</v>
      </c>
      <c r="E3143" s="96" t="s">
        <v>323</v>
      </c>
      <c r="F3143" s="96" t="s">
        <v>183</v>
      </c>
      <c r="G3143" s="100">
        <v>1417</v>
      </c>
    </row>
    <row r="3144" spans="2:7">
      <c r="B3144" s="118" t="s">
        <v>2980</v>
      </c>
      <c r="C3144" s="119">
        <v>2712</v>
      </c>
      <c r="E3144" s="96" t="s">
        <v>324</v>
      </c>
      <c r="F3144" s="96" t="s">
        <v>183</v>
      </c>
      <c r="G3144" s="100">
        <v>1426</v>
      </c>
    </row>
    <row r="3145" spans="2:7">
      <c r="B3145" s="118" t="s">
        <v>2983</v>
      </c>
      <c r="C3145" s="119">
        <v>2715</v>
      </c>
      <c r="E3145" s="96" t="s">
        <v>325</v>
      </c>
      <c r="F3145" s="96" t="s">
        <v>183</v>
      </c>
      <c r="G3145" s="100">
        <v>1290</v>
      </c>
    </row>
    <row r="3146" spans="2:7">
      <c r="B3146" s="118" t="s">
        <v>2984</v>
      </c>
      <c r="C3146" s="119">
        <v>2715</v>
      </c>
      <c r="E3146" s="96" t="s">
        <v>326</v>
      </c>
      <c r="F3146" s="96" t="s">
        <v>183</v>
      </c>
      <c r="G3146" s="100">
        <v>1029</v>
      </c>
    </row>
    <row r="3147" spans="2:7">
      <c r="B3147" s="118" t="s">
        <v>2985</v>
      </c>
      <c r="C3147" s="119">
        <v>2716</v>
      </c>
      <c r="E3147" s="96" t="s">
        <v>327</v>
      </c>
      <c r="F3147" s="96" t="s">
        <v>183</v>
      </c>
      <c r="G3147" s="100">
        <v>1372</v>
      </c>
    </row>
    <row r="3148" spans="2:7">
      <c r="B3148" s="118" t="s">
        <v>2986</v>
      </c>
      <c r="C3148" s="119">
        <v>2717</v>
      </c>
      <c r="E3148" s="96" t="s">
        <v>328</v>
      </c>
      <c r="F3148" s="96" t="s">
        <v>183</v>
      </c>
      <c r="G3148" s="100">
        <v>1892</v>
      </c>
    </row>
    <row r="3149" spans="2:7">
      <c r="B3149" s="118" t="s">
        <v>2987</v>
      </c>
      <c r="C3149" s="119">
        <v>2748</v>
      </c>
      <c r="E3149" s="96" t="s">
        <v>329</v>
      </c>
      <c r="F3149" s="96" t="s">
        <v>183</v>
      </c>
      <c r="G3149" s="100">
        <v>1124</v>
      </c>
    </row>
    <row r="3150" spans="2:7">
      <c r="B3150" s="118" t="s">
        <v>2988</v>
      </c>
      <c r="C3150" s="119">
        <v>2748</v>
      </c>
      <c r="E3150" s="96" t="s">
        <v>330</v>
      </c>
      <c r="F3150" s="96" t="s">
        <v>183</v>
      </c>
      <c r="G3150" s="100">
        <v>1279</v>
      </c>
    </row>
    <row r="3151" spans="2:7">
      <c r="B3151" s="118" t="s">
        <v>2978</v>
      </c>
      <c r="C3151" s="119">
        <v>2733</v>
      </c>
      <c r="E3151" s="96" t="s">
        <v>331</v>
      </c>
      <c r="F3151" s="96" t="s">
        <v>183</v>
      </c>
      <c r="G3151" s="100">
        <v>1173</v>
      </c>
    </row>
    <row r="3152" spans="2:7">
      <c r="B3152" s="118" t="s">
        <v>2989</v>
      </c>
      <c r="C3152" s="119">
        <v>2735</v>
      </c>
      <c r="E3152" s="96" t="s">
        <v>332</v>
      </c>
      <c r="F3152" s="96" t="s">
        <v>183</v>
      </c>
      <c r="G3152" s="100">
        <v>1595</v>
      </c>
    </row>
    <row r="3153" spans="2:7">
      <c r="B3153" s="118" t="s">
        <v>2908</v>
      </c>
      <c r="C3153" s="119">
        <v>2735</v>
      </c>
      <c r="E3153" s="96" t="s">
        <v>333</v>
      </c>
      <c r="F3153" s="96" t="s">
        <v>183</v>
      </c>
      <c r="G3153" s="100">
        <v>1659</v>
      </c>
    </row>
    <row r="3154" spans="2:7">
      <c r="B3154" s="118" t="s">
        <v>2434</v>
      </c>
      <c r="C3154" s="119">
        <v>2514</v>
      </c>
      <c r="E3154" s="96" t="s">
        <v>334</v>
      </c>
      <c r="F3154" s="96" t="s">
        <v>183</v>
      </c>
      <c r="G3154" s="100">
        <v>1543</v>
      </c>
    </row>
    <row r="3155" spans="2:7">
      <c r="B3155" s="118" t="s">
        <v>2247</v>
      </c>
      <c r="C3155" s="119">
        <v>2520</v>
      </c>
      <c r="E3155" s="96" t="s">
        <v>335</v>
      </c>
      <c r="F3155" s="96" t="s">
        <v>183</v>
      </c>
      <c r="G3155" s="100">
        <v>1134</v>
      </c>
    </row>
    <row r="3156" spans="2:7">
      <c r="B3156" s="118" t="s">
        <v>1365</v>
      </c>
      <c r="C3156" s="119">
        <v>2523</v>
      </c>
      <c r="E3156" s="96" t="s">
        <v>336</v>
      </c>
      <c r="F3156" s="96" t="s">
        <v>183</v>
      </c>
      <c r="G3156" s="100">
        <v>1345</v>
      </c>
    </row>
    <row r="3157" spans="2:7">
      <c r="B3157" s="118" t="s">
        <v>2406</v>
      </c>
      <c r="C3157" s="119">
        <v>2518</v>
      </c>
      <c r="E3157" s="96" t="s">
        <v>337</v>
      </c>
      <c r="F3157" s="96" t="s">
        <v>183</v>
      </c>
      <c r="G3157" s="100">
        <v>1820</v>
      </c>
    </row>
    <row r="3158" spans="2:7">
      <c r="B3158" s="118" t="s">
        <v>1365</v>
      </c>
      <c r="C3158" s="119">
        <v>2523</v>
      </c>
      <c r="E3158" s="96" t="s">
        <v>338</v>
      </c>
      <c r="F3158" s="96" t="s">
        <v>183</v>
      </c>
      <c r="G3158" s="100">
        <v>1318</v>
      </c>
    </row>
    <row r="3159" spans="2:7">
      <c r="B3159" s="118" t="s">
        <v>2890</v>
      </c>
      <c r="C3159" s="119">
        <v>2534</v>
      </c>
      <c r="E3159" s="96" t="s">
        <v>339</v>
      </c>
      <c r="F3159" s="96" t="s">
        <v>183</v>
      </c>
      <c r="G3159" s="100">
        <v>1041</v>
      </c>
    </row>
    <row r="3160" spans="2:7">
      <c r="B3160" s="118" t="s">
        <v>2990</v>
      </c>
      <c r="C3160" s="119">
        <v>2515</v>
      </c>
      <c r="E3160" s="96" t="s">
        <v>340</v>
      </c>
      <c r="F3160" s="96" t="s">
        <v>183</v>
      </c>
      <c r="G3160" s="100">
        <v>1423</v>
      </c>
    </row>
    <row r="3161" spans="2:7">
      <c r="B3161" s="118" t="s">
        <v>2991</v>
      </c>
      <c r="C3161" s="119">
        <v>2516</v>
      </c>
      <c r="E3161" s="96" t="s">
        <v>341</v>
      </c>
      <c r="F3161" s="96" t="s">
        <v>183</v>
      </c>
      <c r="G3161" s="100">
        <v>1847</v>
      </c>
    </row>
    <row r="3162" spans="2:7">
      <c r="B3162" s="118" t="s">
        <v>2992</v>
      </c>
      <c r="C3162" s="119">
        <v>2517</v>
      </c>
      <c r="E3162" s="96" t="s">
        <v>342</v>
      </c>
      <c r="F3162" s="96" t="s">
        <v>183</v>
      </c>
      <c r="G3162" s="100">
        <v>1053</v>
      </c>
    </row>
    <row r="3163" spans="2:7">
      <c r="B3163" s="118" t="s">
        <v>2307</v>
      </c>
      <c r="C3163" s="119">
        <v>2558</v>
      </c>
      <c r="E3163" s="96" t="s">
        <v>343</v>
      </c>
      <c r="F3163" s="96" t="s">
        <v>183</v>
      </c>
      <c r="G3163" s="100">
        <v>1407</v>
      </c>
    </row>
    <row r="3164" spans="2:7">
      <c r="B3164" s="118" t="s">
        <v>2249</v>
      </c>
      <c r="C3164" s="119">
        <v>2562</v>
      </c>
      <c r="E3164" s="96" t="s">
        <v>344</v>
      </c>
      <c r="F3164" s="96" t="s">
        <v>183</v>
      </c>
      <c r="G3164" s="100">
        <v>1132</v>
      </c>
    </row>
    <row r="3165" spans="2:7">
      <c r="B3165" s="118" t="s">
        <v>2244</v>
      </c>
      <c r="C3165" s="119">
        <v>2563</v>
      </c>
      <c r="E3165" s="96" t="s">
        <v>345</v>
      </c>
      <c r="F3165" s="96" t="s">
        <v>183</v>
      </c>
      <c r="G3165" s="100">
        <v>1405</v>
      </c>
    </row>
    <row r="3166" spans="2:7">
      <c r="B3166" s="118" t="s">
        <v>2320</v>
      </c>
      <c r="C3166" s="119">
        <v>2564</v>
      </c>
      <c r="E3166" s="96" t="s">
        <v>346</v>
      </c>
      <c r="F3166" s="96" t="s">
        <v>183</v>
      </c>
      <c r="G3166" s="100">
        <v>1135</v>
      </c>
    </row>
    <row r="3167" spans="2:7">
      <c r="B3167" s="118" t="s">
        <v>2545</v>
      </c>
      <c r="C3167" s="119">
        <v>2503</v>
      </c>
      <c r="E3167" s="96" t="s">
        <v>347</v>
      </c>
      <c r="F3167" s="96" t="s">
        <v>183</v>
      </c>
      <c r="G3167" s="100">
        <v>1040</v>
      </c>
    </row>
    <row r="3168" spans="2:7">
      <c r="B3168" s="118" t="s">
        <v>2545</v>
      </c>
      <c r="C3168" s="119">
        <v>2504</v>
      </c>
      <c r="E3168" s="96" t="s">
        <v>348</v>
      </c>
      <c r="F3168" s="96" t="s">
        <v>183</v>
      </c>
      <c r="G3168" s="100">
        <v>1183</v>
      </c>
    </row>
    <row r="3169" spans="2:7">
      <c r="B3169" s="118" t="s">
        <v>2273</v>
      </c>
      <c r="C3169" s="119">
        <v>2552</v>
      </c>
      <c r="E3169" s="96" t="s">
        <v>349</v>
      </c>
      <c r="F3169" s="96" t="s">
        <v>183</v>
      </c>
      <c r="G3169" s="100">
        <v>1031</v>
      </c>
    </row>
    <row r="3170" spans="2:7">
      <c r="B3170" s="118" t="s">
        <v>2993</v>
      </c>
      <c r="C3170" s="119">
        <v>2555</v>
      </c>
      <c r="E3170" s="96" t="s">
        <v>350</v>
      </c>
      <c r="F3170" s="96" t="s">
        <v>183</v>
      </c>
      <c r="G3170" s="100">
        <v>1442</v>
      </c>
    </row>
    <row r="3171" spans="2:7">
      <c r="B3171" s="118" t="s">
        <v>2994</v>
      </c>
      <c r="C3171" s="119">
        <v>3274</v>
      </c>
      <c r="E3171" s="96" t="s">
        <v>351</v>
      </c>
      <c r="F3171" s="96" t="s">
        <v>183</v>
      </c>
      <c r="G3171" s="100">
        <v>1441</v>
      </c>
    </row>
    <row r="3172" spans="2:7">
      <c r="B3172" s="118" t="s">
        <v>2552</v>
      </c>
      <c r="C3172" s="119">
        <v>3272</v>
      </c>
      <c r="E3172" s="96" t="s">
        <v>352</v>
      </c>
      <c r="F3172" s="96" t="s">
        <v>183</v>
      </c>
      <c r="G3172" s="100">
        <v>1400</v>
      </c>
    </row>
    <row r="3173" spans="2:7">
      <c r="B3173" s="118" t="s">
        <v>2272</v>
      </c>
      <c r="C3173" s="119">
        <v>2575</v>
      </c>
      <c r="E3173" s="96" t="s">
        <v>353</v>
      </c>
      <c r="F3173" s="96" t="s">
        <v>183</v>
      </c>
      <c r="G3173" s="100">
        <v>1044</v>
      </c>
    </row>
    <row r="3174" spans="2:7">
      <c r="B3174" s="118" t="s">
        <v>2566</v>
      </c>
      <c r="C3174" s="119">
        <v>2575</v>
      </c>
      <c r="E3174" s="96" t="s">
        <v>354</v>
      </c>
      <c r="F3174" s="96" t="s">
        <v>183</v>
      </c>
      <c r="G3174" s="100">
        <v>1186</v>
      </c>
    </row>
    <row r="3175" spans="2:7">
      <c r="B3175" s="118" t="s">
        <v>2569</v>
      </c>
      <c r="C3175" s="119">
        <v>3274</v>
      </c>
      <c r="E3175" s="96" t="s">
        <v>355</v>
      </c>
      <c r="F3175" s="96" t="s">
        <v>183</v>
      </c>
      <c r="G3175" s="100">
        <v>1176</v>
      </c>
    </row>
    <row r="3176" spans="2:7">
      <c r="B3176" s="118" t="s">
        <v>2415</v>
      </c>
      <c r="C3176" s="119">
        <v>2565</v>
      </c>
      <c r="E3176" s="96" t="s">
        <v>356</v>
      </c>
      <c r="F3176" s="96" t="s">
        <v>183</v>
      </c>
      <c r="G3176" s="100">
        <v>1443</v>
      </c>
    </row>
    <row r="3177" spans="2:7">
      <c r="B3177" s="118" t="s">
        <v>2244</v>
      </c>
      <c r="C3177" s="119">
        <v>2563</v>
      </c>
      <c r="E3177" s="96" t="s">
        <v>357</v>
      </c>
      <c r="F3177" s="96" t="s">
        <v>183</v>
      </c>
      <c r="G3177" s="100">
        <v>1167</v>
      </c>
    </row>
    <row r="3178" spans="2:7">
      <c r="B3178" s="118" t="s">
        <v>2995</v>
      </c>
      <c r="C3178" s="119">
        <v>2513</v>
      </c>
      <c r="E3178" s="96" t="s">
        <v>358</v>
      </c>
      <c r="F3178" s="96" t="s">
        <v>183</v>
      </c>
      <c r="G3178" s="100">
        <v>1081</v>
      </c>
    </row>
    <row r="3179" spans="2:7">
      <c r="B3179" s="118" t="s">
        <v>2434</v>
      </c>
      <c r="C3179" s="119">
        <v>2514</v>
      </c>
      <c r="E3179" s="96" t="s">
        <v>359</v>
      </c>
      <c r="F3179" s="96" t="s">
        <v>183</v>
      </c>
      <c r="G3179" s="100">
        <v>1453</v>
      </c>
    </row>
    <row r="3180" spans="2:7">
      <c r="B3180" s="118" t="s">
        <v>2581</v>
      </c>
      <c r="C3180" s="119">
        <v>3274</v>
      </c>
      <c r="E3180" s="96" t="s">
        <v>360</v>
      </c>
      <c r="F3180" s="96" t="s">
        <v>183</v>
      </c>
      <c r="G3180" s="100">
        <v>1321</v>
      </c>
    </row>
    <row r="3181" spans="2:7">
      <c r="B3181" s="118" t="s">
        <v>2390</v>
      </c>
      <c r="C3181" s="119">
        <v>2572</v>
      </c>
      <c r="E3181" s="96" t="s">
        <v>361</v>
      </c>
      <c r="F3181" s="96" t="s">
        <v>183</v>
      </c>
      <c r="G3181" s="100">
        <v>1164</v>
      </c>
    </row>
    <row r="3182" spans="2:7">
      <c r="B3182" s="118" t="s">
        <v>2545</v>
      </c>
      <c r="C3182" s="119">
        <v>2503</v>
      </c>
      <c r="E3182" s="96" t="s">
        <v>362</v>
      </c>
      <c r="F3182" s="96" t="s">
        <v>183</v>
      </c>
      <c r="G3182" s="100">
        <v>1195</v>
      </c>
    </row>
    <row r="3183" spans="2:7">
      <c r="B3183" s="118" t="s">
        <v>2207</v>
      </c>
      <c r="C3183" s="119">
        <v>2560</v>
      </c>
      <c r="E3183" s="96" t="s">
        <v>363</v>
      </c>
      <c r="F3183" s="96" t="s">
        <v>183</v>
      </c>
      <c r="G3183" s="100">
        <v>1358</v>
      </c>
    </row>
    <row r="3184" spans="2:7">
      <c r="B3184" s="118" t="s">
        <v>2545</v>
      </c>
      <c r="C3184" s="119">
        <v>2504</v>
      </c>
      <c r="E3184" s="96" t="s">
        <v>364</v>
      </c>
      <c r="F3184" s="96" t="s">
        <v>183</v>
      </c>
      <c r="G3184" s="100">
        <v>1438</v>
      </c>
    </row>
    <row r="3185" spans="2:7">
      <c r="B3185" s="118" t="s">
        <v>2273</v>
      </c>
      <c r="C3185" s="119">
        <v>2552</v>
      </c>
      <c r="E3185" s="96" t="s">
        <v>365</v>
      </c>
      <c r="F3185" s="96" t="s">
        <v>183</v>
      </c>
      <c r="G3185" s="100">
        <v>1168</v>
      </c>
    </row>
    <row r="3186" spans="2:7">
      <c r="B3186" s="118" t="s">
        <v>2207</v>
      </c>
      <c r="C3186" s="119">
        <v>2560</v>
      </c>
      <c r="E3186" s="96" t="s">
        <v>366</v>
      </c>
      <c r="F3186" s="96" t="s">
        <v>183</v>
      </c>
      <c r="G3186" s="100">
        <v>1184</v>
      </c>
    </row>
    <row r="3187" spans="2:7">
      <c r="B3187" s="118" t="s">
        <v>2249</v>
      </c>
      <c r="C3187" s="119">
        <v>2562</v>
      </c>
      <c r="E3187" s="96" t="s">
        <v>367</v>
      </c>
      <c r="F3187" s="96" t="s">
        <v>183</v>
      </c>
      <c r="G3187" s="100">
        <v>1433</v>
      </c>
    </row>
    <row r="3188" spans="2:7">
      <c r="B3188" s="118" t="s">
        <v>2311</v>
      </c>
      <c r="C3188" s="119">
        <v>2553</v>
      </c>
      <c r="E3188" s="96" t="s">
        <v>368</v>
      </c>
      <c r="F3188" s="96" t="s">
        <v>183</v>
      </c>
      <c r="G3188" s="100">
        <v>1445</v>
      </c>
    </row>
    <row r="3189" spans="2:7">
      <c r="B3189" s="118" t="s">
        <v>2459</v>
      </c>
      <c r="C3189" s="119">
        <v>2556</v>
      </c>
      <c r="E3189" s="96" t="s">
        <v>369</v>
      </c>
      <c r="F3189" s="96" t="s">
        <v>183</v>
      </c>
      <c r="G3189" s="100">
        <v>1509</v>
      </c>
    </row>
    <row r="3190" spans="2:7">
      <c r="B3190" s="118" t="s">
        <v>2414</v>
      </c>
      <c r="C3190" s="119">
        <v>2556</v>
      </c>
      <c r="E3190" s="96" t="s">
        <v>370</v>
      </c>
      <c r="F3190" s="96" t="s">
        <v>183</v>
      </c>
      <c r="G3190" s="100">
        <v>1377</v>
      </c>
    </row>
    <row r="3191" spans="2:7">
      <c r="B3191" s="118" t="s">
        <v>2821</v>
      </c>
      <c r="C3191" s="119">
        <v>2557</v>
      </c>
      <c r="E3191" s="96" t="s">
        <v>371</v>
      </c>
      <c r="F3191" s="96" t="s">
        <v>183</v>
      </c>
      <c r="G3191" s="100">
        <v>1042</v>
      </c>
    </row>
    <row r="3192" spans="2:7">
      <c r="B3192" s="118" t="s">
        <v>2996</v>
      </c>
      <c r="C3192" s="119">
        <v>2572</v>
      </c>
      <c r="E3192" s="96" t="s">
        <v>372</v>
      </c>
      <c r="F3192" s="96" t="s">
        <v>183</v>
      </c>
      <c r="G3192" s="100">
        <v>1274</v>
      </c>
    </row>
    <row r="3193" spans="2:7">
      <c r="B3193" s="118" t="s">
        <v>2272</v>
      </c>
      <c r="C3193" s="119">
        <v>2575</v>
      </c>
      <c r="E3193" s="96" t="s">
        <v>373</v>
      </c>
      <c r="F3193" s="96" t="s">
        <v>183</v>
      </c>
      <c r="G3193" s="100">
        <v>1323</v>
      </c>
    </row>
    <row r="3194" spans="2:7">
      <c r="B3194" s="118" t="s">
        <v>2997</v>
      </c>
      <c r="C3194" s="119">
        <v>2575</v>
      </c>
      <c r="E3194" s="96" t="s">
        <v>374</v>
      </c>
      <c r="F3194" s="96" t="s">
        <v>183</v>
      </c>
      <c r="G3194" s="100">
        <v>1121</v>
      </c>
    </row>
    <row r="3195" spans="2:7">
      <c r="B3195" s="118" t="s">
        <v>2566</v>
      </c>
      <c r="C3195" s="119">
        <v>2575</v>
      </c>
      <c r="E3195" s="96" t="s">
        <v>375</v>
      </c>
      <c r="F3195" s="96" t="s">
        <v>183</v>
      </c>
      <c r="G3195" s="100">
        <v>1123</v>
      </c>
    </row>
    <row r="3196" spans="2:7">
      <c r="B3196" s="118" t="s">
        <v>2375</v>
      </c>
      <c r="C3196" s="119">
        <v>3272</v>
      </c>
      <c r="E3196" s="96" t="s">
        <v>376</v>
      </c>
      <c r="F3196" s="96" t="s">
        <v>183</v>
      </c>
      <c r="G3196" s="100">
        <v>1658</v>
      </c>
    </row>
    <row r="3197" spans="2:7">
      <c r="B3197" s="118" t="s">
        <v>2299</v>
      </c>
      <c r="C3197" s="119">
        <v>3252</v>
      </c>
      <c r="E3197" s="96" t="s">
        <v>377</v>
      </c>
      <c r="F3197" s="96" t="s">
        <v>183</v>
      </c>
      <c r="G3197" s="100">
        <v>1413</v>
      </c>
    </row>
    <row r="3198" spans="2:7">
      <c r="B3198" s="118" t="s">
        <v>2545</v>
      </c>
      <c r="C3198" s="119">
        <v>2505</v>
      </c>
      <c r="E3198" s="96" t="s">
        <v>378</v>
      </c>
      <c r="F3198" s="96" t="s">
        <v>183</v>
      </c>
      <c r="G3198" s="100">
        <v>1436</v>
      </c>
    </row>
    <row r="3199" spans="2:7">
      <c r="B3199" s="118" t="s">
        <v>2998</v>
      </c>
      <c r="C3199" s="119">
        <v>2512</v>
      </c>
      <c r="E3199" s="96" t="s">
        <v>379</v>
      </c>
      <c r="F3199" s="96" t="s">
        <v>183</v>
      </c>
      <c r="G3199" s="100">
        <v>1174</v>
      </c>
    </row>
    <row r="3200" spans="2:7">
      <c r="B3200" s="118" t="s">
        <v>2995</v>
      </c>
      <c r="C3200" s="119">
        <v>2513</v>
      </c>
      <c r="E3200" s="96" t="s">
        <v>380</v>
      </c>
      <c r="F3200" s="96" t="s">
        <v>183</v>
      </c>
      <c r="G3200" s="100">
        <v>1144</v>
      </c>
    </row>
    <row r="3201" spans="2:7">
      <c r="B3201" s="118" t="s">
        <v>2991</v>
      </c>
      <c r="C3201" s="119">
        <v>2516</v>
      </c>
      <c r="E3201" s="96" t="s">
        <v>381</v>
      </c>
      <c r="F3201" s="96" t="s">
        <v>183</v>
      </c>
      <c r="G3201" s="100">
        <v>1085</v>
      </c>
    </row>
    <row r="3202" spans="2:7">
      <c r="B3202" s="118" t="s">
        <v>2335</v>
      </c>
      <c r="C3202" s="119">
        <v>3235</v>
      </c>
      <c r="E3202" s="96" t="s">
        <v>382</v>
      </c>
      <c r="F3202" s="96" t="s">
        <v>183</v>
      </c>
      <c r="G3202" s="100">
        <v>1304</v>
      </c>
    </row>
    <row r="3203" spans="2:7">
      <c r="B3203" s="118" t="s">
        <v>2392</v>
      </c>
      <c r="C3203" s="119">
        <v>3763</v>
      </c>
      <c r="E3203" s="96" t="s">
        <v>383</v>
      </c>
      <c r="F3203" s="96" t="s">
        <v>183</v>
      </c>
      <c r="G3203" s="100">
        <v>1115</v>
      </c>
    </row>
    <row r="3204" spans="2:7">
      <c r="B3204" s="118" t="s">
        <v>2999</v>
      </c>
      <c r="C3204" s="119">
        <v>3764</v>
      </c>
      <c r="E3204" s="96" t="s">
        <v>384</v>
      </c>
      <c r="F3204" s="96" t="s">
        <v>183</v>
      </c>
      <c r="G3204" s="100">
        <v>1427</v>
      </c>
    </row>
    <row r="3205" spans="2:7">
      <c r="B3205" s="118" t="s">
        <v>3000</v>
      </c>
      <c r="C3205" s="119">
        <v>3753</v>
      </c>
      <c r="E3205" s="96" t="s">
        <v>385</v>
      </c>
      <c r="F3205" s="96" t="s">
        <v>183</v>
      </c>
      <c r="G3205" s="100">
        <v>1043</v>
      </c>
    </row>
    <row r="3206" spans="2:7">
      <c r="B3206" s="118" t="s">
        <v>2301</v>
      </c>
      <c r="C3206" s="119">
        <v>3754</v>
      </c>
      <c r="E3206" s="96" t="s">
        <v>386</v>
      </c>
      <c r="F3206" s="96" t="s">
        <v>183</v>
      </c>
      <c r="G3206" s="100">
        <v>1195</v>
      </c>
    </row>
    <row r="3207" spans="2:7">
      <c r="B3207" s="118" t="s">
        <v>3001</v>
      </c>
      <c r="C3207" s="119">
        <v>3755</v>
      </c>
      <c r="E3207" s="96" t="s">
        <v>387</v>
      </c>
      <c r="F3207" s="96" t="s">
        <v>183</v>
      </c>
      <c r="G3207" s="100">
        <v>1325</v>
      </c>
    </row>
    <row r="3208" spans="2:7">
      <c r="B3208" s="118" t="s">
        <v>3002</v>
      </c>
      <c r="C3208" s="119">
        <v>3756</v>
      </c>
      <c r="E3208" s="96" t="s">
        <v>388</v>
      </c>
      <c r="F3208" s="96" t="s">
        <v>183</v>
      </c>
      <c r="G3208" s="100">
        <v>1439</v>
      </c>
    </row>
    <row r="3209" spans="2:7">
      <c r="B3209" s="118" t="s">
        <v>3003</v>
      </c>
      <c r="C3209" s="119">
        <v>3757</v>
      </c>
      <c r="E3209" s="96" t="s">
        <v>389</v>
      </c>
      <c r="F3209" s="96" t="s">
        <v>183</v>
      </c>
      <c r="G3209" s="100">
        <v>1267</v>
      </c>
    </row>
    <row r="3210" spans="2:7">
      <c r="B3210" s="118" t="s">
        <v>2301</v>
      </c>
      <c r="C3210" s="119">
        <v>3754</v>
      </c>
      <c r="E3210" s="96" t="s">
        <v>390</v>
      </c>
      <c r="F3210" s="96" t="s">
        <v>183</v>
      </c>
      <c r="G3210" s="100">
        <v>1354</v>
      </c>
    </row>
    <row r="3211" spans="2:7">
      <c r="B3211" s="118" t="s">
        <v>3004</v>
      </c>
      <c r="C3211" s="119">
        <v>3758</v>
      </c>
      <c r="E3211" s="96" t="s">
        <v>391</v>
      </c>
      <c r="F3211" s="96" t="s">
        <v>183</v>
      </c>
      <c r="G3211" s="100">
        <v>1172</v>
      </c>
    </row>
    <row r="3212" spans="2:7">
      <c r="B3212" s="118" t="s">
        <v>2316</v>
      </c>
      <c r="C3212" s="119">
        <v>3762</v>
      </c>
      <c r="E3212" s="96" t="s">
        <v>392</v>
      </c>
      <c r="F3212" s="96" t="s">
        <v>183</v>
      </c>
      <c r="G3212" s="100">
        <v>1148</v>
      </c>
    </row>
    <row r="3213" spans="2:7">
      <c r="B3213" s="118" t="s">
        <v>2999</v>
      </c>
      <c r="C3213" s="119">
        <v>3764</v>
      </c>
      <c r="E3213" s="96" t="s">
        <v>393</v>
      </c>
      <c r="F3213" s="96" t="s">
        <v>183</v>
      </c>
      <c r="G3213" s="100">
        <v>1116</v>
      </c>
    </row>
    <row r="3214" spans="2:7">
      <c r="B3214" s="118" t="s">
        <v>2402</v>
      </c>
      <c r="C3214" s="119">
        <v>3765</v>
      </c>
      <c r="E3214" s="96" t="s">
        <v>394</v>
      </c>
      <c r="F3214" s="96" t="s">
        <v>183</v>
      </c>
      <c r="G3214" s="100">
        <v>1421</v>
      </c>
    </row>
    <row r="3215" spans="2:7">
      <c r="B3215" s="118" t="s">
        <v>2348</v>
      </c>
      <c r="C3215" s="119">
        <v>3766</v>
      </c>
      <c r="E3215" s="96" t="s">
        <v>395</v>
      </c>
      <c r="F3215" s="96" t="s">
        <v>183</v>
      </c>
      <c r="G3215" s="100">
        <v>1613</v>
      </c>
    </row>
    <row r="3216" spans="2:7">
      <c r="B3216" s="118" t="s">
        <v>3005</v>
      </c>
      <c r="C3216" s="119">
        <v>3645</v>
      </c>
      <c r="E3216" s="96" t="s">
        <v>396</v>
      </c>
      <c r="F3216" s="96" t="s">
        <v>183</v>
      </c>
      <c r="G3216" s="100">
        <v>1261</v>
      </c>
    </row>
    <row r="3217" spans="2:7">
      <c r="B3217" s="118" t="s">
        <v>2380</v>
      </c>
      <c r="C3217" s="119">
        <v>3647</v>
      </c>
      <c r="E3217" s="96" t="s">
        <v>397</v>
      </c>
      <c r="F3217" s="96" t="s">
        <v>183</v>
      </c>
      <c r="G3217" s="100">
        <v>1122</v>
      </c>
    </row>
    <row r="3218" spans="2:7">
      <c r="B3218" s="118" t="s">
        <v>3006</v>
      </c>
      <c r="C3218" s="119">
        <v>3645</v>
      </c>
      <c r="E3218" s="96" t="s">
        <v>398</v>
      </c>
      <c r="F3218" s="96" t="s">
        <v>183</v>
      </c>
      <c r="G3218" s="100">
        <v>1545</v>
      </c>
    </row>
    <row r="3219" spans="2:7">
      <c r="B3219" s="118" t="s">
        <v>3007</v>
      </c>
      <c r="C3219" s="119">
        <v>3646</v>
      </c>
      <c r="E3219" s="96" t="s">
        <v>399</v>
      </c>
      <c r="F3219" s="96" t="s">
        <v>183</v>
      </c>
      <c r="G3219" s="100">
        <v>1307</v>
      </c>
    </row>
    <row r="3220" spans="2:7">
      <c r="B3220" s="118" t="s">
        <v>2194</v>
      </c>
      <c r="C3220" s="119">
        <v>3700</v>
      </c>
      <c r="E3220" s="96" t="s">
        <v>400</v>
      </c>
      <c r="F3220" s="96" t="s">
        <v>183</v>
      </c>
      <c r="G3220" s="100">
        <v>1083</v>
      </c>
    </row>
    <row r="3221" spans="2:7">
      <c r="B3221" s="118" t="s">
        <v>2926</v>
      </c>
      <c r="C3221" s="119">
        <v>3702</v>
      </c>
      <c r="E3221" s="96" t="s">
        <v>401</v>
      </c>
      <c r="F3221" s="96" t="s">
        <v>183</v>
      </c>
      <c r="G3221" s="100">
        <v>1088</v>
      </c>
    </row>
    <row r="3222" spans="2:7">
      <c r="B3222" s="118" t="s">
        <v>2364</v>
      </c>
      <c r="C3222" s="119">
        <v>3704</v>
      </c>
      <c r="E3222" s="96" t="s">
        <v>402</v>
      </c>
      <c r="F3222" s="96" t="s">
        <v>183</v>
      </c>
      <c r="G3222" s="100">
        <v>1261</v>
      </c>
    </row>
    <row r="3223" spans="2:7">
      <c r="B3223" s="118" t="s">
        <v>2933</v>
      </c>
      <c r="C3223" s="119">
        <v>3705</v>
      </c>
      <c r="E3223" s="96" t="s">
        <v>403</v>
      </c>
      <c r="F3223" s="96" t="s">
        <v>183</v>
      </c>
      <c r="G3223" s="100">
        <v>1436</v>
      </c>
    </row>
    <row r="3224" spans="2:7">
      <c r="B3224" s="118" t="s">
        <v>2929</v>
      </c>
      <c r="C3224" s="119">
        <v>3711</v>
      </c>
      <c r="E3224" s="96" t="s">
        <v>404</v>
      </c>
      <c r="F3224" s="96" t="s">
        <v>183</v>
      </c>
      <c r="G3224" s="100">
        <v>1165</v>
      </c>
    </row>
    <row r="3225" spans="2:7">
      <c r="B3225" s="118" t="s">
        <v>2287</v>
      </c>
      <c r="C3225" s="119">
        <v>3752</v>
      </c>
      <c r="E3225" s="96" t="s">
        <v>405</v>
      </c>
      <c r="F3225" s="96" t="s">
        <v>183</v>
      </c>
      <c r="G3225" s="100">
        <v>1856</v>
      </c>
    </row>
    <row r="3226" spans="2:7">
      <c r="B3226" s="118" t="s">
        <v>3008</v>
      </c>
      <c r="C3226" s="119">
        <v>3631</v>
      </c>
      <c r="E3226" s="96" t="s">
        <v>406</v>
      </c>
      <c r="F3226" s="96" t="s">
        <v>183</v>
      </c>
      <c r="G3226" s="100">
        <v>1420</v>
      </c>
    </row>
    <row r="3227" spans="2:7">
      <c r="B3227" s="118" t="s">
        <v>3009</v>
      </c>
      <c r="C3227" s="119">
        <v>3632</v>
      </c>
      <c r="E3227" s="96" t="s">
        <v>407</v>
      </c>
      <c r="F3227" s="96" t="s">
        <v>183</v>
      </c>
      <c r="G3227" s="100">
        <v>1189</v>
      </c>
    </row>
    <row r="3228" spans="2:7">
      <c r="B3228" s="118" t="s">
        <v>3010</v>
      </c>
      <c r="C3228" s="119">
        <v>3632</v>
      </c>
      <c r="E3228" s="96" t="s">
        <v>408</v>
      </c>
      <c r="F3228" s="96" t="s">
        <v>183</v>
      </c>
      <c r="G3228" s="100">
        <v>1308</v>
      </c>
    </row>
    <row r="3229" spans="2:7">
      <c r="B3229" s="118" t="s">
        <v>2564</v>
      </c>
      <c r="C3229" s="119">
        <v>3864</v>
      </c>
      <c r="E3229" s="96" t="s">
        <v>409</v>
      </c>
      <c r="F3229" s="96" t="s">
        <v>183</v>
      </c>
      <c r="G3229" s="100">
        <v>1429</v>
      </c>
    </row>
    <row r="3230" spans="2:7">
      <c r="B3230" s="118" t="s">
        <v>3011</v>
      </c>
      <c r="C3230" s="119">
        <v>6083</v>
      </c>
      <c r="E3230" s="96" t="s">
        <v>410</v>
      </c>
      <c r="F3230" s="96" t="s">
        <v>183</v>
      </c>
      <c r="G3230" s="100">
        <v>1148</v>
      </c>
    </row>
    <row r="3231" spans="2:7">
      <c r="B3231" s="118" t="s">
        <v>3012</v>
      </c>
      <c r="C3231" s="119">
        <v>6084</v>
      </c>
      <c r="E3231" s="96" t="s">
        <v>411</v>
      </c>
      <c r="F3231" s="96" t="s">
        <v>183</v>
      </c>
      <c r="G3231" s="100">
        <v>1375</v>
      </c>
    </row>
    <row r="3232" spans="2:7">
      <c r="B3232" s="118" t="s">
        <v>3013</v>
      </c>
      <c r="C3232" s="119">
        <v>6085</v>
      </c>
      <c r="E3232" s="96" t="s">
        <v>412</v>
      </c>
      <c r="F3232" s="96" t="s">
        <v>183</v>
      </c>
      <c r="G3232" s="100">
        <v>1035</v>
      </c>
    </row>
    <row r="3233" spans="2:7">
      <c r="B3233" s="118" t="s">
        <v>3014</v>
      </c>
      <c r="C3233" s="119">
        <v>6086</v>
      </c>
      <c r="E3233" s="96" t="s">
        <v>413</v>
      </c>
      <c r="F3233" s="96" t="s">
        <v>183</v>
      </c>
      <c r="G3233" s="100">
        <v>1357</v>
      </c>
    </row>
    <row r="3234" spans="2:7">
      <c r="B3234" s="118" t="s">
        <v>2371</v>
      </c>
      <c r="C3234" s="119">
        <v>3862</v>
      </c>
      <c r="E3234" s="96" t="s">
        <v>414</v>
      </c>
      <c r="F3234" s="96" t="s">
        <v>183</v>
      </c>
      <c r="G3234" s="100">
        <v>1551</v>
      </c>
    </row>
    <row r="3235" spans="2:7">
      <c r="B3235" s="118" t="s">
        <v>3015</v>
      </c>
      <c r="C3235" s="119">
        <v>3863</v>
      </c>
      <c r="E3235" s="96" t="s">
        <v>415</v>
      </c>
      <c r="F3235" s="96" t="s">
        <v>183</v>
      </c>
      <c r="G3235" s="100">
        <v>1117</v>
      </c>
    </row>
    <row r="3236" spans="2:7">
      <c r="B3236" s="118" t="s">
        <v>2449</v>
      </c>
      <c r="C3236" s="119">
        <v>3856</v>
      </c>
      <c r="E3236" s="96" t="s">
        <v>416</v>
      </c>
      <c r="F3236" s="96" t="s">
        <v>183</v>
      </c>
      <c r="G3236" s="100">
        <v>1846</v>
      </c>
    </row>
    <row r="3237" spans="2:7">
      <c r="B3237" s="118" t="s">
        <v>3016</v>
      </c>
      <c r="C3237" s="119">
        <v>3857</v>
      </c>
      <c r="E3237" s="96" t="s">
        <v>417</v>
      </c>
      <c r="F3237" s="96" t="s">
        <v>183</v>
      </c>
      <c r="G3237" s="100">
        <v>1071</v>
      </c>
    </row>
    <row r="3238" spans="2:7">
      <c r="B3238" s="118" t="s">
        <v>2227</v>
      </c>
      <c r="C3238" s="119">
        <v>3860</v>
      </c>
      <c r="E3238" s="96" t="s">
        <v>418</v>
      </c>
      <c r="F3238" s="96" t="s">
        <v>183</v>
      </c>
      <c r="G3238" s="100">
        <v>1428</v>
      </c>
    </row>
    <row r="3239" spans="2:7">
      <c r="B3239" s="118" t="s">
        <v>3017</v>
      </c>
      <c r="C3239" s="119">
        <v>3860</v>
      </c>
      <c r="E3239" s="96" t="s">
        <v>419</v>
      </c>
      <c r="F3239" s="96" t="s">
        <v>183</v>
      </c>
      <c r="G3239" s="100">
        <v>1128</v>
      </c>
    </row>
    <row r="3240" spans="2:7">
      <c r="B3240" s="118" t="s">
        <v>3018</v>
      </c>
      <c r="C3240" s="119">
        <v>3860</v>
      </c>
      <c r="E3240" s="96" t="s">
        <v>420</v>
      </c>
      <c r="F3240" s="96" t="s">
        <v>183</v>
      </c>
      <c r="G3240" s="100">
        <v>1274</v>
      </c>
    </row>
    <row r="3241" spans="2:7">
      <c r="B3241" s="118" t="s">
        <v>2437</v>
      </c>
      <c r="C3241" s="119">
        <v>3860</v>
      </c>
      <c r="E3241" s="96" t="s">
        <v>421</v>
      </c>
      <c r="F3241" s="96" t="s">
        <v>183</v>
      </c>
      <c r="G3241" s="100">
        <v>1406</v>
      </c>
    </row>
    <row r="3242" spans="2:7">
      <c r="B3242" s="118" t="s">
        <v>3019</v>
      </c>
      <c r="C3242" s="119">
        <v>1657</v>
      </c>
      <c r="E3242" s="96" t="s">
        <v>422</v>
      </c>
      <c r="F3242" s="96" t="s">
        <v>183</v>
      </c>
      <c r="G3242" s="100">
        <v>1322</v>
      </c>
    </row>
    <row r="3243" spans="2:7">
      <c r="B3243" s="118" t="s">
        <v>2348</v>
      </c>
      <c r="C3243" s="119">
        <v>3766</v>
      </c>
      <c r="E3243" s="96" t="s">
        <v>423</v>
      </c>
      <c r="F3243" s="96" t="s">
        <v>183</v>
      </c>
      <c r="G3243" s="100">
        <v>1513</v>
      </c>
    </row>
    <row r="3244" spans="2:7">
      <c r="B3244" s="118" t="s">
        <v>2266</v>
      </c>
      <c r="C3244" s="119">
        <v>3770</v>
      </c>
      <c r="E3244" s="96" t="s">
        <v>424</v>
      </c>
      <c r="F3244" s="96" t="s">
        <v>183</v>
      </c>
      <c r="G3244" s="100">
        <v>1432</v>
      </c>
    </row>
    <row r="3245" spans="2:7">
      <c r="B3245" s="118" t="s">
        <v>3020</v>
      </c>
      <c r="C3245" s="119">
        <v>3773</v>
      </c>
      <c r="E3245" s="96" t="s">
        <v>425</v>
      </c>
      <c r="F3245" s="96" t="s">
        <v>183</v>
      </c>
      <c r="G3245" s="100">
        <v>1063</v>
      </c>
    </row>
    <row r="3246" spans="2:7">
      <c r="B3246" s="118" t="s">
        <v>3021</v>
      </c>
      <c r="C3246" s="119">
        <v>3775</v>
      </c>
      <c r="E3246" s="96" t="s">
        <v>426</v>
      </c>
      <c r="F3246" s="96" t="s">
        <v>183</v>
      </c>
      <c r="G3246" s="100">
        <v>1426</v>
      </c>
    </row>
    <row r="3247" spans="2:7">
      <c r="B3247" s="118" t="s">
        <v>2344</v>
      </c>
      <c r="C3247" s="119">
        <v>3772</v>
      </c>
      <c r="E3247" s="96" t="s">
        <v>427</v>
      </c>
      <c r="F3247" s="96" t="s">
        <v>183</v>
      </c>
      <c r="G3247" s="100">
        <v>1136</v>
      </c>
    </row>
    <row r="3248" spans="2:7">
      <c r="B3248" s="118" t="s">
        <v>3020</v>
      </c>
      <c r="C3248" s="119">
        <v>3773</v>
      </c>
      <c r="E3248" s="96" t="s">
        <v>428</v>
      </c>
      <c r="F3248" s="96" t="s">
        <v>183</v>
      </c>
      <c r="G3248" s="100">
        <v>1184</v>
      </c>
    </row>
    <row r="3249" spans="2:7">
      <c r="B3249" s="118" t="s">
        <v>2266</v>
      </c>
      <c r="C3249" s="119">
        <v>3770</v>
      </c>
      <c r="E3249" s="96" t="s">
        <v>429</v>
      </c>
      <c r="F3249" s="96" t="s">
        <v>183</v>
      </c>
      <c r="G3249" s="100">
        <v>1187</v>
      </c>
    </row>
    <row r="3250" spans="2:7">
      <c r="B3250" s="118" t="s">
        <v>3022</v>
      </c>
      <c r="C3250" s="119">
        <v>3771</v>
      </c>
      <c r="E3250" s="96" t="s">
        <v>430</v>
      </c>
      <c r="F3250" s="96" t="s">
        <v>183</v>
      </c>
      <c r="G3250" s="100">
        <v>1434</v>
      </c>
    </row>
    <row r="3251" spans="2:7">
      <c r="B3251" s="118" t="s">
        <v>3023</v>
      </c>
      <c r="C3251" s="119">
        <v>3776</v>
      </c>
      <c r="E3251" s="96" t="s">
        <v>431</v>
      </c>
      <c r="F3251" s="96" t="s">
        <v>183</v>
      </c>
      <c r="G3251" s="100">
        <v>1525</v>
      </c>
    </row>
    <row r="3252" spans="2:7">
      <c r="B3252" s="118" t="s">
        <v>3024</v>
      </c>
      <c r="C3252" s="119">
        <v>3777</v>
      </c>
      <c r="E3252" s="96" t="s">
        <v>432</v>
      </c>
      <c r="F3252" s="96" t="s">
        <v>183</v>
      </c>
      <c r="G3252" s="100">
        <v>1268</v>
      </c>
    </row>
    <row r="3253" spans="2:7">
      <c r="B3253" s="118" t="s">
        <v>3025</v>
      </c>
      <c r="C3253" s="119">
        <v>3784</v>
      </c>
      <c r="E3253" s="96" t="s">
        <v>433</v>
      </c>
      <c r="F3253" s="96" t="s">
        <v>183</v>
      </c>
      <c r="G3253" s="100">
        <v>1317</v>
      </c>
    </row>
    <row r="3254" spans="2:7">
      <c r="B3254" s="118" t="s">
        <v>3026</v>
      </c>
      <c r="C3254" s="119">
        <v>3785</v>
      </c>
      <c r="E3254" s="96" t="s">
        <v>434</v>
      </c>
      <c r="F3254" s="96" t="s">
        <v>183</v>
      </c>
      <c r="G3254" s="100">
        <v>1071</v>
      </c>
    </row>
    <row r="3255" spans="2:7">
      <c r="B3255" s="118" t="s">
        <v>3027</v>
      </c>
      <c r="C3255" s="119">
        <v>3782</v>
      </c>
      <c r="E3255" s="96" t="s">
        <v>435</v>
      </c>
      <c r="F3255" s="96" t="s">
        <v>183</v>
      </c>
      <c r="G3255" s="100">
        <v>1565</v>
      </c>
    </row>
    <row r="3256" spans="2:7">
      <c r="B3256" s="118" t="s">
        <v>3019</v>
      </c>
      <c r="C3256" s="119">
        <v>1657</v>
      </c>
      <c r="E3256" s="96" t="s">
        <v>436</v>
      </c>
      <c r="F3256" s="96" t="s">
        <v>183</v>
      </c>
      <c r="G3256" s="100">
        <v>1078</v>
      </c>
    </row>
    <row r="3257" spans="2:7">
      <c r="B3257" s="118" t="s">
        <v>3024</v>
      </c>
      <c r="C3257" s="119">
        <v>3777</v>
      </c>
      <c r="E3257" s="96" t="s">
        <v>437</v>
      </c>
      <c r="F3257" s="96" t="s">
        <v>183</v>
      </c>
      <c r="G3257" s="100">
        <v>1134</v>
      </c>
    </row>
    <row r="3258" spans="2:7">
      <c r="B3258" s="118" t="s">
        <v>3028</v>
      </c>
      <c r="C3258" s="119">
        <v>3778</v>
      </c>
      <c r="E3258" s="96" t="s">
        <v>438</v>
      </c>
      <c r="F3258" s="96" t="s">
        <v>183</v>
      </c>
      <c r="G3258" s="100">
        <v>1430</v>
      </c>
    </row>
    <row r="3259" spans="2:7">
      <c r="B3259" s="118" t="s">
        <v>3029</v>
      </c>
      <c r="C3259" s="119">
        <v>3780</v>
      </c>
      <c r="E3259" s="96" t="s">
        <v>439</v>
      </c>
      <c r="F3259" s="96" t="s">
        <v>183</v>
      </c>
      <c r="G3259" s="100">
        <v>1313</v>
      </c>
    </row>
    <row r="3260" spans="2:7">
      <c r="B3260" s="118" t="s">
        <v>3030</v>
      </c>
      <c r="C3260" s="119">
        <v>3781</v>
      </c>
      <c r="E3260" s="96" t="s">
        <v>440</v>
      </c>
      <c r="F3260" s="96" t="s">
        <v>183</v>
      </c>
      <c r="G3260" s="100">
        <v>1521</v>
      </c>
    </row>
    <row r="3261" spans="2:7">
      <c r="B3261" s="118" t="s">
        <v>3031</v>
      </c>
      <c r="C3261" s="119">
        <v>3783</v>
      </c>
      <c r="E3261" s="96" t="s">
        <v>441</v>
      </c>
      <c r="F3261" s="96" t="s">
        <v>183</v>
      </c>
      <c r="G3261" s="100">
        <v>1352</v>
      </c>
    </row>
    <row r="3262" spans="2:7">
      <c r="B3262" s="118" t="s">
        <v>2206</v>
      </c>
      <c r="C3262" s="119">
        <v>3792</v>
      </c>
      <c r="E3262" s="96" t="s">
        <v>442</v>
      </c>
      <c r="F3262" s="96" t="s">
        <v>183</v>
      </c>
      <c r="G3262" s="100">
        <v>1148</v>
      </c>
    </row>
    <row r="3263" spans="2:7">
      <c r="B3263" s="118" t="s">
        <v>3032</v>
      </c>
      <c r="C3263" s="119">
        <v>1738</v>
      </c>
      <c r="E3263" s="96" t="s">
        <v>443</v>
      </c>
      <c r="F3263" s="96" t="s">
        <v>183</v>
      </c>
      <c r="G3263" s="100">
        <v>1326</v>
      </c>
    </row>
    <row r="3264" spans="2:7">
      <c r="B3264" s="118" t="s">
        <v>2208</v>
      </c>
      <c r="C3264" s="119">
        <v>3150</v>
      </c>
      <c r="E3264" s="96" t="s">
        <v>444</v>
      </c>
      <c r="F3264" s="96" t="s">
        <v>183</v>
      </c>
      <c r="G3264" s="100">
        <v>1045</v>
      </c>
    </row>
    <row r="3265" spans="2:7">
      <c r="B3265" s="118" t="s">
        <v>3033</v>
      </c>
      <c r="C3265" s="119">
        <v>3156</v>
      </c>
      <c r="E3265" s="96" t="s">
        <v>445</v>
      </c>
      <c r="F3265" s="96" t="s">
        <v>183</v>
      </c>
      <c r="G3265" s="100">
        <v>1149</v>
      </c>
    </row>
    <row r="3266" spans="2:7">
      <c r="B3266" s="118" t="s">
        <v>3034</v>
      </c>
      <c r="C3266" s="119">
        <v>3157</v>
      </c>
      <c r="E3266" s="96" t="s">
        <v>446</v>
      </c>
      <c r="F3266" s="96" t="s">
        <v>183</v>
      </c>
      <c r="G3266" s="100">
        <v>1146</v>
      </c>
    </row>
    <row r="3267" spans="2:7">
      <c r="B3267" s="118" t="s">
        <v>2328</v>
      </c>
      <c r="C3267" s="119">
        <v>3158</v>
      </c>
      <c r="E3267" s="96" t="s">
        <v>447</v>
      </c>
      <c r="F3267" s="96" t="s">
        <v>183</v>
      </c>
      <c r="G3267" s="100">
        <v>1464</v>
      </c>
    </row>
    <row r="3268" spans="2:7">
      <c r="B3268" s="118" t="s">
        <v>3035</v>
      </c>
      <c r="C3268" s="119">
        <v>3159</v>
      </c>
      <c r="E3268" s="96" t="s">
        <v>448</v>
      </c>
      <c r="F3268" s="96" t="s">
        <v>183</v>
      </c>
      <c r="G3268" s="100">
        <v>1316</v>
      </c>
    </row>
    <row r="3269" spans="2:7">
      <c r="B3269" s="118" t="s">
        <v>3032</v>
      </c>
      <c r="C3269" s="119">
        <v>1738</v>
      </c>
      <c r="E3269" s="96" t="s">
        <v>449</v>
      </c>
      <c r="F3269" s="96" t="s">
        <v>183</v>
      </c>
      <c r="G3269" s="100">
        <v>1552</v>
      </c>
    </row>
    <row r="3270" spans="2:7">
      <c r="B3270" s="118" t="s">
        <v>3036</v>
      </c>
      <c r="C3270" s="119">
        <v>3099</v>
      </c>
      <c r="E3270" s="96" t="s">
        <v>450</v>
      </c>
      <c r="F3270" s="96" t="s">
        <v>183</v>
      </c>
      <c r="G3270" s="100">
        <v>1329</v>
      </c>
    </row>
    <row r="3271" spans="2:7">
      <c r="B3271" s="118" t="s">
        <v>3037</v>
      </c>
      <c r="C3271" s="119">
        <v>3152</v>
      </c>
      <c r="E3271" s="96" t="s">
        <v>451</v>
      </c>
      <c r="F3271" s="96" t="s">
        <v>183</v>
      </c>
      <c r="G3271" s="100">
        <v>1682</v>
      </c>
    </row>
    <row r="3272" spans="2:7">
      <c r="B3272" s="118" t="s">
        <v>3038</v>
      </c>
      <c r="C3272" s="119">
        <v>3153</v>
      </c>
      <c r="E3272" s="96" t="s">
        <v>452</v>
      </c>
      <c r="F3272" s="96" t="s">
        <v>183</v>
      </c>
      <c r="G3272" s="100">
        <v>1046</v>
      </c>
    </row>
    <row r="3273" spans="2:7">
      <c r="B3273" s="118" t="s">
        <v>3039</v>
      </c>
      <c r="C3273" s="119">
        <v>3154</v>
      </c>
      <c r="E3273" s="96" t="s">
        <v>453</v>
      </c>
      <c r="F3273" s="96" t="s">
        <v>183</v>
      </c>
      <c r="G3273" s="100">
        <v>1404</v>
      </c>
    </row>
    <row r="3274" spans="2:7">
      <c r="B3274" s="118" t="s">
        <v>3033</v>
      </c>
      <c r="C3274" s="119">
        <v>3156</v>
      </c>
      <c r="E3274" s="96" t="s">
        <v>454</v>
      </c>
      <c r="F3274" s="96" t="s">
        <v>183</v>
      </c>
      <c r="G3274" s="100">
        <v>1412</v>
      </c>
    </row>
    <row r="3275" spans="2:7">
      <c r="B3275" s="118" t="s">
        <v>3034</v>
      </c>
      <c r="C3275" s="119">
        <v>3157</v>
      </c>
      <c r="E3275" s="96" t="s">
        <v>455</v>
      </c>
      <c r="F3275" s="96" t="s">
        <v>183</v>
      </c>
      <c r="G3275" s="100">
        <v>1355</v>
      </c>
    </row>
    <row r="3276" spans="2:7">
      <c r="B3276" s="118" t="s">
        <v>3040</v>
      </c>
      <c r="C3276" s="119">
        <v>3148</v>
      </c>
      <c r="E3276" s="96" t="s">
        <v>456</v>
      </c>
      <c r="F3276" s="96" t="s">
        <v>183</v>
      </c>
      <c r="G3276" s="100">
        <v>1183</v>
      </c>
    </row>
    <row r="3277" spans="2:7">
      <c r="B3277" s="118" t="s">
        <v>2208</v>
      </c>
      <c r="C3277" s="119">
        <v>3150</v>
      </c>
      <c r="E3277" s="96" t="s">
        <v>457</v>
      </c>
      <c r="F3277" s="96" t="s">
        <v>183</v>
      </c>
      <c r="G3277" s="100">
        <v>1141</v>
      </c>
    </row>
    <row r="3278" spans="2:7">
      <c r="B3278" s="118" t="s">
        <v>3037</v>
      </c>
      <c r="C3278" s="119">
        <v>3152</v>
      </c>
      <c r="E3278" s="96" t="s">
        <v>458</v>
      </c>
      <c r="F3278" s="96" t="s">
        <v>183</v>
      </c>
      <c r="G3278" s="100">
        <v>1415</v>
      </c>
    </row>
    <row r="3279" spans="2:7">
      <c r="B3279" s="118" t="s">
        <v>3039</v>
      </c>
      <c r="C3279" s="119">
        <v>3154</v>
      </c>
      <c r="E3279" s="96" t="s">
        <v>459</v>
      </c>
      <c r="F3279" s="96" t="s">
        <v>183</v>
      </c>
      <c r="G3279" s="100">
        <v>1304</v>
      </c>
    </row>
    <row r="3280" spans="2:7">
      <c r="B3280" s="118" t="s">
        <v>3034</v>
      </c>
      <c r="C3280" s="119">
        <v>3157</v>
      </c>
      <c r="E3280" s="96" t="s">
        <v>460</v>
      </c>
      <c r="F3280" s="96" t="s">
        <v>183</v>
      </c>
      <c r="G3280" s="100">
        <v>1421</v>
      </c>
    </row>
    <row r="3281" spans="2:7">
      <c r="B3281" s="118" t="s">
        <v>3041</v>
      </c>
      <c r="C3281" s="119">
        <v>3183</v>
      </c>
      <c r="E3281" s="96" t="s">
        <v>461</v>
      </c>
      <c r="F3281" s="96" t="s">
        <v>183</v>
      </c>
      <c r="G3281" s="100">
        <v>1407</v>
      </c>
    </row>
    <row r="3282" spans="2:7">
      <c r="B3282" s="118" t="s">
        <v>2860</v>
      </c>
      <c r="C3282" s="119">
        <v>3086</v>
      </c>
      <c r="E3282" s="96" t="s">
        <v>462</v>
      </c>
      <c r="F3282" s="96" t="s">
        <v>183</v>
      </c>
      <c r="G3282" s="100">
        <v>1277</v>
      </c>
    </row>
    <row r="3283" spans="2:7">
      <c r="B3283" s="118" t="s">
        <v>2357</v>
      </c>
      <c r="C3283" s="119">
        <v>3115</v>
      </c>
      <c r="E3283" s="96" t="s">
        <v>463</v>
      </c>
      <c r="F3283" s="96" t="s">
        <v>183</v>
      </c>
      <c r="G3283" s="100">
        <v>1512</v>
      </c>
    </row>
    <row r="3284" spans="2:7">
      <c r="B3284" s="118" t="s">
        <v>2235</v>
      </c>
      <c r="C3284" s="119">
        <v>3122</v>
      </c>
      <c r="E3284" s="96" t="s">
        <v>464</v>
      </c>
      <c r="F3284" s="96" t="s">
        <v>183</v>
      </c>
      <c r="G3284" s="100">
        <v>1412</v>
      </c>
    </row>
    <row r="3285" spans="2:7">
      <c r="B3285" s="118" t="s">
        <v>2196</v>
      </c>
      <c r="C3285" s="119">
        <v>3123</v>
      </c>
      <c r="E3285" s="96" t="s">
        <v>465</v>
      </c>
      <c r="F3285" s="96" t="s">
        <v>183</v>
      </c>
      <c r="G3285" s="100">
        <v>1324</v>
      </c>
    </row>
    <row r="3286" spans="2:7">
      <c r="B3286" s="118" t="s">
        <v>3042</v>
      </c>
      <c r="C3286" s="119">
        <v>3124</v>
      </c>
      <c r="E3286" s="96" t="s">
        <v>466</v>
      </c>
      <c r="F3286" s="96" t="s">
        <v>183</v>
      </c>
      <c r="G3286" s="100">
        <v>1421</v>
      </c>
    </row>
    <row r="3287" spans="2:7">
      <c r="B3287" s="118" t="s">
        <v>2280</v>
      </c>
      <c r="C3287" s="119">
        <v>3125</v>
      </c>
      <c r="E3287" s="96" t="s">
        <v>467</v>
      </c>
      <c r="F3287" s="96" t="s">
        <v>183</v>
      </c>
      <c r="G3287" s="100">
        <v>1514</v>
      </c>
    </row>
    <row r="3288" spans="2:7">
      <c r="B3288" s="118" t="s">
        <v>2367</v>
      </c>
      <c r="C3288" s="119">
        <v>3664</v>
      </c>
      <c r="E3288" s="96" t="s">
        <v>468</v>
      </c>
      <c r="F3288" s="96" t="s">
        <v>183</v>
      </c>
      <c r="G3288" s="100">
        <v>1437</v>
      </c>
    </row>
    <row r="3289" spans="2:7">
      <c r="B3289" s="118" t="s">
        <v>2271</v>
      </c>
      <c r="C3289" s="119">
        <v>3665</v>
      </c>
      <c r="E3289" s="96" t="s">
        <v>469</v>
      </c>
      <c r="F3289" s="96" t="s">
        <v>183</v>
      </c>
      <c r="G3289" s="100">
        <v>1126</v>
      </c>
    </row>
    <row r="3290" spans="2:7">
      <c r="B3290" s="118" t="s">
        <v>2357</v>
      </c>
      <c r="C3290" s="119">
        <v>3115</v>
      </c>
      <c r="E3290" s="96" t="s">
        <v>470</v>
      </c>
      <c r="F3290" s="96" t="s">
        <v>183</v>
      </c>
      <c r="G3290" s="100">
        <v>1047</v>
      </c>
    </row>
    <row r="3291" spans="2:7">
      <c r="B3291" s="118" t="s">
        <v>2397</v>
      </c>
      <c r="C3291" s="119">
        <v>3663</v>
      </c>
      <c r="E3291" s="96" t="s">
        <v>471</v>
      </c>
      <c r="F3291" s="96" t="s">
        <v>183</v>
      </c>
      <c r="G3291" s="100">
        <v>1413</v>
      </c>
    </row>
    <row r="3292" spans="2:7">
      <c r="B3292" s="118" t="s">
        <v>2367</v>
      </c>
      <c r="C3292" s="119">
        <v>3664</v>
      </c>
      <c r="E3292" s="96" t="s">
        <v>472</v>
      </c>
      <c r="F3292" s="96" t="s">
        <v>183</v>
      </c>
      <c r="G3292" s="100">
        <v>1353</v>
      </c>
    </row>
    <row r="3293" spans="2:7">
      <c r="B3293" s="118" t="s">
        <v>2574</v>
      </c>
      <c r="C3293" s="119">
        <v>3629</v>
      </c>
      <c r="E3293" s="96" t="s">
        <v>473</v>
      </c>
      <c r="F3293" s="96" t="s">
        <v>183</v>
      </c>
      <c r="G3293" s="100">
        <v>1127</v>
      </c>
    </row>
    <row r="3294" spans="2:7">
      <c r="B3294" s="118" t="s">
        <v>2369</v>
      </c>
      <c r="C3294" s="119">
        <v>3126</v>
      </c>
      <c r="E3294" s="96" t="s">
        <v>474</v>
      </c>
      <c r="F3294" s="96" t="s">
        <v>183</v>
      </c>
      <c r="G3294" s="100">
        <v>1463</v>
      </c>
    </row>
    <row r="3295" spans="2:7">
      <c r="B3295" s="118" t="s">
        <v>2235</v>
      </c>
      <c r="C3295" s="119">
        <v>3122</v>
      </c>
      <c r="E3295" s="96" t="s">
        <v>475</v>
      </c>
      <c r="F3295" s="96" t="s">
        <v>183</v>
      </c>
      <c r="G3295" s="100">
        <v>1356</v>
      </c>
    </row>
    <row r="3296" spans="2:7">
      <c r="B3296" s="118" t="s">
        <v>2196</v>
      </c>
      <c r="C3296" s="119">
        <v>3123</v>
      </c>
      <c r="E3296" s="96" t="s">
        <v>476</v>
      </c>
      <c r="F3296" s="96" t="s">
        <v>183</v>
      </c>
      <c r="G3296" s="100">
        <v>1428</v>
      </c>
    </row>
    <row r="3297" spans="2:7">
      <c r="B3297" s="118" t="s">
        <v>2357</v>
      </c>
      <c r="C3297" s="119">
        <v>3115</v>
      </c>
      <c r="E3297" s="96" t="s">
        <v>477</v>
      </c>
      <c r="F3297" s="96" t="s">
        <v>183</v>
      </c>
      <c r="G3297" s="100">
        <v>1148</v>
      </c>
    </row>
    <row r="3298" spans="2:7">
      <c r="B3298" s="118" t="s">
        <v>3043</v>
      </c>
      <c r="C3298" s="119">
        <v>3116</v>
      </c>
      <c r="E3298" s="96" t="s">
        <v>478</v>
      </c>
      <c r="F3298" s="96" t="s">
        <v>183</v>
      </c>
      <c r="G3298" s="100">
        <v>1682</v>
      </c>
    </row>
    <row r="3299" spans="2:7">
      <c r="B3299" s="118" t="s">
        <v>3044</v>
      </c>
      <c r="C3299" s="119">
        <v>3116</v>
      </c>
      <c r="E3299" s="96" t="s">
        <v>479</v>
      </c>
      <c r="F3299" s="96" t="s">
        <v>183</v>
      </c>
      <c r="G3299" s="100">
        <v>1510</v>
      </c>
    </row>
    <row r="3300" spans="2:7">
      <c r="B3300" s="118" t="s">
        <v>3045</v>
      </c>
      <c r="C3300" s="119">
        <v>3116</v>
      </c>
      <c r="E3300" s="96" t="s">
        <v>480</v>
      </c>
      <c r="F3300" s="96" t="s">
        <v>183</v>
      </c>
      <c r="G3300" s="100">
        <v>1415</v>
      </c>
    </row>
    <row r="3301" spans="2:7">
      <c r="B3301" s="118" t="s">
        <v>2280</v>
      </c>
      <c r="C3301" s="119">
        <v>3125</v>
      </c>
      <c r="E3301" s="96" t="s">
        <v>481</v>
      </c>
      <c r="F3301" s="96" t="s">
        <v>183</v>
      </c>
      <c r="G3301" s="100">
        <v>1515</v>
      </c>
    </row>
    <row r="3302" spans="2:7">
      <c r="B3302" s="118" t="s">
        <v>3046</v>
      </c>
      <c r="C3302" s="119">
        <v>3126</v>
      </c>
      <c r="E3302" s="96" t="s">
        <v>482</v>
      </c>
      <c r="F3302" s="96" t="s">
        <v>183</v>
      </c>
      <c r="G3302" s="100">
        <v>1128</v>
      </c>
    </row>
    <row r="3303" spans="2:7">
      <c r="B3303" s="118" t="s">
        <v>2378</v>
      </c>
      <c r="C3303" s="119">
        <v>3629</v>
      </c>
      <c r="E3303" s="96" t="s">
        <v>483</v>
      </c>
      <c r="F3303" s="96" t="s">
        <v>183</v>
      </c>
      <c r="G3303" s="100">
        <v>1682</v>
      </c>
    </row>
    <row r="3304" spans="2:7">
      <c r="B3304" s="118" t="s">
        <v>2860</v>
      </c>
      <c r="C3304" s="119">
        <v>3086</v>
      </c>
      <c r="E3304" s="96" t="s">
        <v>484</v>
      </c>
      <c r="F3304" s="96" t="s">
        <v>183</v>
      </c>
      <c r="G3304" s="100">
        <v>1464</v>
      </c>
    </row>
    <row r="3305" spans="2:7">
      <c r="B3305" s="118" t="s">
        <v>2448</v>
      </c>
      <c r="C3305" s="119">
        <v>3087</v>
      </c>
      <c r="E3305" s="96" t="s">
        <v>485</v>
      </c>
      <c r="F3305" s="96" t="s">
        <v>183</v>
      </c>
      <c r="G3305" s="100">
        <v>1355</v>
      </c>
    </row>
    <row r="3306" spans="2:7">
      <c r="B3306" s="118" t="s">
        <v>3036</v>
      </c>
      <c r="C3306" s="119">
        <v>3099</v>
      </c>
      <c r="E3306" s="96" t="s">
        <v>486</v>
      </c>
      <c r="F3306" s="96" t="s">
        <v>183</v>
      </c>
      <c r="G3306" s="100">
        <v>1537</v>
      </c>
    </row>
    <row r="3307" spans="2:7">
      <c r="B3307" s="118" t="s">
        <v>2464</v>
      </c>
      <c r="C3307" s="119">
        <v>3128</v>
      </c>
      <c r="E3307" s="96" t="s">
        <v>487</v>
      </c>
      <c r="F3307" s="96" t="s">
        <v>183</v>
      </c>
      <c r="G3307" s="100">
        <v>1431</v>
      </c>
    </row>
    <row r="3308" spans="2:7">
      <c r="B3308" s="118" t="s">
        <v>2285</v>
      </c>
      <c r="C3308" s="119">
        <v>3132</v>
      </c>
      <c r="E3308" s="96" t="s">
        <v>488</v>
      </c>
      <c r="F3308" s="96" t="s">
        <v>183</v>
      </c>
      <c r="G3308" s="100">
        <v>1538</v>
      </c>
    </row>
    <row r="3309" spans="2:7">
      <c r="B3309" s="118" t="s">
        <v>2367</v>
      </c>
      <c r="C3309" s="119">
        <v>3664</v>
      </c>
      <c r="E3309" s="96" t="s">
        <v>489</v>
      </c>
      <c r="F3309" s="96" t="s">
        <v>183</v>
      </c>
      <c r="G3309" s="100">
        <v>1453</v>
      </c>
    </row>
    <row r="3310" spans="2:7">
      <c r="B3310" s="118" t="s">
        <v>2448</v>
      </c>
      <c r="C3310" s="119">
        <v>3087</v>
      </c>
      <c r="E3310" s="96" t="s">
        <v>490</v>
      </c>
      <c r="F3310" s="96" t="s">
        <v>183</v>
      </c>
      <c r="G3310" s="100">
        <v>1404</v>
      </c>
    </row>
    <row r="3311" spans="2:7">
      <c r="B3311" s="118" t="s">
        <v>2314</v>
      </c>
      <c r="C3311" s="119">
        <v>3088</v>
      </c>
      <c r="E3311" s="96" t="s">
        <v>491</v>
      </c>
      <c r="F3311" s="96" t="s">
        <v>183</v>
      </c>
      <c r="G3311" s="100">
        <v>1431</v>
      </c>
    </row>
    <row r="3312" spans="2:7">
      <c r="B3312" s="118" t="s">
        <v>3047</v>
      </c>
      <c r="C3312" s="119">
        <v>3088</v>
      </c>
      <c r="E3312" s="96" t="s">
        <v>492</v>
      </c>
      <c r="F3312" s="96" t="s">
        <v>183</v>
      </c>
      <c r="G3312" s="100">
        <v>1414</v>
      </c>
    </row>
    <row r="3313" spans="2:7">
      <c r="B3313" s="118" t="s">
        <v>3048</v>
      </c>
      <c r="C3313" s="119">
        <v>3089</v>
      </c>
      <c r="E3313" s="96" t="s">
        <v>493</v>
      </c>
      <c r="F3313" s="96" t="s">
        <v>183</v>
      </c>
      <c r="G3313" s="100">
        <v>1148</v>
      </c>
    </row>
    <row r="3314" spans="2:7">
      <c r="B3314" s="118" t="s">
        <v>3036</v>
      </c>
      <c r="C3314" s="119">
        <v>3099</v>
      </c>
      <c r="E3314" s="96" t="s">
        <v>494</v>
      </c>
      <c r="F3314" s="96" t="s">
        <v>171</v>
      </c>
      <c r="G3314" s="100">
        <v>4313</v>
      </c>
    </row>
    <row r="3315" spans="2:7">
      <c r="B3315" s="118" t="s">
        <v>2285</v>
      </c>
      <c r="C3315" s="119">
        <v>3132</v>
      </c>
      <c r="E3315" s="96" t="s">
        <v>495</v>
      </c>
      <c r="F3315" s="96" t="s">
        <v>171</v>
      </c>
      <c r="G3315" s="100">
        <v>5600</v>
      </c>
    </row>
    <row r="3316" spans="2:7">
      <c r="B3316" s="118" t="s">
        <v>3039</v>
      </c>
      <c r="C3316" s="119">
        <v>3154</v>
      </c>
      <c r="E3316" s="96" t="s">
        <v>496</v>
      </c>
      <c r="F3316" s="96" t="s">
        <v>171</v>
      </c>
      <c r="G3316" s="100">
        <v>5034</v>
      </c>
    </row>
    <row r="3317" spans="2:7">
      <c r="B3317" s="118" t="s">
        <v>3049</v>
      </c>
      <c r="C3317" s="119">
        <v>3155</v>
      </c>
      <c r="E3317" s="96" t="s">
        <v>497</v>
      </c>
      <c r="F3317" s="96" t="s">
        <v>171</v>
      </c>
      <c r="G3317" s="100">
        <v>4852</v>
      </c>
    </row>
    <row r="3318" spans="2:7">
      <c r="B3318" s="118" t="s">
        <v>2302</v>
      </c>
      <c r="C3318" s="119">
        <v>3662</v>
      </c>
      <c r="E3318" s="96" t="s">
        <v>498</v>
      </c>
      <c r="F3318" s="96" t="s">
        <v>171</v>
      </c>
      <c r="G3318" s="100">
        <v>5432</v>
      </c>
    </row>
    <row r="3319" spans="2:7">
      <c r="B3319" s="118" t="s">
        <v>2196</v>
      </c>
      <c r="C3319" s="119">
        <v>3123</v>
      </c>
      <c r="E3319" s="96" t="s">
        <v>499</v>
      </c>
      <c r="F3319" s="96" t="s">
        <v>171</v>
      </c>
      <c r="G3319" s="100">
        <v>5415</v>
      </c>
    </row>
    <row r="3320" spans="2:7">
      <c r="B3320" s="118" t="s">
        <v>2280</v>
      </c>
      <c r="C3320" s="119">
        <v>3125</v>
      </c>
      <c r="E3320" s="96" t="s">
        <v>500</v>
      </c>
      <c r="F3320" s="96" t="s">
        <v>171</v>
      </c>
      <c r="G3320" s="100">
        <v>5734</v>
      </c>
    </row>
    <row r="3321" spans="2:7">
      <c r="B3321" s="118" t="s">
        <v>2607</v>
      </c>
      <c r="C3321" s="119">
        <v>3628</v>
      </c>
      <c r="E3321" s="96" t="s">
        <v>501</v>
      </c>
      <c r="F3321" s="96" t="s">
        <v>171</v>
      </c>
      <c r="G3321" s="100">
        <v>5036</v>
      </c>
    </row>
    <row r="3322" spans="2:7">
      <c r="B3322" s="118" t="s">
        <v>2367</v>
      </c>
      <c r="C3322" s="119">
        <v>3664</v>
      </c>
      <c r="E3322" s="96" t="s">
        <v>502</v>
      </c>
      <c r="F3322" s="96" t="s">
        <v>171</v>
      </c>
      <c r="G3322" s="100">
        <v>4663</v>
      </c>
    </row>
    <row r="3323" spans="2:7">
      <c r="B3323" s="118" t="s">
        <v>2271</v>
      </c>
      <c r="C3323" s="119">
        <v>3665</v>
      </c>
      <c r="E3323" s="96" t="s">
        <v>503</v>
      </c>
      <c r="F3323" s="96" t="s">
        <v>171</v>
      </c>
      <c r="G3323" s="100">
        <v>5033</v>
      </c>
    </row>
    <row r="3324" spans="2:7">
      <c r="B3324" s="118" t="s">
        <v>2860</v>
      </c>
      <c r="C3324" s="119">
        <v>3086</v>
      </c>
      <c r="E3324" s="96" t="s">
        <v>504</v>
      </c>
      <c r="F3324" s="96" t="s">
        <v>171</v>
      </c>
      <c r="G3324" s="100">
        <v>5630</v>
      </c>
    </row>
    <row r="3325" spans="2:7">
      <c r="B3325" s="118" t="s">
        <v>3050</v>
      </c>
      <c r="C3325" s="119">
        <v>3086</v>
      </c>
      <c r="E3325" s="96" t="s">
        <v>505</v>
      </c>
      <c r="F3325" s="96" t="s">
        <v>171</v>
      </c>
      <c r="G3325" s="100">
        <v>5620</v>
      </c>
    </row>
    <row r="3326" spans="2:7">
      <c r="B3326" s="118" t="s">
        <v>2448</v>
      </c>
      <c r="C3326" s="119">
        <v>3087</v>
      </c>
      <c r="E3326" s="96" t="s">
        <v>506</v>
      </c>
      <c r="F3326" s="96" t="s">
        <v>171</v>
      </c>
      <c r="G3326" s="100">
        <v>5722</v>
      </c>
    </row>
    <row r="3327" spans="2:7">
      <c r="B3327" s="118" t="s">
        <v>2391</v>
      </c>
      <c r="C3327" s="119">
        <v>3096</v>
      </c>
      <c r="E3327" s="96" t="s">
        <v>507</v>
      </c>
      <c r="F3327" s="96" t="s">
        <v>171</v>
      </c>
      <c r="G3327" s="100">
        <v>5210</v>
      </c>
    </row>
    <row r="3328" spans="2:7">
      <c r="B3328" s="118" t="s">
        <v>2341</v>
      </c>
      <c r="C3328" s="119">
        <v>3127</v>
      </c>
      <c r="E3328" s="96" t="s">
        <v>508</v>
      </c>
      <c r="F3328" s="96" t="s">
        <v>171</v>
      </c>
      <c r="G3328" s="100">
        <v>5612</v>
      </c>
    </row>
    <row r="3329" spans="2:7">
      <c r="B3329" s="118" t="s">
        <v>3051</v>
      </c>
      <c r="C3329" s="119">
        <v>3127</v>
      </c>
      <c r="E3329" s="96" t="s">
        <v>509</v>
      </c>
      <c r="F3329" s="96" t="s">
        <v>171</v>
      </c>
      <c r="G3329" s="100">
        <v>5417</v>
      </c>
    </row>
    <row r="3330" spans="2:7">
      <c r="B3330" s="118" t="s">
        <v>3052</v>
      </c>
      <c r="C3330" s="119">
        <v>3128</v>
      </c>
      <c r="E3330" s="96" t="s">
        <v>510</v>
      </c>
      <c r="F3330" s="96" t="s">
        <v>171</v>
      </c>
      <c r="G3330" s="100">
        <v>5436</v>
      </c>
    </row>
    <row r="3331" spans="2:7">
      <c r="B3331" s="118" t="s">
        <v>3053</v>
      </c>
      <c r="C3331" s="119">
        <v>3536</v>
      </c>
      <c r="E3331" s="96" t="s">
        <v>511</v>
      </c>
      <c r="F3331" s="96" t="s">
        <v>171</v>
      </c>
      <c r="G3331" s="100">
        <v>5737</v>
      </c>
    </row>
    <row r="3332" spans="2:7">
      <c r="B3332" s="118" t="s">
        <v>2286</v>
      </c>
      <c r="C3332" s="119">
        <v>3537</v>
      </c>
      <c r="E3332" s="96" t="s">
        <v>512</v>
      </c>
      <c r="F3332" s="96" t="s">
        <v>171</v>
      </c>
      <c r="G3332" s="100">
        <v>5024</v>
      </c>
    </row>
    <row r="3333" spans="2:7">
      <c r="B3333" s="118" t="s">
        <v>2201</v>
      </c>
      <c r="C3333" s="119">
        <v>3550</v>
      </c>
      <c r="E3333" s="96" t="s">
        <v>513</v>
      </c>
      <c r="F3333" s="96" t="s">
        <v>171</v>
      </c>
      <c r="G3333" s="100">
        <v>4303</v>
      </c>
    </row>
    <row r="3334" spans="2:7">
      <c r="B3334" s="118" t="s">
        <v>3054</v>
      </c>
      <c r="C3334" s="119">
        <v>3618</v>
      </c>
      <c r="E3334" s="96" t="s">
        <v>514</v>
      </c>
      <c r="F3334" s="96" t="s">
        <v>171</v>
      </c>
      <c r="G3334" s="100">
        <v>5070</v>
      </c>
    </row>
    <row r="3335" spans="2:7">
      <c r="B3335" s="118" t="s">
        <v>2389</v>
      </c>
      <c r="C3335" s="119">
        <v>6197</v>
      </c>
      <c r="E3335" s="96" t="s">
        <v>515</v>
      </c>
      <c r="F3335" s="96" t="s">
        <v>171</v>
      </c>
      <c r="G3335" s="100">
        <v>5442</v>
      </c>
    </row>
    <row r="3336" spans="2:7">
      <c r="B3336" s="118" t="s">
        <v>3055</v>
      </c>
      <c r="C3336" s="119">
        <v>3535</v>
      </c>
      <c r="E3336" s="96" t="s">
        <v>516</v>
      </c>
      <c r="F3336" s="96" t="s">
        <v>171</v>
      </c>
      <c r="G3336" s="100">
        <v>5507</v>
      </c>
    </row>
    <row r="3337" spans="2:7">
      <c r="B3337" s="118" t="s">
        <v>3056</v>
      </c>
      <c r="C3337" s="119">
        <v>3543</v>
      </c>
      <c r="E3337" s="96" t="s">
        <v>517</v>
      </c>
      <c r="F3337" s="96" t="s">
        <v>171</v>
      </c>
      <c r="G3337" s="100">
        <v>5102</v>
      </c>
    </row>
    <row r="3338" spans="2:7">
      <c r="B3338" s="118" t="s">
        <v>2201</v>
      </c>
      <c r="C3338" s="119">
        <v>3550</v>
      </c>
      <c r="E3338" s="96" t="s">
        <v>518</v>
      </c>
      <c r="F3338" s="96" t="s">
        <v>171</v>
      </c>
      <c r="G3338" s="100">
        <v>5412</v>
      </c>
    </row>
    <row r="3339" spans="2:7">
      <c r="B3339" s="118" t="s">
        <v>3057</v>
      </c>
      <c r="C3339" s="119">
        <v>3551</v>
      </c>
      <c r="E3339" s="96" t="s">
        <v>519</v>
      </c>
      <c r="F3339" s="96" t="s">
        <v>171</v>
      </c>
      <c r="G3339" s="100">
        <v>5703</v>
      </c>
    </row>
    <row r="3340" spans="2:7">
      <c r="B3340" s="118" t="s">
        <v>3058</v>
      </c>
      <c r="C3340" s="119">
        <v>3552</v>
      </c>
      <c r="E3340" s="96" t="s">
        <v>520</v>
      </c>
      <c r="F3340" s="96" t="s">
        <v>171</v>
      </c>
      <c r="G3340" s="100">
        <v>5420</v>
      </c>
    </row>
    <row r="3341" spans="2:7">
      <c r="B3341" s="118" t="s">
        <v>3059</v>
      </c>
      <c r="C3341" s="119">
        <v>3553</v>
      </c>
      <c r="E3341" s="96" t="s">
        <v>521</v>
      </c>
      <c r="F3341" s="96" t="s">
        <v>171</v>
      </c>
      <c r="G3341" s="100">
        <v>4802</v>
      </c>
    </row>
    <row r="3342" spans="2:7">
      <c r="B3342" s="118" t="s">
        <v>2333</v>
      </c>
      <c r="C3342" s="119">
        <v>3555</v>
      </c>
      <c r="E3342" s="96" t="s">
        <v>522</v>
      </c>
      <c r="F3342" s="96" t="s">
        <v>171</v>
      </c>
      <c r="G3342" s="100">
        <v>5702</v>
      </c>
    </row>
    <row r="3343" spans="2:7">
      <c r="B3343" s="118" t="s">
        <v>2420</v>
      </c>
      <c r="C3343" s="119">
        <v>3434</v>
      </c>
      <c r="E3343" s="96" t="s">
        <v>523</v>
      </c>
      <c r="F3343" s="96" t="s">
        <v>171</v>
      </c>
      <c r="G3343" s="100">
        <v>8965</v>
      </c>
    </row>
    <row r="3344" spans="2:7">
      <c r="B3344" s="118" t="s">
        <v>3060</v>
      </c>
      <c r="C3344" s="119">
        <v>3436</v>
      </c>
      <c r="E3344" s="96" t="s">
        <v>524</v>
      </c>
      <c r="F3344" s="96" t="s">
        <v>171</v>
      </c>
      <c r="G3344" s="100">
        <v>5303</v>
      </c>
    </row>
    <row r="3345" spans="2:7">
      <c r="B3345" s="118" t="s">
        <v>2279</v>
      </c>
      <c r="C3345" s="119">
        <v>3438</v>
      </c>
      <c r="E3345" s="96" t="s">
        <v>525</v>
      </c>
      <c r="F3345" s="96" t="s">
        <v>171</v>
      </c>
      <c r="G3345" s="100">
        <v>5242</v>
      </c>
    </row>
    <row r="3346" spans="2:7">
      <c r="B3346" s="118" t="s">
        <v>3056</v>
      </c>
      <c r="C3346" s="119">
        <v>3543</v>
      </c>
      <c r="E3346" s="96" t="s">
        <v>526</v>
      </c>
      <c r="F3346" s="96" t="s">
        <v>171</v>
      </c>
      <c r="G3346" s="100">
        <v>8964</v>
      </c>
    </row>
    <row r="3347" spans="2:7">
      <c r="B3347" s="118" t="s">
        <v>2201</v>
      </c>
      <c r="C3347" s="119">
        <v>3550</v>
      </c>
      <c r="E3347" s="96" t="s">
        <v>527</v>
      </c>
      <c r="F3347" s="96" t="s">
        <v>171</v>
      </c>
      <c r="G3347" s="100">
        <v>5621</v>
      </c>
    </row>
    <row r="3348" spans="2:7">
      <c r="B3348" s="118" t="s">
        <v>3057</v>
      </c>
      <c r="C3348" s="119">
        <v>3551</v>
      </c>
      <c r="E3348" s="96" t="s">
        <v>528</v>
      </c>
      <c r="F3348" s="96" t="s">
        <v>171</v>
      </c>
      <c r="G3348" s="100">
        <v>5103</v>
      </c>
    </row>
    <row r="3349" spans="2:7">
      <c r="B3349" s="118" t="s">
        <v>2342</v>
      </c>
      <c r="C3349" s="119">
        <v>3533</v>
      </c>
      <c r="E3349" s="96" t="s">
        <v>529</v>
      </c>
      <c r="F3349" s="96" t="s">
        <v>171</v>
      </c>
      <c r="G3349" s="100">
        <v>5742</v>
      </c>
    </row>
    <row r="3350" spans="2:7">
      <c r="B3350" s="118" t="s">
        <v>2286</v>
      </c>
      <c r="C3350" s="119">
        <v>3537</v>
      </c>
      <c r="E3350" s="96" t="s">
        <v>530</v>
      </c>
      <c r="F3350" s="96" t="s">
        <v>171</v>
      </c>
      <c r="G3350" s="100">
        <v>5643</v>
      </c>
    </row>
    <row r="3351" spans="2:7">
      <c r="B3351" s="118" t="s">
        <v>2358</v>
      </c>
      <c r="C3351" s="119">
        <v>3538</v>
      </c>
      <c r="E3351" s="96" t="s">
        <v>531</v>
      </c>
      <c r="F3351" s="96" t="s">
        <v>171</v>
      </c>
      <c r="G3351" s="100">
        <v>5040</v>
      </c>
    </row>
    <row r="3352" spans="2:7">
      <c r="B3352" s="118" t="s">
        <v>2961</v>
      </c>
      <c r="C3352" s="119">
        <v>3615</v>
      </c>
      <c r="E3352" s="96" t="s">
        <v>532</v>
      </c>
      <c r="F3352" s="96" t="s">
        <v>171</v>
      </c>
      <c r="G3352" s="100">
        <v>5330</v>
      </c>
    </row>
    <row r="3353" spans="2:7">
      <c r="B3353" s="118" t="s">
        <v>3054</v>
      </c>
      <c r="C3353" s="119">
        <v>3618</v>
      </c>
      <c r="E3353" s="96" t="s">
        <v>533</v>
      </c>
      <c r="F3353" s="96" t="s">
        <v>171</v>
      </c>
      <c r="G3353" s="100">
        <v>5015</v>
      </c>
    </row>
    <row r="3354" spans="2:7">
      <c r="B3354" s="118" t="s">
        <v>2879</v>
      </c>
      <c r="C3354" s="119">
        <v>3432</v>
      </c>
      <c r="E3354" s="96" t="s">
        <v>534</v>
      </c>
      <c r="F3354" s="96" t="s">
        <v>171</v>
      </c>
      <c r="G3354" s="100">
        <v>5452</v>
      </c>
    </row>
    <row r="3355" spans="2:7">
      <c r="B3355" s="118" t="s">
        <v>2880</v>
      </c>
      <c r="C3355" s="119">
        <v>3433</v>
      </c>
      <c r="E3355" s="96" t="s">
        <v>535</v>
      </c>
      <c r="F3355" s="96" t="s">
        <v>171</v>
      </c>
      <c r="G3355" s="100">
        <v>5035</v>
      </c>
    </row>
    <row r="3356" spans="2:7">
      <c r="B3356" s="118" t="s">
        <v>3060</v>
      </c>
      <c r="C3356" s="119">
        <v>3436</v>
      </c>
      <c r="E3356" s="96" t="s">
        <v>536</v>
      </c>
      <c r="F3356" s="96" t="s">
        <v>171</v>
      </c>
      <c r="G3356" s="100">
        <v>5502</v>
      </c>
    </row>
    <row r="3357" spans="2:7">
      <c r="B3357" s="118" t="s">
        <v>2291</v>
      </c>
      <c r="C3357" s="119">
        <v>3437</v>
      </c>
      <c r="E3357" s="96" t="s">
        <v>537</v>
      </c>
      <c r="F3357" s="96" t="s">
        <v>171</v>
      </c>
      <c r="G3357" s="100">
        <v>5443</v>
      </c>
    </row>
    <row r="3358" spans="2:7">
      <c r="B3358" s="118" t="s">
        <v>2279</v>
      </c>
      <c r="C3358" s="119">
        <v>3438</v>
      </c>
      <c r="E3358" s="96" t="s">
        <v>538</v>
      </c>
      <c r="F3358" s="96" t="s">
        <v>171</v>
      </c>
      <c r="G3358" s="100">
        <v>5315</v>
      </c>
    </row>
    <row r="3359" spans="2:7">
      <c r="B3359" s="118" t="s">
        <v>3061</v>
      </c>
      <c r="C3359" s="119">
        <v>3439</v>
      </c>
      <c r="E3359" s="96" t="s">
        <v>539</v>
      </c>
      <c r="F3359" s="96" t="s">
        <v>171</v>
      </c>
      <c r="G3359" s="100">
        <v>5707</v>
      </c>
    </row>
    <row r="3360" spans="2:7">
      <c r="B3360" s="118" t="s">
        <v>3062</v>
      </c>
      <c r="C3360" s="119">
        <v>3453</v>
      </c>
      <c r="E3360" s="96" t="s">
        <v>540</v>
      </c>
      <c r="F3360" s="96" t="s">
        <v>171</v>
      </c>
      <c r="G3360" s="100">
        <v>4312</v>
      </c>
    </row>
    <row r="3361" spans="2:7">
      <c r="B3361" s="118" t="s">
        <v>2389</v>
      </c>
      <c r="C3361" s="119">
        <v>6197</v>
      </c>
      <c r="E3361" s="96" t="s">
        <v>541</v>
      </c>
      <c r="F3361" s="96" t="s">
        <v>171</v>
      </c>
      <c r="G3361" s="100">
        <v>4805</v>
      </c>
    </row>
    <row r="3362" spans="2:7">
      <c r="B3362" s="118" t="s">
        <v>2274</v>
      </c>
      <c r="C3362" s="119">
        <v>3534</v>
      </c>
      <c r="E3362" s="96" t="s">
        <v>542</v>
      </c>
      <c r="F3362" s="96" t="s">
        <v>171</v>
      </c>
      <c r="G3362" s="100">
        <v>5312</v>
      </c>
    </row>
    <row r="3363" spans="2:7">
      <c r="B3363" s="118" t="s">
        <v>3055</v>
      </c>
      <c r="C3363" s="119">
        <v>3535</v>
      </c>
      <c r="E3363" s="96" t="s">
        <v>543</v>
      </c>
      <c r="F3363" s="96" t="s">
        <v>171</v>
      </c>
      <c r="G3363" s="100">
        <v>5605</v>
      </c>
    </row>
    <row r="3364" spans="2:7">
      <c r="B3364" s="118" t="s">
        <v>3056</v>
      </c>
      <c r="C3364" s="119">
        <v>3543</v>
      </c>
      <c r="E3364" s="96" t="s">
        <v>544</v>
      </c>
      <c r="F3364" s="96" t="s">
        <v>171</v>
      </c>
      <c r="G3364" s="100">
        <v>5037</v>
      </c>
    </row>
    <row r="3365" spans="2:7">
      <c r="B3365" s="118" t="s">
        <v>2286</v>
      </c>
      <c r="C3365" s="119">
        <v>3537</v>
      </c>
      <c r="E3365" s="96" t="s">
        <v>545</v>
      </c>
      <c r="F3365" s="96" t="s">
        <v>171</v>
      </c>
      <c r="G3365" s="100">
        <v>5745</v>
      </c>
    </row>
    <row r="3366" spans="2:7">
      <c r="B3366" s="118" t="s">
        <v>3058</v>
      </c>
      <c r="C3366" s="119">
        <v>3552</v>
      </c>
      <c r="E3366" s="96" t="s">
        <v>546</v>
      </c>
      <c r="F3366" s="96" t="s">
        <v>171</v>
      </c>
      <c r="G3366" s="100">
        <v>8967</v>
      </c>
    </row>
    <row r="3367" spans="2:7">
      <c r="B3367" s="118" t="s">
        <v>2333</v>
      </c>
      <c r="C3367" s="119">
        <v>3555</v>
      </c>
      <c r="E3367" s="96" t="s">
        <v>547</v>
      </c>
      <c r="F3367" s="96" t="s">
        <v>171</v>
      </c>
      <c r="G3367" s="100">
        <v>5080</v>
      </c>
    </row>
    <row r="3368" spans="2:7">
      <c r="B3368" s="118" t="s">
        <v>2343</v>
      </c>
      <c r="C3368" s="119">
        <v>3556</v>
      </c>
      <c r="E3368" s="96" t="s">
        <v>548</v>
      </c>
      <c r="F3368" s="96" t="s">
        <v>171</v>
      </c>
      <c r="G3368" s="100">
        <v>5212</v>
      </c>
    </row>
    <row r="3369" spans="2:7">
      <c r="B3369" s="118" t="s">
        <v>3063</v>
      </c>
      <c r="C3369" s="119">
        <v>3557</v>
      </c>
      <c r="E3369" s="96" t="s">
        <v>549</v>
      </c>
      <c r="F3369" s="96" t="s">
        <v>171</v>
      </c>
      <c r="G3369" s="100">
        <v>5634</v>
      </c>
    </row>
    <row r="3370" spans="2:7">
      <c r="B3370" s="118" t="s">
        <v>2286</v>
      </c>
      <c r="C3370" s="119">
        <v>3537</v>
      </c>
      <c r="E3370" s="96" t="s">
        <v>550</v>
      </c>
      <c r="F3370" s="96" t="s">
        <v>171</v>
      </c>
      <c r="G3370" s="100">
        <v>5073</v>
      </c>
    </row>
    <row r="3371" spans="2:7">
      <c r="B3371" s="118" t="s">
        <v>2333</v>
      </c>
      <c r="C3371" s="119">
        <v>3555</v>
      </c>
      <c r="E3371" s="96" t="s">
        <v>551</v>
      </c>
      <c r="F3371" s="96" t="s">
        <v>171</v>
      </c>
      <c r="G3371" s="100">
        <v>5408</v>
      </c>
    </row>
    <row r="3372" spans="2:7">
      <c r="B3372" s="118" t="s">
        <v>2343</v>
      </c>
      <c r="C3372" s="119">
        <v>3556</v>
      </c>
      <c r="E3372" s="96" t="s">
        <v>552</v>
      </c>
      <c r="F3372" s="96" t="s">
        <v>171</v>
      </c>
      <c r="G3372" s="100">
        <v>5313</v>
      </c>
    </row>
    <row r="3373" spans="2:7">
      <c r="B3373" s="118" t="s">
        <v>2399</v>
      </c>
      <c r="C3373" s="119">
        <v>3633</v>
      </c>
      <c r="E3373" s="96" t="s">
        <v>553</v>
      </c>
      <c r="F3373" s="96" t="s">
        <v>171</v>
      </c>
      <c r="G3373" s="100">
        <v>5603</v>
      </c>
    </row>
    <row r="3374" spans="2:7">
      <c r="B3374" s="118" t="s">
        <v>2354</v>
      </c>
      <c r="C3374" s="119">
        <v>3638</v>
      </c>
      <c r="E3374" s="96" t="s">
        <v>554</v>
      </c>
      <c r="F3374" s="96" t="s">
        <v>171</v>
      </c>
      <c r="G3374" s="100">
        <v>4332</v>
      </c>
    </row>
    <row r="3375" spans="2:7">
      <c r="B3375" s="118" t="s">
        <v>2379</v>
      </c>
      <c r="C3375" s="119">
        <v>3614</v>
      </c>
      <c r="E3375" s="96" t="s">
        <v>555</v>
      </c>
      <c r="F3375" s="96" t="s">
        <v>171</v>
      </c>
      <c r="G3375" s="100">
        <v>5712</v>
      </c>
    </row>
    <row r="3376" spans="2:7">
      <c r="B3376" s="118" t="s">
        <v>2961</v>
      </c>
      <c r="C3376" s="119">
        <v>3615</v>
      </c>
      <c r="E3376" s="96" t="s">
        <v>556</v>
      </c>
      <c r="F3376" s="96" t="s">
        <v>171</v>
      </c>
      <c r="G3376" s="100">
        <v>5726</v>
      </c>
    </row>
    <row r="3377" spans="2:7">
      <c r="B3377" s="118" t="s">
        <v>3054</v>
      </c>
      <c r="C3377" s="119">
        <v>3618</v>
      </c>
      <c r="E3377" s="96" t="s">
        <v>557</v>
      </c>
      <c r="F3377" s="96" t="s">
        <v>171</v>
      </c>
      <c r="G3377" s="100">
        <v>5242</v>
      </c>
    </row>
    <row r="3378" spans="2:7">
      <c r="B3378" s="118" t="s">
        <v>2965</v>
      </c>
      <c r="C3378" s="119">
        <v>3674</v>
      </c>
      <c r="E3378" s="96" t="s">
        <v>558</v>
      </c>
      <c r="F3378" s="96" t="s">
        <v>171</v>
      </c>
      <c r="G3378" s="100">
        <v>5503</v>
      </c>
    </row>
    <row r="3379" spans="2:7">
      <c r="B3379" s="118" t="s">
        <v>3064</v>
      </c>
      <c r="C3379" s="119">
        <v>3616</v>
      </c>
      <c r="E3379" s="96" t="s">
        <v>559</v>
      </c>
      <c r="F3379" s="96" t="s">
        <v>171</v>
      </c>
      <c r="G3379" s="100">
        <v>5413</v>
      </c>
    </row>
    <row r="3380" spans="2:7">
      <c r="B3380" s="118" t="s">
        <v>2450</v>
      </c>
      <c r="C3380" s="119">
        <v>3619</v>
      </c>
      <c r="E3380" s="96" t="s">
        <v>560</v>
      </c>
      <c r="F3380" s="96" t="s">
        <v>171</v>
      </c>
      <c r="G3380" s="100">
        <v>5300</v>
      </c>
    </row>
    <row r="3381" spans="2:7">
      <c r="B3381" s="118" t="s">
        <v>2389</v>
      </c>
      <c r="C3381" s="119">
        <v>6197</v>
      </c>
      <c r="E3381" s="96" t="s">
        <v>561</v>
      </c>
      <c r="F3381" s="96" t="s">
        <v>171</v>
      </c>
      <c r="G3381" s="100">
        <v>5616</v>
      </c>
    </row>
    <row r="3382" spans="2:7">
      <c r="B3382" s="118" t="s">
        <v>2191</v>
      </c>
      <c r="C3382" s="119">
        <v>3612</v>
      </c>
      <c r="E3382" s="96" t="s">
        <v>562</v>
      </c>
      <c r="F3382" s="96" t="s">
        <v>171</v>
      </c>
      <c r="G3382" s="100">
        <v>4853</v>
      </c>
    </row>
    <row r="3383" spans="2:7">
      <c r="B3383" s="118" t="s">
        <v>3065</v>
      </c>
      <c r="C3383" s="119">
        <v>3617</v>
      </c>
      <c r="E3383" s="96" t="s">
        <v>563</v>
      </c>
      <c r="F3383" s="96" t="s">
        <v>171</v>
      </c>
      <c r="G3383" s="100">
        <v>5622</v>
      </c>
    </row>
    <row r="3384" spans="2:7">
      <c r="B3384" s="118" t="s">
        <v>2412</v>
      </c>
      <c r="C3384" s="119">
        <v>3625</v>
      </c>
      <c r="E3384" s="96" t="s">
        <v>564</v>
      </c>
      <c r="F3384" s="96" t="s">
        <v>171</v>
      </c>
      <c r="G3384" s="100">
        <v>5614</v>
      </c>
    </row>
    <row r="3385" spans="2:7">
      <c r="B3385" s="118" t="s">
        <v>2191</v>
      </c>
      <c r="C3385" s="119">
        <v>3613</v>
      </c>
      <c r="E3385" s="96" t="s">
        <v>565</v>
      </c>
      <c r="F3385" s="96" t="s">
        <v>171</v>
      </c>
      <c r="G3385" s="100">
        <v>5524</v>
      </c>
    </row>
    <row r="3386" spans="2:7">
      <c r="B3386" s="118" t="s">
        <v>2209</v>
      </c>
      <c r="C3386" s="119">
        <v>3627</v>
      </c>
      <c r="E3386" s="96" t="s">
        <v>566</v>
      </c>
      <c r="F3386" s="96" t="s">
        <v>171</v>
      </c>
      <c r="G3386" s="100">
        <v>8962</v>
      </c>
    </row>
    <row r="3387" spans="2:7">
      <c r="B3387" s="118" t="s">
        <v>2451</v>
      </c>
      <c r="C3387" s="119">
        <v>3671</v>
      </c>
      <c r="E3387" s="96" t="s">
        <v>567</v>
      </c>
      <c r="F3387" s="96" t="s">
        <v>171</v>
      </c>
      <c r="G3387" s="100">
        <v>5504</v>
      </c>
    </row>
    <row r="3388" spans="2:7">
      <c r="B3388" s="118" t="s">
        <v>2187</v>
      </c>
      <c r="C3388" s="119">
        <v>3600</v>
      </c>
      <c r="E3388" s="96" t="s">
        <v>568</v>
      </c>
      <c r="F3388" s="96" t="s">
        <v>171</v>
      </c>
      <c r="G3388" s="100">
        <v>5623</v>
      </c>
    </row>
    <row r="3389" spans="2:7">
      <c r="B3389" s="118" t="s">
        <v>2412</v>
      </c>
      <c r="C3389" s="119">
        <v>3625</v>
      </c>
      <c r="E3389" s="96" t="s">
        <v>569</v>
      </c>
      <c r="F3389" s="96" t="s">
        <v>171</v>
      </c>
      <c r="G3389" s="100">
        <v>5426</v>
      </c>
    </row>
    <row r="3390" spans="2:7">
      <c r="B3390" s="118" t="s">
        <v>3066</v>
      </c>
      <c r="C3390" s="119">
        <v>3626</v>
      </c>
      <c r="E3390" s="96" t="s">
        <v>570</v>
      </c>
      <c r="F3390" s="96" t="s">
        <v>171</v>
      </c>
      <c r="G3390" s="100">
        <v>5727</v>
      </c>
    </row>
    <row r="3391" spans="2:7">
      <c r="B3391" s="118" t="s">
        <v>2240</v>
      </c>
      <c r="C3391" s="119">
        <v>3652</v>
      </c>
      <c r="E3391" s="96" t="s">
        <v>571</v>
      </c>
      <c r="F3391" s="96" t="s">
        <v>171</v>
      </c>
      <c r="G3391" s="100">
        <v>5082</v>
      </c>
    </row>
    <row r="3392" spans="2:7">
      <c r="B3392" s="118" t="s">
        <v>3067</v>
      </c>
      <c r="C3392" s="119">
        <v>3622</v>
      </c>
      <c r="E3392" s="96" t="s">
        <v>572</v>
      </c>
      <c r="F3392" s="96" t="s">
        <v>171</v>
      </c>
      <c r="G3392" s="100">
        <v>5304</v>
      </c>
    </row>
    <row r="3393" spans="2:7">
      <c r="B3393" s="118" t="s">
        <v>2450</v>
      </c>
      <c r="C3393" s="119">
        <v>3619</v>
      </c>
      <c r="E3393" s="96" t="s">
        <v>573</v>
      </c>
      <c r="F3393" s="96" t="s">
        <v>171</v>
      </c>
      <c r="G3393" s="100">
        <v>5607</v>
      </c>
    </row>
    <row r="3394" spans="2:7">
      <c r="B3394" s="118" t="s">
        <v>3068</v>
      </c>
      <c r="C3394" s="119">
        <v>3623</v>
      </c>
      <c r="E3394" s="96" t="s">
        <v>574</v>
      </c>
      <c r="F3394" s="96" t="s">
        <v>171</v>
      </c>
      <c r="G3394" s="100">
        <v>8966</v>
      </c>
    </row>
    <row r="3395" spans="2:7">
      <c r="B3395" s="118" t="s">
        <v>3069</v>
      </c>
      <c r="C3395" s="119">
        <v>3623</v>
      </c>
      <c r="E3395" s="96" t="s">
        <v>575</v>
      </c>
      <c r="F3395" s="96" t="s">
        <v>171</v>
      </c>
      <c r="G3395" s="100">
        <v>4314</v>
      </c>
    </row>
    <row r="3396" spans="2:7">
      <c r="B3396" s="118" t="s">
        <v>2240</v>
      </c>
      <c r="C3396" s="119">
        <v>3652</v>
      </c>
      <c r="E3396" s="96" t="s">
        <v>576</v>
      </c>
      <c r="F3396" s="96" t="s">
        <v>171</v>
      </c>
      <c r="G3396" s="100">
        <v>5074</v>
      </c>
    </row>
    <row r="3397" spans="2:7">
      <c r="B3397" s="118" t="s">
        <v>2288</v>
      </c>
      <c r="C3397" s="119">
        <v>3653</v>
      </c>
      <c r="E3397" s="96" t="s">
        <v>577</v>
      </c>
      <c r="F3397" s="96" t="s">
        <v>171</v>
      </c>
      <c r="G3397" s="100">
        <v>5608</v>
      </c>
    </row>
    <row r="3398" spans="2:7">
      <c r="B3398" s="118" t="s">
        <v>3070</v>
      </c>
      <c r="C3398" s="119">
        <v>3654</v>
      </c>
      <c r="E3398" s="96" t="s">
        <v>578</v>
      </c>
      <c r="F3398" s="96" t="s">
        <v>171</v>
      </c>
      <c r="G3398" s="100">
        <v>5107</v>
      </c>
    </row>
    <row r="3399" spans="2:7">
      <c r="B3399" s="118" t="s">
        <v>3064</v>
      </c>
      <c r="C3399" s="119">
        <v>3616</v>
      </c>
      <c r="E3399" s="96" t="s">
        <v>579</v>
      </c>
      <c r="F3399" s="96" t="s">
        <v>171</v>
      </c>
      <c r="G3399" s="100">
        <v>5606</v>
      </c>
    </row>
    <row r="3400" spans="2:7">
      <c r="B3400" s="118" t="s">
        <v>3054</v>
      </c>
      <c r="C3400" s="119">
        <v>3618</v>
      </c>
      <c r="E3400" s="96" t="s">
        <v>580</v>
      </c>
      <c r="F3400" s="96" t="s">
        <v>171</v>
      </c>
      <c r="G3400" s="100">
        <v>5316</v>
      </c>
    </row>
    <row r="3401" spans="2:7">
      <c r="B3401" s="118" t="s">
        <v>2589</v>
      </c>
      <c r="C3401" s="119">
        <v>3638</v>
      </c>
      <c r="E3401" s="96" t="s">
        <v>581</v>
      </c>
      <c r="F3401" s="96" t="s">
        <v>171</v>
      </c>
      <c r="G3401" s="100">
        <v>5728</v>
      </c>
    </row>
    <row r="3402" spans="2:7">
      <c r="B3402" s="118" t="s">
        <v>2450</v>
      </c>
      <c r="C3402" s="119">
        <v>3619</v>
      </c>
      <c r="E3402" s="96" t="s">
        <v>582</v>
      </c>
      <c r="F3402" s="96" t="s">
        <v>171</v>
      </c>
      <c r="G3402" s="100">
        <v>5506</v>
      </c>
    </row>
    <row r="3403" spans="2:7">
      <c r="B3403" s="118" t="s">
        <v>3071</v>
      </c>
      <c r="C3403" s="119">
        <v>3623</v>
      </c>
      <c r="E3403" s="96" t="s">
        <v>583</v>
      </c>
      <c r="F3403" s="96" t="s">
        <v>171</v>
      </c>
      <c r="G3403" s="100">
        <v>5644</v>
      </c>
    </row>
    <row r="3404" spans="2:7">
      <c r="B3404" s="118" t="s">
        <v>3070</v>
      </c>
      <c r="C3404" s="119">
        <v>3654</v>
      </c>
      <c r="E3404" s="96" t="s">
        <v>584</v>
      </c>
      <c r="F3404" s="96" t="s">
        <v>171</v>
      </c>
      <c r="G3404" s="100">
        <v>5234</v>
      </c>
    </row>
    <row r="3405" spans="2:7">
      <c r="B3405" s="118" t="s">
        <v>2225</v>
      </c>
      <c r="C3405" s="119">
        <v>3655</v>
      </c>
      <c r="E3405" s="96" t="s">
        <v>585</v>
      </c>
      <c r="F3405" s="96" t="s">
        <v>171</v>
      </c>
      <c r="G3405" s="100">
        <v>5453</v>
      </c>
    </row>
    <row r="3406" spans="2:7">
      <c r="B3406" s="118" t="s">
        <v>3072</v>
      </c>
      <c r="C3406" s="119">
        <v>3656</v>
      </c>
      <c r="E3406" s="96" t="s">
        <v>586</v>
      </c>
      <c r="F3406" s="96" t="s">
        <v>171</v>
      </c>
      <c r="G3406" s="100">
        <v>8956</v>
      </c>
    </row>
    <row r="3407" spans="2:7">
      <c r="B3407" s="118" t="s">
        <v>3073</v>
      </c>
      <c r="C3407" s="119">
        <v>3656</v>
      </c>
      <c r="E3407" s="96" t="s">
        <v>587</v>
      </c>
      <c r="F3407" s="96" t="s">
        <v>171</v>
      </c>
      <c r="G3407" s="100">
        <v>8916</v>
      </c>
    </row>
    <row r="3408" spans="2:7">
      <c r="B3408" s="118" t="s">
        <v>3074</v>
      </c>
      <c r="C3408" s="119">
        <v>3656</v>
      </c>
      <c r="E3408" s="96" t="s">
        <v>588</v>
      </c>
      <c r="F3408" s="96" t="s">
        <v>171</v>
      </c>
      <c r="G3408" s="100">
        <v>5615</v>
      </c>
    </row>
    <row r="3409" spans="2:7">
      <c r="B3409" s="118" t="s">
        <v>3075</v>
      </c>
      <c r="C3409" s="119">
        <v>3657</v>
      </c>
      <c r="E3409" s="96" t="s">
        <v>589</v>
      </c>
      <c r="F3409" s="96" t="s">
        <v>171</v>
      </c>
      <c r="G3409" s="100">
        <v>8917</v>
      </c>
    </row>
    <row r="3410" spans="2:7">
      <c r="B3410" s="118" t="s">
        <v>3076</v>
      </c>
      <c r="C3410" s="119">
        <v>3658</v>
      </c>
      <c r="E3410" s="96" t="s">
        <v>590</v>
      </c>
      <c r="F3410" s="96" t="s">
        <v>171</v>
      </c>
      <c r="G3410" s="100">
        <v>5273</v>
      </c>
    </row>
    <row r="3411" spans="2:7">
      <c r="B3411" s="118" t="s">
        <v>2191</v>
      </c>
      <c r="C3411" s="119">
        <v>3612</v>
      </c>
      <c r="E3411" s="96" t="s">
        <v>591</v>
      </c>
      <c r="F3411" s="96" t="s">
        <v>171</v>
      </c>
      <c r="G3411" s="100">
        <v>4323</v>
      </c>
    </row>
    <row r="3412" spans="2:7">
      <c r="B3412" s="118" t="s">
        <v>2191</v>
      </c>
      <c r="C3412" s="119">
        <v>3613</v>
      </c>
      <c r="E3412" s="96" t="s">
        <v>592</v>
      </c>
      <c r="F3412" s="96" t="s">
        <v>171</v>
      </c>
      <c r="G3412" s="100">
        <v>4803</v>
      </c>
    </row>
    <row r="3413" spans="2:7">
      <c r="B3413" s="118" t="s">
        <v>3065</v>
      </c>
      <c r="C3413" s="119">
        <v>3617</v>
      </c>
      <c r="E3413" s="96" t="s">
        <v>593</v>
      </c>
      <c r="F3413" s="96" t="s">
        <v>171</v>
      </c>
      <c r="G3413" s="100">
        <v>8905</v>
      </c>
    </row>
    <row r="3414" spans="2:7">
      <c r="B3414" s="118" t="s">
        <v>3077</v>
      </c>
      <c r="C3414" s="119">
        <v>3624</v>
      </c>
      <c r="E3414" s="96" t="s">
        <v>594</v>
      </c>
      <c r="F3414" s="96" t="s">
        <v>171</v>
      </c>
      <c r="G3414" s="100">
        <v>5444</v>
      </c>
    </row>
    <row r="3415" spans="2:7">
      <c r="B3415" s="118" t="s">
        <v>2209</v>
      </c>
      <c r="C3415" s="119">
        <v>3627</v>
      </c>
      <c r="E3415" s="96" t="s">
        <v>595</v>
      </c>
      <c r="F3415" s="96" t="s">
        <v>171</v>
      </c>
      <c r="G3415" s="100">
        <v>5322</v>
      </c>
    </row>
    <row r="3416" spans="2:7">
      <c r="B3416" s="118" t="s">
        <v>3071</v>
      </c>
      <c r="C3416" s="119">
        <v>3623</v>
      </c>
      <c r="E3416" s="96" t="s">
        <v>596</v>
      </c>
      <c r="F3416" s="96" t="s">
        <v>171</v>
      </c>
      <c r="G3416" s="100">
        <v>5213</v>
      </c>
    </row>
    <row r="3417" spans="2:7">
      <c r="B3417" s="118" t="s">
        <v>2399</v>
      </c>
      <c r="C3417" s="119">
        <v>3633</v>
      </c>
      <c r="E3417" s="96" t="s">
        <v>597</v>
      </c>
      <c r="F3417" s="96" t="s">
        <v>171</v>
      </c>
      <c r="G3417" s="100">
        <v>5525</v>
      </c>
    </row>
    <row r="3418" spans="2:7">
      <c r="B3418" s="118" t="s">
        <v>2289</v>
      </c>
      <c r="C3418" s="119">
        <v>3634</v>
      </c>
      <c r="E3418" s="96" t="s">
        <v>598</v>
      </c>
      <c r="F3418" s="96" t="s">
        <v>171</v>
      </c>
      <c r="G3418" s="100">
        <v>5723</v>
      </c>
    </row>
    <row r="3419" spans="2:7">
      <c r="B3419" s="118" t="s">
        <v>2411</v>
      </c>
      <c r="C3419" s="119">
        <v>3635</v>
      </c>
      <c r="E3419" s="96" t="s">
        <v>599</v>
      </c>
      <c r="F3419" s="96" t="s">
        <v>171</v>
      </c>
      <c r="G3419" s="100">
        <v>4334</v>
      </c>
    </row>
    <row r="3420" spans="2:7">
      <c r="B3420" s="118" t="s">
        <v>3078</v>
      </c>
      <c r="C3420" s="119">
        <v>3636</v>
      </c>
      <c r="E3420" s="96" t="s">
        <v>600</v>
      </c>
      <c r="F3420" s="96" t="s">
        <v>171</v>
      </c>
      <c r="G3420" s="100">
        <v>5023</v>
      </c>
    </row>
    <row r="3421" spans="2:7">
      <c r="B3421" s="118" t="s">
        <v>2187</v>
      </c>
      <c r="C3421" s="119">
        <v>3600</v>
      </c>
      <c r="E3421" s="96" t="s">
        <v>601</v>
      </c>
      <c r="F3421" s="96" t="s">
        <v>171</v>
      </c>
      <c r="G3421" s="100">
        <v>5042</v>
      </c>
    </row>
    <row r="3422" spans="2:7">
      <c r="B3422" s="118" t="s">
        <v>2187</v>
      </c>
      <c r="C3422" s="119">
        <v>3603</v>
      </c>
      <c r="E3422" s="96" t="s">
        <v>602</v>
      </c>
      <c r="F3422" s="96" t="s">
        <v>171</v>
      </c>
      <c r="G3422" s="100">
        <v>5647</v>
      </c>
    </row>
    <row r="3423" spans="2:7">
      <c r="B3423" s="118" t="s">
        <v>2187</v>
      </c>
      <c r="C3423" s="119">
        <v>3604</v>
      </c>
      <c r="E3423" s="96" t="s">
        <v>603</v>
      </c>
      <c r="F3423" s="96" t="s">
        <v>171</v>
      </c>
      <c r="G3423" s="100">
        <v>5105</v>
      </c>
    </row>
    <row r="3424" spans="2:7">
      <c r="B3424" s="118" t="s">
        <v>2187</v>
      </c>
      <c r="C3424" s="119">
        <v>3608</v>
      </c>
      <c r="E3424" s="96" t="s">
        <v>604</v>
      </c>
      <c r="F3424" s="96" t="s">
        <v>171</v>
      </c>
      <c r="G3424" s="100">
        <v>5225</v>
      </c>
    </row>
    <row r="3425" spans="2:7">
      <c r="B3425" s="118" t="s">
        <v>2191</v>
      </c>
      <c r="C3425" s="119">
        <v>3612</v>
      </c>
      <c r="E3425" s="96" t="s">
        <v>605</v>
      </c>
      <c r="F3425" s="96" t="s">
        <v>171</v>
      </c>
      <c r="G3425" s="100">
        <v>5057</v>
      </c>
    </row>
    <row r="3426" spans="2:7">
      <c r="B3426" s="118" t="s">
        <v>1587</v>
      </c>
      <c r="C3426" s="119">
        <v>3624</v>
      </c>
      <c r="E3426" s="96" t="s">
        <v>606</v>
      </c>
      <c r="F3426" s="96" t="s">
        <v>171</v>
      </c>
      <c r="G3426" s="100">
        <v>5512</v>
      </c>
    </row>
    <row r="3427" spans="2:7">
      <c r="B3427" s="118" t="s">
        <v>3066</v>
      </c>
      <c r="C3427" s="119">
        <v>3626</v>
      </c>
      <c r="E3427" s="96" t="s">
        <v>607</v>
      </c>
      <c r="F3427" s="96" t="s">
        <v>171</v>
      </c>
      <c r="G3427" s="100">
        <v>5454</v>
      </c>
    </row>
    <row r="3428" spans="2:7">
      <c r="B3428" s="118" t="s">
        <v>3006</v>
      </c>
      <c r="C3428" s="119">
        <v>3645</v>
      </c>
      <c r="E3428" s="96" t="s">
        <v>608</v>
      </c>
      <c r="F3428" s="96" t="s">
        <v>171</v>
      </c>
      <c r="G3428" s="100">
        <v>5522</v>
      </c>
    </row>
    <row r="3429" spans="2:7">
      <c r="B3429" s="118" t="s">
        <v>3008</v>
      </c>
      <c r="C3429" s="119">
        <v>3631</v>
      </c>
      <c r="E3429" s="96" t="s">
        <v>609</v>
      </c>
      <c r="F3429" s="96" t="s">
        <v>171</v>
      </c>
      <c r="G3429" s="100">
        <v>5027</v>
      </c>
    </row>
    <row r="3430" spans="2:7">
      <c r="B3430" s="118" t="s">
        <v>2411</v>
      </c>
      <c r="C3430" s="119">
        <v>3635</v>
      </c>
      <c r="E3430" s="96" t="s">
        <v>610</v>
      </c>
      <c r="F3430" s="96" t="s">
        <v>171</v>
      </c>
      <c r="G3430" s="100">
        <v>5223</v>
      </c>
    </row>
    <row r="3431" spans="2:7">
      <c r="B3431" s="118" t="s">
        <v>2212</v>
      </c>
      <c r="C3431" s="119">
        <v>3661</v>
      </c>
      <c r="E3431" s="96" t="s">
        <v>611</v>
      </c>
      <c r="F3431" s="96" t="s">
        <v>171</v>
      </c>
      <c r="G3431" s="100">
        <v>5628</v>
      </c>
    </row>
    <row r="3432" spans="2:7">
      <c r="B3432" s="118" t="s">
        <v>2379</v>
      </c>
      <c r="C3432" s="119">
        <v>3614</v>
      </c>
      <c r="E3432" s="96" t="s">
        <v>612</v>
      </c>
      <c r="F3432" s="96" t="s">
        <v>171</v>
      </c>
      <c r="G3432" s="100">
        <v>5106</v>
      </c>
    </row>
    <row r="3433" spans="2:7">
      <c r="B3433" s="118" t="s">
        <v>3064</v>
      </c>
      <c r="C3433" s="119">
        <v>3616</v>
      </c>
      <c r="E3433" s="96" t="s">
        <v>613</v>
      </c>
      <c r="F3433" s="96" t="s">
        <v>171</v>
      </c>
      <c r="G3433" s="100">
        <v>4322</v>
      </c>
    </row>
    <row r="3434" spans="2:7">
      <c r="B3434" s="118" t="s">
        <v>3054</v>
      </c>
      <c r="C3434" s="119">
        <v>3618</v>
      </c>
      <c r="E3434" s="96" t="s">
        <v>614</v>
      </c>
      <c r="F3434" s="96" t="s">
        <v>171</v>
      </c>
      <c r="G3434" s="100">
        <v>5704</v>
      </c>
    </row>
    <row r="3435" spans="2:7">
      <c r="B3435" s="118" t="s">
        <v>3078</v>
      </c>
      <c r="C3435" s="119">
        <v>3636</v>
      </c>
      <c r="E3435" s="96" t="s">
        <v>615</v>
      </c>
      <c r="F3435" s="96" t="s">
        <v>171</v>
      </c>
      <c r="G3435" s="100">
        <v>5706</v>
      </c>
    </row>
    <row r="3436" spans="2:7">
      <c r="B3436" s="118" t="s">
        <v>3079</v>
      </c>
      <c r="C3436" s="119">
        <v>3636</v>
      </c>
      <c r="E3436" s="96" t="s">
        <v>616</v>
      </c>
      <c r="F3436" s="96" t="s">
        <v>171</v>
      </c>
      <c r="G3436" s="100">
        <v>5425</v>
      </c>
    </row>
    <row r="3437" spans="2:7">
      <c r="B3437" s="118" t="s">
        <v>2397</v>
      </c>
      <c r="C3437" s="119">
        <v>3663</v>
      </c>
      <c r="E3437" s="96" t="s">
        <v>617</v>
      </c>
      <c r="F3437" s="96" t="s">
        <v>171</v>
      </c>
      <c r="G3437" s="100">
        <v>8918</v>
      </c>
    </row>
    <row r="3438" spans="2:7">
      <c r="B3438" s="118" t="s">
        <v>2271</v>
      </c>
      <c r="C3438" s="119">
        <v>3665</v>
      </c>
      <c r="E3438" s="96" t="s">
        <v>618</v>
      </c>
      <c r="F3438" s="96" t="s">
        <v>171</v>
      </c>
      <c r="G3438" s="100">
        <v>4813</v>
      </c>
    </row>
    <row r="3439" spans="2:7">
      <c r="B3439" s="118" t="s">
        <v>2875</v>
      </c>
      <c r="C3439" s="119">
        <v>3413</v>
      </c>
      <c r="E3439" s="96" t="s">
        <v>619</v>
      </c>
      <c r="F3439" s="96" t="s">
        <v>171</v>
      </c>
      <c r="G3439" s="100">
        <v>5043</v>
      </c>
    </row>
    <row r="3440" spans="2:7">
      <c r="B3440" s="118" t="s">
        <v>2363</v>
      </c>
      <c r="C3440" s="119">
        <v>3416</v>
      </c>
      <c r="E3440" s="96" t="s">
        <v>620</v>
      </c>
      <c r="F3440" s="96" t="s">
        <v>171</v>
      </c>
      <c r="G3440" s="100">
        <v>5064</v>
      </c>
    </row>
    <row r="3441" spans="2:7">
      <c r="B3441" s="118" t="s">
        <v>2882</v>
      </c>
      <c r="C3441" s="119">
        <v>3418</v>
      </c>
      <c r="E3441" s="96" t="s">
        <v>621</v>
      </c>
      <c r="F3441" s="96" t="s">
        <v>171</v>
      </c>
      <c r="G3441" s="100">
        <v>6042</v>
      </c>
    </row>
    <row r="3442" spans="2:7">
      <c r="B3442" s="118" t="s">
        <v>3080</v>
      </c>
      <c r="C3442" s="119">
        <v>3462</v>
      </c>
      <c r="E3442" s="96" t="s">
        <v>622</v>
      </c>
      <c r="F3442" s="96" t="s">
        <v>171</v>
      </c>
      <c r="G3442" s="100">
        <v>5732</v>
      </c>
    </row>
    <row r="3443" spans="2:7">
      <c r="B3443" s="118" t="s">
        <v>3081</v>
      </c>
      <c r="C3443" s="119">
        <v>3463</v>
      </c>
      <c r="E3443" s="96" t="s">
        <v>623</v>
      </c>
      <c r="F3443" s="96" t="s">
        <v>171</v>
      </c>
      <c r="G3443" s="100">
        <v>5116</v>
      </c>
    </row>
    <row r="3444" spans="2:7">
      <c r="B3444" s="118" t="s">
        <v>2888</v>
      </c>
      <c r="C3444" s="119">
        <v>3464</v>
      </c>
      <c r="E3444" s="96" t="s">
        <v>624</v>
      </c>
      <c r="F3444" s="96" t="s">
        <v>171</v>
      </c>
      <c r="G3444" s="100">
        <v>5325</v>
      </c>
    </row>
    <row r="3445" spans="2:7">
      <c r="B3445" s="118" t="s">
        <v>3081</v>
      </c>
      <c r="C3445" s="119">
        <v>3463</v>
      </c>
      <c r="E3445" s="96" t="s">
        <v>625</v>
      </c>
      <c r="F3445" s="96" t="s">
        <v>171</v>
      </c>
      <c r="G3445" s="100">
        <v>5724</v>
      </c>
    </row>
    <row r="3446" spans="2:7">
      <c r="B3446" s="118" t="s">
        <v>2888</v>
      </c>
      <c r="C3446" s="119">
        <v>3464</v>
      </c>
      <c r="E3446" s="96" t="s">
        <v>626</v>
      </c>
      <c r="F3446" s="96" t="s">
        <v>171</v>
      </c>
      <c r="G3446" s="100">
        <v>5053</v>
      </c>
    </row>
    <row r="3447" spans="2:7">
      <c r="B3447" s="118" t="s">
        <v>2373</v>
      </c>
      <c r="C3447" s="119">
        <v>3465</v>
      </c>
      <c r="E3447" s="96" t="s">
        <v>627</v>
      </c>
      <c r="F3447" s="96" t="s">
        <v>171</v>
      </c>
      <c r="G3447" s="100">
        <v>5604</v>
      </c>
    </row>
    <row r="3448" spans="2:7">
      <c r="B3448" s="118" t="s">
        <v>2843</v>
      </c>
      <c r="C3448" s="119">
        <v>4942</v>
      </c>
      <c r="E3448" s="96" t="s">
        <v>628</v>
      </c>
      <c r="F3448" s="96" t="s">
        <v>171</v>
      </c>
      <c r="G3448" s="100">
        <v>5632</v>
      </c>
    </row>
    <row r="3449" spans="2:7">
      <c r="B3449" s="118" t="s">
        <v>2224</v>
      </c>
      <c r="C3449" s="119">
        <v>4950</v>
      </c>
      <c r="E3449" s="96" t="s">
        <v>629</v>
      </c>
      <c r="F3449" s="96" t="s">
        <v>171</v>
      </c>
      <c r="G3449" s="100">
        <v>5113</v>
      </c>
    </row>
    <row r="3450" spans="2:7">
      <c r="B3450" s="118" t="s">
        <v>2337</v>
      </c>
      <c r="C3450" s="119">
        <v>4952</v>
      </c>
      <c r="E3450" s="96" t="s">
        <v>630</v>
      </c>
      <c r="F3450" s="96" t="s">
        <v>171</v>
      </c>
      <c r="G3450" s="100">
        <v>5306</v>
      </c>
    </row>
    <row r="3451" spans="2:7">
      <c r="B3451" s="118" t="s">
        <v>2593</v>
      </c>
      <c r="C3451" s="119">
        <v>4938</v>
      </c>
      <c r="E3451" s="96" t="s">
        <v>631</v>
      </c>
      <c r="F3451" s="96" t="s">
        <v>171</v>
      </c>
      <c r="G3451" s="100">
        <v>5708</v>
      </c>
    </row>
    <row r="3452" spans="2:7">
      <c r="B3452" s="118" t="s">
        <v>2224</v>
      </c>
      <c r="C3452" s="119">
        <v>4950</v>
      </c>
      <c r="E3452" s="96" t="s">
        <v>632</v>
      </c>
      <c r="F3452" s="96" t="s">
        <v>171</v>
      </c>
      <c r="G3452" s="100">
        <v>5642</v>
      </c>
    </row>
    <row r="3453" spans="2:7">
      <c r="B3453" s="118" t="s">
        <v>2337</v>
      </c>
      <c r="C3453" s="119">
        <v>4952</v>
      </c>
      <c r="E3453" s="96" t="s">
        <v>633</v>
      </c>
      <c r="F3453" s="96" t="s">
        <v>171</v>
      </c>
      <c r="G3453" s="100">
        <v>5079</v>
      </c>
    </row>
    <row r="3454" spans="2:7">
      <c r="B3454" s="118" t="s">
        <v>3082</v>
      </c>
      <c r="C3454" s="119">
        <v>4953</v>
      </c>
      <c r="E3454" s="96" t="s">
        <v>634</v>
      </c>
      <c r="F3454" s="96" t="s">
        <v>171</v>
      </c>
      <c r="G3454" s="100">
        <v>5046</v>
      </c>
    </row>
    <row r="3455" spans="2:7">
      <c r="B3455" s="118" t="s">
        <v>2270</v>
      </c>
      <c r="C3455" s="119">
        <v>3414</v>
      </c>
      <c r="E3455" s="96" t="s">
        <v>635</v>
      </c>
      <c r="F3455" s="96" t="s">
        <v>171</v>
      </c>
      <c r="G3455" s="100">
        <v>5637</v>
      </c>
    </row>
    <row r="3456" spans="2:7">
      <c r="B3456" s="118" t="s">
        <v>2881</v>
      </c>
      <c r="C3456" s="119">
        <v>3415</v>
      </c>
      <c r="E3456" s="96" t="s">
        <v>636</v>
      </c>
      <c r="F3456" s="96" t="s">
        <v>171</v>
      </c>
      <c r="G3456" s="100">
        <v>5624</v>
      </c>
    </row>
    <row r="3457" spans="2:7">
      <c r="B3457" s="118" t="s">
        <v>2882</v>
      </c>
      <c r="C3457" s="119">
        <v>3418</v>
      </c>
      <c r="E3457" s="96" t="s">
        <v>637</v>
      </c>
      <c r="F3457" s="96" t="s">
        <v>171</v>
      </c>
      <c r="G3457" s="100">
        <v>5243</v>
      </c>
    </row>
    <row r="3458" spans="2:7">
      <c r="B3458" s="118" t="s">
        <v>1589</v>
      </c>
      <c r="C3458" s="119">
        <v>3419</v>
      </c>
      <c r="E3458" s="96" t="s">
        <v>638</v>
      </c>
      <c r="F3458" s="96" t="s">
        <v>171</v>
      </c>
      <c r="G3458" s="100">
        <v>4317</v>
      </c>
    </row>
    <row r="3459" spans="2:7">
      <c r="B3459" s="118" t="s">
        <v>2879</v>
      </c>
      <c r="C3459" s="119">
        <v>3432</v>
      </c>
      <c r="E3459" s="96" t="s">
        <v>639</v>
      </c>
      <c r="F3459" s="96" t="s">
        <v>171</v>
      </c>
      <c r="G3459" s="100">
        <v>5236</v>
      </c>
    </row>
    <row r="3460" spans="2:7">
      <c r="B3460" s="118" t="s">
        <v>2880</v>
      </c>
      <c r="C3460" s="119">
        <v>3433</v>
      </c>
      <c r="E3460" s="96" t="s">
        <v>640</v>
      </c>
      <c r="F3460" s="96" t="s">
        <v>171</v>
      </c>
      <c r="G3460" s="100">
        <v>4324</v>
      </c>
    </row>
    <row r="3461" spans="2:7">
      <c r="B3461" s="118" t="s">
        <v>2960</v>
      </c>
      <c r="C3461" s="119">
        <v>3434</v>
      </c>
      <c r="E3461" s="96" t="s">
        <v>641</v>
      </c>
      <c r="F3461" s="96" t="s">
        <v>171</v>
      </c>
      <c r="G3461" s="100">
        <v>5063</v>
      </c>
    </row>
    <row r="3462" spans="2:7">
      <c r="B3462" s="118" t="s">
        <v>3083</v>
      </c>
      <c r="C3462" s="119">
        <v>3435</v>
      </c>
      <c r="E3462" s="96" t="s">
        <v>642</v>
      </c>
      <c r="F3462" s="96" t="s">
        <v>171</v>
      </c>
      <c r="G3462" s="100">
        <v>5423</v>
      </c>
    </row>
    <row r="3463" spans="2:7">
      <c r="B3463" s="118" t="s">
        <v>3061</v>
      </c>
      <c r="C3463" s="119">
        <v>3439</v>
      </c>
      <c r="E3463" s="96" t="s">
        <v>643</v>
      </c>
      <c r="F3463" s="96" t="s">
        <v>171</v>
      </c>
      <c r="G3463" s="100">
        <v>5272</v>
      </c>
    </row>
    <row r="3464" spans="2:7">
      <c r="B3464" s="118" t="s">
        <v>3084</v>
      </c>
      <c r="C3464" s="119">
        <v>3452</v>
      </c>
      <c r="E3464" s="96" t="s">
        <v>644</v>
      </c>
      <c r="F3464" s="96" t="s">
        <v>171</v>
      </c>
      <c r="G3464" s="100">
        <v>5736</v>
      </c>
    </row>
    <row r="3465" spans="2:7">
      <c r="B3465" s="118" t="s">
        <v>3062</v>
      </c>
      <c r="C3465" s="119">
        <v>3453</v>
      </c>
      <c r="E3465" s="96" t="s">
        <v>645</v>
      </c>
      <c r="F3465" s="96" t="s">
        <v>171</v>
      </c>
      <c r="G3465" s="100">
        <v>5072</v>
      </c>
    </row>
    <row r="3466" spans="2:7">
      <c r="B3466" s="118" t="s">
        <v>2222</v>
      </c>
      <c r="C3466" s="119">
        <v>3454</v>
      </c>
      <c r="E3466" s="96" t="s">
        <v>646</v>
      </c>
      <c r="F3466" s="96" t="s">
        <v>171</v>
      </c>
      <c r="G3466" s="100">
        <v>5445</v>
      </c>
    </row>
    <row r="3467" spans="2:7">
      <c r="B3467" s="118" t="s">
        <v>2383</v>
      </c>
      <c r="C3467" s="119">
        <v>3456</v>
      </c>
      <c r="E3467" s="96" t="s">
        <v>647</v>
      </c>
      <c r="F3467" s="96" t="s">
        <v>171</v>
      </c>
      <c r="G3467" s="100">
        <v>5619</v>
      </c>
    </row>
    <row r="3468" spans="2:7">
      <c r="B3468" s="118" t="s">
        <v>2881</v>
      </c>
      <c r="C3468" s="119">
        <v>3415</v>
      </c>
      <c r="E3468" s="96" t="s">
        <v>648</v>
      </c>
      <c r="F3468" s="96" t="s">
        <v>171</v>
      </c>
      <c r="G3468" s="100">
        <v>5646</v>
      </c>
    </row>
    <row r="3469" spans="2:7">
      <c r="B3469" s="118" t="s">
        <v>2363</v>
      </c>
      <c r="C3469" s="119">
        <v>3416</v>
      </c>
      <c r="E3469" s="96" t="s">
        <v>649</v>
      </c>
      <c r="F3469" s="96" t="s">
        <v>171</v>
      </c>
      <c r="G3469" s="100">
        <v>5332</v>
      </c>
    </row>
    <row r="3470" spans="2:7">
      <c r="B3470" s="118" t="s">
        <v>2259</v>
      </c>
      <c r="C3470" s="119">
        <v>3417</v>
      </c>
      <c r="E3470" s="96" t="s">
        <v>650</v>
      </c>
      <c r="F3470" s="96" t="s">
        <v>171</v>
      </c>
      <c r="G3470" s="100">
        <v>5075</v>
      </c>
    </row>
    <row r="3471" spans="2:7">
      <c r="B3471" s="118" t="s">
        <v>2882</v>
      </c>
      <c r="C3471" s="119">
        <v>3418</v>
      </c>
      <c r="E3471" s="96" t="s">
        <v>651</v>
      </c>
      <c r="F3471" s="96" t="s">
        <v>171</v>
      </c>
      <c r="G3471" s="100">
        <v>4333</v>
      </c>
    </row>
    <row r="3472" spans="2:7">
      <c r="B3472" s="118" t="s">
        <v>2222</v>
      </c>
      <c r="C3472" s="119">
        <v>3454</v>
      </c>
      <c r="E3472" s="96" t="s">
        <v>652</v>
      </c>
      <c r="F3472" s="96" t="s">
        <v>171</v>
      </c>
      <c r="G3472" s="100">
        <v>5054</v>
      </c>
    </row>
    <row r="3473" spans="2:7">
      <c r="B3473" s="118" t="s">
        <v>2363</v>
      </c>
      <c r="C3473" s="119">
        <v>3416</v>
      </c>
      <c r="E3473" s="96" t="s">
        <v>653</v>
      </c>
      <c r="F3473" s="96" t="s">
        <v>171</v>
      </c>
      <c r="G3473" s="100">
        <v>5028</v>
      </c>
    </row>
    <row r="3474" spans="2:7">
      <c r="B3474" s="118" t="s">
        <v>2222</v>
      </c>
      <c r="C3474" s="119">
        <v>3454</v>
      </c>
      <c r="E3474" s="96" t="s">
        <v>654</v>
      </c>
      <c r="F3474" s="96" t="s">
        <v>171</v>
      </c>
      <c r="G3474" s="100">
        <v>4315</v>
      </c>
    </row>
    <row r="3475" spans="2:7">
      <c r="B3475" s="118" t="s">
        <v>3085</v>
      </c>
      <c r="C3475" s="119">
        <v>3455</v>
      </c>
      <c r="E3475" s="96" t="s">
        <v>655</v>
      </c>
      <c r="F3475" s="96" t="s">
        <v>171</v>
      </c>
      <c r="G3475" s="100">
        <v>5324</v>
      </c>
    </row>
    <row r="3476" spans="2:7">
      <c r="B3476" s="118" t="s">
        <v>3086</v>
      </c>
      <c r="C3476" s="119">
        <v>3457</v>
      </c>
      <c r="E3476" s="96" t="s">
        <v>656</v>
      </c>
      <c r="F3476" s="96" t="s">
        <v>171</v>
      </c>
      <c r="G3476" s="100">
        <v>5705</v>
      </c>
    </row>
    <row r="3477" spans="2:7">
      <c r="B3477" s="118" t="s">
        <v>3080</v>
      </c>
      <c r="C3477" s="119">
        <v>3462</v>
      </c>
      <c r="E3477" s="96" t="s">
        <v>657</v>
      </c>
      <c r="F3477" s="96" t="s">
        <v>171</v>
      </c>
      <c r="G3477" s="100">
        <v>5235</v>
      </c>
    </row>
    <row r="3478" spans="2:7">
      <c r="B3478" s="118" t="s">
        <v>2337</v>
      </c>
      <c r="C3478" s="119">
        <v>4952</v>
      </c>
      <c r="E3478" s="96" t="s">
        <v>658</v>
      </c>
      <c r="F3478" s="96" t="s">
        <v>171</v>
      </c>
      <c r="G3478" s="100">
        <v>5054</v>
      </c>
    </row>
    <row r="3479" spans="2:7">
      <c r="B3479" s="118" t="s">
        <v>2361</v>
      </c>
      <c r="C3479" s="119">
        <v>4954</v>
      </c>
      <c r="E3479" s="96" t="s">
        <v>659</v>
      </c>
      <c r="F3479" s="96" t="s">
        <v>171</v>
      </c>
      <c r="G3479" s="100">
        <v>5044</v>
      </c>
    </row>
    <row r="3480" spans="2:7">
      <c r="B3480" s="118" t="s">
        <v>3062</v>
      </c>
      <c r="C3480" s="119">
        <v>3453</v>
      </c>
      <c r="E3480" s="96" t="s">
        <v>660</v>
      </c>
      <c r="F3480" s="96" t="s">
        <v>171</v>
      </c>
      <c r="G3480" s="100">
        <v>5112</v>
      </c>
    </row>
    <row r="3481" spans="2:7">
      <c r="B3481" s="118" t="s">
        <v>2383</v>
      </c>
      <c r="C3481" s="119">
        <v>3456</v>
      </c>
      <c r="E3481" s="96" t="s">
        <v>661</v>
      </c>
      <c r="F3481" s="96" t="s">
        <v>171</v>
      </c>
      <c r="G3481" s="100">
        <v>4325</v>
      </c>
    </row>
    <row r="3482" spans="2:7">
      <c r="B3482" s="118" t="s">
        <v>3057</v>
      </c>
      <c r="C3482" s="119">
        <v>3551</v>
      </c>
      <c r="E3482" s="96" t="s">
        <v>662</v>
      </c>
      <c r="F3482" s="96" t="s">
        <v>171</v>
      </c>
      <c r="G3482" s="100">
        <v>8919</v>
      </c>
    </row>
    <row r="3483" spans="2:7">
      <c r="B3483" s="118" t="s">
        <v>3081</v>
      </c>
      <c r="C3483" s="119">
        <v>3463</v>
      </c>
      <c r="E3483" s="96" t="s">
        <v>663</v>
      </c>
      <c r="F3483" s="96" t="s">
        <v>171</v>
      </c>
      <c r="G3483" s="100">
        <v>5505</v>
      </c>
    </row>
    <row r="3484" spans="2:7">
      <c r="B3484" s="118" t="s">
        <v>2888</v>
      </c>
      <c r="C3484" s="119">
        <v>3464</v>
      </c>
      <c r="E3484" s="96" t="s">
        <v>664</v>
      </c>
      <c r="F3484" s="96" t="s">
        <v>171</v>
      </c>
      <c r="G3484" s="100">
        <v>4814</v>
      </c>
    </row>
    <row r="3485" spans="2:7">
      <c r="B3485" s="118" t="s">
        <v>2593</v>
      </c>
      <c r="C3485" s="119">
        <v>4938</v>
      </c>
      <c r="E3485" s="96" t="s">
        <v>665</v>
      </c>
      <c r="F3485" s="96" t="s">
        <v>171</v>
      </c>
      <c r="G3485" s="100">
        <v>4316</v>
      </c>
    </row>
    <row r="3486" spans="2:7">
      <c r="B3486" s="118" t="s">
        <v>2843</v>
      </c>
      <c r="C3486" s="119">
        <v>4942</v>
      </c>
      <c r="E3486" s="96" t="s">
        <v>666</v>
      </c>
      <c r="F3486" s="96" t="s">
        <v>171</v>
      </c>
      <c r="G3486" s="100">
        <v>5725</v>
      </c>
    </row>
    <row r="3487" spans="2:7">
      <c r="B3487" s="118" t="s">
        <v>2586</v>
      </c>
      <c r="C3487" s="119">
        <v>4943</v>
      </c>
      <c r="E3487" s="96" t="s">
        <v>667</v>
      </c>
      <c r="F3487" s="96" t="s">
        <v>171</v>
      </c>
      <c r="G3487" s="100">
        <v>5323</v>
      </c>
    </row>
    <row r="3488" spans="2:7">
      <c r="B3488" s="118" t="s">
        <v>3086</v>
      </c>
      <c r="C3488" s="119">
        <v>3457</v>
      </c>
      <c r="E3488" s="96" t="s">
        <v>668</v>
      </c>
      <c r="F3488" s="96" t="s">
        <v>171</v>
      </c>
      <c r="G3488" s="100">
        <v>5076</v>
      </c>
    </row>
    <row r="3489" spans="2:7">
      <c r="B3489" s="118" t="s">
        <v>3082</v>
      </c>
      <c r="C3489" s="119">
        <v>4953</v>
      </c>
      <c r="E3489" s="96" t="s">
        <v>669</v>
      </c>
      <c r="F3489" s="96" t="s">
        <v>171</v>
      </c>
      <c r="G3489" s="100">
        <v>5026</v>
      </c>
    </row>
    <row r="3490" spans="2:7">
      <c r="B3490" s="118" t="s">
        <v>2361</v>
      </c>
      <c r="C3490" s="119">
        <v>4954</v>
      </c>
      <c r="E3490" s="96" t="s">
        <v>670</v>
      </c>
      <c r="F3490" s="96" t="s">
        <v>171</v>
      </c>
      <c r="G3490" s="100">
        <v>5244</v>
      </c>
    </row>
    <row r="3491" spans="2:7">
      <c r="B3491" s="118" t="s">
        <v>2332</v>
      </c>
      <c r="C3491" s="119">
        <v>4536</v>
      </c>
      <c r="E3491" s="96" t="s">
        <v>671</v>
      </c>
      <c r="F3491" s="96" t="s">
        <v>171</v>
      </c>
      <c r="G3491" s="100">
        <v>5600</v>
      </c>
    </row>
    <row r="3492" spans="2:7">
      <c r="B3492" s="118" t="s">
        <v>2544</v>
      </c>
      <c r="C3492" s="119">
        <v>3376</v>
      </c>
      <c r="E3492" s="96" t="s">
        <v>672</v>
      </c>
      <c r="F3492" s="96" t="s">
        <v>171</v>
      </c>
      <c r="G3492" s="100">
        <v>5326</v>
      </c>
    </row>
    <row r="3493" spans="2:7">
      <c r="B3493" s="118" t="s">
        <v>2418</v>
      </c>
      <c r="C3493" s="119">
        <v>3366</v>
      </c>
      <c r="E3493" s="96" t="s">
        <v>673</v>
      </c>
      <c r="F3493" s="96" t="s">
        <v>171</v>
      </c>
      <c r="G3493" s="100">
        <v>5462</v>
      </c>
    </row>
    <row r="3494" spans="2:7">
      <c r="B3494" s="118" t="s">
        <v>3087</v>
      </c>
      <c r="C3494" s="119">
        <v>3366</v>
      </c>
      <c r="E3494" s="96" t="s">
        <v>674</v>
      </c>
      <c r="F3494" s="96" t="s">
        <v>171</v>
      </c>
      <c r="G3494" s="100">
        <v>5627</v>
      </c>
    </row>
    <row r="3495" spans="2:7">
      <c r="B3495" s="118" t="s">
        <v>2554</v>
      </c>
      <c r="C3495" s="119">
        <v>4539</v>
      </c>
      <c r="E3495" s="96" t="s">
        <v>675</v>
      </c>
      <c r="F3495" s="96" t="s">
        <v>171</v>
      </c>
      <c r="G3495" s="100">
        <v>5618</v>
      </c>
    </row>
    <row r="3496" spans="2:7">
      <c r="B3496" s="118" t="s">
        <v>2559</v>
      </c>
      <c r="C3496" s="119">
        <v>3376</v>
      </c>
      <c r="E3496" s="96" t="s">
        <v>676</v>
      </c>
      <c r="F3496" s="96" t="s">
        <v>171</v>
      </c>
      <c r="G3496" s="100">
        <v>8905</v>
      </c>
    </row>
    <row r="3497" spans="2:7">
      <c r="B3497" s="118" t="s">
        <v>3088</v>
      </c>
      <c r="C3497" s="119">
        <v>3372</v>
      </c>
      <c r="E3497" s="96" t="s">
        <v>677</v>
      </c>
      <c r="F3497" s="96" t="s">
        <v>171</v>
      </c>
      <c r="G3497" s="100">
        <v>5062</v>
      </c>
    </row>
    <row r="3498" spans="2:7">
      <c r="B3498" s="118" t="s">
        <v>3089</v>
      </c>
      <c r="C3498" s="119">
        <v>3373</v>
      </c>
      <c r="E3498" s="96" t="s">
        <v>678</v>
      </c>
      <c r="F3498" s="96" t="s">
        <v>171</v>
      </c>
      <c r="G3498" s="100">
        <v>5078</v>
      </c>
    </row>
    <row r="3499" spans="2:7">
      <c r="B3499" s="118" t="s">
        <v>2366</v>
      </c>
      <c r="C3499" s="119">
        <v>3373</v>
      </c>
      <c r="E3499" s="96" t="s">
        <v>679</v>
      </c>
      <c r="F3499" s="96" t="s">
        <v>171</v>
      </c>
      <c r="G3499" s="100">
        <v>5467</v>
      </c>
    </row>
    <row r="3500" spans="2:7">
      <c r="B3500" s="118" t="s">
        <v>2204</v>
      </c>
      <c r="C3500" s="119">
        <v>3360</v>
      </c>
      <c r="E3500" s="96" t="s">
        <v>680</v>
      </c>
      <c r="F3500" s="96" t="s">
        <v>171</v>
      </c>
      <c r="G3500" s="100">
        <v>5619</v>
      </c>
    </row>
    <row r="3501" spans="2:7">
      <c r="B3501" s="118" t="s">
        <v>3090</v>
      </c>
      <c r="C3501" s="119">
        <v>3363</v>
      </c>
      <c r="E3501" s="96" t="s">
        <v>681</v>
      </c>
      <c r="F3501" s="96" t="s">
        <v>171</v>
      </c>
      <c r="G3501" s="100">
        <v>5733</v>
      </c>
    </row>
    <row r="3502" spans="2:7">
      <c r="B3502" s="118" t="s">
        <v>2424</v>
      </c>
      <c r="C3502" s="119">
        <v>3375</v>
      </c>
      <c r="E3502" s="96" t="s">
        <v>682</v>
      </c>
      <c r="F3502" s="96" t="s">
        <v>171</v>
      </c>
      <c r="G3502" s="100">
        <v>5245</v>
      </c>
    </row>
    <row r="3503" spans="2:7">
      <c r="B3503" s="118" t="s">
        <v>2226</v>
      </c>
      <c r="C3503" s="119">
        <v>4704</v>
      </c>
      <c r="E3503" s="96" t="s">
        <v>683</v>
      </c>
      <c r="F3503" s="96" t="s">
        <v>171</v>
      </c>
      <c r="G3503" s="100">
        <v>5466</v>
      </c>
    </row>
    <row r="3504" spans="2:7">
      <c r="B3504" s="118" t="s">
        <v>3091</v>
      </c>
      <c r="C3504" s="119">
        <v>4704</v>
      </c>
      <c r="E3504" s="96" t="s">
        <v>684</v>
      </c>
      <c r="F3504" s="96" t="s">
        <v>171</v>
      </c>
      <c r="G3504" s="100">
        <v>5237</v>
      </c>
    </row>
    <row r="3505" spans="2:7">
      <c r="B3505" s="118" t="s">
        <v>2318</v>
      </c>
      <c r="C3505" s="119">
        <v>3362</v>
      </c>
      <c r="E3505" s="96" t="s">
        <v>685</v>
      </c>
      <c r="F3505" s="96" t="s">
        <v>171</v>
      </c>
      <c r="G3505" s="100">
        <v>5625</v>
      </c>
    </row>
    <row r="3506" spans="2:7">
      <c r="B3506" s="118" t="s">
        <v>3092</v>
      </c>
      <c r="C3506" s="119">
        <v>4556</v>
      </c>
      <c r="E3506" s="96" t="s">
        <v>686</v>
      </c>
      <c r="F3506" s="96" t="s">
        <v>171</v>
      </c>
      <c r="G3506" s="100">
        <v>4305</v>
      </c>
    </row>
    <row r="3507" spans="2:7">
      <c r="B3507" s="118" t="s">
        <v>2317</v>
      </c>
      <c r="C3507" s="119">
        <v>4538</v>
      </c>
      <c r="E3507" s="96" t="s">
        <v>687</v>
      </c>
      <c r="F3507" s="96" t="s">
        <v>171</v>
      </c>
      <c r="G3507" s="100">
        <v>5463</v>
      </c>
    </row>
    <row r="3508" spans="2:7">
      <c r="B3508" s="118" t="s">
        <v>2436</v>
      </c>
      <c r="C3508" s="119">
        <v>3367</v>
      </c>
      <c r="E3508" s="96" t="s">
        <v>688</v>
      </c>
      <c r="F3508" s="96" t="s">
        <v>171</v>
      </c>
      <c r="G3508" s="100">
        <v>5318</v>
      </c>
    </row>
    <row r="3509" spans="2:7">
      <c r="B3509" s="118" t="s">
        <v>3093</v>
      </c>
      <c r="C3509" s="119">
        <v>3476</v>
      </c>
      <c r="E3509" s="96" t="s">
        <v>689</v>
      </c>
      <c r="F3509" s="96" t="s">
        <v>171</v>
      </c>
      <c r="G3509" s="100">
        <v>5464</v>
      </c>
    </row>
    <row r="3510" spans="2:7">
      <c r="B3510" s="118" t="s">
        <v>2452</v>
      </c>
      <c r="C3510" s="119">
        <v>4539</v>
      </c>
      <c r="E3510" s="96" t="s">
        <v>690</v>
      </c>
      <c r="F3510" s="96" t="s">
        <v>171</v>
      </c>
      <c r="G3510" s="100">
        <v>5077</v>
      </c>
    </row>
    <row r="3511" spans="2:7">
      <c r="B3511" s="118" t="s">
        <v>2554</v>
      </c>
      <c r="C3511" s="119">
        <v>4539</v>
      </c>
      <c r="E3511" s="96" t="s">
        <v>691</v>
      </c>
      <c r="F3511" s="96" t="s">
        <v>171</v>
      </c>
      <c r="G3511" s="100">
        <v>5333</v>
      </c>
    </row>
    <row r="3512" spans="2:7">
      <c r="B3512" s="118" t="s">
        <v>3094</v>
      </c>
      <c r="C3512" s="119">
        <v>3365</v>
      </c>
      <c r="E3512" s="96" t="s">
        <v>692</v>
      </c>
      <c r="F3512" s="96" t="s">
        <v>171</v>
      </c>
      <c r="G3512" s="100">
        <v>5465</v>
      </c>
    </row>
    <row r="3513" spans="2:7">
      <c r="B3513" s="118" t="s">
        <v>2327</v>
      </c>
      <c r="C3513" s="119">
        <v>3365</v>
      </c>
      <c r="E3513" s="96" t="s">
        <v>693</v>
      </c>
      <c r="F3513" s="96" t="s">
        <v>171</v>
      </c>
      <c r="G3513" s="100">
        <v>5637</v>
      </c>
    </row>
    <row r="3514" spans="2:7">
      <c r="B3514" s="118" t="s">
        <v>2889</v>
      </c>
      <c r="C3514" s="119">
        <v>3474</v>
      </c>
      <c r="E3514" s="96" t="s">
        <v>694</v>
      </c>
      <c r="F3514" s="96" t="s">
        <v>171</v>
      </c>
      <c r="G3514" s="100">
        <v>5334</v>
      </c>
    </row>
    <row r="3515" spans="2:7">
      <c r="B3515" s="118" t="s">
        <v>3095</v>
      </c>
      <c r="C3515" s="119">
        <v>3475</v>
      </c>
      <c r="E3515" s="96" t="s">
        <v>695</v>
      </c>
      <c r="F3515" s="96" t="s">
        <v>171</v>
      </c>
      <c r="G3515" s="100">
        <v>5058</v>
      </c>
    </row>
    <row r="3516" spans="2:7">
      <c r="B3516" s="118" t="s">
        <v>3096</v>
      </c>
      <c r="C3516" s="119">
        <v>3475</v>
      </c>
      <c r="E3516" s="96" t="s">
        <v>696</v>
      </c>
      <c r="F3516" s="96" t="s">
        <v>176</v>
      </c>
      <c r="G3516" s="100">
        <v>7000</v>
      </c>
    </row>
    <row r="3517" spans="2:7">
      <c r="B3517" s="118" t="s">
        <v>3093</v>
      </c>
      <c r="C3517" s="119">
        <v>3476</v>
      </c>
      <c r="E3517" s="96" t="s">
        <v>697</v>
      </c>
      <c r="F3517" s="96" t="s">
        <v>176</v>
      </c>
      <c r="G3517" s="100">
        <v>7270</v>
      </c>
    </row>
    <row r="3518" spans="2:7">
      <c r="B3518" s="118" t="s">
        <v>2586</v>
      </c>
      <c r="C3518" s="119">
        <v>4943</v>
      </c>
      <c r="E3518" s="96" t="s">
        <v>698</v>
      </c>
      <c r="F3518" s="96" t="s">
        <v>176</v>
      </c>
      <c r="G3518" s="100">
        <v>7302</v>
      </c>
    </row>
    <row r="3519" spans="2:7">
      <c r="B3519" s="118" t="s">
        <v>2204</v>
      </c>
      <c r="C3519" s="119">
        <v>3360</v>
      </c>
      <c r="E3519" s="96" t="s">
        <v>699</v>
      </c>
      <c r="F3519" s="96" t="s">
        <v>176</v>
      </c>
      <c r="G3519" s="100">
        <v>7013</v>
      </c>
    </row>
    <row r="3520" spans="2:7">
      <c r="B3520" s="118" t="s">
        <v>2365</v>
      </c>
      <c r="C3520" s="119">
        <v>3367</v>
      </c>
      <c r="E3520" s="96" t="s">
        <v>700</v>
      </c>
      <c r="F3520" s="96" t="s">
        <v>176</v>
      </c>
      <c r="G3520" s="100">
        <v>7013</v>
      </c>
    </row>
    <row r="3521" spans="2:7">
      <c r="B3521" s="118" t="s">
        <v>3093</v>
      </c>
      <c r="C3521" s="119">
        <v>3476</v>
      </c>
      <c r="E3521" s="96" t="s">
        <v>701</v>
      </c>
      <c r="F3521" s="96" t="s">
        <v>176</v>
      </c>
      <c r="G3521" s="100">
        <v>7500</v>
      </c>
    </row>
    <row r="3522" spans="2:7">
      <c r="B3522" s="118" t="s">
        <v>3097</v>
      </c>
      <c r="C3522" s="119">
        <v>3380</v>
      </c>
      <c r="E3522" s="96" t="s">
        <v>702</v>
      </c>
      <c r="F3522" s="96" t="s">
        <v>176</v>
      </c>
      <c r="G3522" s="100">
        <v>7130</v>
      </c>
    </row>
    <row r="3523" spans="2:7">
      <c r="B3523" s="118" t="s">
        <v>3098</v>
      </c>
      <c r="C3523" s="119">
        <v>3377</v>
      </c>
      <c r="E3523" s="96" t="s">
        <v>703</v>
      </c>
      <c r="F3523" s="96" t="s">
        <v>176</v>
      </c>
      <c r="G3523" s="100">
        <v>1823</v>
      </c>
    </row>
    <row r="3524" spans="2:7">
      <c r="B3524" s="118" t="s">
        <v>2465</v>
      </c>
      <c r="C3524" s="119">
        <v>3374</v>
      </c>
      <c r="E3524" s="96" t="s">
        <v>704</v>
      </c>
      <c r="F3524" s="96" t="s">
        <v>176</v>
      </c>
      <c r="G3524" s="100">
        <v>7550</v>
      </c>
    </row>
    <row r="3525" spans="2:7">
      <c r="B3525" s="118" t="s">
        <v>2297</v>
      </c>
      <c r="C3525" s="119">
        <v>3380</v>
      </c>
      <c r="E3525" s="96" t="s">
        <v>705</v>
      </c>
      <c r="F3525" s="96" t="s">
        <v>176</v>
      </c>
      <c r="G3525" s="100">
        <v>7250</v>
      </c>
    </row>
    <row r="3526" spans="2:7">
      <c r="B3526" s="118" t="s">
        <v>2332</v>
      </c>
      <c r="C3526" s="119">
        <v>4536</v>
      </c>
      <c r="E3526" s="96" t="s">
        <v>706</v>
      </c>
      <c r="F3526" s="96" t="s">
        <v>176</v>
      </c>
      <c r="G3526" s="100">
        <v>7742</v>
      </c>
    </row>
    <row r="3527" spans="2:7">
      <c r="B3527" s="118" t="s">
        <v>2297</v>
      </c>
      <c r="C3527" s="119">
        <v>3380</v>
      </c>
      <c r="E3527" s="96" t="s">
        <v>707</v>
      </c>
      <c r="F3527" s="96" t="s">
        <v>176</v>
      </c>
      <c r="G3527" s="100">
        <v>7205</v>
      </c>
    </row>
    <row r="3528" spans="2:7">
      <c r="B3528" s="118" t="s">
        <v>2295</v>
      </c>
      <c r="C3528" s="119">
        <v>4537</v>
      </c>
      <c r="E3528" s="96" t="s">
        <v>708</v>
      </c>
      <c r="F3528" s="96" t="s">
        <v>176</v>
      </c>
      <c r="G3528" s="100">
        <v>7402</v>
      </c>
    </row>
    <row r="3529" spans="2:7">
      <c r="B3529" s="118" t="s">
        <v>2452</v>
      </c>
      <c r="C3529" s="119">
        <v>4539</v>
      </c>
      <c r="E3529" s="96" t="s">
        <v>709</v>
      </c>
      <c r="F3529" s="96" t="s">
        <v>176</v>
      </c>
      <c r="G3529" s="100">
        <v>7203</v>
      </c>
    </row>
    <row r="3530" spans="2:7">
      <c r="B3530" s="118" t="s">
        <v>1285</v>
      </c>
      <c r="C3530" s="119">
        <v>6110</v>
      </c>
      <c r="E3530" s="96" t="s">
        <v>710</v>
      </c>
      <c r="F3530" s="96" t="s">
        <v>176</v>
      </c>
      <c r="G3530" s="100">
        <v>7430</v>
      </c>
    </row>
    <row r="3531" spans="2:7">
      <c r="B3531" s="118" t="s">
        <v>1336</v>
      </c>
      <c r="C3531" s="119">
        <v>6112</v>
      </c>
      <c r="E3531" s="96" t="s">
        <v>711</v>
      </c>
      <c r="F3531" s="96" t="s">
        <v>176</v>
      </c>
      <c r="G3531" s="100">
        <v>7050</v>
      </c>
    </row>
    <row r="3532" spans="2:7">
      <c r="B3532" s="118" t="s">
        <v>3099</v>
      </c>
      <c r="C3532" s="119">
        <v>6105</v>
      </c>
      <c r="E3532" s="96" t="s">
        <v>712</v>
      </c>
      <c r="F3532" s="96" t="s">
        <v>176</v>
      </c>
      <c r="G3532" s="100">
        <v>7503</v>
      </c>
    </row>
    <row r="3533" spans="2:7">
      <c r="B3533" s="118" t="s">
        <v>1285</v>
      </c>
      <c r="C3533" s="119">
        <v>6110</v>
      </c>
      <c r="E3533" s="96" t="s">
        <v>713</v>
      </c>
      <c r="F3533" s="96" t="s">
        <v>176</v>
      </c>
      <c r="G3533" s="100">
        <v>7304</v>
      </c>
    </row>
    <row r="3534" spans="2:7">
      <c r="B3534" s="118" t="s">
        <v>1291</v>
      </c>
      <c r="C3534" s="119">
        <v>6162</v>
      </c>
      <c r="E3534" s="96" t="s">
        <v>714</v>
      </c>
      <c r="F3534" s="96" t="s">
        <v>176</v>
      </c>
      <c r="G3534" s="100">
        <v>7017</v>
      </c>
    </row>
    <row r="3535" spans="2:7">
      <c r="B3535" s="118" t="s">
        <v>3100</v>
      </c>
      <c r="C3535" s="119">
        <v>6162</v>
      </c>
      <c r="E3535" s="96" t="s">
        <v>715</v>
      </c>
      <c r="F3535" s="96" t="s">
        <v>176</v>
      </c>
      <c r="G3535" s="100">
        <v>7084</v>
      </c>
    </row>
    <row r="3536" spans="2:7">
      <c r="B3536" s="118" t="s">
        <v>3101</v>
      </c>
      <c r="C3536" s="119">
        <v>6162</v>
      </c>
      <c r="E3536" s="96" t="s">
        <v>716</v>
      </c>
      <c r="F3536" s="96" t="s">
        <v>176</v>
      </c>
      <c r="G3536" s="100">
        <v>7082</v>
      </c>
    </row>
    <row r="3537" spans="2:7">
      <c r="B3537" s="118" t="s">
        <v>3102</v>
      </c>
      <c r="C3537" s="119">
        <v>6163</v>
      </c>
      <c r="E3537" s="96" t="s">
        <v>717</v>
      </c>
      <c r="F3537" s="96" t="s">
        <v>176</v>
      </c>
      <c r="G3537" s="100">
        <v>7220</v>
      </c>
    </row>
    <row r="3538" spans="2:7">
      <c r="B3538" s="118" t="s">
        <v>3103</v>
      </c>
      <c r="C3538" s="119">
        <v>6166</v>
      </c>
      <c r="E3538" s="96" t="s">
        <v>718</v>
      </c>
      <c r="F3538" s="96" t="s">
        <v>176</v>
      </c>
      <c r="G3538" s="100">
        <v>7012</v>
      </c>
    </row>
    <row r="3539" spans="2:7">
      <c r="B3539" s="118" t="s">
        <v>1287</v>
      </c>
      <c r="C3539" s="119">
        <v>6170</v>
      </c>
      <c r="E3539" s="96" t="s">
        <v>719</v>
      </c>
      <c r="F3539" s="96" t="s">
        <v>176</v>
      </c>
      <c r="G3539" s="100">
        <v>7204</v>
      </c>
    </row>
    <row r="3540" spans="2:7">
      <c r="B3540" s="118" t="s">
        <v>1287</v>
      </c>
      <c r="C3540" s="119">
        <v>6170</v>
      </c>
      <c r="E3540" s="96" t="s">
        <v>720</v>
      </c>
      <c r="F3540" s="96" t="s">
        <v>176</v>
      </c>
      <c r="G3540" s="100">
        <v>6535</v>
      </c>
    </row>
    <row r="3541" spans="2:7">
      <c r="B3541" s="118" t="s">
        <v>3104</v>
      </c>
      <c r="C3541" s="119">
        <v>6173</v>
      </c>
      <c r="E3541" s="96" t="s">
        <v>721</v>
      </c>
      <c r="F3541" s="96" t="s">
        <v>176</v>
      </c>
      <c r="G3541" s="100">
        <v>7457</v>
      </c>
    </row>
    <row r="3542" spans="2:7">
      <c r="B3542" s="118" t="s">
        <v>3105</v>
      </c>
      <c r="C3542" s="119">
        <v>6174</v>
      </c>
      <c r="E3542" s="96" t="s">
        <v>722</v>
      </c>
      <c r="F3542" s="96" t="s">
        <v>176</v>
      </c>
      <c r="G3542" s="100">
        <v>7208</v>
      </c>
    </row>
    <row r="3543" spans="2:7">
      <c r="B3543" s="118" t="s">
        <v>3106</v>
      </c>
      <c r="C3543" s="119">
        <v>6192</v>
      </c>
      <c r="E3543" s="96" t="s">
        <v>723</v>
      </c>
      <c r="F3543" s="96" t="s">
        <v>176</v>
      </c>
      <c r="G3543" s="100">
        <v>7504</v>
      </c>
    </row>
    <row r="3544" spans="2:7">
      <c r="B3544" s="118" t="s">
        <v>2389</v>
      </c>
      <c r="C3544" s="119">
        <v>6197</v>
      </c>
      <c r="E3544" s="96" t="s">
        <v>724</v>
      </c>
      <c r="F3544" s="96" t="s">
        <v>176</v>
      </c>
      <c r="G3544" s="100">
        <v>7408</v>
      </c>
    </row>
    <row r="3545" spans="2:7">
      <c r="B3545" s="118" t="s">
        <v>1291</v>
      </c>
      <c r="C3545" s="119">
        <v>6162</v>
      </c>
      <c r="E3545" s="96" t="s">
        <v>725</v>
      </c>
      <c r="F3545" s="96" t="s">
        <v>176</v>
      </c>
      <c r="G3545" s="100">
        <v>7187</v>
      </c>
    </row>
    <row r="3546" spans="2:7">
      <c r="B3546" s="118" t="s">
        <v>3101</v>
      </c>
      <c r="C3546" s="119">
        <v>6162</v>
      </c>
      <c r="E3546" s="96" t="s">
        <v>726</v>
      </c>
      <c r="F3546" s="96" t="s">
        <v>176</v>
      </c>
      <c r="G3546" s="100">
        <v>7180</v>
      </c>
    </row>
    <row r="3547" spans="2:7">
      <c r="B3547" s="118" t="s">
        <v>3103</v>
      </c>
      <c r="C3547" s="119">
        <v>6166</v>
      </c>
      <c r="E3547" s="96" t="s">
        <v>727</v>
      </c>
      <c r="F3547" s="96" t="s">
        <v>176</v>
      </c>
      <c r="G3547" s="100">
        <v>7214</v>
      </c>
    </row>
    <row r="3548" spans="2:7">
      <c r="B3548" s="118" t="s">
        <v>1287</v>
      </c>
      <c r="C3548" s="119">
        <v>6170</v>
      </c>
      <c r="E3548" s="96" t="s">
        <v>728</v>
      </c>
      <c r="F3548" s="96" t="s">
        <v>176</v>
      </c>
      <c r="G3548" s="100">
        <v>7148</v>
      </c>
    </row>
    <row r="3549" spans="2:7">
      <c r="B3549" s="118" t="s">
        <v>3107</v>
      </c>
      <c r="C3549" s="119">
        <v>6110</v>
      </c>
      <c r="E3549" s="96" t="s">
        <v>729</v>
      </c>
      <c r="F3549" s="96" t="s">
        <v>176</v>
      </c>
      <c r="G3549" s="100">
        <v>7075</v>
      </c>
    </row>
    <row r="3550" spans="2:7">
      <c r="B3550" s="118" t="s">
        <v>1339</v>
      </c>
      <c r="C3550" s="119">
        <v>6113</v>
      </c>
      <c r="E3550" s="96" t="s">
        <v>730</v>
      </c>
      <c r="F3550" s="96" t="s">
        <v>176</v>
      </c>
      <c r="G3550" s="100">
        <v>7435</v>
      </c>
    </row>
    <row r="3551" spans="2:7">
      <c r="B3551" s="118" t="s">
        <v>3103</v>
      </c>
      <c r="C3551" s="119">
        <v>6166</v>
      </c>
      <c r="E3551" s="96" t="s">
        <v>731</v>
      </c>
      <c r="F3551" s="96" t="s">
        <v>176</v>
      </c>
      <c r="G3551" s="100">
        <v>7165</v>
      </c>
    </row>
    <row r="3552" spans="2:7">
      <c r="B3552" s="118" t="s">
        <v>3108</v>
      </c>
      <c r="C3552" s="119">
        <v>6167</v>
      </c>
      <c r="E3552" s="96" t="s">
        <v>732</v>
      </c>
      <c r="F3552" s="96" t="s">
        <v>176</v>
      </c>
      <c r="G3552" s="100">
        <v>7165</v>
      </c>
    </row>
    <row r="3553" spans="2:7">
      <c r="B3553" s="118" t="s">
        <v>1287</v>
      </c>
      <c r="C3553" s="119">
        <v>6170</v>
      </c>
      <c r="E3553" s="96" t="s">
        <v>733</v>
      </c>
      <c r="F3553" s="96" t="s">
        <v>176</v>
      </c>
      <c r="G3553" s="100">
        <v>7031</v>
      </c>
    </row>
    <row r="3554" spans="2:7">
      <c r="B3554" s="118" t="s">
        <v>1287</v>
      </c>
      <c r="C3554" s="119">
        <v>6170</v>
      </c>
      <c r="E3554" s="96" t="s">
        <v>734</v>
      </c>
      <c r="F3554" s="96" t="s">
        <v>176</v>
      </c>
      <c r="G3554" s="100">
        <v>7242</v>
      </c>
    </row>
    <row r="3555" spans="2:7">
      <c r="B3555" s="118" t="s">
        <v>3099</v>
      </c>
      <c r="C3555" s="119">
        <v>6105</v>
      </c>
      <c r="E3555" s="96" t="s">
        <v>735</v>
      </c>
      <c r="F3555" s="96" t="s">
        <v>176</v>
      </c>
      <c r="G3555" s="100">
        <v>7530</v>
      </c>
    </row>
    <row r="3556" spans="2:7">
      <c r="B3556" s="118" t="s">
        <v>1310</v>
      </c>
      <c r="C3556" s="119">
        <v>6106</v>
      </c>
      <c r="E3556" s="96" t="s">
        <v>736</v>
      </c>
      <c r="F3556" s="96" t="s">
        <v>176</v>
      </c>
      <c r="G3556" s="100">
        <v>7606</v>
      </c>
    </row>
    <row r="3557" spans="2:7">
      <c r="B3557" s="118" t="s">
        <v>1285</v>
      </c>
      <c r="C3557" s="119">
        <v>6110</v>
      </c>
      <c r="E3557" s="96" t="s">
        <v>737</v>
      </c>
      <c r="F3557" s="96" t="s">
        <v>176</v>
      </c>
      <c r="G3557" s="100">
        <v>7536</v>
      </c>
    </row>
    <row r="3558" spans="2:7">
      <c r="B3558" s="118" t="s">
        <v>2333</v>
      </c>
      <c r="C3558" s="119">
        <v>3555</v>
      </c>
      <c r="E3558" s="96" t="s">
        <v>738</v>
      </c>
      <c r="F3558" s="96" t="s">
        <v>176</v>
      </c>
      <c r="G3558" s="100">
        <v>7505</v>
      </c>
    </row>
    <row r="3559" spans="2:7">
      <c r="B3559" s="118" t="s">
        <v>1287</v>
      </c>
      <c r="C3559" s="119">
        <v>6170</v>
      </c>
      <c r="E3559" s="96" t="s">
        <v>739</v>
      </c>
      <c r="F3559" s="96" t="s">
        <v>176</v>
      </c>
      <c r="G3559" s="100">
        <v>7505</v>
      </c>
    </row>
    <row r="3560" spans="2:7">
      <c r="B3560" s="118" t="s">
        <v>3104</v>
      </c>
      <c r="C3560" s="119">
        <v>6173</v>
      </c>
      <c r="E3560" s="96" t="s">
        <v>740</v>
      </c>
      <c r="F3560" s="96" t="s">
        <v>176</v>
      </c>
      <c r="G3560" s="100">
        <v>7403</v>
      </c>
    </row>
    <row r="3561" spans="2:7">
      <c r="B3561" s="118" t="s">
        <v>3109</v>
      </c>
      <c r="C3561" s="119">
        <v>6182</v>
      </c>
      <c r="E3561" s="96" t="s">
        <v>741</v>
      </c>
      <c r="F3561" s="96" t="s">
        <v>176</v>
      </c>
      <c r="G3561" s="100">
        <v>7014</v>
      </c>
    </row>
    <row r="3562" spans="2:7">
      <c r="B3562" s="118" t="s">
        <v>3106</v>
      </c>
      <c r="C3562" s="119">
        <v>6192</v>
      </c>
      <c r="E3562" s="96" t="s">
        <v>742</v>
      </c>
      <c r="F3562" s="96" t="s">
        <v>176</v>
      </c>
      <c r="G3562" s="100">
        <v>7212</v>
      </c>
    </row>
    <row r="3563" spans="2:7">
      <c r="B3563" s="118" t="s">
        <v>3110</v>
      </c>
      <c r="C3563" s="119">
        <v>6196</v>
      </c>
      <c r="E3563" s="96" t="s">
        <v>743</v>
      </c>
      <c r="F3563" s="96" t="s">
        <v>176</v>
      </c>
      <c r="G3563" s="100">
        <v>6563</v>
      </c>
    </row>
    <row r="3564" spans="2:7">
      <c r="B3564" s="118" t="s">
        <v>2389</v>
      </c>
      <c r="C3564" s="119">
        <v>6197</v>
      </c>
      <c r="E3564" s="96" t="s">
        <v>744</v>
      </c>
      <c r="F3564" s="96" t="s">
        <v>176</v>
      </c>
      <c r="G3564" s="100">
        <v>6537</v>
      </c>
    </row>
    <row r="3565" spans="2:7">
      <c r="B3565" s="118" t="s">
        <v>3111</v>
      </c>
      <c r="C3565" s="119">
        <v>6287</v>
      </c>
      <c r="E3565" s="96" t="s">
        <v>745</v>
      </c>
      <c r="F3565" s="96" t="s">
        <v>176</v>
      </c>
      <c r="G3565" s="100">
        <v>7450</v>
      </c>
    </row>
    <row r="3566" spans="2:7">
      <c r="B3566" s="118" t="s">
        <v>1303</v>
      </c>
      <c r="C3566" s="119">
        <v>6034</v>
      </c>
      <c r="E3566" s="96" t="s">
        <v>746</v>
      </c>
      <c r="F3566" s="96" t="s">
        <v>176</v>
      </c>
      <c r="G3566" s="100">
        <v>7473</v>
      </c>
    </row>
    <row r="3567" spans="2:7">
      <c r="B3567" s="118" t="s">
        <v>3112</v>
      </c>
      <c r="C3567" s="119">
        <v>6274</v>
      </c>
      <c r="E3567" s="96" t="s">
        <v>747</v>
      </c>
      <c r="F3567" s="96" t="s">
        <v>176</v>
      </c>
      <c r="G3567" s="100">
        <v>7189</v>
      </c>
    </row>
    <row r="3568" spans="2:7">
      <c r="B3568" s="118" t="s">
        <v>1298</v>
      </c>
      <c r="C3568" s="119">
        <v>6275</v>
      </c>
      <c r="E3568" s="96" t="s">
        <v>748</v>
      </c>
      <c r="F3568" s="96" t="s">
        <v>176</v>
      </c>
      <c r="G3568" s="100">
        <v>7015</v>
      </c>
    </row>
    <row r="3569" spans="2:7">
      <c r="B3569" s="118" t="s">
        <v>1593</v>
      </c>
      <c r="C3569" s="119">
        <v>6020</v>
      </c>
      <c r="E3569" s="96" t="s">
        <v>749</v>
      </c>
      <c r="F3569" s="96" t="s">
        <v>176</v>
      </c>
      <c r="G3569" s="100">
        <v>7524</v>
      </c>
    </row>
    <row r="3570" spans="2:7">
      <c r="B3570" s="118" t="s">
        <v>1269</v>
      </c>
      <c r="C3570" s="119">
        <v>6023</v>
      </c>
      <c r="E3570" s="96" t="s">
        <v>750</v>
      </c>
      <c r="F3570" s="96" t="s">
        <v>176</v>
      </c>
      <c r="G3570" s="100">
        <v>7175</v>
      </c>
    </row>
    <row r="3571" spans="2:7">
      <c r="B3571" s="118" t="s">
        <v>1262</v>
      </c>
      <c r="C3571" s="119">
        <v>6032</v>
      </c>
      <c r="E3571" s="96" t="s">
        <v>751</v>
      </c>
      <c r="F3571" s="96" t="s">
        <v>176</v>
      </c>
      <c r="G3571" s="100">
        <v>7166</v>
      </c>
    </row>
    <row r="3572" spans="2:7">
      <c r="B3572" s="118" t="s">
        <v>1272</v>
      </c>
      <c r="C3572" s="119">
        <v>6206</v>
      </c>
      <c r="E3572" s="96" t="s">
        <v>752</v>
      </c>
      <c r="F3572" s="96" t="s">
        <v>176</v>
      </c>
      <c r="G3572" s="100">
        <v>7233</v>
      </c>
    </row>
    <row r="3573" spans="2:7">
      <c r="B3573" s="118" t="s">
        <v>1332</v>
      </c>
      <c r="C3573" s="119">
        <v>6294</v>
      </c>
      <c r="E3573" s="96" t="s">
        <v>753</v>
      </c>
      <c r="F3573" s="96" t="s">
        <v>176</v>
      </c>
      <c r="G3573" s="100">
        <v>7134</v>
      </c>
    </row>
    <row r="3574" spans="2:7">
      <c r="B3574" s="118" t="s">
        <v>1299</v>
      </c>
      <c r="C3574" s="119">
        <v>6026</v>
      </c>
      <c r="E3574" s="96" t="s">
        <v>754</v>
      </c>
      <c r="F3574" s="96" t="s">
        <v>176</v>
      </c>
      <c r="G3574" s="100">
        <v>7743</v>
      </c>
    </row>
    <row r="3575" spans="2:7">
      <c r="B3575" s="118" t="s">
        <v>1303</v>
      </c>
      <c r="C3575" s="119">
        <v>6034</v>
      </c>
      <c r="E3575" s="96" t="s">
        <v>755</v>
      </c>
      <c r="F3575" s="96" t="s">
        <v>176</v>
      </c>
      <c r="G3575" s="100">
        <v>7513</v>
      </c>
    </row>
    <row r="3576" spans="2:7">
      <c r="B3576" s="118" t="s">
        <v>3112</v>
      </c>
      <c r="C3576" s="119">
        <v>6274</v>
      </c>
      <c r="E3576" s="96" t="s">
        <v>756</v>
      </c>
      <c r="F3576" s="96" t="s">
        <v>176</v>
      </c>
      <c r="G3576" s="100">
        <v>7132</v>
      </c>
    </row>
    <row r="3577" spans="2:7">
      <c r="B3577" s="118" t="s">
        <v>3113</v>
      </c>
      <c r="C3577" s="119">
        <v>6284</v>
      </c>
      <c r="E3577" s="96" t="s">
        <v>757</v>
      </c>
      <c r="F3577" s="96" t="s">
        <v>176</v>
      </c>
      <c r="G3577" s="100">
        <v>7023</v>
      </c>
    </row>
    <row r="3578" spans="2:7">
      <c r="B3578" s="118" t="s">
        <v>3114</v>
      </c>
      <c r="C3578" s="119">
        <v>6284</v>
      </c>
      <c r="E3578" s="96" t="s">
        <v>758</v>
      </c>
      <c r="F3578" s="96" t="s">
        <v>176</v>
      </c>
      <c r="G3578" s="100">
        <v>7440</v>
      </c>
    </row>
    <row r="3579" spans="2:7">
      <c r="B3579" s="118" t="s">
        <v>1279</v>
      </c>
      <c r="C3579" s="119">
        <v>6285</v>
      </c>
      <c r="E3579" s="96" t="s">
        <v>759</v>
      </c>
      <c r="F3579" s="96" t="s">
        <v>176</v>
      </c>
      <c r="G3579" s="100">
        <v>7411</v>
      </c>
    </row>
    <row r="3580" spans="2:7">
      <c r="B3580" s="118" t="s">
        <v>3115</v>
      </c>
      <c r="C3580" s="119">
        <v>6285</v>
      </c>
      <c r="E3580" s="96" t="s">
        <v>760</v>
      </c>
      <c r="F3580" s="96" t="s">
        <v>176</v>
      </c>
      <c r="G3580" s="100">
        <v>7482</v>
      </c>
    </row>
    <row r="3581" spans="2:7">
      <c r="B3581" s="118" t="s">
        <v>1341</v>
      </c>
      <c r="C3581" s="119">
        <v>6286</v>
      </c>
      <c r="E3581" s="96" t="s">
        <v>761</v>
      </c>
      <c r="F3581" s="96" t="s">
        <v>176</v>
      </c>
      <c r="G3581" s="100">
        <v>7107</v>
      </c>
    </row>
    <row r="3582" spans="2:7">
      <c r="B3582" s="118" t="s">
        <v>1330</v>
      </c>
      <c r="C3582" s="119">
        <v>6288</v>
      </c>
      <c r="E3582" s="96" t="s">
        <v>762</v>
      </c>
      <c r="F3582" s="96" t="s">
        <v>176</v>
      </c>
      <c r="G3582" s="100">
        <v>7307</v>
      </c>
    </row>
    <row r="3583" spans="2:7">
      <c r="B3583" s="118" t="s">
        <v>3116</v>
      </c>
      <c r="C3583" s="119">
        <v>6289</v>
      </c>
      <c r="E3583" s="96" t="s">
        <v>763</v>
      </c>
      <c r="F3583" s="96" t="s">
        <v>176</v>
      </c>
      <c r="G3583" s="100">
        <v>7556</v>
      </c>
    </row>
    <row r="3584" spans="2:7">
      <c r="B3584" s="118" t="s">
        <v>3117</v>
      </c>
      <c r="C3584" s="119">
        <v>6289</v>
      </c>
      <c r="E3584" s="96" t="s">
        <v>764</v>
      </c>
      <c r="F3584" s="96" t="s">
        <v>176</v>
      </c>
      <c r="G3584" s="100">
        <v>7240</v>
      </c>
    </row>
    <row r="3585" spans="2:7">
      <c r="B3585" s="118" t="s">
        <v>3117</v>
      </c>
      <c r="C3585" s="119">
        <v>6289</v>
      </c>
      <c r="E3585" s="96" t="s">
        <v>765</v>
      </c>
      <c r="F3585" s="96" t="s">
        <v>176</v>
      </c>
      <c r="G3585" s="100">
        <v>6534</v>
      </c>
    </row>
    <row r="3586" spans="2:7">
      <c r="B3586" s="118" t="s">
        <v>3118</v>
      </c>
      <c r="C3586" s="119">
        <v>6295</v>
      </c>
      <c r="E3586" s="96" t="s">
        <v>766</v>
      </c>
      <c r="F3586" s="96" t="s">
        <v>176</v>
      </c>
      <c r="G3586" s="100">
        <v>7412</v>
      </c>
    </row>
    <row r="3587" spans="2:7">
      <c r="B3587" s="118" t="s">
        <v>3112</v>
      </c>
      <c r="C3587" s="119">
        <v>6274</v>
      </c>
      <c r="E3587" s="96" t="s">
        <v>767</v>
      </c>
      <c r="F3587" s="96" t="s">
        <v>176</v>
      </c>
      <c r="G3587" s="100">
        <v>7306</v>
      </c>
    </row>
    <row r="3588" spans="2:7">
      <c r="B3588" s="118" t="s">
        <v>1298</v>
      </c>
      <c r="C3588" s="119">
        <v>6275</v>
      </c>
      <c r="E3588" s="96" t="s">
        <v>768</v>
      </c>
      <c r="F3588" s="96" t="s">
        <v>176</v>
      </c>
      <c r="G3588" s="100">
        <v>7563</v>
      </c>
    </row>
    <row r="3589" spans="2:7">
      <c r="B3589" s="118" t="s">
        <v>1267</v>
      </c>
      <c r="C3589" s="119">
        <v>6280</v>
      </c>
      <c r="E3589" s="96" t="s">
        <v>769</v>
      </c>
      <c r="F3589" s="96" t="s">
        <v>176</v>
      </c>
      <c r="G3589" s="100">
        <v>6558</v>
      </c>
    </row>
    <row r="3590" spans="2:7">
      <c r="B3590" s="118" t="s">
        <v>3119</v>
      </c>
      <c r="C3590" s="119">
        <v>6280</v>
      </c>
      <c r="E3590" s="96" t="s">
        <v>770</v>
      </c>
      <c r="F3590" s="96" t="s">
        <v>176</v>
      </c>
      <c r="G3590" s="100">
        <v>7522</v>
      </c>
    </row>
    <row r="3591" spans="2:7">
      <c r="B3591" s="118" t="s">
        <v>3120</v>
      </c>
      <c r="C3591" s="119">
        <v>6283</v>
      </c>
      <c r="E3591" s="96" t="s">
        <v>771</v>
      </c>
      <c r="F3591" s="96" t="s">
        <v>176</v>
      </c>
      <c r="G3591" s="100">
        <v>7514</v>
      </c>
    </row>
    <row r="3592" spans="2:7">
      <c r="B3592" s="118" t="s">
        <v>1298</v>
      </c>
      <c r="C3592" s="119">
        <v>6275</v>
      </c>
      <c r="E3592" s="96" t="s">
        <v>772</v>
      </c>
      <c r="F3592" s="96" t="s">
        <v>176</v>
      </c>
      <c r="G3592" s="100">
        <v>7514</v>
      </c>
    </row>
    <row r="3593" spans="2:7">
      <c r="B3593" s="118" t="s">
        <v>1304</v>
      </c>
      <c r="C3593" s="119">
        <v>6276</v>
      </c>
      <c r="E3593" s="96" t="s">
        <v>773</v>
      </c>
      <c r="F3593" s="96" t="s">
        <v>176</v>
      </c>
      <c r="G3593" s="100">
        <v>7152</v>
      </c>
    </row>
    <row r="3594" spans="2:7">
      <c r="B3594" s="118" t="s">
        <v>3121</v>
      </c>
      <c r="C3594" s="119">
        <v>6277</v>
      </c>
      <c r="E3594" s="96" t="s">
        <v>774</v>
      </c>
      <c r="F3594" s="96" t="s">
        <v>176</v>
      </c>
      <c r="G3594" s="100">
        <v>7525</v>
      </c>
    </row>
    <row r="3595" spans="2:7">
      <c r="B3595" s="118" t="s">
        <v>3122</v>
      </c>
      <c r="C3595" s="119">
        <v>6277</v>
      </c>
      <c r="E3595" s="96" t="s">
        <v>775</v>
      </c>
      <c r="F3595" s="96" t="s">
        <v>176</v>
      </c>
      <c r="G3595" s="100">
        <v>7438</v>
      </c>
    </row>
    <row r="3596" spans="2:7">
      <c r="B3596" s="118" t="s">
        <v>1267</v>
      </c>
      <c r="C3596" s="119">
        <v>6280</v>
      </c>
      <c r="E3596" s="96" t="s">
        <v>776</v>
      </c>
      <c r="F3596" s="96" t="s">
        <v>176</v>
      </c>
      <c r="G3596" s="100">
        <v>7151</v>
      </c>
    </row>
    <row r="3597" spans="2:7">
      <c r="B3597" s="118" t="s">
        <v>3120</v>
      </c>
      <c r="C3597" s="119">
        <v>6283</v>
      </c>
      <c r="E3597" s="96" t="s">
        <v>777</v>
      </c>
      <c r="F3597" s="96" t="s">
        <v>176</v>
      </c>
      <c r="G3597" s="100">
        <v>7153</v>
      </c>
    </row>
    <row r="3598" spans="2:7">
      <c r="B3598" s="118" t="s">
        <v>1303</v>
      </c>
      <c r="C3598" s="119">
        <v>6034</v>
      </c>
      <c r="E3598" s="96" t="s">
        <v>778</v>
      </c>
      <c r="F3598" s="96" t="s">
        <v>176</v>
      </c>
      <c r="G3598" s="100">
        <v>7235</v>
      </c>
    </row>
    <row r="3599" spans="2:7">
      <c r="B3599" s="118" t="s">
        <v>1325</v>
      </c>
      <c r="C3599" s="119">
        <v>6038</v>
      </c>
      <c r="E3599" s="96" t="s">
        <v>779</v>
      </c>
      <c r="F3599" s="96" t="s">
        <v>176</v>
      </c>
      <c r="G3599" s="100">
        <v>7502</v>
      </c>
    </row>
    <row r="3600" spans="2:7">
      <c r="B3600" s="118" t="s">
        <v>1299</v>
      </c>
      <c r="C3600" s="119">
        <v>6026</v>
      </c>
      <c r="E3600" s="96" t="s">
        <v>780</v>
      </c>
      <c r="F3600" s="96" t="s">
        <v>176</v>
      </c>
      <c r="G3600" s="100">
        <v>6557</v>
      </c>
    </row>
    <row r="3601" spans="2:7">
      <c r="B3601" s="118" t="s">
        <v>1299</v>
      </c>
      <c r="C3601" s="119">
        <v>6026</v>
      </c>
      <c r="E3601" s="96" t="s">
        <v>781</v>
      </c>
      <c r="F3601" s="96" t="s">
        <v>176</v>
      </c>
      <c r="G3601" s="100">
        <v>7083</v>
      </c>
    </row>
    <row r="3602" spans="2:7">
      <c r="B3602" s="118" t="s">
        <v>3123</v>
      </c>
      <c r="C3602" s="119">
        <v>6027</v>
      </c>
      <c r="E3602" s="96" t="s">
        <v>782</v>
      </c>
      <c r="F3602" s="96" t="s">
        <v>176</v>
      </c>
      <c r="G3602" s="100">
        <v>7082</v>
      </c>
    </row>
    <row r="3603" spans="2:7">
      <c r="B3603" s="118" t="s">
        <v>3124</v>
      </c>
      <c r="C3603" s="119">
        <v>6028</v>
      </c>
      <c r="E3603" s="96" t="s">
        <v>783</v>
      </c>
      <c r="F3603" s="96" t="s">
        <v>176</v>
      </c>
      <c r="G3603" s="100">
        <v>7026</v>
      </c>
    </row>
    <row r="3604" spans="2:7">
      <c r="B3604" s="118" t="s">
        <v>1267</v>
      </c>
      <c r="C3604" s="119">
        <v>6280</v>
      </c>
      <c r="E3604" s="96" t="s">
        <v>784</v>
      </c>
      <c r="F3604" s="96" t="s">
        <v>176</v>
      </c>
      <c r="G3604" s="100">
        <v>7425</v>
      </c>
    </row>
    <row r="3605" spans="2:7">
      <c r="B3605" s="118" t="s">
        <v>3119</v>
      </c>
      <c r="C3605" s="119">
        <v>6280</v>
      </c>
      <c r="E3605" s="96" t="s">
        <v>785</v>
      </c>
      <c r="F3605" s="96" t="s">
        <v>176</v>
      </c>
      <c r="G3605" s="100">
        <v>7432</v>
      </c>
    </row>
    <row r="3606" spans="2:7">
      <c r="B3606" s="118" t="s">
        <v>3120</v>
      </c>
      <c r="C3606" s="119">
        <v>6283</v>
      </c>
      <c r="E3606" s="96" t="s">
        <v>786</v>
      </c>
      <c r="F3606" s="96" t="s">
        <v>176</v>
      </c>
      <c r="G3606" s="100">
        <v>7182</v>
      </c>
    </row>
    <row r="3607" spans="2:7">
      <c r="B3607" s="118" t="s">
        <v>1269</v>
      </c>
      <c r="C3607" s="119">
        <v>6023</v>
      </c>
      <c r="E3607" s="96" t="s">
        <v>787</v>
      </c>
      <c r="F3607" s="96" t="s">
        <v>176</v>
      </c>
      <c r="G3607" s="100">
        <v>7413</v>
      </c>
    </row>
    <row r="3608" spans="2:7">
      <c r="B3608" s="118" t="s">
        <v>1299</v>
      </c>
      <c r="C3608" s="119">
        <v>6026</v>
      </c>
      <c r="E3608" s="96" t="s">
        <v>788</v>
      </c>
      <c r="F3608" s="96" t="s">
        <v>176</v>
      </c>
      <c r="G3608" s="100">
        <v>6562</v>
      </c>
    </row>
    <row r="3609" spans="2:7">
      <c r="B3609" s="118" t="s">
        <v>1272</v>
      </c>
      <c r="C3609" s="119">
        <v>6206</v>
      </c>
      <c r="E3609" s="96" t="s">
        <v>789</v>
      </c>
      <c r="F3609" s="96" t="s">
        <v>176</v>
      </c>
      <c r="G3609" s="100">
        <v>7063</v>
      </c>
    </row>
    <row r="3610" spans="2:7">
      <c r="B3610" s="118" t="s">
        <v>3111</v>
      </c>
      <c r="C3610" s="119">
        <v>6287</v>
      </c>
      <c r="E3610" s="96" t="s">
        <v>790</v>
      </c>
      <c r="F3610" s="96" t="s">
        <v>176</v>
      </c>
      <c r="G3610" s="100">
        <v>7405</v>
      </c>
    </row>
    <row r="3611" spans="2:7">
      <c r="B3611" s="118" t="s">
        <v>1330</v>
      </c>
      <c r="C3611" s="119">
        <v>6288</v>
      </c>
      <c r="E3611" s="96" t="s">
        <v>791</v>
      </c>
      <c r="F3611" s="96" t="s">
        <v>176</v>
      </c>
      <c r="G3611" s="100">
        <v>6540</v>
      </c>
    </row>
    <row r="3612" spans="2:7">
      <c r="B3612" s="118" t="s">
        <v>1265</v>
      </c>
      <c r="C3612" s="119">
        <v>6030</v>
      </c>
      <c r="E3612" s="96" t="s">
        <v>792</v>
      </c>
      <c r="F3612" s="96" t="s">
        <v>176</v>
      </c>
      <c r="G3612" s="100">
        <v>7426</v>
      </c>
    </row>
    <row r="3613" spans="2:7">
      <c r="B3613" s="118" t="s">
        <v>1278</v>
      </c>
      <c r="C3613" s="119">
        <v>6043</v>
      </c>
      <c r="E3613" s="96" t="s">
        <v>793</v>
      </c>
      <c r="F3613" s="96" t="s">
        <v>176</v>
      </c>
      <c r="G3613" s="100">
        <v>7493</v>
      </c>
    </row>
    <row r="3614" spans="2:7">
      <c r="B3614" s="118" t="s">
        <v>1265</v>
      </c>
      <c r="C3614" s="119">
        <v>6030</v>
      </c>
      <c r="E3614" s="96" t="s">
        <v>794</v>
      </c>
      <c r="F3614" s="96" t="s">
        <v>176</v>
      </c>
      <c r="G3614" s="100">
        <v>7241</v>
      </c>
    </row>
    <row r="3615" spans="2:7">
      <c r="B3615" s="118" t="s">
        <v>1276</v>
      </c>
      <c r="C3615" s="119">
        <v>6033</v>
      </c>
      <c r="E3615" s="96" t="s">
        <v>795</v>
      </c>
      <c r="F3615" s="96" t="s">
        <v>176</v>
      </c>
      <c r="G3615" s="100">
        <v>7232</v>
      </c>
    </row>
    <row r="3616" spans="2:7">
      <c r="B3616" s="118" t="s">
        <v>3125</v>
      </c>
      <c r="C3616" s="119">
        <v>6035</v>
      </c>
      <c r="E3616" s="96" t="s">
        <v>796</v>
      </c>
      <c r="F3616" s="96" t="s">
        <v>176</v>
      </c>
      <c r="G3616" s="100">
        <v>7433</v>
      </c>
    </row>
    <row r="3617" spans="2:7">
      <c r="B3617" s="118" t="s">
        <v>1320</v>
      </c>
      <c r="C3617" s="119">
        <v>6036</v>
      </c>
      <c r="E3617" s="96" t="s">
        <v>797</v>
      </c>
      <c r="F3617" s="96" t="s">
        <v>176</v>
      </c>
      <c r="G3617" s="100">
        <v>7523</v>
      </c>
    </row>
    <row r="3618" spans="2:7">
      <c r="B3618" s="118" t="s">
        <v>1280</v>
      </c>
      <c r="C3618" s="119">
        <v>6037</v>
      </c>
      <c r="E3618" s="96" t="s">
        <v>798</v>
      </c>
      <c r="F3618" s="96" t="s">
        <v>176</v>
      </c>
      <c r="G3618" s="100">
        <v>6543</v>
      </c>
    </row>
    <row r="3619" spans="2:7">
      <c r="B3619" s="118" t="s">
        <v>165</v>
      </c>
      <c r="C3619" s="119">
        <v>6004</v>
      </c>
      <c r="E3619" s="96" t="s">
        <v>799</v>
      </c>
      <c r="F3619" s="96" t="s">
        <v>176</v>
      </c>
      <c r="G3619" s="100">
        <v>7447</v>
      </c>
    </row>
    <row r="3620" spans="2:7">
      <c r="B3620" s="118" t="s">
        <v>165</v>
      </c>
      <c r="C3620" s="119">
        <v>6006</v>
      </c>
      <c r="E3620" s="96" t="s">
        <v>800</v>
      </c>
      <c r="F3620" s="96" t="s">
        <v>176</v>
      </c>
      <c r="G3620" s="100">
        <v>6548</v>
      </c>
    </row>
    <row r="3621" spans="2:7">
      <c r="B3621" s="118" t="s">
        <v>1593</v>
      </c>
      <c r="C3621" s="119">
        <v>6020</v>
      </c>
      <c r="E3621" s="96" t="s">
        <v>801</v>
      </c>
      <c r="F3621" s="96" t="s">
        <v>176</v>
      </c>
      <c r="G3621" s="100">
        <v>7427</v>
      </c>
    </row>
    <row r="3622" spans="2:7">
      <c r="B3622" s="118" t="s">
        <v>1265</v>
      </c>
      <c r="C3622" s="119">
        <v>6030</v>
      </c>
      <c r="E3622" s="96" t="s">
        <v>802</v>
      </c>
      <c r="F3622" s="96" t="s">
        <v>176</v>
      </c>
      <c r="G3622" s="100">
        <v>7434</v>
      </c>
    </row>
    <row r="3623" spans="2:7">
      <c r="B3623" s="118" t="s">
        <v>1262</v>
      </c>
      <c r="C3623" s="119">
        <v>6032</v>
      </c>
      <c r="E3623" s="96" t="s">
        <v>803</v>
      </c>
      <c r="F3623" s="96" t="s">
        <v>176</v>
      </c>
      <c r="G3623" s="100">
        <v>7428</v>
      </c>
    </row>
    <row r="3624" spans="2:7">
      <c r="B3624" s="118" t="s">
        <v>1325</v>
      </c>
      <c r="C3624" s="119">
        <v>6038</v>
      </c>
      <c r="E3624" s="96" t="s">
        <v>804</v>
      </c>
      <c r="F3624" s="96" t="s">
        <v>176</v>
      </c>
      <c r="G3624" s="100">
        <v>6541</v>
      </c>
    </row>
    <row r="3625" spans="2:7">
      <c r="B3625" s="118" t="s">
        <v>1283</v>
      </c>
      <c r="C3625" s="119">
        <v>6353</v>
      </c>
      <c r="E3625" s="96" t="s">
        <v>805</v>
      </c>
      <c r="F3625" s="96" t="s">
        <v>176</v>
      </c>
      <c r="G3625" s="100">
        <v>6542</v>
      </c>
    </row>
    <row r="3626" spans="2:7">
      <c r="B3626" s="118" t="s">
        <v>1329</v>
      </c>
      <c r="C3626" s="119">
        <v>6404</v>
      </c>
      <c r="E3626" s="96" t="s">
        <v>806</v>
      </c>
      <c r="F3626" s="96" t="s">
        <v>176</v>
      </c>
      <c r="G3626" s="100">
        <v>7444</v>
      </c>
    </row>
    <row r="3627" spans="2:7">
      <c r="B3627" s="118" t="s">
        <v>1325</v>
      </c>
      <c r="C3627" s="119">
        <v>6038</v>
      </c>
      <c r="E3627" s="96" t="s">
        <v>807</v>
      </c>
      <c r="F3627" s="96" t="s">
        <v>176</v>
      </c>
      <c r="G3627" s="100">
        <v>7433</v>
      </c>
    </row>
    <row r="3628" spans="2:7">
      <c r="B3628" s="118" t="s">
        <v>1342</v>
      </c>
      <c r="C3628" s="119">
        <v>6038</v>
      </c>
      <c r="E3628" s="96" t="s">
        <v>808</v>
      </c>
      <c r="F3628" s="96" t="s">
        <v>176</v>
      </c>
      <c r="G3628" s="100">
        <v>7430</v>
      </c>
    </row>
    <row r="3629" spans="2:7">
      <c r="B3629" s="118" t="s">
        <v>165</v>
      </c>
      <c r="C3629" s="119">
        <v>6005</v>
      </c>
      <c r="E3629" s="96" t="s">
        <v>809</v>
      </c>
      <c r="F3629" s="96" t="s">
        <v>176</v>
      </c>
      <c r="G3629" s="100">
        <v>7433</v>
      </c>
    </row>
    <row r="3630" spans="2:7">
      <c r="B3630" s="118" t="s">
        <v>1596</v>
      </c>
      <c r="C3630" s="119">
        <v>6005</v>
      </c>
      <c r="E3630" s="96" t="s">
        <v>810</v>
      </c>
      <c r="F3630" s="96" t="s">
        <v>176</v>
      </c>
      <c r="G3630" s="100">
        <v>7433</v>
      </c>
    </row>
    <row r="3631" spans="2:7">
      <c r="B3631" s="118" t="s">
        <v>1595</v>
      </c>
      <c r="C3631" s="119">
        <v>6047</v>
      </c>
      <c r="E3631" s="96" t="s">
        <v>163</v>
      </c>
      <c r="F3631" s="96" t="s">
        <v>163</v>
      </c>
      <c r="G3631" s="100">
        <v>1200</v>
      </c>
    </row>
    <row r="3632" spans="2:7">
      <c r="B3632" s="118" t="s">
        <v>1264</v>
      </c>
      <c r="C3632" s="119">
        <v>6048</v>
      </c>
      <c r="E3632" s="96" t="s">
        <v>811</v>
      </c>
      <c r="F3632" s="96" t="s">
        <v>163</v>
      </c>
      <c r="G3632" s="100">
        <v>1214</v>
      </c>
    </row>
    <row r="3633" spans="2:7">
      <c r="B3633" s="118" t="s">
        <v>3126</v>
      </c>
      <c r="C3633" s="119">
        <v>6052</v>
      </c>
      <c r="E3633" s="96" t="s">
        <v>812</v>
      </c>
      <c r="F3633" s="96" t="s">
        <v>163</v>
      </c>
      <c r="G3633" s="100">
        <v>1212</v>
      </c>
    </row>
    <row r="3634" spans="2:7">
      <c r="B3634" s="118" t="s">
        <v>165</v>
      </c>
      <c r="C3634" s="119">
        <v>6005</v>
      </c>
      <c r="E3634" s="96" t="s">
        <v>813</v>
      </c>
      <c r="F3634" s="96" t="s">
        <v>163</v>
      </c>
      <c r="G3634" s="100">
        <v>1217</v>
      </c>
    </row>
    <row r="3635" spans="2:7">
      <c r="B3635" s="118" t="s">
        <v>1263</v>
      </c>
      <c r="C3635" s="119">
        <v>6010</v>
      </c>
      <c r="E3635" s="96" t="s">
        <v>814</v>
      </c>
      <c r="F3635" s="96" t="s">
        <v>163</v>
      </c>
      <c r="G3635" s="100">
        <v>1227</v>
      </c>
    </row>
    <row r="3636" spans="2:7">
      <c r="B3636" s="118" t="s">
        <v>1594</v>
      </c>
      <c r="C3636" s="119">
        <v>6012</v>
      </c>
      <c r="E3636" s="96" t="s">
        <v>815</v>
      </c>
      <c r="F3636" s="96" t="s">
        <v>163</v>
      </c>
      <c r="G3636" s="100">
        <v>1213</v>
      </c>
    </row>
    <row r="3637" spans="2:7">
      <c r="B3637" s="118" t="s">
        <v>3127</v>
      </c>
      <c r="C3637" s="119">
        <v>6013</v>
      </c>
      <c r="E3637" s="96" t="s">
        <v>816</v>
      </c>
      <c r="F3637" s="96" t="s">
        <v>163</v>
      </c>
      <c r="G3637" s="100">
        <v>1226</v>
      </c>
    </row>
    <row r="3638" spans="2:7">
      <c r="B3638" s="118" t="s">
        <v>1264</v>
      </c>
      <c r="C3638" s="119">
        <v>6048</v>
      </c>
      <c r="E3638" s="96" t="s">
        <v>817</v>
      </c>
      <c r="F3638" s="96" t="s">
        <v>163</v>
      </c>
      <c r="G3638" s="100">
        <v>1290</v>
      </c>
    </row>
    <row r="3639" spans="2:7">
      <c r="B3639" s="118" t="s">
        <v>165</v>
      </c>
      <c r="C3639" s="119">
        <v>6003</v>
      </c>
      <c r="E3639" s="96" t="s">
        <v>818</v>
      </c>
      <c r="F3639" s="96" t="s">
        <v>163</v>
      </c>
      <c r="G3639" s="100">
        <v>1218</v>
      </c>
    </row>
    <row r="3640" spans="2:7">
      <c r="B3640" s="118" t="s">
        <v>165</v>
      </c>
      <c r="C3640" s="119">
        <v>6004</v>
      </c>
      <c r="E3640" s="96" t="s">
        <v>819</v>
      </c>
      <c r="F3640" s="96" t="s">
        <v>163</v>
      </c>
      <c r="G3640" s="100">
        <v>1224</v>
      </c>
    </row>
    <row r="3641" spans="2:7">
      <c r="B3641" s="118" t="s">
        <v>165</v>
      </c>
      <c r="C3641" s="119">
        <v>6005</v>
      </c>
      <c r="E3641" s="96" t="s">
        <v>820</v>
      </c>
      <c r="F3641" s="96" t="s">
        <v>163</v>
      </c>
      <c r="G3641" s="100">
        <v>1255</v>
      </c>
    </row>
    <row r="3642" spans="2:7">
      <c r="B3642" s="118" t="s">
        <v>165</v>
      </c>
      <c r="C3642" s="119">
        <v>6006</v>
      </c>
      <c r="E3642" s="96" t="s">
        <v>821</v>
      </c>
      <c r="F3642" s="96" t="s">
        <v>163</v>
      </c>
      <c r="G3642" s="100">
        <v>1228</v>
      </c>
    </row>
    <row r="3643" spans="2:7">
      <c r="B3643" s="118" t="s">
        <v>165</v>
      </c>
      <c r="C3643" s="119">
        <v>6014</v>
      </c>
      <c r="E3643" s="96" t="s">
        <v>822</v>
      </c>
      <c r="F3643" s="96" t="s">
        <v>163</v>
      </c>
      <c r="G3643" s="100">
        <v>1233</v>
      </c>
    </row>
    <row r="3644" spans="2:7">
      <c r="B3644" s="118" t="s">
        <v>165</v>
      </c>
      <c r="C3644" s="119">
        <v>6015</v>
      </c>
      <c r="E3644" s="96" t="s">
        <v>823</v>
      </c>
      <c r="F3644" s="96" t="s">
        <v>163</v>
      </c>
      <c r="G3644" s="100">
        <v>1225</v>
      </c>
    </row>
    <row r="3645" spans="2:7">
      <c r="B3645" s="118" t="s">
        <v>3128</v>
      </c>
      <c r="C3645" s="119">
        <v>6016</v>
      </c>
      <c r="E3645" s="96" t="s">
        <v>824</v>
      </c>
      <c r="F3645" s="96" t="s">
        <v>163</v>
      </c>
      <c r="G3645" s="100">
        <v>1245</v>
      </c>
    </row>
    <row r="3646" spans="2:7">
      <c r="B3646" s="118" t="s">
        <v>1593</v>
      </c>
      <c r="C3646" s="119">
        <v>6020</v>
      </c>
      <c r="E3646" s="96" t="s">
        <v>825</v>
      </c>
      <c r="F3646" s="96" t="s">
        <v>163</v>
      </c>
      <c r="G3646" s="100">
        <v>1223</v>
      </c>
    </row>
    <row r="3647" spans="2:7">
      <c r="B3647" s="118" t="s">
        <v>3129</v>
      </c>
      <c r="C3647" s="119">
        <v>6365</v>
      </c>
      <c r="E3647" s="96" t="s">
        <v>826</v>
      </c>
      <c r="F3647" s="96" t="s">
        <v>163</v>
      </c>
      <c r="G3647" s="100">
        <v>1232</v>
      </c>
    </row>
    <row r="3648" spans="2:7">
      <c r="B3648" s="118" t="s">
        <v>165</v>
      </c>
      <c r="C3648" s="119">
        <v>6014</v>
      </c>
      <c r="E3648" s="96" t="s">
        <v>827</v>
      </c>
      <c r="F3648" s="96" t="s">
        <v>163</v>
      </c>
      <c r="G3648" s="100">
        <v>1242</v>
      </c>
    </row>
    <row r="3649" spans="2:7">
      <c r="B3649" s="118" t="s">
        <v>3128</v>
      </c>
      <c r="C3649" s="119">
        <v>6016</v>
      </c>
      <c r="E3649" s="96" t="s">
        <v>828</v>
      </c>
      <c r="F3649" s="96" t="s">
        <v>163</v>
      </c>
      <c r="G3649" s="100">
        <v>1292</v>
      </c>
    </row>
    <row r="3650" spans="2:7">
      <c r="B3650" s="118" t="s">
        <v>3130</v>
      </c>
      <c r="C3650" s="119">
        <v>6019</v>
      </c>
      <c r="E3650" s="96" t="s">
        <v>829</v>
      </c>
      <c r="F3650" s="96" t="s">
        <v>163</v>
      </c>
      <c r="G3650" s="100">
        <v>1293</v>
      </c>
    </row>
    <row r="3651" spans="2:7">
      <c r="B3651" s="118" t="s">
        <v>1270</v>
      </c>
      <c r="C3651" s="119">
        <v>6102</v>
      </c>
      <c r="E3651" s="96" t="s">
        <v>830</v>
      </c>
      <c r="F3651" s="96" t="s">
        <v>163</v>
      </c>
      <c r="G3651" s="100">
        <v>1258</v>
      </c>
    </row>
    <row r="3652" spans="2:7">
      <c r="B3652" s="118" t="s">
        <v>165</v>
      </c>
      <c r="C3652" s="119">
        <v>6006</v>
      </c>
      <c r="E3652" s="96" t="s">
        <v>831</v>
      </c>
      <c r="F3652" s="96" t="s">
        <v>163</v>
      </c>
      <c r="G3652" s="100">
        <v>1294</v>
      </c>
    </row>
    <row r="3653" spans="2:7">
      <c r="B3653" s="118" t="s">
        <v>1271</v>
      </c>
      <c r="C3653" s="119">
        <v>6045</v>
      </c>
      <c r="E3653" s="96" t="s">
        <v>832</v>
      </c>
      <c r="F3653" s="96" t="s">
        <v>163</v>
      </c>
      <c r="G3653" s="100">
        <v>1253</v>
      </c>
    </row>
    <row r="3654" spans="2:7">
      <c r="B3654" s="118" t="s">
        <v>1324</v>
      </c>
      <c r="C3654" s="119">
        <v>6344</v>
      </c>
      <c r="E3654" s="96" t="s">
        <v>833</v>
      </c>
      <c r="F3654" s="96" t="s">
        <v>163</v>
      </c>
      <c r="G3654" s="100">
        <v>1247</v>
      </c>
    </row>
    <row r="3655" spans="2:7">
      <c r="B3655" s="118" t="s">
        <v>3125</v>
      </c>
      <c r="C3655" s="119">
        <v>6035</v>
      </c>
      <c r="E3655" s="96" t="s">
        <v>834</v>
      </c>
      <c r="F3655" s="96" t="s">
        <v>163</v>
      </c>
      <c r="G3655" s="100">
        <v>1241</v>
      </c>
    </row>
    <row r="3656" spans="2:7">
      <c r="B3656" s="118" t="s">
        <v>1280</v>
      </c>
      <c r="C3656" s="119">
        <v>6037</v>
      </c>
      <c r="E3656" s="96" t="s">
        <v>835</v>
      </c>
      <c r="F3656" s="96" t="s">
        <v>163</v>
      </c>
      <c r="G3656" s="100">
        <v>1256</v>
      </c>
    </row>
    <row r="3657" spans="2:7">
      <c r="B3657" s="118" t="s">
        <v>1325</v>
      </c>
      <c r="C3657" s="119">
        <v>6038</v>
      </c>
      <c r="E3657" s="96" t="s">
        <v>836</v>
      </c>
      <c r="F3657" s="96" t="s">
        <v>163</v>
      </c>
      <c r="G3657" s="100">
        <v>1257</v>
      </c>
    </row>
    <row r="3658" spans="2:7">
      <c r="B3658" s="118" t="s">
        <v>3131</v>
      </c>
      <c r="C3658" s="119">
        <v>6039</v>
      </c>
      <c r="E3658" s="96" t="s">
        <v>837</v>
      </c>
      <c r="F3658" s="96" t="s">
        <v>163</v>
      </c>
      <c r="G3658" s="100">
        <v>1252</v>
      </c>
    </row>
    <row r="3659" spans="2:7">
      <c r="B3659" s="118" t="s">
        <v>1306</v>
      </c>
      <c r="C3659" s="119">
        <v>6044</v>
      </c>
      <c r="E3659" s="96" t="s">
        <v>838</v>
      </c>
      <c r="F3659" s="96" t="s">
        <v>163</v>
      </c>
      <c r="G3659" s="100">
        <v>1246</v>
      </c>
    </row>
    <row r="3660" spans="2:7">
      <c r="B3660" s="118" t="s">
        <v>3127</v>
      </c>
      <c r="C3660" s="119">
        <v>6013</v>
      </c>
      <c r="E3660" s="96" t="s">
        <v>839</v>
      </c>
      <c r="F3660" s="96" t="s">
        <v>163</v>
      </c>
      <c r="G3660" s="100">
        <v>1283</v>
      </c>
    </row>
    <row r="3661" spans="2:7">
      <c r="B3661" s="118" t="s">
        <v>3132</v>
      </c>
      <c r="C3661" s="119">
        <v>6103</v>
      </c>
      <c r="E3661" s="96" t="s">
        <v>840</v>
      </c>
      <c r="F3661" s="96" t="s">
        <v>163</v>
      </c>
      <c r="G3661" s="100">
        <v>1237</v>
      </c>
    </row>
    <row r="3662" spans="2:7">
      <c r="B3662" s="118" t="s">
        <v>1306</v>
      </c>
      <c r="C3662" s="119">
        <v>6044</v>
      </c>
      <c r="E3662" s="96" t="s">
        <v>841</v>
      </c>
      <c r="F3662" s="96" t="s">
        <v>163</v>
      </c>
      <c r="G3662" s="100">
        <v>1284</v>
      </c>
    </row>
    <row r="3663" spans="2:7">
      <c r="B3663" s="118" t="s">
        <v>1323</v>
      </c>
      <c r="C3663" s="119">
        <v>6354</v>
      </c>
      <c r="E3663" s="96" t="s">
        <v>842</v>
      </c>
      <c r="F3663" s="96" t="s">
        <v>163</v>
      </c>
      <c r="G3663" s="100">
        <v>1239</v>
      </c>
    </row>
    <row r="3664" spans="2:7">
      <c r="B3664" s="118" t="s">
        <v>3133</v>
      </c>
      <c r="C3664" s="119">
        <v>6356</v>
      </c>
      <c r="E3664" s="96" t="s">
        <v>843</v>
      </c>
      <c r="F3664" s="96" t="s">
        <v>163</v>
      </c>
      <c r="G3664" s="100">
        <v>1285</v>
      </c>
    </row>
    <row r="3665" spans="2:7">
      <c r="B3665" s="118" t="s">
        <v>1283</v>
      </c>
      <c r="C3665" s="119">
        <v>6353</v>
      </c>
      <c r="E3665" s="96" t="s">
        <v>844</v>
      </c>
      <c r="F3665" s="96" t="s">
        <v>163</v>
      </c>
      <c r="G3665" s="100">
        <v>1254</v>
      </c>
    </row>
    <row r="3666" spans="2:7">
      <c r="B3666" s="118" t="s">
        <v>1323</v>
      </c>
      <c r="C3666" s="119">
        <v>6354</v>
      </c>
      <c r="E3666" s="96" t="s">
        <v>845</v>
      </c>
      <c r="F3666" s="96" t="s">
        <v>163</v>
      </c>
      <c r="G3666" s="100">
        <v>1288</v>
      </c>
    </row>
    <row r="3667" spans="2:7">
      <c r="B3667" s="118" t="s">
        <v>3133</v>
      </c>
      <c r="C3667" s="119">
        <v>6356</v>
      </c>
      <c r="E3667" s="96" t="s">
        <v>846</v>
      </c>
      <c r="F3667" s="96" t="s">
        <v>163</v>
      </c>
      <c r="G3667" s="100">
        <v>1244</v>
      </c>
    </row>
    <row r="3668" spans="2:7">
      <c r="B3668" s="118" t="s">
        <v>3134</v>
      </c>
      <c r="C3668" s="119">
        <v>6025</v>
      </c>
      <c r="E3668" s="96" t="s">
        <v>847</v>
      </c>
      <c r="F3668" s="96" t="s">
        <v>163</v>
      </c>
      <c r="G3668" s="100">
        <v>1248</v>
      </c>
    </row>
    <row r="3669" spans="2:7">
      <c r="B3669" s="118" t="s">
        <v>3124</v>
      </c>
      <c r="C3669" s="119">
        <v>6028</v>
      </c>
      <c r="E3669" s="96" t="s">
        <v>848</v>
      </c>
      <c r="F3669" s="96" t="s">
        <v>163</v>
      </c>
      <c r="G3669" s="100">
        <v>1236</v>
      </c>
    </row>
    <row r="3670" spans="2:7">
      <c r="B3670" s="118" t="s">
        <v>1275</v>
      </c>
      <c r="C3670" s="119">
        <v>6215</v>
      </c>
      <c r="E3670" s="96" t="s">
        <v>849</v>
      </c>
      <c r="F3670" s="96" t="s">
        <v>163</v>
      </c>
      <c r="G3670" s="100">
        <v>1286</v>
      </c>
    </row>
    <row r="3671" spans="2:7">
      <c r="B3671" s="118" t="s">
        <v>3135</v>
      </c>
      <c r="C3671" s="119">
        <v>6215</v>
      </c>
      <c r="E3671" s="96" t="s">
        <v>850</v>
      </c>
      <c r="F3671" s="96" t="s">
        <v>163</v>
      </c>
      <c r="G3671" s="100">
        <v>1298</v>
      </c>
    </row>
    <row r="3672" spans="2:7">
      <c r="B3672" s="118" t="s">
        <v>3136</v>
      </c>
      <c r="C3672" s="119">
        <v>6221</v>
      </c>
      <c r="E3672" s="96" t="s">
        <v>851</v>
      </c>
      <c r="F3672" s="96" t="s">
        <v>163</v>
      </c>
      <c r="G3672" s="100">
        <v>1243</v>
      </c>
    </row>
    <row r="3673" spans="2:7">
      <c r="B3673" s="118" t="s">
        <v>3137</v>
      </c>
      <c r="C3673" s="119">
        <v>6222</v>
      </c>
      <c r="E3673" s="96" t="s">
        <v>852</v>
      </c>
      <c r="F3673" s="96" t="s">
        <v>163</v>
      </c>
      <c r="G3673" s="100">
        <v>1287</v>
      </c>
    </row>
    <row r="3674" spans="2:7">
      <c r="B3674" s="118" t="s">
        <v>1305</v>
      </c>
      <c r="C3674" s="119">
        <v>6233</v>
      </c>
      <c r="E3674" s="96" t="s">
        <v>853</v>
      </c>
      <c r="F3674" s="96" t="s">
        <v>163</v>
      </c>
      <c r="G3674" s="100">
        <v>1281</v>
      </c>
    </row>
    <row r="3675" spans="2:7">
      <c r="B3675" s="118" t="s">
        <v>1292</v>
      </c>
      <c r="C3675" s="119">
        <v>6018</v>
      </c>
      <c r="E3675" s="96" t="s">
        <v>854</v>
      </c>
      <c r="F3675" s="96" t="s">
        <v>163</v>
      </c>
      <c r="G3675" s="100">
        <v>1251</v>
      </c>
    </row>
    <row r="3676" spans="2:7">
      <c r="B3676" s="118" t="s">
        <v>1293</v>
      </c>
      <c r="C3676" s="119">
        <v>6022</v>
      </c>
      <c r="E3676" s="96" t="s">
        <v>855</v>
      </c>
      <c r="F3676" s="96" t="s">
        <v>173</v>
      </c>
      <c r="G3676" s="100">
        <v>1950</v>
      </c>
    </row>
    <row r="3677" spans="2:7">
      <c r="B3677" s="118" t="s">
        <v>1317</v>
      </c>
      <c r="C3677" s="119">
        <v>6205</v>
      </c>
      <c r="E3677" s="96" t="s">
        <v>856</v>
      </c>
      <c r="F3677" s="96" t="s">
        <v>173</v>
      </c>
      <c r="G3677" s="100">
        <v>1920</v>
      </c>
    </row>
    <row r="3678" spans="2:7">
      <c r="B3678" s="118" t="s">
        <v>1297</v>
      </c>
      <c r="C3678" s="119">
        <v>6214</v>
      </c>
      <c r="E3678" s="96" t="s">
        <v>857</v>
      </c>
      <c r="F3678" s="96" t="s">
        <v>173</v>
      </c>
      <c r="G3678" s="100">
        <v>1870</v>
      </c>
    </row>
    <row r="3679" spans="2:7">
      <c r="B3679" s="118" t="s">
        <v>1295</v>
      </c>
      <c r="C3679" s="119">
        <v>6232</v>
      </c>
      <c r="E3679" s="96" t="s">
        <v>858</v>
      </c>
      <c r="F3679" s="96" t="s">
        <v>173</v>
      </c>
      <c r="G3679" s="100">
        <v>3960</v>
      </c>
    </row>
    <row r="3680" spans="2:7">
      <c r="B3680" s="118" t="s">
        <v>1293</v>
      </c>
      <c r="C3680" s="119">
        <v>6022</v>
      </c>
      <c r="E3680" s="96" t="s">
        <v>859</v>
      </c>
      <c r="F3680" s="96" t="s">
        <v>173</v>
      </c>
      <c r="G3680" s="100">
        <v>3902</v>
      </c>
    </row>
    <row r="3681" spans="2:7">
      <c r="B3681" s="118" t="s">
        <v>1307</v>
      </c>
      <c r="C3681" s="119">
        <v>6024</v>
      </c>
      <c r="E3681" s="96" t="s">
        <v>860</v>
      </c>
      <c r="F3681" s="96" t="s">
        <v>173</v>
      </c>
      <c r="G3681" s="100">
        <v>3963</v>
      </c>
    </row>
    <row r="3682" spans="2:7">
      <c r="B3682" s="118" t="s">
        <v>3138</v>
      </c>
      <c r="C3682" s="119">
        <v>6212</v>
      </c>
      <c r="E3682" s="96" t="s">
        <v>861</v>
      </c>
      <c r="F3682" s="96" t="s">
        <v>173</v>
      </c>
      <c r="G3682" s="100">
        <v>3904</v>
      </c>
    </row>
    <row r="3683" spans="2:7">
      <c r="B3683" s="118" t="s">
        <v>1308</v>
      </c>
      <c r="C3683" s="119">
        <v>6213</v>
      </c>
      <c r="E3683" s="96" t="s">
        <v>862</v>
      </c>
      <c r="F3683" s="96" t="s">
        <v>173</v>
      </c>
      <c r="G3683" s="100">
        <v>1893</v>
      </c>
    </row>
    <row r="3684" spans="2:7">
      <c r="B3684" s="118" t="s">
        <v>1266</v>
      </c>
      <c r="C3684" s="119">
        <v>6210</v>
      </c>
      <c r="E3684" s="96" t="s">
        <v>863</v>
      </c>
      <c r="F3684" s="96" t="s">
        <v>173</v>
      </c>
      <c r="G3684" s="100">
        <v>1926</v>
      </c>
    </row>
    <row r="3685" spans="2:7">
      <c r="B3685" s="118" t="s">
        <v>3139</v>
      </c>
      <c r="C3685" s="119">
        <v>6212</v>
      </c>
      <c r="E3685" s="96" t="s">
        <v>864</v>
      </c>
      <c r="F3685" s="96" t="s">
        <v>173</v>
      </c>
      <c r="G3685" s="100">
        <v>1964</v>
      </c>
    </row>
    <row r="3686" spans="2:7">
      <c r="B3686" s="118" t="s">
        <v>1321</v>
      </c>
      <c r="C3686" s="119">
        <v>6216</v>
      </c>
      <c r="E3686" s="96" t="s">
        <v>865</v>
      </c>
      <c r="F3686" s="96" t="s">
        <v>173</v>
      </c>
      <c r="G3686" s="100">
        <v>1934</v>
      </c>
    </row>
    <row r="3687" spans="2:7">
      <c r="B3687" s="118" t="s">
        <v>1309</v>
      </c>
      <c r="C3687" s="119">
        <v>6242</v>
      </c>
      <c r="E3687" s="96" t="s">
        <v>866</v>
      </c>
      <c r="F3687" s="96" t="s">
        <v>173</v>
      </c>
      <c r="G3687" s="100">
        <v>3930</v>
      </c>
    </row>
    <row r="3688" spans="2:7">
      <c r="B3688" s="118" t="s">
        <v>3128</v>
      </c>
      <c r="C3688" s="119">
        <v>6016</v>
      </c>
      <c r="E3688" s="96" t="s">
        <v>867</v>
      </c>
      <c r="F3688" s="96" t="s">
        <v>173</v>
      </c>
      <c r="G3688" s="100">
        <v>1965</v>
      </c>
    </row>
    <row r="3689" spans="2:7">
      <c r="B3689" s="118" t="s">
        <v>1269</v>
      </c>
      <c r="C3689" s="119">
        <v>6023</v>
      </c>
      <c r="E3689" s="96" t="s">
        <v>868</v>
      </c>
      <c r="F3689" s="96" t="s">
        <v>173</v>
      </c>
      <c r="G3689" s="100">
        <v>1997</v>
      </c>
    </row>
    <row r="3690" spans="2:7">
      <c r="B3690" s="118" t="s">
        <v>1307</v>
      </c>
      <c r="C3690" s="119">
        <v>6024</v>
      </c>
      <c r="E3690" s="96" t="s">
        <v>869</v>
      </c>
      <c r="F3690" s="96" t="s">
        <v>173</v>
      </c>
      <c r="G3690" s="100">
        <v>1963</v>
      </c>
    </row>
    <row r="3691" spans="2:7">
      <c r="B3691" s="118" t="s">
        <v>3140</v>
      </c>
      <c r="C3691" s="119">
        <v>6203</v>
      </c>
      <c r="E3691" s="96" t="s">
        <v>870</v>
      </c>
      <c r="F3691" s="96" t="s">
        <v>173</v>
      </c>
      <c r="G3691" s="100">
        <v>1907</v>
      </c>
    </row>
    <row r="3692" spans="2:7">
      <c r="B3692" s="118" t="s">
        <v>1288</v>
      </c>
      <c r="C3692" s="119">
        <v>6204</v>
      </c>
      <c r="E3692" s="96" t="s">
        <v>871</v>
      </c>
      <c r="F3692" s="96" t="s">
        <v>173</v>
      </c>
      <c r="G3692" s="100">
        <v>3920</v>
      </c>
    </row>
    <row r="3693" spans="2:7">
      <c r="B3693" s="118" t="s">
        <v>1272</v>
      </c>
      <c r="C3693" s="119">
        <v>6206</v>
      </c>
      <c r="E3693" s="96" t="s">
        <v>872</v>
      </c>
      <c r="F3693" s="96" t="s">
        <v>173</v>
      </c>
      <c r="G3693" s="100">
        <v>1872</v>
      </c>
    </row>
    <row r="3694" spans="2:7">
      <c r="B3694" s="118" t="s">
        <v>1289</v>
      </c>
      <c r="C3694" s="119">
        <v>6207</v>
      </c>
      <c r="E3694" s="96" t="s">
        <v>873</v>
      </c>
      <c r="F3694" s="96" t="s">
        <v>173</v>
      </c>
      <c r="G3694" s="100">
        <v>1890</v>
      </c>
    </row>
    <row r="3695" spans="2:7">
      <c r="B3695" s="118" t="s">
        <v>1289</v>
      </c>
      <c r="C3695" s="119">
        <v>6207</v>
      </c>
      <c r="E3695" s="96" t="s">
        <v>874</v>
      </c>
      <c r="F3695" s="96" t="s">
        <v>173</v>
      </c>
      <c r="G3695" s="100">
        <v>1978</v>
      </c>
    </row>
    <row r="3696" spans="2:7">
      <c r="B3696" s="118" t="s">
        <v>1292</v>
      </c>
      <c r="C3696" s="119">
        <v>6018</v>
      </c>
      <c r="E3696" s="96" t="s">
        <v>875</v>
      </c>
      <c r="F3696" s="96" t="s">
        <v>173</v>
      </c>
      <c r="G3696" s="100">
        <v>1896</v>
      </c>
    </row>
    <row r="3697" spans="2:7">
      <c r="B3697" s="118" t="s">
        <v>1289</v>
      </c>
      <c r="C3697" s="119">
        <v>6207</v>
      </c>
      <c r="E3697" s="96" t="s">
        <v>876</v>
      </c>
      <c r="F3697" s="96" t="s">
        <v>173</v>
      </c>
      <c r="G3697" s="100">
        <v>1897</v>
      </c>
    </row>
    <row r="3698" spans="2:7">
      <c r="B3698" s="118" t="s">
        <v>3141</v>
      </c>
      <c r="C3698" s="119">
        <v>6208</v>
      </c>
      <c r="E3698" s="96" t="s">
        <v>877</v>
      </c>
      <c r="F3698" s="96" t="s">
        <v>173</v>
      </c>
      <c r="G3698" s="100">
        <v>1966</v>
      </c>
    </row>
    <row r="3699" spans="2:7">
      <c r="B3699" s="118" t="s">
        <v>1266</v>
      </c>
      <c r="C3699" s="119">
        <v>6210</v>
      </c>
      <c r="E3699" s="96" t="s">
        <v>878</v>
      </c>
      <c r="F3699" s="96" t="s">
        <v>173</v>
      </c>
      <c r="G3699" s="100">
        <v>3952</v>
      </c>
    </row>
    <row r="3700" spans="2:7">
      <c r="B3700" s="118" t="s">
        <v>1321</v>
      </c>
      <c r="C3700" s="119">
        <v>6216</v>
      </c>
      <c r="E3700" s="96" t="s">
        <v>879</v>
      </c>
      <c r="F3700" s="96" t="s">
        <v>173</v>
      </c>
      <c r="G3700" s="100">
        <v>1955</v>
      </c>
    </row>
    <row r="3701" spans="2:7">
      <c r="B3701" s="118" t="s">
        <v>3142</v>
      </c>
      <c r="C3701" s="119">
        <v>5735</v>
      </c>
      <c r="E3701" s="96" t="s">
        <v>880</v>
      </c>
      <c r="F3701" s="96" t="s">
        <v>173</v>
      </c>
      <c r="G3701" s="100">
        <v>3966</v>
      </c>
    </row>
    <row r="3702" spans="2:7">
      <c r="B3702" s="118" t="s">
        <v>3136</v>
      </c>
      <c r="C3702" s="119">
        <v>6221</v>
      </c>
      <c r="E3702" s="96" t="s">
        <v>881</v>
      </c>
      <c r="F3702" s="96" t="s">
        <v>173</v>
      </c>
      <c r="G3702" s="100">
        <v>1971</v>
      </c>
    </row>
    <row r="3703" spans="2:7">
      <c r="B3703" s="118" t="s">
        <v>3128</v>
      </c>
      <c r="C3703" s="119">
        <v>6016</v>
      </c>
      <c r="E3703" s="96" t="s">
        <v>882</v>
      </c>
      <c r="F3703" s="96" t="s">
        <v>173</v>
      </c>
      <c r="G3703" s="100">
        <v>1937</v>
      </c>
    </row>
    <row r="3704" spans="2:7">
      <c r="B3704" s="118" t="s">
        <v>1274</v>
      </c>
      <c r="C3704" s="119">
        <v>6017</v>
      </c>
      <c r="E3704" s="96" t="s">
        <v>883</v>
      </c>
      <c r="F3704" s="96" t="s">
        <v>173</v>
      </c>
      <c r="G3704" s="100">
        <v>1912</v>
      </c>
    </row>
    <row r="3705" spans="2:7">
      <c r="B3705" s="118" t="s">
        <v>1292</v>
      </c>
      <c r="C3705" s="119">
        <v>6018</v>
      </c>
      <c r="E3705" s="96" t="s">
        <v>884</v>
      </c>
      <c r="F3705" s="96" t="s">
        <v>173</v>
      </c>
      <c r="G3705" s="100">
        <v>1957</v>
      </c>
    </row>
    <row r="3706" spans="2:7">
      <c r="B3706" s="118" t="s">
        <v>3130</v>
      </c>
      <c r="C3706" s="119">
        <v>6019</v>
      </c>
      <c r="E3706" s="96" t="s">
        <v>885</v>
      </c>
      <c r="F3706" s="96" t="s">
        <v>173</v>
      </c>
      <c r="G3706" s="100">
        <v>1908</v>
      </c>
    </row>
    <row r="3707" spans="2:7">
      <c r="B3707" s="118" t="s">
        <v>3099</v>
      </c>
      <c r="C3707" s="119">
        <v>6105</v>
      </c>
      <c r="E3707" s="96" t="s">
        <v>886</v>
      </c>
      <c r="F3707" s="96" t="s">
        <v>173</v>
      </c>
      <c r="G3707" s="100">
        <v>3961</v>
      </c>
    </row>
    <row r="3708" spans="2:7">
      <c r="B3708" s="118" t="s">
        <v>1310</v>
      </c>
      <c r="C3708" s="119">
        <v>6106</v>
      </c>
      <c r="E3708" s="96" t="s">
        <v>887</v>
      </c>
      <c r="F3708" s="96" t="s">
        <v>173</v>
      </c>
      <c r="G3708" s="100">
        <v>1895</v>
      </c>
    </row>
    <row r="3709" spans="2:7">
      <c r="B3709" s="118" t="s">
        <v>1285</v>
      </c>
      <c r="C3709" s="119">
        <v>6110</v>
      </c>
      <c r="E3709" s="96" t="s">
        <v>888</v>
      </c>
      <c r="F3709" s="96" t="s">
        <v>173</v>
      </c>
      <c r="G3709" s="100">
        <v>1913</v>
      </c>
    </row>
    <row r="3710" spans="2:7">
      <c r="B3710" s="118" t="s">
        <v>1272</v>
      </c>
      <c r="C3710" s="119">
        <v>6206</v>
      </c>
      <c r="E3710" s="96" t="s">
        <v>889</v>
      </c>
      <c r="F3710" s="96" t="s">
        <v>173</v>
      </c>
      <c r="G3710" s="100">
        <v>3979</v>
      </c>
    </row>
    <row r="3711" spans="2:7">
      <c r="B3711" s="118" t="s">
        <v>1289</v>
      </c>
      <c r="C3711" s="119">
        <v>6207</v>
      </c>
      <c r="E3711" s="96" t="s">
        <v>890</v>
      </c>
      <c r="F3711" s="96" t="s">
        <v>173</v>
      </c>
      <c r="G3711" s="100">
        <v>1958</v>
      </c>
    </row>
    <row r="3712" spans="2:7">
      <c r="B3712" s="118" t="s">
        <v>1266</v>
      </c>
      <c r="C3712" s="119">
        <v>6210</v>
      </c>
      <c r="E3712" s="96" t="s">
        <v>891</v>
      </c>
      <c r="F3712" s="96" t="s">
        <v>173</v>
      </c>
      <c r="G3712" s="100">
        <v>1921</v>
      </c>
    </row>
    <row r="3713" spans="2:7">
      <c r="B3713" s="118" t="s">
        <v>1297</v>
      </c>
      <c r="C3713" s="119">
        <v>6214</v>
      </c>
      <c r="E3713" s="96" t="s">
        <v>892</v>
      </c>
      <c r="F3713" s="96" t="s">
        <v>173</v>
      </c>
      <c r="G3713" s="100">
        <v>3924</v>
      </c>
    </row>
    <row r="3714" spans="2:7">
      <c r="B3714" s="118" t="s">
        <v>3137</v>
      </c>
      <c r="C3714" s="119">
        <v>6222</v>
      </c>
      <c r="E3714" s="96" t="s">
        <v>893</v>
      </c>
      <c r="F3714" s="96" t="s">
        <v>173</v>
      </c>
      <c r="G3714" s="100">
        <v>3911</v>
      </c>
    </row>
    <row r="3715" spans="2:7">
      <c r="B3715" s="118" t="s">
        <v>1334</v>
      </c>
      <c r="C3715" s="119">
        <v>6231</v>
      </c>
      <c r="E3715" s="96" t="s">
        <v>894</v>
      </c>
      <c r="F3715" s="96" t="s">
        <v>173</v>
      </c>
      <c r="G3715" s="100">
        <v>1941</v>
      </c>
    </row>
    <row r="3716" spans="2:7">
      <c r="B3716" s="118" t="s">
        <v>1307</v>
      </c>
      <c r="C3716" s="119">
        <v>6024</v>
      </c>
      <c r="E3716" s="96" t="s">
        <v>895</v>
      </c>
      <c r="F3716" s="96" t="s">
        <v>173</v>
      </c>
      <c r="G3716" s="100">
        <v>3945</v>
      </c>
    </row>
    <row r="3717" spans="2:7">
      <c r="B3717" s="118" t="s">
        <v>1288</v>
      </c>
      <c r="C3717" s="119">
        <v>6204</v>
      </c>
      <c r="E3717" s="96" t="s">
        <v>896</v>
      </c>
      <c r="F3717" s="96" t="s">
        <v>173</v>
      </c>
      <c r="G3717" s="100">
        <v>3942</v>
      </c>
    </row>
    <row r="3718" spans="2:7">
      <c r="B3718" s="118" t="s">
        <v>1266</v>
      </c>
      <c r="C3718" s="119">
        <v>6210</v>
      </c>
      <c r="E3718" s="96" t="s">
        <v>897</v>
      </c>
      <c r="F3718" s="96" t="s">
        <v>173</v>
      </c>
      <c r="G3718" s="100">
        <v>1873</v>
      </c>
    </row>
    <row r="3719" spans="2:7">
      <c r="B3719" s="118" t="s">
        <v>1308</v>
      </c>
      <c r="C3719" s="119">
        <v>6213</v>
      </c>
      <c r="E3719" s="96" t="s">
        <v>898</v>
      </c>
      <c r="F3719" s="96" t="s">
        <v>173</v>
      </c>
      <c r="G3719" s="100">
        <v>1904</v>
      </c>
    </row>
    <row r="3720" spans="2:7">
      <c r="B3720" s="118" t="s">
        <v>1282</v>
      </c>
      <c r="C3720" s="119">
        <v>6234</v>
      </c>
      <c r="E3720" s="96" t="s">
        <v>899</v>
      </c>
      <c r="F3720" s="96" t="s">
        <v>173</v>
      </c>
      <c r="G3720" s="100">
        <v>3968</v>
      </c>
    </row>
    <row r="3721" spans="2:7">
      <c r="B3721" s="118" t="s">
        <v>3143</v>
      </c>
      <c r="C3721" s="119">
        <v>6234</v>
      </c>
      <c r="E3721" s="96" t="s">
        <v>900</v>
      </c>
      <c r="F3721" s="96" t="s">
        <v>173</v>
      </c>
      <c r="G3721" s="100">
        <v>1981</v>
      </c>
    </row>
    <row r="3722" spans="2:7">
      <c r="B3722" s="118" t="s">
        <v>3144</v>
      </c>
      <c r="C3722" s="119">
        <v>6235</v>
      </c>
      <c r="E3722" s="96" t="s">
        <v>901</v>
      </c>
      <c r="F3722" s="96" t="s">
        <v>173</v>
      </c>
      <c r="G3722" s="100">
        <v>1869</v>
      </c>
    </row>
    <row r="3723" spans="2:7">
      <c r="B3723" s="118" t="s">
        <v>3145</v>
      </c>
      <c r="C3723" s="119">
        <v>6236</v>
      </c>
      <c r="E3723" s="96" t="s">
        <v>902</v>
      </c>
      <c r="F3723" s="96" t="s">
        <v>173</v>
      </c>
      <c r="G3723" s="100">
        <v>1906</v>
      </c>
    </row>
    <row r="3724" spans="2:7">
      <c r="B3724" s="118" t="s">
        <v>1285</v>
      </c>
      <c r="C3724" s="119">
        <v>6110</v>
      </c>
      <c r="E3724" s="96" t="s">
        <v>903</v>
      </c>
      <c r="F3724" s="96" t="s">
        <v>173</v>
      </c>
      <c r="G3724" s="100">
        <v>1983</v>
      </c>
    </row>
    <row r="3725" spans="2:7">
      <c r="B3725" s="118" t="s">
        <v>3146</v>
      </c>
      <c r="C3725" s="119">
        <v>6114</v>
      </c>
      <c r="E3725" s="96" t="s">
        <v>904</v>
      </c>
      <c r="F3725" s="96" t="s">
        <v>173</v>
      </c>
      <c r="G3725" s="100">
        <v>3906</v>
      </c>
    </row>
    <row r="3726" spans="2:7">
      <c r="B3726" s="118" t="s">
        <v>1296</v>
      </c>
      <c r="C3726" s="119">
        <v>6122</v>
      </c>
      <c r="E3726" s="96" t="s">
        <v>905</v>
      </c>
      <c r="F3726" s="96" t="s">
        <v>173</v>
      </c>
      <c r="G3726" s="100">
        <v>3965</v>
      </c>
    </row>
    <row r="3727" spans="2:7">
      <c r="B3727" s="118" t="s">
        <v>1340</v>
      </c>
      <c r="C3727" s="119">
        <v>6248</v>
      </c>
      <c r="E3727" s="96" t="s">
        <v>906</v>
      </c>
      <c r="F3727" s="96" t="s">
        <v>173</v>
      </c>
      <c r="G3727" s="100">
        <v>3940</v>
      </c>
    </row>
    <row r="3728" spans="2:7">
      <c r="B3728" s="118" t="s">
        <v>1331</v>
      </c>
      <c r="C3728" s="119">
        <v>6147</v>
      </c>
      <c r="E3728" s="96" t="s">
        <v>907</v>
      </c>
      <c r="F3728" s="96" t="s">
        <v>173</v>
      </c>
      <c r="G3728" s="100">
        <v>3970</v>
      </c>
    </row>
    <row r="3729" spans="2:7">
      <c r="B3729" s="118" t="s">
        <v>3147</v>
      </c>
      <c r="C3729" s="119">
        <v>6144</v>
      </c>
      <c r="E3729" s="96" t="s">
        <v>908</v>
      </c>
      <c r="F3729" s="96" t="s">
        <v>173</v>
      </c>
      <c r="G3729" s="100">
        <v>3954</v>
      </c>
    </row>
    <row r="3730" spans="2:7">
      <c r="B3730" s="118" t="s">
        <v>1302</v>
      </c>
      <c r="C3730" s="119">
        <v>6244</v>
      </c>
      <c r="E3730" s="96" t="s">
        <v>909</v>
      </c>
      <c r="F3730" s="96" t="s">
        <v>173</v>
      </c>
      <c r="G3730" s="100">
        <v>1987</v>
      </c>
    </row>
    <row r="3731" spans="2:7">
      <c r="B3731" s="118" t="s">
        <v>1343</v>
      </c>
      <c r="C3731" s="119">
        <v>6245</v>
      </c>
      <c r="E3731" s="96" t="s">
        <v>910</v>
      </c>
      <c r="F3731" s="96" t="s">
        <v>173</v>
      </c>
      <c r="G3731" s="100">
        <v>1922</v>
      </c>
    </row>
    <row r="3732" spans="2:7">
      <c r="B3732" s="118" t="s">
        <v>1318</v>
      </c>
      <c r="C3732" s="119">
        <v>6246</v>
      </c>
      <c r="E3732" s="96" t="s">
        <v>911</v>
      </c>
      <c r="F3732" s="96" t="s">
        <v>173</v>
      </c>
      <c r="G3732" s="100">
        <v>3932</v>
      </c>
    </row>
    <row r="3733" spans="2:7">
      <c r="B3733" s="118" t="s">
        <v>1284</v>
      </c>
      <c r="C3733" s="119">
        <v>6247</v>
      </c>
      <c r="E3733" s="96" t="s">
        <v>912</v>
      </c>
      <c r="F3733" s="96" t="s">
        <v>173</v>
      </c>
      <c r="G3733" s="100">
        <v>3972</v>
      </c>
    </row>
    <row r="3734" spans="2:7">
      <c r="B3734" s="118" t="s">
        <v>3148</v>
      </c>
      <c r="C3734" s="119">
        <v>6263</v>
      </c>
      <c r="E3734" s="96" t="s">
        <v>913</v>
      </c>
      <c r="F3734" s="96" t="s">
        <v>173</v>
      </c>
      <c r="G3734" s="100">
        <v>1874</v>
      </c>
    </row>
    <row r="3735" spans="2:7">
      <c r="B3735" s="118" t="s">
        <v>3149</v>
      </c>
      <c r="C3735" s="119">
        <v>6211</v>
      </c>
      <c r="E3735" s="96" t="s">
        <v>914</v>
      </c>
      <c r="F3735" s="96" t="s">
        <v>173</v>
      </c>
      <c r="G3735" s="100">
        <v>3937</v>
      </c>
    </row>
    <row r="3736" spans="2:7">
      <c r="B3736" s="118" t="s">
        <v>3144</v>
      </c>
      <c r="C3736" s="119">
        <v>6235</v>
      </c>
      <c r="E3736" s="96" t="s">
        <v>915</v>
      </c>
      <c r="F3736" s="96" t="s">
        <v>173</v>
      </c>
      <c r="G3736" s="100">
        <v>3929</v>
      </c>
    </row>
    <row r="3737" spans="2:7">
      <c r="B3737" s="118" t="s">
        <v>1318</v>
      </c>
      <c r="C3737" s="119">
        <v>6246</v>
      </c>
      <c r="E3737" s="96" t="s">
        <v>916</v>
      </c>
      <c r="F3737" s="96" t="s">
        <v>173</v>
      </c>
      <c r="G3737" s="100">
        <v>3925</v>
      </c>
    </row>
    <row r="3738" spans="2:7">
      <c r="B3738" s="118" t="s">
        <v>1277</v>
      </c>
      <c r="C3738" s="119">
        <v>6252</v>
      </c>
      <c r="E3738" s="96" t="s">
        <v>917</v>
      </c>
      <c r="F3738" s="96" t="s">
        <v>173</v>
      </c>
      <c r="G3738" s="100">
        <v>3973</v>
      </c>
    </row>
    <row r="3739" spans="2:7">
      <c r="B3739" s="118" t="s">
        <v>3150</v>
      </c>
      <c r="C3739" s="119">
        <v>6253</v>
      </c>
      <c r="E3739" s="96" t="s">
        <v>918</v>
      </c>
      <c r="F3739" s="96" t="s">
        <v>173</v>
      </c>
      <c r="G3739" s="100">
        <v>1902</v>
      </c>
    </row>
    <row r="3740" spans="2:7">
      <c r="B3740" s="118" t="s">
        <v>3151</v>
      </c>
      <c r="C3740" s="119">
        <v>6260</v>
      </c>
      <c r="E3740" s="96" t="s">
        <v>919</v>
      </c>
      <c r="F3740" s="96" t="s">
        <v>173</v>
      </c>
      <c r="G3740" s="100">
        <v>1974</v>
      </c>
    </row>
    <row r="3741" spans="2:7">
      <c r="B3741" s="118" t="s">
        <v>1322</v>
      </c>
      <c r="C3741" s="119">
        <v>6243</v>
      </c>
      <c r="E3741" s="96" t="s">
        <v>920</v>
      </c>
      <c r="F3741" s="96" t="s">
        <v>173</v>
      </c>
      <c r="G3741" s="100">
        <v>3989</v>
      </c>
    </row>
    <row r="3742" spans="2:7">
      <c r="B3742" s="118" t="s">
        <v>1302</v>
      </c>
      <c r="C3742" s="119">
        <v>6244</v>
      </c>
      <c r="E3742" s="96" t="s">
        <v>921</v>
      </c>
      <c r="F3742" s="96" t="s">
        <v>173</v>
      </c>
      <c r="G3742" s="100">
        <v>3946</v>
      </c>
    </row>
    <row r="3743" spans="2:7">
      <c r="B3743" s="118" t="s">
        <v>1293</v>
      </c>
      <c r="C3743" s="119">
        <v>6022</v>
      </c>
      <c r="E3743" s="96" t="s">
        <v>922</v>
      </c>
      <c r="F3743" s="96" t="s">
        <v>173</v>
      </c>
      <c r="G3743" s="100">
        <v>3922</v>
      </c>
    </row>
    <row r="3744" spans="2:7">
      <c r="B3744" s="118" t="s">
        <v>3152</v>
      </c>
      <c r="C3744" s="119">
        <v>6217</v>
      </c>
      <c r="E3744" s="96" t="s">
        <v>923</v>
      </c>
      <c r="F3744" s="96" t="s">
        <v>173</v>
      </c>
      <c r="G3744" s="100">
        <v>1969</v>
      </c>
    </row>
    <row r="3745" spans="2:7">
      <c r="B3745" s="118" t="s">
        <v>1300</v>
      </c>
      <c r="C3745" s="119">
        <v>6218</v>
      </c>
      <c r="E3745" s="96" t="s">
        <v>924</v>
      </c>
      <c r="F3745" s="96" t="s">
        <v>173</v>
      </c>
      <c r="G3745" s="100">
        <v>1933</v>
      </c>
    </row>
    <row r="3746" spans="2:7">
      <c r="B3746" s="118" t="s">
        <v>1340</v>
      </c>
      <c r="C3746" s="119">
        <v>6248</v>
      </c>
      <c r="E3746" s="96" t="s">
        <v>925</v>
      </c>
      <c r="F3746" s="96" t="s">
        <v>173</v>
      </c>
      <c r="G3746" s="100">
        <v>3910</v>
      </c>
    </row>
    <row r="3747" spans="2:7">
      <c r="B3747" s="118" t="s">
        <v>3153</v>
      </c>
      <c r="C3747" s="119">
        <v>6145</v>
      </c>
      <c r="E3747" s="96" t="s">
        <v>926</v>
      </c>
      <c r="F3747" s="96" t="s">
        <v>173</v>
      </c>
      <c r="G3747" s="100">
        <v>3982</v>
      </c>
    </row>
    <row r="3748" spans="2:7">
      <c r="B3748" s="118" t="s">
        <v>3154</v>
      </c>
      <c r="C3748" s="119">
        <v>6152</v>
      </c>
      <c r="E3748" s="96" t="s">
        <v>927</v>
      </c>
      <c r="F3748" s="96" t="s">
        <v>173</v>
      </c>
      <c r="G3748" s="100">
        <v>1898</v>
      </c>
    </row>
    <row r="3749" spans="2:7">
      <c r="B3749" s="118" t="s">
        <v>1333</v>
      </c>
      <c r="C3749" s="119">
        <v>6153</v>
      </c>
      <c r="E3749" s="96" t="s">
        <v>928</v>
      </c>
      <c r="F3749" s="96" t="s">
        <v>173</v>
      </c>
      <c r="G3749" s="100">
        <v>1905</v>
      </c>
    </row>
    <row r="3750" spans="2:7">
      <c r="B3750" s="118" t="s">
        <v>3153</v>
      </c>
      <c r="C3750" s="119">
        <v>6145</v>
      </c>
      <c r="E3750" s="96" t="s">
        <v>929</v>
      </c>
      <c r="F3750" s="96" t="s">
        <v>173</v>
      </c>
      <c r="G3750" s="100">
        <v>3984</v>
      </c>
    </row>
    <row r="3751" spans="2:7">
      <c r="B3751" s="118" t="s">
        <v>1335</v>
      </c>
      <c r="C3751" s="119">
        <v>6146</v>
      </c>
      <c r="E3751" s="96" t="s">
        <v>930</v>
      </c>
      <c r="F3751" s="96" t="s">
        <v>173</v>
      </c>
      <c r="G3751" s="100">
        <v>3912</v>
      </c>
    </row>
    <row r="3752" spans="2:7">
      <c r="B3752" s="118" t="s">
        <v>1331</v>
      </c>
      <c r="C3752" s="119">
        <v>6147</v>
      </c>
      <c r="E3752" s="96" t="s">
        <v>931</v>
      </c>
      <c r="F3752" s="96" t="s">
        <v>173</v>
      </c>
      <c r="G3752" s="100">
        <v>1932</v>
      </c>
    </row>
    <row r="3753" spans="2:7">
      <c r="B3753" s="118" t="s">
        <v>1343</v>
      </c>
      <c r="C3753" s="119">
        <v>6245</v>
      </c>
      <c r="E3753" s="96" t="s">
        <v>932</v>
      </c>
      <c r="F3753" s="96" t="s">
        <v>173</v>
      </c>
      <c r="G3753" s="100">
        <v>1969</v>
      </c>
    </row>
    <row r="3754" spans="2:7">
      <c r="B3754" s="118" t="s">
        <v>3155</v>
      </c>
      <c r="C3754" s="119">
        <v>6125</v>
      </c>
      <c r="E3754" s="96" t="s">
        <v>933</v>
      </c>
      <c r="F3754" s="96" t="s">
        <v>173</v>
      </c>
      <c r="G3754" s="100">
        <v>1914</v>
      </c>
    </row>
    <row r="3755" spans="2:7">
      <c r="B3755" s="118" t="s">
        <v>1268</v>
      </c>
      <c r="C3755" s="119">
        <v>6130</v>
      </c>
      <c r="E3755" s="96" t="s">
        <v>934</v>
      </c>
      <c r="F3755" s="96" t="s">
        <v>173</v>
      </c>
      <c r="G3755" s="100">
        <v>1903</v>
      </c>
    </row>
    <row r="3756" spans="2:7">
      <c r="B3756" s="118" t="s">
        <v>3156</v>
      </c>
      <c r="C3756" s="119">
        <v>6132</v>
      </c>
      <c r="E3756" s="96" t="s">
        <v>935</v>
      </c>
      <c r="F3756" s="96" t="s">
        <v>173</v>
      </c>
      <c r="G3756" s="100">
        <v>1945</v>
      </c>
    </row>
    <row r="3757" spans="2:7">
      <c r="B3757" s="118" t="s">
        <v>1313</v>
      </c>
      <c r="C3757" s="119">
        <v>6133</v>
      </c>
      <c r="E3757" s="96" t="s">
        <v>936</v>
      </c>
      <c r="F3757" s="96" t="s">
        <v>173</v>
      </c>
      <c r="G3757" s="100">
        <v>3951</v>
      </c>
    </row>
    <row r="3758" spans="2:7">
      <c r="B3758" s="118" t="s">
        <v>1326</v>
      </c>
      <c r="C3758" s="119">
        <v>6156</v>
      </c>
      <c r="E3758" s="96" t="s">
        <v>937</v>
      </c>
      <c r="F3758" s="96" t="s">
        <v>173</v>
      </c>
      <c r="G3758" s="100">
        <v>1891</v>
      </c>
    </row>
    <row r="3759" spans="2:7">
      <c r="B3759" s="118" t="s">
        <v>2337</v>
      </c>
      <c r="C3759" s="119">
        <v>4952</v>
      </c>
      <c r="E3759" s="96" t="s">
        <v>938</v>
      </c>
      <c r="F3759" s="96" t="s">
        <v>173</v>
      </c>
      <c r="G3759" s="100">
        <v>3935</v>
      </c>
    </row>
    <row r="3760" spans="2:7">
      <c r="B3760" s="118" t="s">
        <v>1333</v>
      </c>
      <c r="C3760" s="119">
        <v>6153</v>
      </c>
      <c r="E3760" s="96" t="s">
        <v>939</v>
      </c>
      <c r="F3760" s="96" t="s">
        <v>173</v>
      </c>
      <c r="G3760" s="100">
        <v>3942</v>
      </c>
    </row>
    <row r="3761" spans="2:7">
      <c r="B3761" s="118" t="s">
        <v>3157</v>
      </c>
      <c r="C3761" s="119">
        <v>6154</v>
      </c>
      <c r="E3761" s="96" t="s">
        <v>940</v>
      </c>
      <c r="F3761" s="96" t="s">
        <v>173</v>
      </c>
      <c r="G3761" s="100">
        <v>3983</v>
      </c>
    </row>
    <row r="3762" spans="2:7">
      <c r="B3762" s="118" t="s">
        <v>1326</v>
      </c>
      <c r="C3762" s="119">
        <v>6156</v>
      </c>
      <c r="E3762" s="96" t="s">
        <v>941</v>
      </c>
      <c r="F3762" s="96" t="s">
        <v>173</v>
      </c>
      <c r="G3762" s="100">
        <v>3931</v>
      </c>
    </row>
    <row r="3763" spans="2:7">
      <c r="B3763" s="118" t="s">
        <v>3158</v>
      </c>
      <c r="C3763" s="119">
        <v>6156</v>
      </c>
      <c r="E3763" s="96" t="s">
        <v>942</v>
      </c>
      <c r="F3763" s="96" t="s">
        <v>173</v>
      </c>
      <c r="G3763" s="100">
        <v>3988</v>
      </c>
    </row>
    <row r="3764" spans="2:7">
      <c r="B3764" s="118" t="s">
        <v>1285</v>
      </c>
      <c r="C3764" s="119">
        <v>6110</v>
      </c>
      <c r="E3764" s="96" t="s">
        <v>943</v>
      </c>
      <c r="F3764" s="96" t="s">
        <v>173</v>
      </c>
      <c r="G3764" s="100">
        <v>3953</v>
      </c>
    </row>
    <row r="3765" spans="2:7">
      <c r="B3765" s="118" t="s">
        <v>1296</v>
      </c>
      <c r="C3765" s="119">
        <v>6122</v>
      </c>
      <c r="E3765" s="96" t="s">
        <v>944</v>
      </c>
      <c r="F3765" s="96" t="s">
        <v>173</v>
      </c>
      <c r="G3765" s="100">
        <v>3938</v>
      </c>
    </row>
    <row r="3766" spans="2:7">
      <c r="B3766" s="118" t="s">
        <v>3159</v>
      </c>
      <c r="C3766" s="119">
        <v>6123</v>
      </c>
      <c r="E3766" s="96" t="s">
        <v>945</v>
      </c>
      <c r="F3766" s="96" t="s">
        <v>173</v>
      </c>
      <c r="G3766" s="100">
        <v>1993</v>
      </c>
    </row>
    <row r="3767" spans="2:7">
      <c r="B3767" s="118" t="s">
        <v>3155</v>
      </c>
      <c r="C3767" s="119">
        <v>6125</v>
      </c>
      <c r="E3767" s="96" t="s">
        <v>946</v>
      </c>
      <c r="F3767" s="96" t="s">
        <v>173</v>
      </c>
      <c r="G3767" s="100">
        <v>3918</v>
      </c>
    </row>
    <row r="3768" spans="2:7">
      <c r="B3768" s="118" t="s">
        <v>1268</v>
      </c>
      <c r="C3768" s="119">
        <v>6130</v>
      </c>
      <c r="E3768" s="96" t="s">
        <v>947</v>
      </c>
      <c r="F3768" s="96" t="s">
        <v>173</v>
      </c>
      <c r="G3768" s="100">
        <v>1977</v>
      </c>
    </row>
    <row r="3769" spans="2:7">
      <c r="B3769" s="118" t="s">
        <v>1302</v>
      </c>
      <c r="C3769" s="119">
        <v>6244</v>
      </c>
      <c r="E3769" s="96" t="s">
        <v>948</v>
      </c>
      <c r="F3769" s="96" t="s">
        <v>173</v>
      </c>
      <c r="G3769" s="100">
        <v>3933</v>
      </c>
    </row>
    <row r="3770" spans="2:7">
      <c r="B3770" s="118" t="s">
        <v>3160</v>
      </c>
      <c r="C3770" s="119">
        <v>4915</v>
      </c>
      <c r="E3770" s="96" t="s">
        <v>949</v>
      </c>
      <c r="F3770" s="96" t="s">
        <v>173</v>
      </c>
      <c r="G3770" s="100">
        <v>3995</v>
      </c>
    </row>
    <row r="3771" spans="2:7">
      <c r="B3771" s="118" t="s">
        <v>1331</v>
      </c>
      <c r="C3771" s="119">
        <v>6147</v>
      </c>
      <c r="E3771" s="96" t="s">
        <v>950</v>
      </c>
      <c r="F3771" s="96" t="s">
        <v>173</v>
      </c>
      <c r="G3771" s="100">
        <v>3987</v>
      </c>
    </row>
    <row r="3772" spans="2:7">
      <c r="B3772" s="118" t="s">
        <v>1301</v>
      </c>
      <c r="C3772" s="119">
        <v>6264</v>
      </c>
      <c r="E3772" s="96" t="s">
        <v>951</v>
      </c>
      <c r="F3772" s="96" t="s">
        <v>173</v>
      </c>
      <c r="G3772" s="100">
        <v>3923</v>
      </c>
    </row>
    <row r="3773" spans="2:7">
      <c r="B3773" s="118" t="s">
        <v>1338</v>
      </c>
      <c r="C3773" s="119">
        <v>6265</v>
      </c>
      <c r="E3773" s="96" t="s">
        <v>952</v>
      </c>
      <c r="F3773" s="96" t="s">
        <v>173</v>
      </c>
      <c r="G3773" s="100">
        <v>3992</v>
      </c>
    </row>
    <row r="3774" spans="2:7">
      <c r="B3774" s="118" t="s">
        <v>1277</v>
      </c>
      <c r="C3774" s="119">
        <v>6252</v>
      </c>
      <c r="E3774" s="96" t="s">
        <v>953</v>
      </c>
      <c r="F3774" s="96" t="s">
        <v>173</v>
      </c>
      <c r="G3774" s="100">
        <v>3928</v>
      </c>
    </row>
    <row r="3775" spans="2:7">
      <c r="B3775" s="118" t="s">
        <v>1273</v>
      </c>
      <c r="C3775" s="119">
        <v>6260</v>
      </c>
      <c r="E3775" s="96" t="s">
        <v>954</v>
      </c>
      <c r="F3775" s="96" t="s">
        <v>173</v>
      </c>
      <c r="G3775" s="100">
        <v>3943</v>
      </c>
    </row>
    <row r="3776" spans="2:7">
      <c r="B3776" s="118" t="s">
        <v>3151</v>
      </c>
      <c r="C3776" s="119">
        <v>6260</v>
      </c>
      <c r="E3776" s="96" t="s">
        <v>955</v>
      </c>
      <c r="F3776" s="96" t="s">
        <v>173</v>
      </c>
      <c r="G3776" s="100">
        <v>3993</v>
      </c>
    </row>
    <row r="3777" spans="2:7">
      <c r="B3777" s="118" t="s">
        <v>3161</v>
      </c>
      <c r="C3777" s="119">
        <v>6260</v>
      </c>
      <c r="E3777" s="96" t="s">
        <v>956</v>
      </c>
      <c r="F3777" s="96" t="s">
        <v>173</v>
      </c>
      <c r="G3777" s="100">
        <v>3944</v>
      </c>
    </row>
    <row r="3778" spans="2:7">
      <c r="B3778" s="118" t="s">
        <v>3162</v>
      </c>
      <c r="C3778" s="119">
        <v>6260</v>
      </c>
      <c r="E3778" s="96" t="s">
        <v>957</v>
      </c>
      <c r="F3778" s="96" t="s">
        <v>173</v>
      </c>
      <c r="G3778" s="100">
        <v>3956</v>
      </c>
    </row>
    <row r="3779" spans="2:7">
      <c r="B3779" s="118" t="s">
        <v>3163</v>
      </c>
      <c r="C3779" s="119">
        <v>6262</v>
      </c>
      <c r="E3779" s="96" t="s">
        <v>958</v>
      </c>
      <c r="F3779" s="96" t="s">
        <v>173</v>
      </c>
      <c r="G3779" s="100">
        <v>3997</v>
      </c>
    </row>
    <row r="3780" spans="2:7">
      <c r="B3780" s="118" t="s">
        <v>3148</v>
      </c>
      <c r="C3780" s="119">
        <v>6263</v>
      </c>
      <c r="E3780" s="96" t="s">
        <v>959</v>
      </c>
      <c r="F3780" s="96" t="s">
        <v>173</v>
      </c>
      <c r="G3780" s="100">
        <v>1925</v>
      </c>
    </row>
    <row r="3781" spans="2:7">
      <c r="B3781" s="118" t="s">
        <v>1338</v>
      </c>
      <c r="C3781" s="119">
        <v>6265</v>
      </c>
      <c r="E3781" s="96" t="s">
        <v>960</v>
      </c>
      <c r="F3781" s="96" t="s">
        <v>173</v>
      </c>
      <c r="G3781" s="100">
        <v>3905</v>
      </c>
    </row>
    <row r="3782" spans="2:7">
      <c r="B3782" s="118" t="s">
        <v>3164</v>
      </c>
      <c r="C3782" s="119">
        <v>6143</v>
      </c>
      <c r="E3782" s="96" t="s">
        <v>961</v>
      </c>
      <c r="F3782" s="96" t="s">
        <v>173</v>
      </c>
      <c r="G3782" s="100">
        <v>3908</v>
      </c>
    </row>
    <row r="3783" spans="2:7">
      <c r="B3783" s="118" t="s">
        <v>1284</v>
      </c>
      <c r="C3783" s="119">
        <v>6247</v>
      </c>
      <c r="E3783" s="96" t="s">
        <v>962</v>
      </c>
      <c r="F3783" s="96" t="s">
        <v>173</v>
      </c>
      <c r="G3783" s="100">
        <v>3939</v>
      </c>
    </row>
    <row r="3784" spans="2:7">
      <c r="B3784" s="118" t="s">
        <v>2337</v>
      </c>
      <c r="C3784" s="119">
        <v>4952</v>
      </c>
      <c r="E3784" s="96" t="s">
        <v>963</v>
      </c>
      <c r="F3784" s="96" t="s">
        <v>173</v>
      </c>
      <c r="G3784" s="100">
        <v>3984</v>
      </c>
    </row>
    <row r="3785" spans="2:7">
      <c r="B3785" s="118" t="s">
        <v>2408</v>
      </c>
      <c r="C3785" s="119">
        <v>4955</v>
      </c>
      <c r="E3785" s="96" t="s">
        <v>964</v>
      </c>
      <c r="F3785" s="96" t="s">
        <v>173</v>
      </c>
      <c r="G3785" s="100">
        <v>3917</v>
      </c>
    </row>
    <row r="3786" spans="2:7">
      <c r="B3786" s="118" t="s">
        <v>1333</v>
      </c>
      <c r="C3786" s="119">
        <v>6153</v>
      </c>
      <c r="E3786" s="96" t="s">
        <v>965</v>
      </c>
      <c r="F3786" s="96" t="s">
        <v>173</v>
      </c>
      <c r="G3786" s="100">
        <v>3994</v>
      </c>
    </row>
    <row r="3787" spans="2:7">
      <c r="B3787" s="118" t="s">
        <v>1309</v>
      </c>
      <c r="C3787" s="119">
        <v>6242</v>
      </c>
      <c r="E3787" s="96" t="s">
        <v>966</v>
      </c>
      <c r="F3787" s="96" t="s">
        <v>173</v>
      </c>
      <c r="G3787" s="100">
        <v>3907</v>
      </c>
    </row>
    <row r="3788" spans="2:7">
      <c r="B3788" s="118" t="s">
        <v>1319</v>
      </c>
      <c r="C3788" s="119">
        <v>4806</v>
      </c>
      <c r="E3788" s="96" t="s">
        <v>967</v>
      </c>
      <c r="F3788" s="96" t="s">
        <v>173</v>
      </c>
      <c r="G3788" s="100">
        <v>3926</v>
      </c>
    </row>
    <row r="3789" spans="2:7">
      <c r="B3789" s="118" t="s">
        <v>3151</v>
      </c>
      <c r="C3789" s="119">
        <v>6260</v>
      </c>
      <c r="E3789" s="96" t="s">
        <v>968</v>
      </c>
      <c r="F3789" s="96" t="s">
        <v>173</v>
      </c>
      <c r="G3789" s="100">
        <v>3919</v>
      </c>
    </row>
    <row r="3790" spans="2:7">
      <c r="B3790" s="118" t="s">
        <v>3161</v>
      </c>
      <c r="C3790" s="119">
        <v>6260</v>
      </c>
      <c r="E3790" s="96" t="s">
        <v>969</v>
      </c>
      <c r="F3790" s="96" t="s">
        <v>173</v>
      </c>
      <c r="G3790" s="100">
        <v>3934</v>
      </c>
    </row>
    <row r="3791" spans="2:7">
      <c r="B3791" s="118" t="s">
        <v>3147</v>
      </c>
      <c r="C3791" s="119">
        <v>6144</v>
      </c>
      <c r="E3791" s="96" t="s">
        <v>970</v>
      </c>
      <c r="F3791" s="96" t="s">
        <v>173</v>
      </c>
      <c r="G3791" s="100">
        <v>3916</v>
      </c>
    </row>
    <row r="3792" spans="2:7">
      <c r="B3792" s="118" t="s">
        <v>3154</v>
      </c>
      <c r="C3792" s="119">
        <v>6152</v>
      </c>
      <c r="E3792" s="96" t="s">
        <v>971</v>
      </c>
      <c r="F3792" s="96" t="s">
        <v>173</v>
      </c>
      <c r="G3792" s="100">
        <v>3955</v>
      </c>
    </row>
    <row r="3793" spans="2:7">
      <c r="B3793" s="118" t="s">
        <v>1333</v>
      </c>
      <c r="C3793" s="119">
        <v>6153</v>
      </c>
      <c r="E3793" s="96" t="s">
        <v>972</v>
      </c>
      <c r="F3793" s="96" t="s">
        <v>173</v>
      </c>
      <c r="G3793" s="100">
        <v>3932</v>
      </c>
    </row>
    <row r="3794" spans="2:7">
      <c r="B3794" s="118" t="s">
        <v>1296</v>
      </c>
      <c r="C3794" s="119">
        <v>6122</v>
      </c>
      <c r="E3794" s="96" t="s">
        <v>973</v>
      </c>
      <c r="F3794" s="96" t="s">
        <v>173</v>
      </c>
      <c r="G3794" s="100">
        <v>3947</v>
      </c>
    </row>
    <row r="3795" spans="2:7">
      <c r="B3795" s="118" t="s">
        <v>3155</v>
      </c>
      <c r="C3795" s="119">
        <v>6125</v>
      </c>
      <c r="E3795" s="96" t="s">
        <v>974</v>
      </c>
      <c r="F3795" s="96" t="s">
        <v>173</v>
      </c>
      <c r="G3795" s="100">
        <v>1929</v>
      </c>
    </row>
    <row r="3796" spans="2:7">
      <c r="B3796" s="118" t="s">
        <v>3165</v>
      </c>
      <c r="C3796" s="119">
        <v>6126</v>
      </c>
      <c r="E3796" s="96" t="s">
        <v>975</v>
      </c>
      <c r="F3796" s="96" t="s">
        <v>173</v>
      </c>
      <c r="G3796" s="100">
        <v>1946</v>
      </c>
    </row>
    <row r="3797" spans="2:7">
      <c r="B3797" s="118" t="s">
        <v>1268</v>
      </c>
      <c r="C3797" s="119">
        <v>6130</v>
      </c>
      <c r="E3797" s="96" t="s">
        <v>976</v>
      </c>
      <c r="F3797" s="96" t="s">
        <v>173</v>
      </c>
      <c r="G3797" s="100">
        <v>3996</v>
      </c>
    </row>
    <row r="3798" spans="2:7">
      <c r="B3798" s="118" t="s">
        <v>3156</v>
      </c>
      <c r="C3798" s="119">
        <v>6132</v>
      </c>
      <c r="E3798" s="96" t="s">
        <v>977</v>
      </c>
      <c r="F3798" s="96" t="s">
        <v>173</v>
      </c>
      <c r="G3798" s="100">
        <v>3948</v>
      </c>
    </row>
    <row r="3799" spans="2:7">
      <c r="B3799" s="118" t="s">
        <v>1313</v>
      </c>
      <c r="C3799" s="119">
        <v>6133</v>
      </c>
      <c r="E3799" s="96" t="s">
        <v>978</v>
      </c>
      <c r="F3799" s="96" t="s">
        <v>173</v>
      </c>
      <c r="G3799" s="100">
        <v>3953</v>
      </c>
    </row>
    <row r="3800" spans="2:7">
      <c r="B3800" s="118" t="s">
        <v>1328</v>
      </c>
      <c r="C3800" s="119">
        <v>6142</v>
      </c>
      <c r="E3800" s="96" t="s">
        <v>979</v>
      </c>
      <c r="F3800" s="96" t="s">
        <v>173</v>
      </c>
      <c r="G3800" s="100">
        <v>3907</v>
      </c>
    </row>
    <row r="3801" spans="2:7">
      <c r="B3801" s="118" t="s">
        <v>3164</v>
      </c>
      <c r="C3801" s="119">
        <v>6143</v>
      </c>
      <c r="E3801" s="96" t="s">
        <v>980</v>
      </c>
      <c r="F3801" s="96" t="s">
        <v>173</v>
      </c>
      <c r="G3801" s="100">
        <v>3983</v>
      </c>
    </row>
    <row r="3802" spans="2:7">
      <c r="B3802" s="118" t="s">
        <v>3147</v>
      </c>
      <c r="C3802" s="119">
        <v>6144</v>
      </c>
      <c r="E3802" s="96" t="s">
        <v>981</v>
      </c>
      <c r="F3802" s="96" t="s">
        <v>177</v>
      </c>
      <c r="G3802" s="100">
        <v>2800</v>
      </c>
    </row>
    <row r="3803" spans="2:7">
      <c r="B3803" s="118" t="s">
        <v>3157</v>
      </c>
      <c r="C3803" s="119">
        <v>6154</v>
      </c>
      <c r="E3803" s="96" t="s">
        <v>982</v>
      </c>
      <c r="F3803" s="96" t="s">
        <v>177</v>
      </c>
      <c r="G3803" s="100">
        <v>2863</v>
      </c>
    </row>
    <row r="3804" spans="2:7">
      <c r="B3804" s="118" t="s">
        <v>1326</v>
      </c>
      <c r="C3804" s="119">
        <v>6156</v>
      </c>
      <c r="E3804" s="96" t="s">
        <v>983</v>
      </c>
      <c r="F3804" s="96" t="s">
        <v>177</v>
      </c>
      <c r="G3804" s="100">
        <v>2900</v>
      </c>
    </row>
    <row r="3805" spans="2:7">
      <c r="B3805" s="118" t="s">
        <v>1340</v>
      </c>
      <c r="C3805" s="119">
        <v>6248</v>
      </c>
      <c r="E3805" s="96" t="s">
        <v>984</v>
      </c>
      <c r="F3805" s="96" t="s">
        <v>177</v>
      </c>
      <c r="G3805" s="100">
        <v>2830</v>
      </c>
    </row>
    <row r="3806" spans="2:7">
      <c r="B3806" s="118" t="s">
        <v>3166</v>
      </c>
      <c r="C3806" s="119">
        <v>6460</v>
      </c>
      <c r="E3806" s="96" t="s">
        <v>985</v>
      </c>
      <c r="F3806" s="96" t="s">
        <v>177</v>
      </c>
      <c r="G3806" s="100">
        <v>2822</v>
      </c>
    </row>
    <row r="3807" spans="2:7">
      <c r="B3807" s="118" t="s">
        <v>1993</v>
      </c>
      <c r="C3807" s="119">
        <v>6490</v>
      </c>
      <c r="E3807" s="96" t="s">
        <v>986</v>
      </c>
      <c r="F3807" s="96" t="s">
        <v>177</v>
      </c>
      <c r="G3807" s="100">
        <v>2824</v>
      </c>
    </row>
    <row r="3808" spans="2:7">
      <c r="B3808" s="118" t="s">
        <v>2021</v>
      </c>
      <c r="C3808" s="119">
        <v>6390</v>
      </c>
      <c r="E3808" s="96" t="s">
        <v>987</v>
      </c>
      <c r="F3808" s="96" t="s">
        <v>177</v>
      </c>
      <c r="G3808" s="100">
        <v>2852</v>
      </c>
    </row>
    <row r="3809" spans="2:7">
      <c r="B3809" s="118" t="s">
        <v>2619</v>
      </c>
      <c r="C3809" s="119">
        <v>6468</v>
      </c>
      <c r="E3809" s="96" t="s">
        <v>988</v>
      </c>
      <c r="F3809" s="96" t="s">
        <v>177</v>
      </c>
      <c r="G3809" s="100">
        <v>2350</v>
      </c>
    </row>
    <row r="3810" spans="2:7">
      <c r="B3810" s="118" t="s">
        <v>1413</v>
      </c>
      <c r="C3810" s="119">
        <v>6436</v>
      </c>
      <c r="E3810" s="96" t="s">
        <v>989</v>
      </c>
      <c r="F3810" s="96" t="s">
        <v>177</v>
      </c>
      <c r="G3810" s="100">
        <v>2950</v>
      </c>
    </row>
    <row r="3811" spans="2:7">
      <c r="B3811" s="118" t="s">
        <v>3167</v>
      </c>
      <c r="C3811" s="119">
        <v>6436</v>
      </c>
      <c r="E3811" s="96" t="s">
        <v>990</v>
      </c>
      <c r="F3811" s="96" t="s">
        <v>177</v>
      </c>
      <c r="G3811" s="100">
        <v>2340</v>
      </c>
    </row>
    <row r="3812" spans="2:7">
      <c r="B3812" s="118" t="s">
        <v>3166</v>
      </c>
      <c r="C3812" s="119">
        <v>6460</v>
      </c>
      <c r="E3812" s="96" t="s">
        <v>991</v>
      </c>
      <c r="F3812" s="96" t="s">
        <v>177</v>
      </c>
      <c r="G3812" s="100">
        <v>2942</v>
      </c>
    </row>
    <row r="3813" spans="2:7">
      <c r="B3813" s="118" t="s">
        <v>3168</v>
      </c>
      <c r="C3813" s="119">
        <v>6463</v>
      </c>
      <c r="E3813" s="96" t="s">
        <v>992</v>
      </c>
      <c r="F3813" s="96" t="s">
        <v>177</v>
      </c>
      <c r="G3813" s="100">
        <v>2902</v>
      </c>
    </row>
    <row r="3814" spans="2:7">
      <c r="B3814" s="118" t="s">
        <v>2624</v>
      </c>
      <c r="C3814" s="119">
        <v>6464</v>
      </c>
      <c r="E3814" s="96" t="s">
        <v>993</v>
      </c>
      <c r="F3814" s="96" t="s">
        <v>177</v>
      </c>
      <c r="G3814" s="100">
        <v>2345</v>
      </c>
    </row>
    <row r="3815" spans="2:7">
      <c r="B3815" s="118" t="s">
        <v>3169</v>
      </c>
      <c r="C3815" s="119">
        <v>6469</v>
      </c>
      <c r="E3815" s="96" t="s">
        <v>994</v>
      </c>
      <c r="F3815" s="96" t="s">
        <v>177</v>
      </c>
      <c r="G3815" s="100">
        <v>2802</v>
      </c>
    </row>
    <row r="3816" spans="2:7">
      <c r="B3816" s="118" t="s">
        <v>1988</v>
      </c>
      <c r="C3816" s="119">
        <v>6472</v>
      </c>
      <c r="E3816" s="96" t="s">
        <v>995</v>
      </c>
      <c r="F3816" s="96" t="s">
        <v>177</v>
      </c>
      <c r="G3816" s="100">
        <v>2882</v>
      </c>
    </row>
    <row r="3817" spans="2:7">
      <c r="B3817" s="118" t="s">
        <v>1990</v>
      </c>
      <c r="C3817" s="119">
        <v>6454</v>
      </c>
      <c r="E3817" s="96" t="s">
        <v>996</v>
      </c>
      <c r="F3817" s="96" t="s">
        <v>177</v>
      </c>
      <c r="G3817" s="100">
        <v>2336</v>
      </c>
    </row>
    <row r="3818" spans="2:7">
      <c r="B3818" s="118" t="s">
        <v>3166</v>
      </c>
      <c r="C3818" s="119">
        <v>6460</v>
      </c>
      <c r="E3818" s="96" t="s">
        <v>997</v>
      </c>
      <c r="F3818" s="96" t="s">
        <v>177</v>
      </c>
      <c r="G3818" s="100">
        <v>2930</v>
      </c>
    </row>
    <row r="3819" spans="2:7">
      <c r="B3819" s="118" t="s">
        <v>2622</v>
      </c>
      <c r="C3819" s="119">
        <v>6487</v>
      </c>
      <c r="E3819" s="96" t="s">
        <v>998</v>
      </c>
      <c r="F3819" s="96" t="s">
        <v>177</v>
      </c>
      <c r="G3819" s="100">
        <v>2926</v>
      </c>
    </row>
    <row r="3820" spans="2:7">
      <c r="B3820" s="118" t="s">
        <v>1989</v>
      </c>
      <c r="C3820" s="119">
        <v>6473</v>
      </c>
      <c r="E3820" s="96" t="s">
        <v>999</v>
      </c>
      <c r="F3820" s="96" t="s">
        <v>177</v>
      </c>
      <c r="G3820" s="100">
        <v>2944</v>
      </c>
    </row>
    <row r="3821" spans="2:7">
      <c r="B3821" s="118" t="s">
        <v>3170</v>
      </c>
      <c r="C3821" s="119">
        <v>6474</v>
      </c>
      <c r="E3821" s="96" t="s">
        <v>1000</v>
      </c>
      <c r="F3821" s="96" t="s">
        <v>177</v>
      </c>
      <c r="G3821" s="100">
        <v>2905</v>
      </c>
    </row>
    <row r="3822" spans="2:7">
      <c r="B3822" s="118" t="s">
        <v>3171</v>
      </c>
      <c r="C3822" s="119">
        <v>6476</v>
      </c>
      <c r="E3822" s="96" t="s">
        <v>1001</v>
      </c>
      <c r="F3822" s="96" t="s">
        <v>177</v>
      </c>
      <c r="G3822" s="100">
        <v>2952</v>
      </c>
    </row>
    <row r="3823" spans="2:7">
      <c r="B3823" s="118" t="s">
        <v>2621</v>
      </c>
      <c r="C3823" s="119">
        <v>6482</v>
      </c>
      <c r="E3823" s="96" t="s">
        <v>1002</v>
      </c>
      <c r="F3823" s="96" t="s">
        <v>177</v>
      </c>
      <c r="G3823" s="100">
        <v>2856</v>
      </c>
    </row>
    <row r="3824" spans="2:7">
      <c r="B3824" s="118" t="s">
        <v>2002</v>
      </c>
      <c r="C3824" s="119">
        <v>6493</v>
      </c>
      <c r="E3824" s="96" t="s">
        <v>1003</v>
      </c>
      <c r="F3824" s="96" t="s">
        <v>177</v>
      </c>
      <c r="G3824" s="100">
        <v>2905</v>
      </c>
    </row>
    <row r="3825" spans="2:7">
      <c r="B3825" s="118" t="s">
        <v>2623</v>
      </c>
      <c r="C3825" s="119">
        <v>6461</v>
      </c>
      <c r="E3825" s="96" t="s">
        <v>1004</v>
      </c>
      <c r="F3825" s="96" t="s">
        <v>177</v>
      </c>
      <c r="G3825" s="100">
        <v>2932</v>
      </c>
    </row>
    <row r="3826" spans="2:7">
      <c r="B3826" s="118" t="s">
        <v>2004</v>
      </c>
      <c r="C3826" s="119">
        <v>6491</v>
      </c>
      <c r="E3826" s="96" t="s">
        <v>1005</v>
      </c>
      <c r="F3826" s="96" t="s">
        <v>177</v>
      </c>
      <c r="G3826" s="100">
        <v>2718</v>
      </c>
    </row>
    <row r="3827" spans="2:7">
      <c r="B3827" s="118" t="s">
        <v>1986</v>
      </c>
      <c r="C3827" s="119">
        <v>6467</v>
      </c>
      <c r="E3827" s="96" t="s">
        <v>1006</v>
      </c>
      <c r="F3827" s="96" t="s">
        <v>177</v>
      </c>
      <c r="G3827" s="100">
        <v>2944</v>
      </c>
    </row>
    <row r="3828" spans="2:7">
      <c r="B3828" s="118" t="s">
        <v>3169</v>
      </c>
      <c r="C3828" s="119">
        <v>6469</v>
      </c>
      <c r="E3828" s="96" t="s">
        <v>1007</v>
      </c>
      <c r="F3828" s="96" t="s">
        <v>177</v>
      </c>
      <c r="G3828" s="100">
        <v>2915</v>
      </c>
    </row>
    <row r="3829" spans="2:7">
      <c r="B3829" s="118" t="s">
        <v>3172</v>
      </c>
      <c r="C3829" s="119">
        <v>6462</v>
      </c>
      <c r="E3829" s="96" t="s">
        <v>1008</v>
      </c>
      <c r="F3829" s="96" t="s">
        <v>177</v>
      </c>
      <c r="G3829" s="100">
        <v>2842</v>
      </c>
    </row>
    <row r="3830" spans="2:7">
      <c r="B3830" s="118" t="s">
        <v>2003</v>
      </c>
      <c r="C3830" s="119">
        <v>6466</v>
      </c>
      <c r="E3830" s="96" t="s">
        <v>1009</v>
      </c>
      <c r="F3830" s="96" t="s">
        <v>177</v>
      </c>
      <c r="G3830" s="100">
        <v>2875</v>
      </c>
    </row>
    <row r="3831" spans="2:7">
      <c r="B3831" s="118" t="s">
        <v>1996</v>
      </c>
      <c r="C3831" s="119">
        <v>6377</v>
      </c>
      <c r="E3831" s="96" t="s">
        <v>1010</v>
      </c>
      <c r="F3831" s="96" t="s">
        <v>177</v>
      </c>
      <c r="G3831" s="100">
        <v>2943</v>
      </c>
    </row>
    <row r="3832" spans="2:7">
      <c r="B3832" s="118" t="s">
        <v>3173</v>
      </c>
      <c r="C3832" s="119">
        <v>6441</v>
      </c>
      <c r="E3832" s="96" t="s">
        <v>1011</v>
      </c>
      <c r="F3832" s="96" t="s">
        <v>177</v>
      </c>
      <c r="G3832" s="100">
        <v>2714</v>
      </c>
    </row>
    <row r="3833" spans="2:7">
      <c r="B3833" s="118" t="s">
        <v>1988</v>
      </c>
      <c r="C3833" s="119">
        <v>6472</v>
      </c>
      <c r="E3833" s="96" t="s">
        <v>1012</v>
      </c>
      <c r="F3833" s="96" t="s">
        <v>177</v>
      </c>
      <c r="G3833" s="100">
        <v>2338</v>
      </c>
    </row>
    <row r="3834" spans="2:7">
      <c r="B3834" s="118" t="s">
        <v>1989</v>
      </c>
      <c r="C3834" s="119">
        <v>6473</v>
      </c>
      <c r="E3834" s="96" t="s">
        <v>1013</v>
      </c>
      <c r="F3834" s="96" t="s">
        <v>177</v>
      </c>
      <c r="G3834" s="100">
        <v>2827</v>
      </c>
    </row>
    <row r="3835" spans="2:7">
      <c r="B3835" s="118" t="s">
        <v>3170</v>
      </c>
      <c r="C3835" s="119">
        <v>6474</v>
      </c>
      <c r="E3835" s="96" t="s">
        <v>1014</v>
      </c>
      <c r="F3835" s="96" t="s">
        <v>177</v>
      </c>
      <c r="G3835" s="100">
        <v>2843</v>
      </c>
    </row>
    <row r="3836" spans="2:7">
      <c r="B3836" s="118" t="s">
        <v>3174</v>
      </c>
      <c r="C3836" s="119">
        <v>6475</v>
      </c>
      <c r="E3836" s="96" t="s">
        <v>1015</v>
      </c>
      <c r="F3836" s="96" t="s">
        <v>177</v>
      </c>
      <c r="G3836" s="100">
        <v>2805</v>
      </c>
    </row>
    <row r="3837" spans="2:7">
      <c r="B3837" s="118" t="s">
        <v>3171</v>
      </c>
      <c r="C3837" s="119">
        <v>6476</v>
      </c>
      <c r="E3837" s="96" t="s">
        <v>1016</v>
      </c>
      <c r="F3837" s="96" t="s">
        <v>177</v>
      </c>
      <c r="G3837" s="100">
        <v>2825</v>
      </c>
    </row>
    <row r="3838" spans="2:7">
      <c r="B3838" s="118" t="s">
        <v>2001</v>
      </c>
      <c r="C3838" s="119">
        <v>6452</v>
      </c>
      <c r="E3838" s="96" t="s">
        <v>1017</v>
      </c>
      <c r="F3838" s="96" t="s">
        <v>177</v>
      </c>
      <c r="G3838" s="100">
        <v>2812</v>
      </c>
    </row>
    <row r="3839" spans="2:7">
      <c r="B3839" s="118" t="s">
        <v>1428</v>
      </c>
      <c r="C3839" s="119">
        <v>6452</v>
      </c>
      <c r="E3839" s="96" t="s">
        <v>1018</v>
      </c>
      <c r="F3839" s="96" t="s">
        <v>177</v>
      </c>
      <c r="G3839" s="100">
        <v>2826</v>
      </c>
    </row>
    <row r="3840" spans="2:7">
      <c r="B3840" s="118" t="s">
        <v>2624</v>
      </c>
      <c r="C3840" s="119">
        <v>6464</v>
      </c>
      <c r="E3840" s="96" t="s">
        <v>1019</v>
      </c>
      <c r="F3840" s="96" t="s">
        <v>177</v>
      </c>
      <c r="G3840" s="100">
        <v>2916</v>
      </c>
    </row>
    <row r="3841" spans="2:7">
      <c r="B3841" s="118" t="s">
        <v>3175</v>
      </c>
      <c r="C3841" s="119">
        <v>8751</v>
      </c>
      <c r="E3841" s="96" t="s">
        <v>1020</v>
      </c>
      <c r="F3841" s="96" t="s">
        <v>177</v>
      </c>
      <c r="G3841" s="100">
        <v>2807</v>
      </c>
    </row>
    <row r="3842" spans="2:7">
      <c r="B3842" s="118" t="s">
        <v>3167</v>
      </c>
      <c r="C3842" s="119">
        <v>6436</v>
      </c>
      <c r="E3842" s="96" t="s">
        <v>1021</v>
      </c>
      <c r="F3842" s="96" t="s">
        <v>177</v>
      </c>
      <c r="G3842" s="100">
        <v>2360</v>
      </c>
    </row>
    <row r="3843" spans="2:7">
      <c r="B3843" s="118" t="s">
        <v>1995</v>
      </c>
      <c r="C3843" s="119">
        <v>6465</v>
      </c>
      <c r="E3843" s="96" t="s">
        <v>1022</v>
      </c>
      <c r="F3843" s="96" t="s">
        <v>177</v>
      </c>
      <c r="G3843" s="100">
        <v>2922</v>
      </c>
    </row>
    <row r="3844" spans="2:7">
      <c r="B3844" s="118" t="s">
        <v>3176</v>
      </c>
      <c r="C3844" s="119">
        <v>6484</v>
      </c>
      <c r="E3844" s="96" t="s">
        <v>1023</v>
      </c>
      <c r="F3844" s="96" t="s">
        <v>177</v>
      </c>
      <c r="G3844" s="100">
        <v>2873</v>
      </c>
    </row>
    <row r="3845" spans="2:7">
      <c r="B3845" s="118" t="s">
        <v>3177</v>
      </c>
      <c r="C3845" s="119">
        <v>6485</v>
      </c>
      <c r="E3845" s="96" t="s">
        <v>1024</v>
      </c>
      <c r="F3845" s="96" t="s">
        <v>177</v>
      </c>
      <c r="G3845" s="100">
        <v>2803</v>
      </c>
    </row>
    <row r="3846" spans="2:7">
      <c r="B3846" s="118" t="s">
        <v>3178</v>
      </c>
      <c r="C3846" s="119">
        <v>8836</v>
      </c>
      <c r="E3846" s="96" t="s">
        <v>1025</v>
      </c>
      <c r="F3846" s="96" t="s">
        <v>177</v>
      </c>
      <c r="G3846" s="100">
        <v>2364</v>
      </c>
    </row>
    <row r="3847" spans="2:7">
      <c r="B3847" s="118" t="s">
        <v>1401</v>
      </c>
      <c r="C3847" s="119">
        <v>8840</v>
      </c>
      <c r="E3847" s="96" t="s">
        <v>1026</v>
      </c>
      <c r="F3847" s="96" t="s">
        <v>177</v>
      </c>
      <c r="G3847" s="100">
        <v>2933</v>
      </c>
    </row>
    <row r="3848" spans="2:7">
      <c r="B3848" s="118" t="s">
        <v>3179</v>
      </c>
      <c r="C3848" s="119">
        <v>8840</v>
      </c>
      <c r="E3848" s="96" t="s">
        <v>1027</v>
      </c>
      <c r="F3848" s="96" t="s">
        <v>177</v>
      </c>
      <c r="G3848" s="100">
        <v>2933</v>
      </c>
    </row>
    <row r="3849" spans="2:7">
      <c r="B3849" s="118" t="s">
        <v>3180</v>
      </c>
      <c r="C3849" s="119">
        <v>8841</v>
      </c>
      <c r="E3849" s="96" t="s">
        <v>1028</v>
      </c>
      <c r="F3849" s="96" t="s">
        <v>177</v>
      </c>
      <c r="G3849" s="100">
        <v>2363</v>
      </c>
    </row>
    <row r="3850" spans="2:7">
      <c r="B3850" s="118" t="s">
        <v>3181</v>
      </c>
      <c r="C3850" s="119">
        <v>8844</v>
      </c>
      <c r="E3850" s="96" t="s">
        <v>1029</v>
      </c>
      <c r="F3850" s="96" t="s">
        <v>177</v>
      </c>
      <c r="G3850" s="100">
        <v>2887</v>
      </c>
    </row>
    <row r="3851" spans="2:7">
      <c r="B3851" s="118" t="s">
        <v>3182</v>
      </c>
      <c r="C3851" s="119">
        <v>8846</v>
      </c>
      <c r="E3851" s="96" t="s">
        <v>1030</v>
      </c>
      <c r="F3851" s="96" t="s">
        <v>177</v>
      </c>
      <c r="G3851" s="100">
        <v>2813</v>
      </c>
    </row>
    <row r="3852" spans="2:7">
      <c r="B3852" s="118" t="s">
        <v>3183</v>
      </c>
      <c r="C3852" s="119">
        <v>8847</v>
      </c>
      <c r="E3852" s="96" t="s">
        <v>1031</v>
      </c>
      <c r="F3852" s="96" t="s">
        <v>177</v>
      </c>
      <c r="G3852" s="100">
        <v>2935</v>
      </c>
    </row>
    <row r="3853" spans="2:7">
      <c r="B3853" s="118" t="s">
        <v>3184</v>
      </c>
      <c r="C3853" s="119">
        <v>6410</v>
      </c>
      <c r="E3853" s="96" t="s">
        <v>1032</v>
      </c>
      <c r="F3853" s="96" t="s">
        <v>177</v>
      </c>
      <c r="G3853" s="100">
        <v>2814</v>
      </c>
    </row>
    <row r="3854" spans="2:7">
      <c r="B3854" s="118" t="s">
        <v>1418</v>
      </c>
      <c r="C3854" s="119">
        <v>6442</v>
      </c>
      <c r="E3854" s="96" t="s">
        <v>1033</v>
      </c>
      <c r="F3854" s="96" t="s">
        <v>177</v>
      </c>
      <c r="G3854" s="100">
        <v>2345</v>
      </c>
    </row>
    <row r="3855" spans="2:7">
      <c r="B3855" s="118" t="s">
        <v>1407</v>
      </c>
      <c r="C3855" s="119">
        <v>8832</v>
      </c>
      <c r="E3855" s="96" t="s">
        <v>1034</v>
      </c>
      <c r="F3855" s="96" t="s">
        <v>1035</v>
      </c>
      <c r="G3855" s="100">
        <v>4123</v>
      </c>
    </row>
    <row r="3856" spans="2:7">
      <c r="B3856" s="118" t="s">
        <v>3185</v>
      </c>
      <c r="C3856" s="119">
        <v>8834</v>
      </c>
      <c r="E3856" s="96" t="s">
        <v>1036</v>
      </c>
      <c r="F3856" s="96" t="s">
        <v>1035</v>
      </c>
      <c r="G3856" s="100">
        <v>4153</v>
      </c>
    </row>
    <row r="3857" spans="2:7">
      <c r="B3857" s="118" t="s">
        <v>1409</v>
      </c>
      <c r="C3857" s="119">
        <v>8835</v>
      </c>
      <c r="E3857" s="96" t="s">
        <v>1037</v>
      </c>
      <c r="F3857" s="96" t="s">
        <v>1035</v>
      </c>
      <c r="G3857" s="100">
        <v>4132</v>
      </c>
    </row>
    <row r="3858" spans="2:7">
      <c r="B3858" s="118" t="s">
        <v>3178</v>
      </c>
      <c r="C3858" s="119">
        <v>8836</v>
      </c>
      <c r="E3858" s="96" t="s">
        <v>1038</v>
      </c>
      <c r="F3858" s="96" t="s">
        <v>1035</v>
      </c>
      <c r="G3858" s="100">
        <v>4133</v>
      </c>
    </row>
    <row r="3859" spans="2:7">
      <c r="B3859" s="118" t="s">
        <v>3183</v>
      </c>
      <c r="C3859" s="119">
        <v>8847</v>
      </c>
      <c r="E3859" s="96" t="s">
        <v>1039</v>
      </c>
      <c r="F3859" s="96" t="s">
        <v>1035</v>
      </c>
      <c r="G3859" s="100">
        <v>4102</v>
      </c>
    </row>
    <row r="3860" spans="2:7">
      <c r="B3860" s="118" t="s">
        <v>3186</v>
      </c>
      <c r="C3860" s="119">
        <v>8640</v>
      </c>
      <c r="E3860" s="96" t="s">
        <v>1040</v>
      </c>
      <c r="F3860" s="96" t="s">
        <v>1035</v>
      </c>
      <c r="G3860" s="100">
        <v>4410</v>
      </c>
    </row>
    <row r="3861" spans="2:7">
      <c r="B3861" s="118" t="s">
        <v>3187</v>
      </c>
      <c r="C3861" s="119">
        <v>8806</v>
      </c>
      <c r="E3861" s="96" t="s">
        <v>1041</v>
      </c>
      <c r="F3861" s="96" t="s">
        <v>1035</v>
      </c>
      <c r="G3861" s="100">
        <v>4142</v>
      </c>
    </row>
    <row r="3862" spans="2:7">
      <c r="B3862" s="118" t="s">
        <v>1400</v>
      </c>
      <c r="C3862" s="119">
        <v>8807</v>
      </c>
      <c r="E3862" s="96" t="s">
        <v>1042</v>
      </c>
      <c r="F3862" s="96" t="s">
        <v>1035</v>
      </c>
      <c r="G3862" s="100">
        <v>4104</v>
      </c>
    </row>
    <row r="3863" spans="2:7">
      <c r="B3863" s="118" t="s">
        <v>3188</v>
      </c>
      <c r="C3863" s="119">
        <v>8808</v>
      </c>
      <c r="E3863" s="96" t="s">
        <v>1043</v>
      </c>
      <c r="F3863" s="96" t="s">
        <v>1035</v>
      </c>
      <c r="G3863" s="100">
        <v>4127</v>
      </c>
    </row>
    <row r="3864" spans="2:7">
      <c r="B3864" s="118" t="s">
        <v>1407</v>
      </c>
      <c r="C3864" s="119">
        <v>8832</v>
      </c>
      <c r="E3864" s="96" t="s">
        <v>1044</v>
      </c>
      <c r="F3864" s="96" t="s">
        <v>1035</v>
      </c>
      <c r="G3864" s="100">
        <v>4147</v>
      </c>
    </row>
    <row r="3865" spans="2:7">
      <c r="B3865" s="118" t="s">
        <v>3189</v>
      </c>
      <c r="C3865" s="119">
        <v>8832</v>
      </c>
      <c r="E3865" s="96" t="s">
        <v>1045</v>
      </c>
      <c r="F3865" s="96" t="s">
        <v>1035</v>
      </c>
      <c r="G3865" s="100">
        <v>4106</v>
      </c>
    </row>
    <row r="3866" spans="2:7">
      <c r="B3866" s="118" t="s">
        <v>3187</v>
      </c>
      <c r="C3866" s="119">
        <v>8806</v>
      </c>
      <c r="E3866" s="96" t="s">
        <v>1046</v>
      </c>
      <c r="F3866" s="96" t="s">
        <v>1035</v>
      </c>
      <c r="G3866" s="100">
        <v>4144</v>
      </c>
    </row>
    <row r="3867" spans="2:7">
      <c r="B3867" s="118" t="s">
        <v>1407</v>
      </c>
      <c r="C3867" s="119">
        <v>8832</v>
      </c>
      <c r="E3867" s="96" t="s">
        <v>1047</v>
      </c>
      <c r="F3867" s="96" t="s">
        <v>1035</v>
      </c>
      <c r="G3867" s="100">
        <v>4450</v>
      </c>
    </row>
    <row r="3868" spans="2:7">
      <c r="B3868" s="118" t="s">
        <v>2491</v>
      </c>
      <c r="C3868" s="119">
        <v>8833</v>
      </c>
      <c r="E3868" s="96" t="s">
        <v>1048</v>
      </c>
      <c r="F3868" s="96" t="s">
        <v>1035</v>
      </c>
      <c r="G3868" s="100">
        <v>4103</v>
      </c>
    </row>
    <row r="3869" spans="2:7">
      <c r="B3869" s="118" t="s">
        <v>3185</v>
      </c>
      <c r="C3869" s="119">
        <v>8834</v>
      </c>
      <c r="E3869" s="96" t="s">
        <v>1049</v>
      </c>
      <c r="F3869" s="96" t="s">
        <v>1035</v>
      </c>
      <c r="G3869" s="100">
        <v>4402</v>
      </c>
    </row>
    <row r="3870" spans="2:7">
      <c r="B3870" s="118" t="s">
        <v>3190</v>
      </c>
      <c r="C3870" s="119">
        <v>6402</v>
      </c>
      <c r="E3870" s="96" t="s">
        <v>1050</v>
      </c>
      <c r="F3870" s="96" t="s">
        <v>1035</v>
      </c>
      <c r="G3870" s="100">
        <v>4460</v>
      </c>
    </row>
    <row r="3871" spans="2:7">
      <c r="B3871" s="118" t="s">
        <v>3191</v>
      </c>
      <c r="C3871" s="119">
        <v>6403</v>
      </c>
      <c r="E3871" s="96" t="s">
        <v>1051</v>
      </c>
      <c r="F3871" s="96" t="s">
        <v>1035</v>
      </c>
      <c r="G3871" s="100">
        <v>4242</v>
      </c>
    </row>
    <row r="3872" spans="2:7">
      <c r="B3872" s="118" t="s">
        <v>3192</v>
      </c>
      <c r="C3872" s="119">
        <v>6405</v>
      </c>
      <c r="E3872" s="96" t="s">
        <v>1052</v>
      </c>
      <c r="F3872" s="96" t="s">
        <v>1035</v>
      </c>
      <c r="G3872" s="100">
        <v>4107</v>
      </c>
    </row>
    <row r="3873" spans="2:7">
      <c r="B3873" s="118" t="s">
        <v>3182</v>
      </c>
      <c r="C3873" s="119">
        <v>8846</v>
      </c>
      <c r="E3873" s="96" t="s">
        <v>1053</v>
      </c>
      <c r="F3873" s="96" t="s">
        <v>1035</v>
      </c>
      <c r="G3873" s="100">
        <v>4415</v>
      </c>
    </row>
    <row r="3874" spans="2:7">
      <c r="B3874" s="118" t="s">
        <v>1408</v>
      </c>
      <c r="C3874" s="119">
        <v>8852</v>
      </c>
      <c r="E3874" s="96" t="s">
        <v>1054</v>
      </c>
      <c r="F3874" s="96" t="s">
        <v>1035</v>
      </c>
      <c r="G3874" s="100">
        <v>4414</v>
      </c>
    </row>
    <row r="3875" spans="2:7">
      <c r="B3875" s="118" t="s">
        <v>3193</v>
      </c>
      <c r="C3875" s="119">
        <v>8853</v>
      </c>
      <c r="E3875" s="96" t="s">
        <v>1055</v>
      </c>
      <c r="F3875" s="96" t="s">
        <v>1035</v>
      </c>
      <c r="G3875" s="100">
        <v>4416</v>
      </c>
    </row>
    <row r="3876" spans="2:7">
      <c r="B3876" s="118" t="s">
        <v>3194</v>
      </c>
      <c r="C3876" s="119">
        <v>8854</v>
      </c>
      <c r="E3876" s="96" t="s">
        <v>1056</v>
      </c>
      <c r="F3876" s="96" t="s">
        <v>1035</v>
      </c>
      <c r="G3876" s="100">
        <v>4105</v>
      </c>
    </row>
    <row r="3877" spans="2:7">
      <c r="B3877" s="118" t="s">
        <v>1410</v>
      </c>
      <c r="C3877" s="119">
        <v>8854</v>
      </c>
      <c r="E3877" s="96" t="s">
        <v>1057</v>
      </c>
      <c r="F3877" s="96" t="s">
        <v>1035</v>
      </c>
      <c r="G3877" s="100">
        <v>4455</v>
      </c>
    </row>
    <row r="3878" spans="2:7">
      <c r="B3878" s="118" t="s">
        <v>1427</v>
      </c>
      <c r="C3878" s="119">
        <v>8858</v>
      </c>
      <c r="E3878" s="96" t="s">
        <v>1058</v>
      </c>
      <c r="F3878" s="96" t="s">
        <v>1035</v>
      </c>
      <c r="G3878" s="100">
        <v>4434</v>
      </c>
    </row>
    <row r="3879" spans="2:7">
      <c r="B3879" s="118" t="s">
        <v>3193</v>
      </c>
      <c r="C3879" s="119">
        <v>8853</v>
      </c>
      <c r="E3879" s="96" t="s">
        <v>1059</v>
      </c>
      <c r="F3879" s="96" t="s">
        <v>1035</v>
      </c>
      <c r="G3879" s="100">
        <v>4436</v>
      </c>
    </row>
    <row r="3880" spans="2:7">
      <c r="B3880" s="118" t="s">
        <v>1412</v>
      </c>
      <c r="C3880" s="119">
        <v>8864</v>
      </c>
      <c r="E3880" s="96" t="s">
        <v>1060</v>
      </c>
      <c r="F3880" s="96" t="s">
        <v>1035</v>
      </c>
      <c r="G3880" s="100">
        <v>4148</v>
      </c>
    </row>
    <row r="3881" spans="2:7">
      <c r="B3881" s="118" t="s">
        <v>3194</v>
      </c>
      <c r="C3881" s="119">
        <v>8854</v>
      </c>
      <c r="E3881" s="96" t="s">
        <v>1061</v>
      </c>
      <c r="F3881" s="96" t="s">
        <v>1035</v>
      </c>
      <c r="G3881" s="100">
        <v>4222</v>
      </c>
    </row>
    <row r="3882" spans="2:7">
      <c r="B3882" s="118" t="s">
        <v>3195</v>
      </c>
      <c r="C3882" s="119">
        <v>8855</v>
      </c>
      <c r="E3882" s="96" t="s">
        <v>1062</v>
      </c>
      <c r="F3882" s="96" t="s">
        <v>1035</v>
      </c>
      <c r="G3882" s="100">
        <v>4466</v>
      </c>
    </row>
    <row r="3883" spans="2:7">
      <c r="B3883" s="118" t="s">
        <v>1404</v>
      </c>
      <c r="C3883" s="119">
        <v>8862</v>
      </c>
      <c r="E3883" s="96" t="s">
        <v>1063</v>
      </c>
      <c r="F3883" s="96" t="s">
        <v>1035</v>
      </c>
      <c r="G3883" s="100">
        <v>4452</v>
      </c>
    </row>
    <row r="3884" spans="2:7">
      <c r="B3884" s="118" t="s">
        <v>3196</v>
      </c>
      <c r="C3884" s="119">
        <v>8863</v>
      </c>
      <c r="E3884" s="96" t="s">
        <v>1064</v>
      </c>
      <c r="F3884" s="96" t="s">
        <v>1035</v>
      </c>
      <c r="G3884" s="100">
        <v>4225</v>
      </c>
    </row>
    <row r="3885" spans="2:7">
      <c r="B3885" s="118" t="s">
        <v>1825</v>
      </c>
      <c r="C3885" s="119">
        <v>8730</v>
      </c>
      <c r="E3885" s="96" t="s">
        <v>1065</v>
      </c>
      <c r="F3885" s="96" t="s">
        <v>1035</v>
      </c>
      <c r="G3885" s="100">
        <v>4203</v>
      </c>
    </row>
    <row r="3886" spans="2:7">
      <c r="B3886" s="118" t="s">
        <v>3195</v>
      </c>
      <c r="C3886" s="119">
        <v>8855</v>
      </c>
      <c r="E3886" s="96" t="s">
        <v>1066</v>
      </c>
      <c r="F3886" s="96" t="s">
        <v>1035</v>
      </c>
      <c r="G3886" s="100">
        <v>4435</v>
      </c>
    </row>
    <row r="3887" spans="2:7">
      <c r="B3887" s="118" t="s">
        <v>1415</v>
      </c>
      <c r="C3887" s="119">
        <v>8856</v>
      </c>
      <c r="E3887" s="96" t="s">
        <v>1067</v>
      </c>
      <c r="F3887" s="96" t="s">
        <v>1035</v>
      </c>
      <c r="G3887" s="100">
        <v>4457</v>
      </c>
    </row>
    <row r="3888" spans="2:7">
      <c r="B3888" s="118" t="s">
        <v>1422</v>
      </c>
      <c r="C3888" s="119">
        <v>8857</v>
      </c>
      <c r="E3888" s="96" t="s">
        <v>1068</v>
      </c>
      <c r="F3888" s="96" t="s">
        <v>1035</v>
      </c>
      <c r="G3888" s="100">
        <v>4225</v>
      </c>
    </row>
    <row r="3889" spans="2:7">
      <c r="B3889" s="118" t="s">
        <v>3193</v>
      </c>
      <c r="C3889" s="119">
        <v>8853</v>
      </c>
      <c r="E3889" s="96" t="s">
        <v>1069</v>
      </c>
      <c r="F3889" s="96" t="s">
        <v>1035</v>
      </c>
      <c r="G3889" s="100">
        <v>4422</v>
      </c>
    </row>
    <row r="3890" spans="2:7">
      <c r="B3890" s="118" t="s">
        <v>3194</v>
      </c>
      <c r="C3890" s="119">
        <v>8854</v>
      </c>
      <c r="E3890" s="96" t="s">
        <v>1070</v>
      </c>
      <c r="F3890" s="96" t="s">
        <v>1035</v>
      </c>
      <c r="G3890" s="100">
        <v>4418</v>
      </c>
    </row>
    <row r="3891" spans="2:7">
      <c r="B3891" s="118" t="s">
        <v>3195</v>
      </c>
      <c r="C3891" s="119">
        <v>8855</v>
      </c>
      <c r="E3891" s="96" t="s">
        <v>1071</v>
      </c>
      <c r="F3891" s="96" t="s">
        <v>1035</v>
      </c>
      <c r="G3891" s="100">
        <v>4417</v>
      </c>
    </row>
    <row r="3892" spans="2:7">
      <c r="B3892" s="118" t="s">
        <v>1426</v>
      </c>
      <c r="C3892" s="119">
        <v>8849</v>
      </c>
      <c r="E3892" s="96" t="s">
        <v>1072</v>
      </c>
      <c r="F3892" s="96" t="s">
        <v>1035</v>
      </c>
      <c r="G3892" s="100">
        <v>4202</v>
      </c>
    </row>
    <row r="3893" spans="2:7">
      <c r="B3893" s="118" t="s">
        <v>1556</v>
      </c>
      <c r="C3893" s="119">
        <v>6318</v>
      </c>
      <c r="E3893" s="96" t="s">
        <v>1073</v>
      </c>
      <c r="F3893" s="96" t="s">
        <v>1035</v>
      </c>
      <c r="G3893" s="100">
        <v>4419</v>
      </c>
    </row>
    <row r="3894" spans="2:7">
      <c r="B3894" s="118" t="s">
        <v>3133</v>
      </c>
      <c r="C3894" s="119">
        <v>6356</v>
      </c>
      <c r="E3894" s="96" t="s">
        <v>1074</v>
      </c>
      <c r="F3894" s="96" t="s">
        <v>1035</v>
      </c>
      <c r="G3894" s="100">
        <v>4246</v>
      </c>
    </row>
    <row r="3895" spans="2:7">
      <c r="B3895" s="118" t="s">
        <v>3197</v>
      </c>
      <c r="C3895" s="119">
        <v>6410</v>
      </c>
      <c r="E3895" s="96" t="s">
        <v>1075</v>
      </c>
      <c r="F3895" s="96" t="s">
        <v>1035</v>
      </c>
      <c r="G3895" s="100">
        <v>4441</v>
      </c>
    </row>
    <row r="3896" spans="2:7">
      <c r="B3896" s="118" t="s">
        <v>3198</v>
      </c>
      <c r="C3896" s="119">
        <v>6410</v>
      </c>
      <c r="E3896" s="96" t="s">
        <v>1076</v>
      </c>
      <c r="F3896" s="96" t="s">
        <v>1035</v>
      </c>
      <c r="G3896" s="100">
        <v>4124</v>
      </c>
    </row>
    <row r="3897" spans="2:7">
      <c r="B3897" s="118" t="s">
        <v>3199</v>
      </c>
      <c r="C3897" s="119">
        <v>6410</v>
      </c>
      <c r="E3897" s="96" t="s">
        <v>1077</v>
      </c>
      <c r="F3897" s="96" t="s">
        <v>1035</v>
      </c>
      <c r="G3897" s="100">
        <v>4448</v>
      </c>
    </row>
    <row r="3898" spans="2:7">
      <c r="B3898" s="118" t="s">
        <v>3200</v>
      </c>
      <c r="C3898" s="119">
        <v>6410</v>
      </c>
      <c r="E3898" s="96" t="s">
        <v>1078</v>
      </c>
      <c r="F3898" s="96" t="s">
        <v>1035</v>
      </c>
      <c r="G3898" s="100">
        <v>4411</v>
      </c>
    </row>
    <row r="3899" spans="2:7">
      <c r="B3899" s="118" t="s">
        <v>3201</v>
      </c>
      <c r="C3899" s="119">
        <v>6414</v>
      </c>
      <c r="E3899" s="96" t="s">
        <v>1079</v>
      </c>
      <c r="F3899" s="96" t="s">
        <v>1035</v>
      </c>
      <c r="G3899" s="100">
        <v>4254</v>
      </c>
    </row>
    <row r="3900" spans="2:7">
      <c r="B3900" s="118" t="s">
        <v>1403</v>
      </c>
      <c r="C3900" s="119">
        <v>6415</v>
      </c>
      <c r="E3900" s="96" t="s">
        <v>1080</v>
      </c>
      <c r="F3900" s="96" t="s">
        <v>1035</v>
      </c>
      <c r="G3900" s="100">
        <v>4437</v>
      </c>
    </row>
    <row r="3901" spans="2:7">
      <c r="B3901" s="118" t="s">
        <v>1423</v>
      </c>
      <c r="C3901" s="119">
        <v>6416</v>
      </c>
      <c r="E3901" s="96" t="s">
        <v>1081</v>
      </c>
      <c r="F3901" s="96" t="s">
        <v>1035</v>
      </c>
      <c r="G3901" s="100">
        <v>4463</v>
      </c>
    </row>
    <row r="3902" spans="2:7">
      <c r="B3902" s="118" t="s">
        <v>1425</v>
      </c>
      <c r="C3902" s="119">
        <v>6434</v>
      </c>
      <c r="E3902" s="96" t="s">
        <v>1082</v>
      </c>
      <c r="F3902" s="96" t="s">
        <v>1035</v>
      </c>
      <c r="G3902" s="100">
        <v>4304</v>
      </c>
    </row>
    <row r="3903" spans="2:7">
      <c r="B3903" s="118" t="s">
        <v>3202</v>
      </c>
      <c r="C3903" s="119">
        <v>6423</v>
      </c>
      <c r="E3903" s="96" t="s">
        <v>1083</v>
      </c>
      <c r="F3903" s="96" t="s">
        <v>1035</v>
      </c>
      <c r="G3903" s="100">
        <v>4302</v>
      </c>
    </row>
    <row r="3904" spans="2:7">
      <c r="B3904" s="118" t="s">
        <v>3203</v>
      </c>
      <c r="C3904" s="119">
        <v>6440</v>
      </c>
      <c r="E3904" s="96" t="s">
        <v>1084</v>
      </c>
      <c r="F3904" s="96" t="s">
        <v>1035</v>
      </c>
      <c r="G3904" s="100">
        <v>4438</v>
      </c>
    </row>
    <row r="3905" spans="2:7">
      <c r="B3905" s="118" t="s">
        <v>1421</v>
      </c>
      <c r="C3905" s="119">
        <v>6424</v>
      </c>
      <c r="E3905" s="96" t="s">
        <v>1085</v>
      </c>
      <c r="F3905" s="96" t="s">
        <v>1035</v>
      </c>
      <c r="G3905" s="100">
        <v>4464</v>
      </c>
    </row>
    <row r="3906" spans="2:7">
      <c r="B3906" s="118" t="s">
        <v>3204</v>
      </c>
      <c r="C3906" s="119">
        <v>6433</v>
      </c>
      <c r="E3906" s="96" t="s">
        <v>1086</v>
      </c>
      <c r="F3906" s="96" t="s">
        <v>1035</v>
      </c>
      <c r="G3906" s="100">
        <v>4456</v>
      </c>
    </row>
    <row r="3907" spans="2:7">
      <c r="B3907" s="118" t="s">
        <v>3203</v>
      </c>
      <c r="C3907" s="119">
        <v>6440</v>
      </c>
      <c r="E3907" s="96" t="s">
        <v>1087</v>
      </c>
      <c r="F3907" s="96" t="s">
        <v>1035</v>
      </c>
      <c r="G3907" s="100">
        <v>4492</v>
      </c>
    </row>
    <row r="3908" spans="2:7">
      <c r="B3908" s="118" t="s">
        <v>1420</v>
      </c>
      <c r="C3908" s="119">
        <v>6443</v>
      </c>
      <c r="E3908" s="96" t="s">
        <v>1088</v>
      </c>
      <c r="F3908" s="96" t="s">
        <v>1035</v>
      </c>
      <c r="G3908" s="100">
        <v>4461</v>
      </c>
    </row>
    <row r="3909" spans="2:7">
      <c r="B3909" s="118" t="s">
        <v>2001</v>
      </c>
      <c r="C3909" s="119">
        <v>6452</v>
      </c>
      <c r="E3909" s="96" t="s">
        <v>1089</v>
      </c>
      <c r="F3909" s="96" t="s">
        <v>1035</v>
      </c>
      <c r="G3909" s="100">
        <v>4467</v>
      </c>
    </row>
    <row r="3910" spans="2:7">
      <c r="B3910" s="118" t="s">
        <v>3204</v>
      </c>
      <c r="C3910" s="119">
        <v>6433</v>
      </c>
      <c r="E3910" s="96" t="s">
        <v>1090</v>
      </c>
      <c r="F3910" s="96" t="s">
        <v>1035</v>
      </c>
      <c r="G3910" s="100">
        <v>4207</v>
      </c>
    </row>
    <row r="3911" spans="2:7">
      <c r="B3911" s="118" t="s">
        <v>1413</v>
      </c>
      <c r="C3911" s="119">
        <v>6436</v>
      </c>
      <c r="E3911" s="96" t="s">
        <v>1091</v>
      </c>
      <c r="F3911" s="96" t="s">
        <v>1035</v>
      </c>
      <c r="G3911" s="100">
        <v>4497</v>
      </c>
    </row>
    <row r="3912" spans="2:7">
      <c r="B3912" s="118" t="s">
        <v>3167</v>
      </c>
      <c r="C3912" s="119">
        <v>6436</v>
      </c>
      <c r="E3912" s="96" t="s">
        <v>1092</v>
      </c>
      <c r="F3912" s="96" t="s">
        <v>1035</v>
      </c>
      <c r="G3912" s="100">
        <v>4433</v>
      </c>
    </row>
    <row r="3913" spans="2:7">
      <c r="B3913" s="118" t="s">
        <v>3205</v>
      </c>
      <c r="C3913" s="119">
        <v>6436</v>
      </c>
      <c r="E3913" s="96" t="s">
        <v>1093</v>
      </c>
      <c r="F3913" s="96" t="s">
        <v>1035</v>
      </c>
      <c r="G3913" s="100">
        <v>4442</v>
      </c>
    </row>
    <row r="3914" spans="2:7">
      <c r="B3914" s="118" t="s">
        <v>1577</v>
      </c>
      <c r="C3914" s="119">
        <v>8750</v>
      </c>
      <c r="E3914" s="96" t="s">
        <v>1094</v>
      </c>
      <c r="F3914" s="96" t="s">
        <v>1035</v>
      </c>
      <c r="G3914" s="100">
        <v>4243</v>
      </c>
    </row>
    <row r="3915" spans="2:7">
      <c r="B3915" s="118" t="s">
        <v>1416</v>
      </c>
      <c r="C3915" s="119">
        <v>8842</v>
      </c>
      <c r="E3915" s="96" t="s">
        <v>1095</v>
      </c>
      <c r="F3915" s="96" t="s">
        <v>1035</v>
      </c>
      <c r="G3915" s="100">
        <v>4493</v>
      </c>
    </row>
    <row r="3916" spans="2:7">
      <c r="B3916" s="118" t="s">
        <v>1424</v>
      </c>
      <c r="C3916" s="119">
        <v>8843</v>
      </c>
      <c r="E3916" s="96" t="s">
        <v>1096</v>
      </c>
      <c r="F3916" s="96" t="s">
        <v>1035</v>
      </c>
      <c r="G3916" s="100">
        <v>4446</v>
      </c>
    </row>
    <row r="3917" spans="2:7">
      <c r="B3917" s="118" t="s">
        <v>1428</v>
      </c>
      <c r="C3917" s="119">
        <v>6452</v>
      </c>
      <c r="E3917" s="96" t="s">
        <v>1097</v>
      </c>
      <c r="F3917" s="96" t="s">
        <v>1035</v>
      </c>
      <c r="G3917" s="100">
        <v>4223</v>
      </c>
    </row>
    <row r="3918" spans="2:7">
      <c r="B3918" s="118" t="s">
        <v>1417</v>
      </c>
      <c r="C3918" s="119">
        <v>6418</v>
      </c>
      <c r="E3918" s="96" t="s">
        <v>1098</v>
      </c>
      <c r="F3918" s="96" t="s">
        <v>1035</v>
      </c>
      <c r="G3918" s="100">
        <v>4431</v>
      </c>
    </row>
    <row r="3919" spans="2:7">
      <c r="B3919" s="118" t="s">
        <v>3206</v>
      </c>
      <c r="C3919" s="119">
        <v>6315</v>
      </c>
      <c r="E3919" s="96" t="s">
        <v>1099</v>
      </c>
      <c r="F3919" s="96" t="s">
        <v>1035</v>
      </c>
      <c r="G3919" s="100">
        <v>4451</v>
      </c>
    </row>
    <row r="3920" spans="2:7">
      <c r="B3920" s="118" t="s">
        <v>1419</v>
      </c>
      <c r="C3920" s="119">
        <v>6417</v>
      </c>
      <c r="E3920" s="96" t="s">
        <v>1100</v>
      </c>
      <c r="F3920" s="96" t="s">
        <v>1035</v>
      </c>
      <c r="G3920" s="100">
        <v>4462</v>
      </c>
    </row>
    <row r="3921" spans="2:7">
      <c r="B3921" s="118" t="s">
        <v>1417</v>
      </c>
      <c r="C3921" s="119">
        <v>6418</v>
      </c>
      <c r="E3921" s="96" t="s">
        <v>1101</v>
      </c>
      <c r="F3921" s="96" t="s">
        <v>1035</v>
      </c>
      <c r="G3921" s="100">
        <v>4469</v>
      </c>
    </row>
    <row r="3922" spans="2:7">
      <c r="B3922" s="118" t="s">
        <v>1414</v>
      </c>
      <c r="C3922" s="119">
        <v>6422</v>
      </c>
      <c r="E3922" s="96" t="s">
        <v>1102</v>
      </c>
      <c r="F3922" s="96" t="s">
        <v>1035</v>
      </c>
      <c r="G3922" s="100">
        <v>4424</v>
      </c>
    </row>
    <row r="3923" spans="2:7">
      <c r="B3923" s="118" t="s">
        <v>1419</v>
      </c>
      <c r="C3923" s="119">
        <v>6417</v>
      </c>
      <c r="E3923" s="96" t="s">
        <v>1103</v>
      </c>
      <c r="F3923" s="96" t="s">
        <v>1035</v>
      </c>
      <c r="G3923" s="100">
        <v>4458</v>
      </c>
    </row>
    <row r="3924" spans="2:7">
      <c r="B3924" s="118" t="s">
        <v>3202</v>
      </c>
      <c r="C3924" s="119">
        <v>6423</v>
      </c>
      <c r="E3924" s="96" t="s">
        <v>1104</v>
      </c>
      <c r="F3924" s="96" t="s">
        <v>1035</v>
      </c>
      <c r="G3924" s="100">
        <v>4447</v>
      </c>
    </row>
    <row r="3925" spans="2:7">
      <c r="B3925" s="118" t="s">
        <v>178</v>
      </c>
      <c r="C3925" s="119">
        <v>6430</v>
      </c>
      <c r="E3925" s="96" t="s">
        <v>1105</v>
      </c>
      <c r="F3925" s="96" t="s">
        <v>1035</v>
      </c>
      <c r="G3925" s="100">
        <v>4432</v>
      </c>
    </row>
    <row r="3926" spans="2:7">
      <c r="B3926" s="118" t="s">
        <v>3207</v>
      </c>
      <c r="C3926" s="119">
        <v>6432</v>
      </c>
      <c r="E3926" s="96" t="s">
        <v>1106</v>
      </c>
      <c r="F3926" s="96" t="s">
        <v>1035</v>
      </c>
      <c r="G3926" s="100">
        <v>4495</v>
      </c>
    </row>
    <row r="3927" spans="2:7">
      <c r="B3927" s="118" t="s">
        <v>3208</v>
      </c>
      <c r="C3927" s="119">
        <v>6438</v>
      </c>
      <c r="E3927" s="96" t="s">
        <v>1107</v>
      </c>
      <c r="F3927" s="96" t="s">
        <v>1035</v>
      </c>
      <c r="G3927" s="100">
        <v>4494</v>
      </c>
    </row>
    <row r="3928" spans="2:7">
      <c r="B3928" s="118" t="s">
        <v>1416</v>
      </c>
      <c r="C3928" s="119">
        <v>8842</v>
      </c>
      <c r="E3928" s="96" t="s">
        <v>1108</v>
      </c>
      <c r="F3928" s="96" t="s">
        <v>1035</v>
      </c>
      <c r="G3928" s="100">
        <v>4443</v>
      </c>
    </row>
    <row r="3929" spans="2:7">
      <c r="B3929" s="118" t="s">
        <v>1424</v>
      </c>
      <c r="C3929" s="119">
        <v>8843</v>
      </c>
      <c r="E3929" s="96" t="s">
        <v>1109</v>
      </c>
      <c r="F3929" s="96" t="s">
        <v>1035</v>
      </c>
      <c r="G3929" s="100">
        <v>4224</v>
      </c>
    </row>
    <row r="3930" spans="2:7">
      <c r="B3930" s="118" t="s">
        <v>1414</v>
      </c>
      <c r="C3930" s="119">
        <v>6422</v>
      </c>
      <c r="E3930" s="96" t="s">
        <v>1110</v>
      </c>
      <c r="F3930" s="96" t="s">
        <v>1035</v>
      </c>
      <c r="G3930" s="100">
        <v>4425</v>
      </c>
    </row>
    <row r="3931" spans="2:7">
      <c r="B3931" s="118" t="s">
        <v>1423</v>
      </c>
      <c r="C3931" s="119">
        <v>6416</v>
      </c>
      <c r="E3931" s="96" t="s">
        <v>1111</v>
      </c>
      <c r="F3931" s="96" t="s">
        <v>1035</v>
      </c>
      <c r="G3931" s="100">
        <v>4444</v>
      </c>
    </row>
    <row r="3932" spans="2:7">
      <c r="B3932" s="118" t="s">
        <v>1416</v>
      </c>
      <c r="C3932" s="119">
        <v>8842</v>
      </c>
      <c r="E3932" s="96" t="s">
        <v>1112</v>
      </c>
      <c r="F3932" s="96" t="s">
        <v>1035</v>
      </c>
      <c r="G3932" s="100">
        <v>4426</v>
      </c>
    </row>
    <row r="3933" spans="2:7">
      <c r="B3933" s="118" t="s">
        <v>3181</v>
      </c>
      <c r="C3933" s="119">
        <v>8844</v>
      </c>
      <c r="E3933" s="96" t="s">
        <v>1113</v>
      </c>
      <c r="F3933" s="96" t="s">
        <v>1035</v>
      </c>
      <c r="G3933" s="100">
        <v>4423</v>
      </c>
    </row>
    <row r="3934" spans="2:7">
      <c r="B3934" s="118" t="s">
        <v>3209</v>
      </c>
      <c r="C3934" s="119">
        <v>8845</v>
      </c>
      <c r="E3934" s="96" t="s">
        <v>1114</v>
      </c>
      <c r="F3934" s="96" t="s">
        <v>1035</v>
      </c>
      <c r="G3934" s="100">
        <v>4445</v>
      </c>
    </row>
    <row r="3935" spans="2:7">
      <c r="B3935" s="118" t="s">
        <v>3210</v>
      </c>
      <c r="C3935" s="119">
        <v>6010</v>
      </c>
      <c r="E3935" s="96" t="s">
        <v>1115</v>
      </c>
      <c r="F3935" s="96" t="s">
        <v>1035</v>
      </c>
      <c r="G3935" s="100">
        <v>2814</v>
      </c>
    </row>
    <row r="3936" spans="2:7">
      <c r="B3936" s="118" t="s">
        <v>3211</v>
      </c>
      <c r="C3936" s="119">
        <v>6053</v>
      </c>
      <c r="E3936" s="96" t="s">
        <v>1116</v>
      </c>
      <c r="F3936" s="96" t="s">
        <v>1035</v>
      </c>
      <c r="G3936" s="100">
        <v>4117</v>
      </c>
    </row>
    <row r="3937" spans="2:7">
      <c r="B3937" s="118" t="s">
        <v>3212</v>
      </c>
      <c r="C3937" s="119">
        <v>6055</v>
      </c>
      <c r="E3937" s="96" t="s">
        <v>1117</v>
      </c>
      <c r="F3937" s="96" t="s">
        <v>1035</v>
      </c>
      <c r="G3937" s="100">
        <v>4453</v>
      </c>
    </row>
    <row r="3938" spans="2:7">
      <c r="B3938" s="118" t="s">
        <v>2018</v>
      </c>
      <c r="C3938" s="119">
        <v>6064</v>
      </c>
      <c r="E3938" s="96" t="s">
        <v>1118</v>
      </c>
      <c r="F3938" s="96" t="s">
        <v>1035</v>
      </c>
      <c r="G3938" s="100">
        <v>4465</v>
      </c>
    </row>
    <row r="3939" spans="2:7">
      <c r="B3939" s="118" t="s">
        <v>3213</v>
      </c>
      <c r="C3939" s="119">
        <v>6388</v>
      </c>
      <c r="E3939" s="96" t="s">
        <v>1119</v>
      </c>
      <c r="F3939" s="96" t="s">
        <v>1035</v>
      </c>
      <c r="G3939" s="100">
        <v>4426</v>
      </c>
    </row>
    <row r="3940" spans="2:7">
      <c r="B3940" s="118" t="s">
        <v>2021</v>
      </c>
      <c r="C3940" s="119">
        <v>6390</v>
      </c>
      <c r="E3940" s="96" t="s">
        <v>1120</v>
      </c>
      <c r="F3940" s="96" t="s">
        <v>1035</v>
      </c>
      <c r="G3940" s="100">
        <v>4496</v>
      </c>
    </row>
    <row r="3941" spans="2:7">
      <c r="B3941" s="118" t="s">
        <v>2022</v>
      </c>
      <c r="C3941" s="119">
        <v>6074</v>
      </c>
      <c r="E3941" s="96" t="s">
        <v>1121</v>
      </c>
      <c r="F3941" s="96" t="s">
        <v>167</v>
      </c>
      <c r="G3941" s="100">
        <v>4051</v>
      </c>
    </row>
    <row r="3942" spans="2:7">
      <c r="B3942" s="118" t="s">
        <v>3105</v>
      </c>
      <c r="C3942" s="119">
        <v>6174</v>
      </c>
      <c r="E3942" s="96" t="s">
        <v>1122</v>
      </c>
      <c r="F3942" s="96" t="s">
        <v>167</v>
      </c>
      <c r="G3942" s="100">
        <v>4125</v>
      </c>
    </row>
    <row r="3943" spans="2:7">
      <c r="B3943" s="118" t="s">
        <v>2018</v>
      </c>
      <c r="C3943" s="119">
        <v>6064</v>
      </c>
      <c r="E3943" s="96" t="s">
        <v>1123</v>
      </c>
      <c r="F3943" s="96" t="s">
        <v>167</v>
      </c>
      <c r="G3943" s="100">
        <v>4126</v>
      </c>
    </row>
    <row r="3944" spans="2:7">
      <c r="B3944" s="118" t="s">
        <v>3214</v>
      </c>
      <c r="C3944" s="119">
        <v>6066</v>
      </c>
      <c r="E3944" s="96" t="s">
        <v>168</v>
      </c>
      <c r="F3944" s="96" t="s">
        <v>168</v>
      </c>
      <c r="G3944" s="100">
        <v>1700</v>
      </c>
    </row>
    <row r="3945" spans="2:7">
      <c r="B3945" s="118" t="s">
        <v>3215</v>
      </c>
      <c r="C3945" s="119">
        <v>6067</v>
      </c>
      <c r="E3945" s="96" t="s">
        <v>1124</v>
      </c>
      <c r="F3945" s="96" t="s">
        <v>168</v>
      </c>
      <c r="G3945" s="100">
        <v>1630</v>
      </c>
    </row>
    <row r="3946" spans="2:7">
      <c r="B3946" s="118" t="s">
        <v>3216</v>
      </c>
      <c r="C3946" s="119">
        <v>6068</v>
      </c>
      <c r="E3946" s="96" t="s">
        <v>1125</v>
      </c>
      <c r="F3946" s="96" t="s">
        <v>168</v>
      </c>
      <c r="G3946" s="100">
        <v>1752</v>
      </c>
    </row>
    <row r="3947" spans="2:7">
      <c r="B3947" s="118" t="s">
        <v>2023</v>
      </c>
      <c r="C3947" s="119">
        <v>6078</v>
      </c>
      <c r="E3947" s="96" t="s">
        <v>1126</v>
      </c>
      <c r="F3947" s="96" t="s">
        <v>168</v>
      </c>
      <c r="G3947" s="100">
        <v>1470</v>
      </c>
    </row>
    <row r="3948" spans="2:7">
      <c r="B3948" s="118" t="s">
        <v>3217</v>
      </c>
      <c r="C3948" s="119">
        <v>6078</v>
      </c>
      <c r="E3948" s="96" t="s">
        <v>1127</v>
      </c>
      <c r="F3948" s="96" t="s">
        <v>168</v>
      </c>
      <c r="G3948" s="100">
        <v>3280</v>
      </c>
    </row>
    <row r="3949" spans="2:7">
      <c r="B3949" s="118" t="s">
        <v>3215</v>
      </c>
      <c r="C3949" s="119">
        <v>6067</v>
      </c>
      <c r="E3949" s="96" t="s">
        <v>1128</v>
      </c>
      <c r="F3949" s="96" t="s">
        <v>168</v>
      </c>
      <c r="G3949" s="100">
        <v>1723</v>
      </c>
    </row>
    <row r="3950" spans="2:7">
      <c r="B3950" s="118" t="s">
        <v>2020</v>
      </c>
      <c r="C3950" s="119">
        <v>6072</v>
      </c>
      <c r="E3950" s="96" t="s">
        <v>1129</v>
      </c>
      <c r="F3950" s="96" t="s">
        <v>168</v>
      </c>
      <c r="G3950" s="100">
        <v>3186</v>
      </c>
    </row>
    <row r="3951" spans="2:7">
      <c r="B3951" s="118" t="s">
        <v>3218</v>
      </c>
      <c r="C3951" s="119">
        <v>6073</v>
      </c>
      <c r="E3951" s="96" t="s">
        <v>1130</v>
      </c>
      <c r="F3951" s="96" t="s">
        <v>168</v>
      </c>
      <c r="G3951" s="100">
        <v>1690</v>
      </c>
    </row>
    <row r="3952" spans="2:7">
      <c r="B3952" s="118" t="s">
        <v>2022</v>
      </c>
      <c r="C3952" s="119">
        <v>6074</v>
      </c>
      <c r="E3952" s="96" t="s">
        <v>1131</v>
      </c>
      <c r="F3952" s="96" t="s">
        <v>168</v>
      </c>
      <c r="G3952" s="100">
        <v>1618</v>
      </c>
    </row>
    <row r="3953" spans="2:7">
      <c r="B3953" s="118" t="s">
        <v>3219</v>
      </c>
      <c r="C3953" s="119">
        <v>6056</v>
      </c>
      <c r="E3953" s="96" t="s">
        <v>1132</v>
      </c>
      <c r="F3953" s="96" t="s">
        <v>168</v>
      </c>
      <c r="G3953" s="100">
        <v>3175</v>
      </c>
    </row>
    <row r="3954" spans="2:7">
      <c r="B3954" s="118" t="s">
        <v>2016</v>
      </c>
      <c r="C3954" s="119">
        <v>6060</v>
      </c>
      <c r="E3954" s="96" t="s">
        <v>1133</v>
      </c>
      <c r="F3954" s="96" t="s">
        <v>168</v>
      </c>
      <c r="G3954" s="100">
        <v>1773</v>
      </c>
    </row>
    <row r="3955" spans="2:7">
      <c r="B3955" s="118" t="s">
        <v>3220</v>
      </c>
      <c r="C3955" s="119">
        <v>6060</v>
      </c>
      <c r="E3955" s="96" t="s">
        <v>1134</v>
      </c>
      <c r="F3955" s="96" t="s">
        <v>168</v>
      </c>
      <c r="G3955" s="100">
        <v>1784</v>
      </c>
    </row>
    <row r="3956" spans="2:7">
      <c r="B3956" s="118" t="s">
        <v>3221</v>
      </c>
      <c r="C3956" s="119">
        <v>6062</v>
      </c>
      <c r="E3956" s="96" t="s">
        <v>1135</v>
      </c>
      <c r="F3956" s="96" t="s">
        <v>168</v>
      </c>
      <c r="G3956" s="100">
        <v>1680</v>
      </c>
    </row>
    <row r="3957" spans="2:7">
      <c r="B3957" s="118" t="s">
        <v>3222</v>
      </c>
      <c r="C3957" s="119">
        <v>6063</v>
      </c>
      <c r="E3957" s="96" t="s">
        <v>1136</v>
      </c>
      <c r="F3957" s="96" t="s">
        <v>168</v>
      </c>
      <c r="G3957" s="100">
        <v>3210</v>
      </c>
    </row>
    <row r="3958" spans="2:7">
      <c r="B3958" s="118" t="s">
        <v>2010</v>
      </c>
      <c r="C3958" s="119">
        <v>6375</v>
      </c>
      <c r="E3958" s="96" t="s">
        <v>1137</v>
      </c>
      <c r="F3958" s="96" t="s">
        <v>168</v>
      </c>
      <c r="G3958" s="100">
        <v>3215</v>
      </c>
    </row>
    <row r="3959" spans="2:7">
      <c r="B3959" s="118" t="s">
        <v>2015</v>
      </c>
      <c r="C3959" s="119">
        <v>6376</v>
      </c>
      <c r="E3959" s="96" t="s">
        <v>1138</v>
      </c>
      <c r="F3959" s="96" t="s">
        <v>168</v>
      </c>
      <c r="G3959" s="100">
        <v>3185</v>
      </c>
    </row>
    <row r="3960" spans="2:7">
      <c r="B3960" s="118" t="s">
        <v>2007</v>
      </c>
      <c r="C3960" s="119">
        <v>6374</v>
      </c>
      <c r="E3960" s="96" t="s">
        <v>1139</v>
      </c>
      <c r="F3960" s="96" t="s">
        <v>168</v>
      </c>
      <c r="G3960" s="100">
        <v>1763</v>
      </c>
    </row>
    <row r="3961" spans="2:7">
      <c r="B3961" s="118" t="s">
        <v>2014</v>
      </c>
      <c r="C3961" s="119">
        <v>6383</v>
      </c>
      <c r="E3961" s="96" t="s">
        <v>1140</v>
      </c>
      <c r="F3961" s="96" t="s">
        <v>168</v>
      </c>
      <c r="G3961" s="100">
        <v>1716</v>
      </c>
    </row>
    <row r="3962" spans="2:7">
      <c r="B3962" s="118" t="s">
        <v>3223</v>
      </c>
      <c r="C3962" s="119">
        <v>6383</v>
      </c>
      <c r="E3962" s="96" t="s">
        <v>1141</v>
      </c>
      <c r="F3962" s="96" t="s">
        <v>168</v>
      </c>
      <c r="G3962" s="100">
        <v>1786</v>
      </c>
    </row>
    <row r="3963" spans="2:7">
      <c r="B3963" s="118" t="s">
        <v>3224</v>
      </c>
      <c r="C3963" s="119">
        <v>6383</v>
      </c>
      <c r="E3963" s="96" t="s">
        <v>1142</v>
      </c>
      <c r="F3963" s="96" t="s">
        <v>168</v>
      </c>
      <c r="G3963" s="100">
        <v>3178</v>
      </c>
    </row>
    <row r="3964" spans="2:7">
      <c r="B3964" s="118" t="s">
        <v>2015</v>
      </c>
      <c r="C3964" s="119">
        <v>6376</v>
      </c>
      <c r="E3964" s="96" t="s">
        <v>1143</v>
      </c>
      <c r="F3964" s="96" t="s">
        <v>168</v>
      </c>
      <c r="G3964" s="100">
        <v>1616</v>
      </c>
    </row>
    <row r="3965" spans="2:7">
      <c r="B3965" s="118" t="s">
        <v>1996</v>
      </c>
      <c r="C3965" s="119">
        <v>6377</v>
      </c>
      <c r="E3965" s="96" t="s">
        <v>1144</v>
      </c>
      <c r="F3965" s="96" t="s">
        <v>168</v>
      </c>
      <c r="G3965" s="100">
        <v>1712</v>
      </c>
    </row>
    <row r="3966" spans="2:7">
      <c r="B3966" s="118" t="s">
        <v>3225</v>
      </c>
      <c r="C3966" s="119">
        <v>6363</v>
      </c>
      <c r="E3966" s="96" t="s">
        <v>1145</v>
      </c>
      <c r="F3966" s="96" t="s">
        <v>168</v>
      </c>
      <c r="G3966" s="100">
        <v>1782</v>
      </c>
    </row>
    <row r="3967" spans="2:7">
      <c r="B3967" s="118" t="s">
        <v>3226</v>
      </c>
      <c r="C3967" s="119">
        <v>6363</v>
      </c>
      <c r="E3967" s="96" t="s">
        <v>1146</v>
      </c>
      <c r="F3967" s="96" t="s">
        <v>168</v>
      </c>
      <c r="G3967" s="100">
        <v>1762</v>
      </c>
    </row>
    <row r="3968" spans="2:7">
      <c r="B3968" s="118" t="s">
        <v>2008</v>
      </c>
      <c r="C3968" s="119">
        <v>6373</v>
      </c>
      <c r="E3968" s="96" t="s">
        <v>1147</v>
      </c>
      <c r="F3968" s="96" t="s">
        <v>168</v>
      </c>
      <c r="G3968" s="100">
        <v>1724</v>
      </c>
    </row>
    <row r="3969" spans="2:7">
      <c r="B3969" s="118" t="s">
        <v>2007</v>
      </c>
      <c r="C3969" s="119">
        <v>6374</v>
      </c>
      <c r="E3969" s="96" t="s">
        <v>1148</v>
      </c>
      <c r="F3969" s="96" t="s">
        <v>168</v>
      </c>
      <c r="G3969" s="100">
        <v>1670</v>
      </c>
    </row>
    <row r="3970" spans="2:7">
      <c r="B3970" s="118" t="s">
        <v>2009</v>
      </c>
      <c r="C3970" s="119">
        <v>6362</v>
      </c>
      <c r="E3970" s="96" t="s">
        <v>1149</v>
      </c>
      <c r="F3970" s="96" t="s">
        <v>168</v>
      </c>
      <c r="G3970" s="100">
        <v>1636</v>
      </c>
    </row>
    <row r="3971" spans="2:7">
      <c r="B3971" s="118" t="s">
        <v>2005</v>
      </c>
      <c r="C3971" s="119">
        <v>6370</v>
      </c>
      <c r="E3971" s="96" t="s">
        <v>1150</v>
      </c>
      <c r="F3971" s="96" t="s">
        <v>168</v>
      </c>
      <c r="G3971" s="100">
        <v>1632</v>
      </c>
    </row>
    <row r="3972" spans="2:7">
      <c r="B3972" s="118" t="s">
        <v>2012</v>
      </c>
      <c r="C3972" s="119">
        <v>6372</v>
      </c>
      <c r="E3972" s="96" t="s">
        <v>1151</v>
      </c>
      <c r="F3972" s="96" t="s">
        <v>168</v>
      </c>
      <c r="G3972" s="100">
        <v>1740</v>
      </c>
    </row>
    <row r="3973" spans="2:7">
      <c r="B3973" s="118" t="s">
        <v>1263</v>
      </c>
      <c r="C3973" s="119">
        <v>6010</v>
      </c>
      <c r="E3973" s="96" t="s">
        <v>1152</v>
      </c>
      <c r="F3973" s="96" t="s">
        <v>168</v>
      </c>
      <c r="G3973" s="100">
        <v>1720</v>
      </c>
    </row>
    <row r="3974" spans="2:7">
      <c r="B3974" s="118" t="s">
        <v>3127</v>
      </c>
      <c r="C3974" s="119">
        <v>6013</v>
      </c>
      <c r="E3974" s="96" t="s">
        <v>1153</v>
      </c>
      <c r="F3974" s="96" t="s">
        <v>168</v>
      </c>
      <c r="G3974" s="100">
        <v>1775</v>
      </c>
    </row>
    <row r="3975" spans="2:7">
      <c r="B3975" s="118" t="s">
        <v>3126</v>
      </c>
      <c r="C3975" s="119">
        <v>6052</v>
      </c>
      <c r="E3975" s="96" t="s">
        <v>1154</v>
      </c>
      <c r="F3975" s="96" t="s">
        <v>168</v>
      </c>
      <c r="G3975" s="100">
        <v>1730</v>
      </c>
    </row>
    <row r="3976" spans="2:7">
      <c r="B3976" s="118" t="s">
        <v>2005</v>
      </c>
      <c r="C3976" s="119">
        <v>6370</v>
      </c>
      <c r="E3976" s="96" t="s">
        <v>1155</v>
      </c>
      <c r="F3976" s="96" t="s">
        <v>168</v>
      </c>
      <c r="G3976" s="100">
        <v>1637</v>
      </c>
    </row>
    <row r="3977" spans="2:7">
      <c r="B3977" s="118" t="s">
        <v>3227</v>
      </c>
      <c r="C3977" s="119">
        <v>6370</v>
      </c>
      <c r="E3977" s="96" t="s">
        <v>1156</v>
      </c>
      <c r="F3977" s="96" t="s">
        <v>168</v>
      </c>
      <c r="G3977" s="100">
        <v>3182</v>
      </c>
    </row>
    <row r="3978" spans="2:7">
      <c r="B3978" s="118" t="s">
        <v>2007</v>
      </c>
      <c r="C3978" s="119">
        <v>6374</v>
      </c>
      <c r="E3978" s="96" t="s">
        <v>1157</v>
      </c>
      <c r="F3978" s="96" t="s">
        <v>168</v>
      </c>
      <c r="G3978" s="100">
        <v>1628</v>
      </c>
    </row>
    <row r="3979" spans="2:7">
      <c r="B3979" s="118" t="s">
        <v>3228</v>
      </c>
      <c r="C3979" s="119">
        <v>6382</v>
      </c>
      <c r="E3979" s="96" t="s">
        <v>1158</v>
      </c>
      <c r="F3979" s="96" t="s">
        <v>168</v>
      </c>
      <c r="G3979" s="100">
        <v>1687</v>
      </c>
    </row>
    <row r="3980" spans="2:7">
      <c r="B3980" s="118" t="s">
        <v>3229</v>
      </c>
      <c r="C3980" s="119">
        <v>6383</v>
      </c>
      <c r="E3980" s="96" t="s">
        <v>1159</v>
      </c>
      <c r="F3980" s="96" t="s">
        <v>168</v>
      </c>
      <c r="G3980" s="100">
        <v>1468</v>
      </c>
    </row>
    <row r="3981" spans="2:7">
      <c r="B3981" s="118" t="s">
        <v>2009</v>
      </c>
      <c r="C3981" s="119">
        <v>6362</v>
      </c>
      <c r="E3981" s="96" t="s">
        <v>1160</v>
      </c>
      <c r="F3981" s="96" t="s">
        <v>168</v>
      </c>
      <c r="G3981" s="100">
        <v>1663</v>
      </c>
    </row>
    <row r="3982" spans="2:7">
      <c r="B3982" s="118" t="s">
        <v>2005</v>
      </c>
      <c r="C3982" s="119">
        <v>6370</v>
      </c>
      <c r="E3982" s="96" t="s">
        <v>1161</v>
      </c>
      <c r="F3982" s="96" t="s">
        <v>168</v>
      </c>
      <c r="G3982" s="100">
        <v>1678</v>
      </c>
    </row>
    <row r="3983" spans="2:7">
      <c r="B3983" s="118" t="s">
        <v>2012</v>
      </c>
      <c r="C3983" s="119">
        <v>6372</v>
      </c>
      <c r="E3983" s="96" t="s">
        <v>1162</v>
      </c>
      <c r="F3983" s="96" t="s">
        <v>168</v>
      </c>
      <c r="G3983" s="100">
        <v>1713</v>
      </c>
    </row>
    <row r="3984" spans="2:7">
      <c r="B3984" s="118" t="s">
        <v>2008</v>
      </c>
      <c r="C3984" s="119">
        <v>6373</v>
      </c>
      <c r="E3984" s="96" t="s">
        <v>1163</v>
      </c>
      <c r="F3984" s="96" t="s">
        <v>168</v>
      </c>
      <c r="G3984" s="100">
        <v>1715</v>
      </c>
    </row>
    <row r="3985" spans="2:7">
      <c r="B3985" s="118" t="s">
        <v>2009</v>
      </c>
      <c r="C3985" s="119">
        <v>6362</v>
      </c>
      <c r="E3985" s="96" t="s">
        <v>1164</v>
      </c>
      <c r="F3985" s="96" t="s">
        <v>168</v>
      </c>
      <c r="G3985" s="100">
        <v>1721</v>
      </c>
    </row>
    <row r="3986" spans="2:7">
      <c r="B3986" s="118" t="s">
        <v>3225</v>
      </c>
      <c r="C3986" s="119">
        <v>6363</v>
      </c>
      <c r="E3986" s="96" t="s">
        <v>1165</v>
      </c>
      <c r="F3986" s="96" t="s">
        <v>168</v>
      </c>
      <c r="G3986" s="100">
        <v>1721</v>
      </c>
    </row>
    <row r="3987" spans="2:7">
      <c r="B3987" s="118" t="s">
        <v>3230</v>
      </c>
      <c r="C3987" s="119">
        <v>6363</v>
      </c>
      <c r="E3987" s="96" t="s">
        <v>1166</v>
      </c>
      <c r="F3987" s="96" t="s">
        <v>168</v>
      </c>
      <c r="G3987" s="100">
        <v>1772</v>
      </c>
    </row>
    <row r="3988" spans="2:7">
      <c r="B3988" s="118" t="s">
        <v>3226</v>
      </c>
      <c r="C3988" s="119">
        <v>6363</v>
      </c>
      <c r="E3988" s="96" t="s">
        <v>1167</v>
      </c>
      <c r="F3988" s="96" t="s">
        <v>168</v>
      </c>
      <c r="G3988" s="100">
        <v>1633</v>
      </c>
    </row>
    <row r="3989" spans="2:7">
      <c r="B3989" s="118" t="s">
        <v>3129</v>
      </c>
      <c r="C3989" s="119">
        <v>6365</v>
      </c>
      <c r="E3989" s="96" t="s">
        <v>1168</v>
      </c>
      <c r="F3989" s="96" t="s">
        <v>168</v>
      </c>
      <c r="G3989" s="100">
        <v>1754</v>
      </c>
    </row>
    <row r="3990" spans="2:7">
      <c r="B3990" s="118" t="s">
        <v>2014</v>
      </c>
      <c r="C3990" s="119">
        <v>6383</v>
      </c>
      <c r="E3990" s="96" t="s">
        <v>1169</v>
      </c>
      <c r="F3990" s="96" t="s">
        <v>168</v>
      </c>
      <c r="G3990" s="100">
        <v>1690</v>
      </c>
    </row>
    <row r="3991" spans="2:7">
      <c r="B3991" s="118" t="s">
        <v>3229</v>
      </c>
      <c r="C3991" s="119">
        <v>6383</v>
      </c>
      <c r="E3991" s="96" t="s">
        <v>1170</v>
      </c>
      <c r="F3991" s="96" t="s">
        <v>168</v>
      </c>
      <c r="G3991" s="100">
        <v>1566</v>
      </c>
    </row>
    <row r="3992" spans="2:7">
      <c r="B3992" s="118" t="s">
        <v>2013</v>
      </c>
      <c r="C3992" s="119">
        <v>6386</v>
      </c>
      <c r="E3992" s="96" t="s">
        <v>1171</v>
      </c>
      <c r="F3992" s="96" t="s">
        <v>168</v>
      </c>
      <c r="G3992" s="100">
        <v>1482</v>
      </c>
    </row>
    <row r="3993" spans="2:7">
      <c r="B3993" s="118" t="s">
        <v>3231</v>
      </c>
      <c r="C3993" s="119">
        <v>6387</v>
      </c>
      <c r="E3993" s="96" t="s">
        <v>1172</v>
      </c>
      <c r="F3993" s="96" t="s">
        <v>168</v>
      </c>
      <c r="G3993" s="100">
        <v>1634</v>
      </c>
    </row>
    <row r="3994" spans="2:7">
      <c r="B3994" s="118" t="s">
        <v>3213</v>
      </c>
      <c r="C3994" s="119">
        <v>6388</v>
      </c>
      <c r="E3994" s="96" t="s">
        <v>1173</v>
      </c>
      <c r="F3994" s="96" t="s">
        <v>168</v>
      </c>
      <c r="G3994" s="100">
        <v>1735</v>
      </c>
    </row>
    <row r="3995" spans="2:7">
      <c r="B3995" s="118" t="s">
        <v>2021</v>
      </c>
      <c r="C3995" s="119">
        <v>6390</v>
      </c>
      <c r="E3995" s="96" t="s">
        <v>1174</v>
      </c>
      <c r="F3995" s="96" t="s">
        <v>168</v>
      </c>
      <c r="G3995" s="100">
        <v>1660</v>
      </c>
    </row>
    <row r="3996" spans="2:7">
      <c r="B3996" s="118" t="s">
        <v>1581</v>
      </c>
      <c r="C3996" s="119">
        <v>8752</v>
      </c>
      <c r="E3996" s="96" t="s">
        <v>1175</v>
      </c>
      <c r="F3996" s="96" t="s">
        <v>168</v>
      </c>
      <c r="G3996" s="100">
        <v>1753</v>
      </c>
    </row>
    <row r="3997" spans="2:7">
      <c r="B3997" s="118" t="s">
        <v>1586</v>
      </c>
      <c r="C3997" s="119">
        <v>8753</v>
      </c>
      <c r="E3997" s="96" t="s">
        <v>1176</v>
      </c>
      <c r="F3997" s="96" t="s">
        <v>168</v>
      </c>
      <c r="G3997" s="100">
        <v>1673</v>
      </c>
    </row>
    <row r="3998" spans="2:7">
      <c r="B3998" s="118" t="s">
        <v>1578</v>
      </c>
      <c r="C3998" s="119">
        <v>8754</v>
      </c>
      <c r="E3998" s="96" t="s">
        <v>1177</v>
      </c>
      <c r="F3998" s="96" t="s">
        <v>168</v>
      </c>
      <c r="G3998" s="100">
        <v>1741</v>
      </c>
    </row>
    <row r="3999" spans="2:7">
      <c r="B3999" s="118" t="s">
        <v>1583</v>
      </c>
      <c r="C3999" s="119">
        <v>8757</v>
      </c>
      <c r="E3999" s="96" t="s">
        <v>1178</v>
      </c>
      <c r="F3999" s="96" t="s">
        <v>168</v>
      </c>
      <c r="G3999" s="100">
        <v>1615</v>
      </c>
    </row>
    <row r="4000" spans="2:7">
      <c r="B4000" s="118" t="s">
        <v>1584</v>
      </c>
      <c r="C4000" s="119">
        <v>8758</v>
      </c>
      <c r="E4000" s="96" t="s">
        <v>1179</v>
      </c>
      <c r="F4000" s="96" t="s">
        <v>168</v>
      </c>
      <c r="G4000" s="100">
        <v>1733</v>
      </c>
    </row>
    <row r="4001" spans="2:7">
      <c r="B4001" s="118" t="s">
        <v>1580</v>
      </c>
      <c r="C4001" s="119">
        <v>8865</v>
      </c>
      <c r="E4001" s="96" t="s">
        <v>1180</v>
      </c>
      <c r="F4001" s="96" t="s">
        <v>168</v>
      </c>
      <c r="G4001" s="100">
        <v>1483</v>
      </c>
    </row>
    <row r="4002" spans="2:7">
      <c r="B4002" s="118" t="s">
        <v>3232</v>
      </c>
      <c r="C4002" s="119">
        <v>8866</v>
      </c>
      <c r="E4002" s="96" t="s">
        <v>1181</v>
      </c>
      <c r="F4002" s="96" t="s">
        <v>168</v>
      </c>
      <c r="G4002" s="100">
        <v>1623</v>
      </c>
    </row>
    <row r="4003" spans="2:7">
      <c r="B4003" s="118" t="s">
        <v>1582</v>
      </c>
      <c r="C4003" s="119">
        <v>8867</v>
      </c>
      <c r="E4003" s="96" t="s">
        <v>1182</v>
      </c>
      <c r="F4003" s="96" t="s">
        <v>168</v>
      </c>
      <c r="G4003" s="100">
        <v>1785</v>
      </c>
    </row>
    <row r="4004" spans="2:7">
      <c r="B4004" s="118" t="s">
        <v>1579</v>
      </c>
      <c r="C4004" s="119">
        <v>8868</v>
      </c>
      <c r="E4004" s="96" t="s">
        <v>1183</v>
      </c>
      <c r="F4004" s="96" t="s">
        <v>168</v>
      </c>
      <c r="G4004" s="100">
        <v>1625</v>
      </c>
    </row>
    <row r="4005" spans="2:7">
      <c r="B4005" s="118" t="s">
        <v>1865</v>
      </c>
      <c r="C4005" s="119">
        <v>8872</v>
      </c>
      <c r="E4005" s="96" t="s">
        <v>1184</v>
      </c>
      <c r="F4005" s="96" t="s">
        <v>168</v>
      </c>
      <c r="G4005" s="100">
        <v>1666</v>
      </c>
    </row>
    <row r="4006" spans="2:7">
      <c r="B4006" s="118" t="s">
        <v>1585</v>
      </c>
      <c r="C4006" s="119">
        <v>8874</v>
      </c>
      <c r="E4006" s="96" t="s">
        <v>1185</v>
      </c>
      <c r="F4006" s="96" t="s">
        <v>168</v>
      </c>
      <c r="G4006" s="100">
        <v>1694</v>
      </c>
    </row>
    <row r="4007" spans="2:7">
      <c r="B4007" s="118" t="s">
        <v>180</v>
      </c>
      <c r="C4007" s="119">
        <v>8750</v>
      </c>
      <c r="E4007" s="96" t="s">
        <v>1186</v>
      </c>
      <c r="F4007" s="96" t="s">
        <v>168</v>
      </c>
      <c r="G4007" s="100">
        <v>1714</v>
      </c>
    </row>
    <row r="4008" spans="2:7">
      <c r="B4008" s="118" t="s">
        <v>1575</v>
      </c>
      <c r="C4008" s="119">
        <v>8755</v>
      </c>
      <c r="E4008" s="96" t="s">
        <v>1187</v>
      </c>
      <c r="F4008" s="96" t="s">
        <v>168</v>
      </c>
      <c r="G4008" s="100">
        <v>1734</v>
      </c>
    </row>
    <row r="4009" spans="2:7">
      <c r="B4009" s="118" t="s">
        <v>1569</v>
      </c>
      <c r="C4009" s="119">
        <v>8756</v>
      </c>
      <c r="E4009" s="96" t="s">
        <v>1188</v>
      </c>
      <c r="F4009" s="96" t="s">
        <v>168</v>
      </c>
      <c r="G4009" s="100">
        <v>1717</v>
      </c>
    </row>
    <row r="4010" spans="2:7">
      <c r="B4010" s="118" t="s">
        <v>1563</v>
      </c>
      <c r="C4010" s="119">
        <v>8762</v>
      </c>
      <c r="E4010" s="96" t="s">
        <v>1189</v>
      </c>
      <c r="F4010" s="96" t="s">
        <v>168</v>
      </c>
      <c r="G4010" s="100">
        <v>1690</v>
      </c>
    </row>
    <row r="4011" spans="2:7">
      <c r="B4011" s="118" t="s">
        <v>1566</v>
      </c>
      <c r="C4011" s="119">
        <v>8762</v>
      </c>
      <c r="E4011" s="96" t="s">
        <v>1190</v>
      </c>
      <c r="F4011" s="96" t="s">
        <v>168</v>
      </c>
      <c r="G4011" s="100">
        <v>1661</v>
      </c>
    </row>
    <row r="4012" spans="2:7">
      <c r="B4012" s="118" t="s">
        <v>1560</v>
      </c>
      <c r="C4012" s="119">
        <v>8762</v>
      </c>
      <c r="E4012" s="96" t="s">
        <v>1191</v>
      </c>
      <c r="F4012" s="96" t="s">
        <v>168</v>
      </c>
      <c r="G4012" s="100">
        <v>1699</v>
      </c>
    </row>
    <row r="4013" spans="2:7">
      <c r="B4013" s="118" t="s">
        <v>1562</v>
      </c>
      <c r="C4013" s="119">
        <v>8765</v>
      </c>
      <c r="E4013" s="96" t="s">
        <v>1192</v>
      </c>
      <c r="F4013" s="96" t="s">
        <v>168</v>
      </c>
      <c r="G4013" s="100">
        <v>3216</v>
      </c>
    </row>
    <row r="4014" spans="2:7">
      <c r="B4014" s="118" t="s">
        <v>1574</v>
      </c>
      <c r="C4014" s="119">
        <v>8766</v>
      </c>
      <c r="E4014" s="96" t="s">
        <v>1193</v>
      </c>
      <c r="F4014" s="96" t="s">
        <v>168</v>
      </c>
      <c r="G4014" s="100">
        <v>1624</v>
      </c>
    </row>
    <row r="4015" spans="2:7">
      <c r="B4015" s="118" t="s">
        <v>1565</v>
      </c>
      <c r="C4015" s="119">
        <v>8767</v>
      </c>
      <c r="E4015" s="96" t="s">
        <v>1194</v>
      </c>
      <c r="F4015" s="96" t="s">
        <v>168</v>
      </c>
      <c r="G4015" s="100">
        <v>1475</v>
      </c>
    </row>
    <row r="4016" spans="2:7">
      <c r="B4016" s="118" t="s">
        <v>1570</v>
      </c>
      <c r="C4016" s="119">
        <v>8772</v>
      </c>
      <c r="E4016" s="96" t="s">
        <v>1195</v>
      </c>
      <c r="F4016" s="96" t="s">
        <v>168</v>
      </c>
      <c r="G4016" s="100">
        <v>1782</v>
      </c>
    </row>
    <row r="4017" spans="2:7">
      <c r="B4017" s="118" t="s">
        <v>1571</v>
      </c>
      <c r="C4017" s="119">
        <v>8773</v>
      </c>
      <c r="E4017" s="96" t="s">
        <v>1196</v>
      </c>
      <c r="F4017" s="96" t="s">
        <v>168</v>
      </c>
      <c r="G4017" s="100">
        <v>1731</v>
      </c>
    </row>
    <row r="4018" spans="2:7">
      <c r="B4018" s="118" t="s">
        <v>1559</v>
      </c>
      <c r="C4018" s="119">
        <v>8774</v>
      </c>
      <c r="E4018" s="96" t="s">
        <v>1197</v>
      </c>
      <c r="F4018" s="96" t="s">
        <v>168</v>
      </c>
      <c r="G4018" s="100">
        <v>1746</v>
      </c>
    </row>
    <row r="4019" spans="2:7">
      <c r="B4019" s="118" t="s">
        <v>1572</v>
      </c>
      <c r="C4019" s="119">
        <v>8775</v>
      </c>
      <c r="E4019" s="96" t="s">
        <v>1198</v>
      </c>
      <c r="F4019" s="96" t="s">
        <v>168</v>
      </c>
      <c r="G4019" s="100">
        <v>1568</v>
      </c>
    </row>
    <row r="4020" spans="2:7">
      <c r="B4020" s="118" t="s">
        <v>1558</v>
      </c>
      <c r="C4020" s="119">
        <v>8775</v>
      </c>
      <c r="E4020" s="96" t="s">
        <v>1199</v>
      </c>
      <c r="F4020" s="96" t="s">
        <v>168</v>
      </c>
      <c r="G4020" s="100">
        <v>1642</v>
      </c>
    </row>
    <row r="4021" spans="2:7">
      <c r="B4021" s="118" t="s">
        <v>1568</v>
      </c>
      <c r="C4021" s="119">
        <v>8777</v>
      </c>
      <c r="E4021" s="96" t="s">
        <v>1200</v>
      </c>
      <c r="F4021" s="96" t="s">
        <v>168</v>
      </c>
      <c r="G4021" s="100">
        <v>1718</v>
      </c>
    </row>
    <row r="4022" spans="2:7">
      <c r="B4022" s="118" t="s">
        <v>1564</v>
      </c>
      <c r="C4022" s="119">
        <v>8777</v>
      </c>
      <c r="E4022" s="96" t="s">
        <v>1201</v>
      </c>
      <c r="F4022" s="96" t="s">
        <v>168</v>
      </c>
      <c r="G4022" s="100">
        <v>1684</v>
      </c>
    </row>
    <row r="4023" spans="2:7">
      <c r="B4023" s="118" t="s">
        <v>1573</v>
      </c>
      <c r="C4023" s="119">
        <v>8782</v>
      </c>
      <c r="E4023" s="96" t="s">
        <v>1202</v>
      </c>
      <c r="F4023" s="96" t="s">
        <v>168</v>
      </c>
      <c r="G4023" s="100">
        <v>1617</v>
      </c>
    </row>
    <row r="4024" spans="2:7">
      <c r="B4024" s="118" t="s">
        <v>1567</v>
      </c>
      <c r="C4024" s="119">
        <v>8783</v>
      </c>
      <c r="E4024" s="96" t="s">
        <v>1203</v>
      </c>
      <c r="F4024" s="96" t="s">
        <v>168</v>
      </c>
      <c r="G4024" s="100">
        <v>1627</v>
      </c>
    </row>
    <row r="4025" spans="2:7">
      <c r="B4025" s="118" t="s">
        <v>1561</v>
      </c>
      <c r="C4025" s="119">
        <v>8784</v>
      </c>
      <c r="E4025" s="96" t="s">
        <v>1204</v>
      </c>
      <c r="F4025" s="96" t="s">
        <v>168</v>
      </c>
      <c r="G4025" s="100">
        <v>1544</v>
      </c>
    </row>
    <row r="4026" spans="2:7">
      <c r="B4026" s="118" t="s">
        <v>180</v>
      </c>
      <c r="C4026" s="119">
        <v>8750</v>
      </c>
      <c r="E4026" s="96" t="s">
        <v>1205</v>
      </c>
      <c r="F4026" s="96" t="s">
        <v>168</v>
      </c>
      <c r="G4026" s="100">
        <v>1737</v>
      </c>
    </row>
    <row r="4027" spans="2:7">
      <c r="B4027" s="118" t="s">
        <v>1576</v>
      </c>
      <c r="C4027" s="119">
        <v>8750</v>
      </c>
      <c r="E4027" s="96" t="s">
        <v>1206</v>
      </c>
      <c r="F4027" s="96" t="s">
        <v>168</v>
      </c>
      <c r="G4027" s="100">
        <v>1532</v>
      </c>
    </row>
    <row r="4028" spans="2:7">
      <c r="B4028" s="118" t="s">
        <v>1577</v>
      </c>
      <c r="C4028" s="119">
        <v>8750</v>
      </c>
      <c r="E4028" s="96" t="s">
        <v>1207</v>
      </c>
      <c r="F4028" s="96" t="s">
        <v>168</v>
      </c>
      <c r="G4028" s="100">
        <v>1609</v>
      </c>
    </row>
    <row r="4029" spans="2:7">
      <c r="B4029" s="118" t="s">
        <v>1578</v>
      </c>
      <c r="C4029" s="119">
        <v>8754</v>
      </c>
      <c r="E4029" s="96" t="s">
        <v>1208</v>
      </c>
      <c r="F4029" s="96" t="s">
        <v>168</v>
      </c>
      <c r="G4029" s="100">
        <v>1691</v>
      </c>
    </row>
    <row r="4030" spans="2:7">
      <c r="B4030" s="118" t="s">
        <v>1575</v>
      </c>
      <c r="C4030" s="119">
        <v>8755</v>
      </c>
      <c r="E4030" s="96" t="s">
        <v>1209</v>
      </c>
      <c r="F4030" s="96" t="s">
        <v>168</v>
      </c>
      <c r="G4030" s="100">
        <v>1736</v>
      </c>
    </row>
    <row r="4031" spans="2:7">
      <c r="B4031" s="118" t="s">
        <v>1547</v>
      </c>
      <c r="C4031" s="119">
        <v>6300</v>
      </c>
      <c r="E4031" s="96" t="s">
        <v>1210</v>
      </c>
      <c r="F4031" s="96" t="s">
        <v>168</v>
      </c>
      <c r="G4031" s="100">
        <v>3286</v>
      </c>
    </row>
    <row r="4032" spans="2:7">
      <c r="B4032" s="118" t="s">
        <v>1551</v>
      </c>
      <c r="C4032" s="119">
        <v>6312</v>
      </c>
      <c r="E4032" s="96" t="s">
        <v>1211</v>
      </c>
      <c r="F4032" s="96" t="s">
        <v>168</v>
      </c>
      <c r="G4032" s="100">
        <v>1785</v>
      </c>
    </row>
    <row r="4033" spans="2:7">
      <c r="B4033" s="118" t="s">
        <v>3233</v>
      </c>
      <c r="C4033" s="119">
        <v>6314</v>
      </c>
      <c r="E4033" s="96" t="s">
        <v>1212</v>
      </c>
      <c r="F4033" s="96" t="s">
        <v>168</v>
      </c>
      <c r="G4033" s="100">
        <v>1749</v>
      </c>
    </row>
    <row r="4034" spans="2:7">
      <c r="B4034" s="118" t="s">
        <v>3234</v>
      </c>
      <c r="C4034" s="119">
        <v>6319</v>
      </c>
      <c r="E4034" s="96" t="s">
        <v>1213</v>
      </c>
      <c r="F4034" s="96" t="s">
        <v>168</v>
      </c>
      <c r="G4034" s="100">
        <v>1732</v>
      </c>
    </row>
    <row r="4035" spans="2:7">
      <c r="B4035" s="118" t="s">
        <v>1548</v>
      </c>
      <c r="C4035" s="119">
        <v>6340</v>
      </c>
      <c r="E4035" s="96" t="s">
        <v>1214</v>
      </c>
      <c r="F4035" s="96" t="s">
        <v>168</v>
      </c>
      <c r="G4035" s="100">
        <v>1647</v>
      </c>
    </row>
    <row r="4036" spans="2:7">
      <c r="B4036" s="118" t="s">
        <v>1557</v>
      </c>
      <c r="C4036" s="119">
        <v>6345</v>
      </c>
      <c r="E4036" s="96" t="s">
        <v>1215</v>
      </c>
      <c r="F4036" s="96" t="s">
        <v>168</v>
      </c>
      <c r="G4036" s="100">
        <v>1614</v>
      </c>
    </row>
    <row r="4037" spans="2:7">
      <c r="B4037" s="118" t="s">
        <v>1549</v>
      </c>
      <c r="C4037" s="119">
        <v>6330</v>
      </c>
      <c r="E4037" s="96" t="s">
        <v>1216</v>
      </c>
      <c r="F4037" s="96" t="s">
        <v>168</v>
      </c>
      <c r="G4037" s="100">
        <v>1744</v>
      </c>
    </row>
    <row r="4038" spans="2:7">
      <c r="B4038" s="118" t="s">
        <v>1552</v>
      </c>
      <c r="C4038" s="119">
        <v>6331</v>
      </c>
      <c r="E4038" s="96" t="s">
        <v>1217</v>
      </c>
      <c r="F4038" s="96" t="s">
        <v>168</v>
      </c>
      <c r="G4038" s="100">
        <v>1666</v>
      </c>
    </row>
    <row r="4039" spans="2:7">
      <c r="B4039" s="118" t="s">
        <v>3235</v>
      </c>
      <c r="C4039" s="119">
        <v>6332</v>
      </c>
      <c r="E4039" s="96" t="s">
        <v>1218</v>
      </c>
      <c r="F4039" s="96" t="s">
        <v>168</v>
      </c>
      <c r="G4039" s="100">
        <v>1553</v>
      </c>
    </row>
    <row r="4040" spans="2:7">
      <c r="B4040" s="118" t="s">
        <v>632</v>
      </c>
      <c r="C4040" s="119">
        <v>5642</v>
      </c>
      <c r="E4040" s="96" t="s">
        <v>1219</v>
      </c>
      <c r="F4040" s="96" t="s">
        <v>168</v>
      </c>
      <c r="G4040" s="100">
        <v>1646</v>
      </c>
    </row>
    <row r="4041" spans="2:7">
      <c r="B4041" s="118" t="s">
        <v>1552</v>
      </c>
      <c r="C4041" s="119">
        <v>6331</v>
      </c>
      <c r="E4041" s="96" t="s">
        <v>1220</v>
      </c>
      <c r="F4041" s="96" t="s">
        <v>168</v>
      </c>
      <c r="G4041" s="100">
        <v>1742</v>
      </c>
    </row>
    <row r="4042" spans="2:7">
      <c r="B4042" s="118" t="s">
        <v>3235</v>
      </c>
      <c r="C4042" s="119">
        <v>6332</v>
      </c>
      <c r="E4042" s="96" t="s">
        <v>1221</v>
      </c>
      <c r="F4042" s="96" t="s">
        <v>168</v>
      </c>
      <c r="G4042" s="100">
        <v>1681</v>
      </c>
    </row>
    <row r="4043" spans="2:7">
      <c r="B4043" s="118" t="s">
        <v>3236</v>
      </c>
      <c r="C4043" s="119">
        <v>6333</v>
      </c>
      <c r="E4043" s="96" t="s">
        <v>1222</v>
      </c>
      <c r="F4043" s="96" t="s">
        <v>168</v>
      </c>
      <c r="G4043" s="100">
        <v>1772</v>
      </c>
    </row>
    <row r="4044" spans="2:7">
      <c r="B4044" s="118" t="s">
        <v>1555</v>
      </c>
      <c r="C4044" s="119">
        <v>6313</v>
      </c>
      <c r="E4044" s="96" t="s">
        <v>1223</v>
      </c>
      <c r="F4044" s="96" t="s">
        <v>168</v>
      </c>
      <c r="G4044" s="100">
        <v>1528</v>
      </c>
    </row>
    <row r="4045" spans="2:7">
      <c r="B4045" s="118" t="s">
        <v>1555</v>
      </c>
      <c r="C4045" s="119">
        <v>6313</v>
      </c>
      <c r="E4045" s="96" t="s">
        <v>1224</v>
      </c>
      <c r="F4045" s="96" t="s">
        <v>168</v>
      </c>
      <c r="G4045" s="100">
        <v>1754</v>
      </c>
    </row>
    <row r="4046" spans="2:7">
      <c r="B4046" s="118" t="s">
        <v>3237</v>
      </c>
      <c r="C4046" s="119">
        <v>6313</v>
      </c>
      <c r="E4046" s="96" t="s">
        <v>1225</v>
      </c>
      <c r="F4046" s="96" t="s">
        <v>168</v>
      </c>
      <c r="G4046" s="100">
        <v>3285</v>
      </c>
    </row>
    <row r="4047" spans="2:7">
      <c r="B4047" s="118" t="s">
        <v>3238</v>
      </c>
      <c r="C4047" s="119">
        <v>6313</v>
      </c>
      <c r="E4047" s="96" t="s">
        <v>1226</v>
      </c>
      <c r="F4047" s="96" t="s">
        <v>168</v>
      </c>
      <c r="G4047" s="100">
        <v>1656</v>
      </c>
    </row>
    <row r="4048" spans="2:7">
      <c r="B4048" s="118" t="s">
        <v>3233</v>
      </c>
      <c r="C4048" s="119">
        <v>6314</v>
      </c>
      <c r="E4048" s="96" t="s">
        <v>1227</v>
      </c>
      <c r="F4048" s="96" t="s">
        <v>168</v>
      </c>
      <c r="G4048" s="100">
        <v>1719</v>
      </c>
    </row>
    <row r="4049" spans="2:7">
      <c r="B4049" s="118" t="s">
        <v>3239</v>
      </c>
      <c r="C4049" s="119">
        <v>6315</v>
      </c>
      <c r="E4049" s="96" t="s">
        <v>1228</v>
      </c>
      <c r="F4049" s="96" t="s">
        <v>168</v>
      </c>
      <c r="G4049" s="100">
        <v>3213</v>
      </c>
    </row>
    <row r="4050" spans="2:7">
      <c r="B4050" s="118" t="s">
        <v>1555</v>
      </c>
      <c r="C4050" s="119">
        <v>6313</v>
      </c>
      <c r="E4050" s="96" t="s">
        <v>1229</v>
      </c>
      <c r="F4050" s="96" t="s">
        <v>168</v>
      </c>
      <c r="G4050" s="100">
        <v>1648</v>
      </c>
    </row>
    <row r="4051" spans="2:7">
      <c r="B4051" s="118" t="s">
        <v>1548</v>
      </c>
      <c r="C4051" s="119">
        <v>6340</v>
      </c>
      <c r="E4051" s="96" t="s">
        <v>1230</v>
      </c>
      <c r="F4051" s="96" t="s">
        <v>168</v>
      </c>
      <c r="G4051" s="100">
        <v>1649</v>
      </c>
    </row>
    <row r="4052" spans="2:7">
      <c r="B4052" s="118" t="s">
        <v>2785</v>
      </c>
      <c r="C4052" s="119">
        <v>6340</v>
      </c>
      <c r="E4052" s="96" t="s">
        <v>1231</v>
      </c>
      <c r="F4052" s="96" t="s">
        <v>168</v>
      </c>
      <c r="G4052" s="100">
        <v>1638</v>
      </c>
    </row>
    <row r="4053" spans="2:7">
      <c r="B4053" s="118" t="s">
        <v>1557</v>
      </c>
      <c r="C4053" s="119">
        <v>6345</v>
      </c>
      <c r="E4053" s="96" t="s">
        <v>1232</v>
      </c>
      <c r="F4053" s="96" t="s">
        <v>168</v>
      </c>
      <c r="G4053" s="100">
        <v>3280</v>
      </c>
    </row>
    <row r="4054" spans="2:7">
      <c r="B4054" s="118" t="s">
        <v>1553</v>
      </c>
      <c r="C4054" s="119">
        <v>6314</v>
      </c>
      <c r="E4054" s="96" t="s">
        <v>1233</v>
      </c>
      <c r="F4054" s="96" t="s">
        <v>168</v>
      </c>
      <c r="G4054" s="100">
        <v>1652</v>
      </c>
    </row>
    <row r="4055" spans="2:7">
      <c r="B4055" s="118" t="s">
        <v>1554</v>
      </c>
      <c r="C4055" s="119">
        <v>6315</v>
      </c>
      <c r="E4055" s="96" t="s">
        <v>1234</v>
      </c>
      <c r="F4055" s="96" t="s">
        <v>168</v>
      </c>
      <c r="G4055" s="100">
        <v>1692</v>
      </c>
    </row>
    <row r="4056" spans="2:7">
      <c r="B4056" s="118" t="s">
        <v>3239</v>
      </c>
      <c r="C4056" s="119">
        <v>6315</v>
      </c>
      <c r="E4056" s="96" t="s">
        <v>1235</v>
      </c>
      <c r="F4056" s="96" t="s">
        <v>168</v>
      </c>
      <c r="G4056" s="100">
        <v>3284</v>
      </c>
    </row>
    <row r="4057" spans="2:7">
      <c r="B4057" s="118" t="s">
        <v>3206</v>
      </c>
      <c r="C4057" s="119">
        <v>6315</v>
      </c>
      <c r="E4057" s="96" t="s">
        <v>1236</v>
      </c>
      <c r="F4057" s="96" t="s">
        <v>168</v>
      </c>
      <c r="G4057" s="100">
        <v>1473</v>
      </c>
    </row>
    <row r="4058" spans="2:7">
      <c r="B4058" s="118" t="s">
        <v>1419</v>
      </c>
      <c r="C4058" s="119">
        <v>6417</v>
      </c>
      <c r="E4058" s="96" t="s">
        <v>1237</v>
      </c>
      <c r="F4058" s="96" t="s">
        <v>168</v>
      </c>
      <c r="G4058" s="100">
        <v>3211</v>
      </c>
    </row>
    <row r="4059" spans="2:7">
      <c r="B4059" s="118" t="s">
        <v>1417</v>
      </c>
      <c r="C4059" s="119">
        <v>6418</v>
      </c>
      <c r="E4059" s="96" t="s">
        <v>1238</v>
      </c>
      <c r="F4059" s="96" t="s">
        <v>168</v>
      </c>
      <c r="G4059" s="100">
        <v>1565</v>
      </c>
    </row>
    <row r="4060" spans="2:7">
      <c r="B4060" s="118" t="s">
        <v>3178</v>
      </c>
      <c r="C4060" s="119">
        <v>8836</v>
      </c>
      <c r="E4060" s="96" t="s">
        <v>1239</v>
      </c>
      <c r="F4060" s="96" t="s">
        <v>168</v>
      </c>
      <c r="G4060" s="100">
        <v>1485</v>
      </c>
    </row>
    <row r="4061" spans="2:7">
      <c r="B4061" s="118" t="s">
        <v>3240</v>
      </c>
      <c r="C4061" s="119">
        <v>6343</v>
      </c>
      <c r="E4061" s="96" t="s">
        <v>1240</v>
      </c>
      <c r="F4061" s="96" t="s">
        <v>168</v>
      </c>
      <c r="G4061" s="100">
        <v>1727</v>
      </c>
    </row>
    <row r="4062" spans="2:7">
      <c r="B4062" s="118" t="s">
        <v>3241</v>
      </c>
      <c r="C4062" s="119">
        <v>6343</v>
      </c>
      <c r="E4062" s="96" t="s">
        <v>1241</v>
      </c>
      <c r="F4062" s="96" t="s">
        <v>168</v>
      </c>
      <c r="G4062" s="100">
        <v>1533</v>
      </c>
    </row>
    <row r="4063" spans="2:7">
      <c r="B4063" s="118" t="s">
        <v>1550</v>
      </c>
      <c r="C4063" s="119">
        <v>6343</v>
      </c>
      <c r="E4063" s="96" t="s">
        <v>1242</v>
      </c>
      <c r="F4063" s="96" t="s">
        <v>168</v>
      </c>
      <c r="G4063" s="100">
        <v>1529</v>
      </c>
    </row>
    <row r="4064" spans="2:7">
      <c r="B4064" s="118" t="s">
        <v>3242</v>
      </c>
      <c r="C4064" s="119">
        <v>6343</v>
      </c>
      <c r="E4064" s="96" t="s">
        <v>1243</v>
      </c>
      <c r="F4064" s="96" t="s">
        <v>168</v>
      </c>
      <c r="G4064" s="100">
        <v>1674</v>
      </c>
    </row>
    <row r="4065" spans="2:7">
      <c r="B4065" s="118" t="s">
        <v>1551</v>
      </c>
      <c r="C4065" s="119">
        <v>6312</v>
      </c>
      <c r="E4065" s="96" t="s">
        <v>1244</v>
      </c>
      <c r="F4065" s="96" t="s">
        <v>168</v>
      </c>
      <c r="G4065" s="100">
        <v>1669</v>
      </c>
    </row>
    <row r="4066" spans="2:7">
      <c r="B4066" s="118" t="s">
        <v>1549</v>
      </c>
      <c r="C4066" s="119">
        <v>6330</v>
      </c>
      <c r="E4066" s="96" t="s">
        <v>1245</v>
      </c>
      <c r="F4066" s="96" t="s">
        <v>168</v>
      </c>
      <c r="G4066" s="100">
        <v>1673</v>
      </c>
    </row>
    <row r="4067" spans="2:7">
      <c r="B4067" s="118" t="s">
        <v>1553</v>
      </c>
      <c r="C4067" s="119">
        <v>6314</v>
      </c>
      <c r="E4067" s="96" t="s">
        <v>1246</v>
      </c>
      <c r="F4067" s="96" t="s">
        <v>168</v>
      </c>
      <c r="G4067" s="100">
        <v>1653</v>
      </c>
    </row>
    <row r="4068" spans="2:7">
      <c r="B4068" s="118" t="s">
        <v>3233</v>
      </c>
      <c r="C4068" s="119">
        <v>6314</v>
      </c>
      <c r="E4068" s="96" t="s">
        <v>1247</v>
      </c>
      <c r="F4068" s="96" t="s">
        <v>168</v>
      </c>
      <c r="G4068" s="100">
        <v>1541</v>
      </c>
    </row>
    <row r="4069" spans="2:7">
      <c r="B4069" s="118" t="s">
        <v>1554</v>
      </c>
      <c r="C4069" s="119">
        <v>6315</v>
      </c>
      <c r="E4069" s="96" t="s">
        <v>1248</v>
      </c>
      <c r="F4069" s="96" t="s">
        <v>168</v>
      </c>
      <c r="G4069" s="100">
        <v>3215</v>
      </c>
    </row>
    <row r="4070" spans="2:7">
      <c r="B4070" s="118" t="s">
        <v>1556</v>
      </c>
      <c r="C4070" s="119">
        <v>6318</v>
      </c>
      <c r="E4070" s="96" t="s">
        <v>1249</v>
      </c>
      <c r="F4070" s="96" t="s">
        <v>168</v>
      </c>
      <c r="G4070" s="100">
        <v>1673</v>
      </c>
    </row>
    <row r="4071" spans="2:7">
      <c r="B4071" s="118" t="s">
        <v>1547</v>
      </c>
      <c r="C4071" s="119">
        <v>6300</v>
      </c>
      <c r="E4071" s="96" t="s">
        <v>1250</v>
      </c>
      <c r="F4071" s="96" t="s">
        <v>168</v>
      </c>
      <c r="G4071" s="100">
        <v>1653</v>
      </c>
    </row>
    <row r="4072" spans="2:7">
      <c r="B4072" s="118" t="s">
        <v>3243</v>
      </c>
      <c r="C4072" s="119">
        <v>6300</v>
      </c>
      <c r="E4072" s="96" t="s">
        <v>1251</v>
      </c>
      <c r="F4072" s="96" t="s">
        <v>168</v>
      </c>
      <c r="G4072" s="100">
        <v>1724</v>
      </c>
    </row>
    <row r="4073" spans="2:7">
      <c r="B4073" s="118" t="s">
        <v>3233</v>
      </c>
      <c r="C4073" s="119">
        <v>6314</v>
      </c>
      <c r="E4073" s="96" t="s">
        <v>1252</v>
      </c>
      <c r="F4073" s="96" t="s">
        <v>168</v>
      </c>
      <c r="G4073" s="100">
        <v>1608</v>
      </c>
    </row>
    <row r="4074" spans="2:7">
      <c r="B4074" s="118" t="s">
        <v>3244</v>
      </c>
      <c r="C4074" s="119">
        <v>6317</v>
      </c>
      <c r="E4074" s="96" t="s">
        <v>1253</v>
      </c>
      <c r="F4074" s="96" t="s">
        <v>168</v>
      </c>
      <c r="G4074" s="100">
        <v>1686</v>
      </c>
    </row>
    <row r="4075" spans="2:7">
      <c r="B4075" s="118" t="s">
        <v>1556</v>
      </c>
      <c r="C4075" s="119">
        <v>6318</v>
      </c>
      <c r="E4075" s="96" t="s">
        <v>1254</v>
      </c>
      <c r="F4075" s="96" t="s">
        <v>168</v>
      </c>
      <c r="G4075" s="100">
        <v>3280</v>
      </c>
    </row>
    <row r="4076" spans="2:7">
      <c r="B4076" s="118" t="s">
        <v>1549</v>
      </c>
      <c r="C4076" s="119">
        <v>6330</v>
      </c>
      <c r="E4076" s="96" t="s">
        <v>1255</v>
      </c>
      <c r="F4076" s="96" t="s">
        <v>168</v>
      </c>
      <c r="G4076" s="100">
        <v>1724</v>
      </c>
    </row>
    <row r="4077" spans="2:7">
      <c r="B4077" s="118" t="s">
        <v>3245</v>
      </c>
      <c r="C4077" s="119">
        <v>1473</v>
      </c>
      <c r="E4077" s="96" t="s">
        <v>1256</v>
      </c>
      <c r="F4077" s="96" t="s">
        <v>168</v>
      </c>
      <c r="G4077" s="100">
        <v>1723</v>
      </c>
    </row>
    <row r="4078" spans="2:7">
      <c r="B4078" s="118" t="s">
        <v>3246</v>
      </c>
      <c r="C4078" s="119">
        <v>1482</v>
      </c>
      <c r="E4078" s="96" t="s">
        <v>1257</v>
      </c>
      <c r="F4078" s="96" t="s">
        <v>168</v>
      </c>
      <c r="G4078" s="100">
        <v>1723</v>
      </c>
    </row>
    <row r="4079" spans="2:7">
      <c r="B4079" s="118" t="s">
        <v>3247</v>
      </c>
      <c r="C4079" s="119">
        <v>1483</v>
      </c>
      <c r="E4079" s="96" t="s">
        <v>1258</v>
      </c>
      <c r="F4079" s="96" t="s">
        <v>168</v>
      </c>
      <c r="G4079" s="100">
        <v>1410</v>
      </c>
    </row>
    <row r="4080" spans="2:7">
      <c r="B4080" s="118" t="s">
        <v>1206</v>
      </c>
      <c r="C4080" s="119">
        <v>1532</v>
      </c>
      <c r="E4080" s="96" t="s">
        <v>1259</v>
      </c>
      <c r="F4080" s="96" t="s">
        <v>168</v>
      </c>
      <c r="G4080" s="100">
        <v>3238</v>
      </c>
    </row>
    <row r="4081" spans="2:7">
      <c r="B4081" s="118" t="s">
        <v>1204</v>
      </c>
      <c r="C4081" s="119">
        <v>1544</v>
      </c>
      <c r="E4081" s="96" t="s">
        <v>1260</v>
      </c>
      <c r="F4081" s="96" t="s">
        <v>180</v>
      </c>
      <c r="G4081" s="100">
        <v>8757</v>
      </c>
    </row>
    <row r="4082" spans="2:7">
      <c r="B4082" s="118" t="s">
        <v>3248</v>
      </c>
      <c r="C4082" s="119">
        <v>1470</v>
      </c>
      <c r="E4082" s="96" t="s">
        <v>180</v>
      </c>
      <c r="F4082" s="96" t="s">
        <v>180</v>
      </c>
      <c r="G4082" s="100">
        <v>8750</v>
      </c>
    </row>
    <row r="4083" spans="2:7">
      <c r="B4083" s="118" t="s">
        <v>3249</v>
      </c>
      <c r="C4083" s="119">
        <v>1470</v>
      </c>
      <c r="E4083" s="96" t="s">
        <v>1261</v>
      </c>
      <c r="F4083" s="96" t="s">
        <v>180</v>
      </c>
      <c r="G4083" s="100">
        <v>8762</v>
      </c>
    </row>
    <row r="4084" spans="2:7">
      <c r="B4084" s="118" t="s">
        <v>3250</v>
      </c>
      <c r="C4084" s="119">
        <v>1470</v>
      </c>
      <c r="E4084" s="96" t="s">
        <v>165</v>
      </c>
      <c r="F4084" s="96" t="s">
        <v>165</v>
      </c>
      <c r="G4084" s="100">
        <v>6000</v>
      </c>
    </row>
    <row r="4085" spans="2:7">
      <c r="B4085" s="118" t="s">
        <v>3251</v>
      </c>
      <c r="C4085" s="119">
        <v>1470</v>
      </c>
      <c r="E4085" s="96" t="s">
        <v>1262</v>
      </c>
      <c r="F4085" s="96" t="s">
        <v>165</v>
      </c>
      <c r="G4085" s="100">
        <v>6032</v>
      </c>
    </row>
    <row r="4086" spans="2:7">
      <c r="B4086" s="118" t="s">
        <v>1241</v>
      </c>
      <c r="C4086" s="119">
        <v>1533</v>
      </c>
      <c r="E4086" s="96" t="s">
        <v>1263</v>
      </c>
      <c r="F4086" s="96" t="s">
        <v>165</v>
      </c>
      <c r="G4086" s="100">
        <v>6010</v>
      </c>
    </row>
    <row r="4087" spans="2:7">
      <c r="B4087" s="118" t="s">
        <v>257</v>
      </c>
      <c r="C4087" s="119">
        <v>1562</v>
      </c>
      <c r="E4087" s="96" t="s">
        <v>1264</v>
      </c>
      <c r="F4087" s="96" t="s">
        <v>165</v>
      </c>
      <c r="G4087" s="100">
        <v>6048</v>
      </c>
    </row>
    <row r="4088" spans="2:7">
      <c r="B4088" s="118" t="s">
        <v>3252</v>
      </c>
      <c r="C4088" s="119">
        <v>1774</v>
      </c>
      <c r="E4088" s="96" t="s">
        <v>1265</v>
      </c>
      <c r="F4088" s="96" t="s">
        <v>165</v>
      </c>
      <c r="G4088" s="100">
        <v>6030</v>
      </c>
    </row>
    <row r="4089" spans="2:7">
      <c r="B4089" s="118" t="s">
        <v>3252</v>
      </c>
      <c r="C4089" s="119">
        <v>1774</v>
      </c>
      <c r="E4089" s="96" t="s">
        <v>1266</v>
      </c>
      <c r="F4089" s="96" t="s">
        <v>165</v>
      </c>
      <c r="G4089" s="100">
        <v>6210</v>
      </c>
    </row>
    <row r="4090" spans="2:7">
      <c r="B4090" s="118" t="s">
        <v>3253</v>
      </c>
      <c r="C4090" s="119">
        <v>1774</v>
      </c>
      <c r="E4090" s="96" t="s">
        <v>1267</v>
      </c>
      <c r="F4090" s="96" t="s">
        <v>165</v>
      </c>
      <c r="G4090" s="100">
        <v>6280</v>
      </c>
    </row>
    <row r="4091" spans="2:7">
      <c r="B4091" s="118" t="s">
        <v>3254</v>
      </c>
      <c r="C4091" s="119">
        <v>1775</v>
      </c>
      <c r="E4091" s="96" t="s">
        <v>1268</v>
      </c>
      <c r="F4091" s="96" t="s">
        <v>165</v>
      </c>
      <c r="G4091" s="100">
        <v>6130</v>
      </c>
    </row>
    <row r="4092" spans="2:7">
      <c r="B4092" s="118" t="s">
        <v>3255</v>
      </c>
      <c r="C4092" s="119">
        <v>1775</v>
      </c>
      <c r="E4092" s="96" t="s">
        <v>1269</v>
      </c>
      <c r="F4092" s="96" t="s">
        <v>165</v>
      </c>
      <c r="G4092" s="100">
        <v>6023</v>
      </c>
    </row>
    <row r="4093" spans="2:7">
      <c r="B4093" s="118" t="s">
        <v>3256</v>
      </c>
      <c r="C4093" s="119">
        <v>1776</v>
      </c>
      <c r="E4093" s="96" t="s">
        <v>1270</v>
      </c>
      <c r="F4093" s="96" t="s">
        <v>165</v>
      </c>
      <c r="G4093" s="100">
        <v>6102</v>
      </c>
    </row>
    <row r="4094" spans="2:7">
      <c r="B4094" s="118" t="s">
        <v>1239</v>
      </c>
      <c r="C4094" s="119">
        <v>1485</v>
      </c>
      <c r="E4094" s="96" t="s">
        <v>1271</v>
      </c>
      <c r="F4094" s="96" t="s">
        <v>165</v>
      </c>
      <c r="G4094" s="100">
        <v>6045</v>
      </c>
    </row>
    <row r="4095" spans="2:7">
      <c r="B4095" s="118" t="s">
        <v>1258</v>
      </c>
      <c r="C4095" s="119">
        <v>1410</v>
      </c>
      <c r="E4095" s="96" t="s">
        <v>1272</v>
      </c>
      <c r="F4095" s="96" t="s">
        <v>165</v>
      </c>
      <c r="G4095" s="100">
        <v>6206</v>
      </c>
    </row>
    <row r="4096" spans="2:7">
      <c r="B4096" s="118" t="s">
        <v>3257</v>
      </c>
      <c r="C4096" s="119">
        <v>1566</v>
      </c>
      <c r="E4096" s="96" t="s">
        <v>1273</v>
      </c>
      <c r="F4096" s="96" t="s">
        <v>165</v>
      </c>
      <c r="G4096" s="100">
        <v>6260</v>
      </c>
    </row>
    <row r="4097" spans="2:7">
      <c r="B4097" s="118" t="s">
        <v>3258</v>
      </c>
      <c r="C4097" s="119">
        <v>1566</v>
      </c>
      <c r="E4097" s="96" t="s">
        <v>1274</v>
      </c>
      <c r="F4097" s="96" t="s">
        <v>165</v>
      </c>
      <c r="G4097" s="100">
        <v>6017</v>
      </c>
    </row>
    <row r="4098" spans="2:7">
      <c r="B4098" s="118" t="s">
        <v>1247</v>
      </c>
      <c r="C4098" s="119">
        <v>1541</v>
      </c>
      <c r="E4098" s="96" t="s">
        <v>1275</v>
      </c>
      <c r="F4098" s="96" t="s">
        <v>165</v>
      </c>
      <c r="G4098" s="100">
        <v>6215</v>
      </c>
    </row>
    <row r="4099" spans="2:7">
      <c r="B4099" s="118" t="s">
        <v>3259</v>
      </c>
      <c r="C4099" s="119">
        <v>1525</v>
      </c>
      <c r="E4099" s="96" t="s">
        <v>1276</v>
      </c>
      <c r="F4099" s="96" t="s">
        <v>165</v>
      </c>
      <c r="G4099" s="100">
        <v>6033</v>
      </c>
    </row>
    <row r="4100" spans="2:7">
      <c r="B4100" s="118" t="s">
        <v>3260</v>
      </c>
      <c r="C4100" s="119">
        <v>1527</v>
      </c>
      <c r="E4100" s="96" t="s">
        <v>1277</v>
      </c>
      <c r="F4100" s="96" t="s">
        <v>165</v>
      </c>
      <c r="G4100" s="100">
        <v>6252</v>
      </c>
    </row>
    <row r="4101" spans="2:7">
      <c r="B4101" s="118" t="s">
        <v>1223</v>
      </c>
      <c r="C4101" s="119">
        <v>1528</v>
      </c>
      <c r="E4101" s="96" t="s">
        <v>1278</v>
      </c>
      <c r="F4101" s="96" t="s">
        <v>165</v>
      </c>
      <c r="G4101" s="100">
        <v>6043</v>
      </c>
    </row>
    <row r="4102" spans="2:7">
      <c r="B4102" s="118" t="s">
        <v>3261</v>
      </c>
      <c r="C4102" s="119">
        <v>1528</v>
      </c>
      <c r="E4102" s="96" t="s">
        <v>1279</v>
      </c>
      <c r="F4102" s="96" t="s">
        <v>165</v>
      </c>
      <c r="G4102" s="100">
        <v>6285</v>
      </c>
    </row>
    <row r="4103" spans="2:7">
      <c r="B4103" s="118" t="s">
        <v>1242</v>
      </c>
      <c r="C4103" s="119">
        <v>1529</v>
      </c>
      <c r="E4103" s="96" t="s">
        <v>1280</v>
      </c>
      <c r="F4103" s="96" t="s">
        <v>165</v>
      </c>
      <c r="G4103" s="100">
        <v>6037</v>
      </c>
    </row>
    <row r="4104" spans="2:7">
      <c r="B4104" s="118" t="s">
        <v>3262</v>
      </c>
      <c r="C4104" s="119">
        <v>1534</v>
      </c>
      <c r="E4104" s="96" t="s">
        <v>1281</v>
      </c>
      <c r="F4104" s="96" t="s">
        <v>165</v>
      </c>
      <c r="G4104" s="100">
        <v>6208</v>
      </c>
    </row>
    <row r="4105" spans="2:7">
      <c r="B4105" s="118" t="s">
        <v>1238</v>
      </c>
      <c r="C4105" s="119">
        <v>1565</v>
      </c>
      <c r="E4105" s="96" t="s">
        <v>1282</v>
      </c>
      <c r="F4105" s="96" t="s">
        <v>165</v>
      </c>
      <c r="G4105" s="100">
        <v>6234</v>
      </c>
    </row>
    <row r="4106" spans="2:7">
      <c r="B4106" s="118" t="s">
        <v>3263</v>
      </c>
      <c r="C4106" s="119">
        <v>1483</v>
      </c>
      <c r="E4106" s="96" t="s">
        <v>1283</v>
      </c>
      <c r="F4106" s="96" t="s">
        <v>165</v>
      </c>
      <c r="G4106" s="100">
        <v>6353</v>
      </c>
    </row>
    <row r="4107" spans="2:7">
      <c r="B4107" s="118" t="s">
        <v>3264</v>
      </c>
      <c r="C4107" s="119">
        <v>1483</v>
      </c>
      <c r="E4107" s="96" t="s">
        <v>1284</v>
      </c>
      <c r="F4107" s="96" t="s">
        <v>165</v>
      </c>
      <c r="G4107" s="100">
        <v>6247</v>
      </c>
    </row>
    <row r="4108" spans="2:7">
      <c r="B4108" s="118" t="s">
        <v>3265</v>
      </c>
      <c r="C4108" s="119">
        <v>1484</v>
      </c>
      <c r="E4108" s="96" t="s">
        <v>1285</v>
      </c>
      <c r="F4108" s="96" t="s">
        <v>165</v>
      </c>
      <c r="G4108" s="100">
        <v>6110</v>
      </c>
    </row>
    <row r="4109" spans="2:7">
      <c r="B4109" s="118" t="s">
        <v>3266</v>
      </c>
      <c r="C4109" s="119">
        <v>1484</v>
      </c>
      <c r="E4109" s="96" t="s">
        <v>1286</v>
      </c>
      <c r="F4109" s="96" t="s">
        <v>165</v>
      </c>
      <c r="G4109" s="100">
        <v>6182</v>
      </c>
    </row>
    <row r="4110" spans="2:7">
      <c r="B4110" s="118" t="s">
        <v>3267</v>
      </c>
      <c r="C4110" s="119">
        <v>1534</v>
      </c>
      <c r="E4110" s="96" t="s">
        <v>1287</v>
      </c>
      <c r="F4110" s="96" t="s">
        <v>165</v>
      </c>
      <c r="G4110" s="100">
        <v>6170</v>
      </c>
    </row>
    <row r="4111" spans="2:7">
      <c r="B4111" s="118" t="s">
        <v>3268</v>
      </c>
      <c r="C4111" s="119">
        <v>1567</v>
      </c>
      <c r="E4111" s="96" t="s">
        <v>1288</v>
      </c>
      <c r="F4111" s="96" t="s">
        <v>165</v>
      </c>
      <c r="G4111" s="100">
        <v>6204</v>
      </c>
    </row>
    <row r="4112" spans="2:7">
      <c r="B4112" s="118" t="s">
        <v>3269</v>
      </c>
      <c r="C4112" s="119">
        <v>1568</v>
      </c>
      <c r="E4112" s="96" t="s">
        <v>1289</v>
      </c>
      <c r="F4112" s="96" t="s">
        <v>165</v>
      </c>
      <c r="G4112" s="100">
        <v>6207</v>
      </c>
    </row>
    <row r="4113" spans="2:7">
      <c r="B4113" s="118" t="s">
        <v>3270</v>
      </c>
      <c r="C4113" s="119">
        <v>1563</v>
      </c>
      <c r="E4113" s="96" t="s">
        <v>1290</v>
      </c>
      <c r="F4113" s="96" t="s">
        <v>165</v>
      </c>
      <c r="G4113" s="100">
        <v>6274</v>
      </c>
    </row>
    <row r="4114" spans="2:7">
      <c r="B4114" s="118" t="s">
        <v>3271</v>
      </c>
      <c r="C4114" s="119">
        <v>1564</v>
      </c>
      <c r="E4114" s="96" t="s">
        <v>1291</v>
      </c>
      <c r="F4114" s="96" t="s">
        <v>165</v>
      </c>
      <c r="G4114" s="100">
        <v>6162</v>
      </c>
    </row>
    <row r="4115" spans="2:7">
      <c r="B4115" s="118" t="s">
        <v>223</v>
      </c>
      <c r="C4115" s="119">
        <v>1580</v>
      </c>
      <c r="E4115" s="96" t="s">
        <v>1292</v>
      </c>
      <c r="F4115" s="96" t="s">
        <v>165</v>
      </c>
      <c r="G4115" s="100">
        <v>6016</v>
      </c>
    </row>
    <row r="4116" spans="2:7">
      <c r="B4116" s="118" t="s">
        <v>3272</v>
      </c>
      <c r="C4116" s="119">
        <v>1580</v>
      </c>
      <c r="E4116" s="96" t="s">
        <v>1293</v>
      </c>
      <c r="F4116" s="96" t="s">
        <v>165</v>
      </c>
      <c r="G4116" s="100">
        <v>6022</v>
      </c>
    </row>
    <row r="4117" spans="2:7">
      <c r="B4117" s="118" t="s">
        <v>1166</v>
      </c>
      <c r="C4117" s="119">
        <v>1772</v>
      </c>
      <c r="E4117" s="96" t="s">
        <v>1294</v>
      </c>
      <c r="F4117" s="96" t="s">
        <v>165</v>
      </c>
      <c r="G4117" s="100">
        <v>6221</v>
      </c>
    </row>
    <row r="4118" spans="2:7">
      <c r="B4118" s="118" t="s">
        <v>3273</v>
      </c>
      <c r="C4118" s="119">
        <v>1773</v>
      </c>
      <c r="E4118" s="96" t="s">
        <v>1295</v>
      </c>
      <c r="F4118" s="96" t="s">
        <v>165</v>
      </c>
      <c r="G4118" s="100">
        <v>6232</v>
      </c>
    </row>
    <row r="4119" spans="2:7">
      <c r="B4119" s="118" t="s">
        <v>3274</v>
      </c>
      <c r="C4119" s="119">
        <v>1773</v>
      </c>
      <c r="E4119" s="96" t="s">
        <v>1296</v>
      </c>
      <c r="F4119" s="96" t="s">
        <v>165</v>
      </c>
      <c r="G4119" s="100">
        <v>6122</v>
      </c>
    </row>
    <row r="4120" spans="2:7">
      <c r="B4120" s="118" t="s">
        <v>3275</v>
      </c>
      <c r="C4120" s="119">
        <v>1773</v>
      </c>
      <c r="E4120" s="96" t="s">
        <v>1297</v>
      </c>
      <c r="F4120" s="96" t="s">
        <v>165</v>
      </c>
      <c r="G4120" s="100">
        <v>6214</v>
      </c>
    </row>
    <row r="4121" spans="2:7">
      <c r="B4121" s="118" t="s">
        <v>3256</v>
      </c>
      <c r="C4121" s="119">
        <v>1776</v>
      </c>
      <c r="E4121" s="96" t="s">
        <v>1298</v>
      </c>
      <c r="F4121" s="96" t="s">
        <v>165</v>
      </c>
      <c r="G4121" s="100">
        <v>6275</v>
      </c>
    </row>
    <row r="4122" spans="2:7">
      <c r="B4122" s="118" t="s">
        <v>3248</v>
      </c>
      <c r="C4122" s="119">
        <v>1470</v>
      </c>
      <c r="E4122" s="96" t="s">
        <v>1299</v>
      </c>
      <c r="F4122" s="96" t="s">
        <v>165</v>
      </c>
      <c r="G4122" s="100">
        <v>6026</v>
      </c>
    </row>
    <row r="4123" spans="2:7">
      <c r="B4123" s="118" t="s">
        <v>3276</v>
      </c>
      <c r="C4123" s="119">
        <v>1473</v>
      </c>
      <c r="E4123" s="96" t="s">
        <v>1300</v>
      </c>
      <c r="F4123" s="96" t="s">
        <v>165</v>
      </c>
      <c r="G4123" s="100">
        <v>6218</v>
      </c>
    </row>
    <row r="4124" spans="2:7">
      <c r="B4124" s="118" t="s">
        <v>3276</v>
      </c>
      <c r="C4124" s="119">
        <v>1473</v>
      </c>
      <c r="E4124" s="96" t="s">
        <v>1301</v>
      </c>
      <c r="F4124" s="96" t="s">
        <v>165</v>
      </c>
      <c r="G4124" s="100">
        <v>6264</v>
      </c>
    </row>
    <row r="4125" spans="2:7">
      <c r="B4125" s="118" t="s">
        <v>3277</v>
      </c>
      <c r="C4125" s="119">
        <v>1475</v>
      </c>
      <c r="E4125" s="96" t="s">
        <v>1302</v>
      </c>
      <c r="F4125" s="96" t="s">
        <v>165</v>
      </c>
      <c r="G4125" s="100">
        <v>6244</v>
      </c>
    </row>
    <row r="4126" spans="2:7">
      <c r="B4126" s="118" t="s">
        <v>3278</v>
      </c>
      <c r="C4126" s="119">
        <v>1475</v>
      </c>
      <c r="E4126" s="96" t="s">
        <v>1303</v>
      </c>
      <c r="F4126" s="96" t="s">
        <v>165</v>
      </c>
      <c r="G4126" s="100">
        <v>6034</v>
      </c>
    </row>
    <row r="4127" spans="2:7">
      <c r="B4127" s="118" t="s">
        <v>3279</v>
      </c>
      <c r="C4127" s="119">
        <v>1475</v>
      </c>
      <c r="E4127" s="96" t="s">
        <v>1304</v>
      </c>
      <c r="F4127" s="96" t="s">
        <v>165</v>
      </c>
      <c r="G4127" s="100">
        <v>6276</v>
      </c>
    </row>
    <row r="4128" spans="2:7">
      <c r="B4128" s="118" t="s">
        <v>3280</v>
      </c>
      <c r="C4128" s="119">
        <v>1486</v>
      </c>
      <c r="E4128" s="96" t="s">
        <v>1305</v>
      </c>
      <c r="F4128" s="96" t="s">
        <v>165</v>
      </c>
      <c r="G4128" s="100">
        <v>6233</v>
      </c>
    </row>
    <row r="4129" spans="2:7">
      <c r="B4129" s="118" t="s">
        <v>3281</v>
      </c>
      <c r="C4129" s="119">
        <v>1489</v>
      </c>
      <c r="E4129" s="96" t="s">
        <v>1306</v>
      </c>
      <c r="F4129" s="96" t="s">
        <v>165</v>
      </c>
      <c r="G4129" s="100">
        <v>6044</v>
      </c>
    </row>
    <row r="4130" spans="2:7">
      <c r="B4130" s="118" t="s">
        <v>3282</v>
      </c>
      <c r="C4130" s="119">
        <v>1541</v>
      </c>
      <c r="E4130" s="96" t="s">
        <v>1307</v>
      </c>
      <c r="F4130" s="96" t="s">
        <v>165</v>
      </c>
      <c r="G4130" s="100">
        <v>6024</v>
      </c>
    </row>
    <row r="4131" spans="2:7">
      <c r="B4131" s="118" t="s">
        <v>3283</v>
      </c>
      <c r="C4131" s="119">
        <v>1541</v>
      </c>
      <c r="E4131" s="96" t="s">
        <v>1308</v>
      </c>
      <c r="F4131" s="96" t="s">
        <v>165</v>
      </c>
      <c r="G4131" s="100">
        <v>6212</v>
      </c>
    </row>
    <row r="4132" spans="2:7">
      <c r="B4132" s="118" t="s">
        <v>3284</v>
      </c>
      <c r="C4132" s="119">
        <v>1542</v>
      </c>
      <c r="E4132" s="96" t="s">
        <v>1309</v>
      </c>
      <c r="F4132" s="96" t="s">
        <v>165</v>
      </c>
      <c r="G4132" s="100">
        <v>6242</v>
      </c>
    </row>
    <row r="4133" spans="2:7">
      <c r="B4133" s="118" t="s">
        <v>3285</v>
      </c>
      <c r="C4133" s="119">
        <v>1468</v>
      </c>
      <c r="E4133" s="96" t="s">
        <v>1310</v>
      </c>
      <c r="F4133" s="96" t="s">
        <v>165</v>
      </c>
      <c r="G4133" s="100">
        <v>6113</v>
      </c>
    </row>
    <row r="4134" spans="2:7">
      <c r="B4134" s="118" t="s">
        <v>3286</v>
      </c>
      <c r="C4134" s="119">
        <v>1474</v>
      </c>
      <c r="E4134" s="96" t="s">
        <v>1311</v>
      </c>
      <c r="F4134" s="96" t="s">
        <v>165</v>
      </c>
      <c r="G4134" s="100">
        <v>6144</v>
      </c>
    </row>
    <row r="4135" spans="2:7">
      <c r="B4135" s="118" t="s">
        <v>1249</v>
      </c>
      <c r="C4135" s="119">
        <v>1673</v>
      </c>
      <c r="E4135" s="96" t="s">
        <v>1312</v>
      </c>
      <c r="F4135" s="96" t="s">
        <v>165</v>
      </c>
      <c r="G4135" s="100">
        <v>6173</v>
      </c>
    </row>
    <row r="4136" spans="2:7">
      <c r="B4136" s="118" t="s">
        <v>3287</v>
      </c>
      <c r="C4136" s="119">
        <v>1681</v>
      </c>
      <c r="E4136" s="96" t="s">
        <v>1313</v>
      </c>
      <c r="F4136" s="96" t="s">
        <v>165</v>
      </c>
      <c r="G4136" s="100">
        <v>6133</v>
      </c>
    </row>
    <row r="4137" spans="2:7">
      <c r="B4137" s="118" t="s">
        <v>3288</v>
      </c>
      <c r="C4137" s="119">
        <v>1681</v>
      </c>
      <c r="E4137" s="96" t="s">
        <v>1314</v>
      </c>
      <c r="F4137" s="96" t="s">
        <v>165</v>
      </c>
      <c r="G4137" s="100">
        <v>6027</v>
      </c>
    </row>
    <row r="4138" spans="2:7">
      <c r="B4138" s="118" t="s">
        <v>1252</v>
      </c>
      <c r="C4138" s="119">
        <v>1608</v>
      </c>
      <c r="E4138" s="96" t="s">
        <v>1315</v>
      </c>
      <c r="F4138" s="96" t="s">
        <v>165</v>
      </c>
      <c r="G4138" s="100">
        <v>6166</v>
      </c>
    </row>
    <row r="4139" spans="2:7">
      <c r="B4139" s="118" t="s">
        <v>3289</v>
      </c>
      <c r="C4139" s="119">
        <v>1689</v>
      </c>
      <c r="E4139" s="96" t="s">
        <v>1316</v>
      </c>
      <c r="F4139" s="96" t="s">
        <v>165</v>
      </c>
      <c r="G4139" s="100">
        <v>6103</v>
      </c>
    </row>
    <row r="4140" spans="2:7">
      <c r="B4140" s="118" t="s">
        <v>1218</v>
      </c>
      <c r="C4140" s="119">
        <v>1553</v>
      </c>
      <c r="E4140" s="96" t="s">
        <v>1317</v>
      </c>
      <c r="F4140" s="96" t="s">
        <v>165</v>
      </c>
      <c r="G4140" s="100">
        <v>6205</v>
      </c>
    </row>
    <row r="4141" spans="2:7">
      <c r="B4141" s="118" t="s">
        <v>381</v>
      </c>
      <c r="C4141" s="119">
        <v>1085</v>
      </c>
      <c r="E4141" s="96" t="s">
        <v>1318</v>
      </c>
      <c r="F4141" s="96" t="s">
        <v>165</v>
      </c>
      <c r="G4141" s="100">
        <v>6246</v>
      </c>
    </row>
    <row r="4142" spans="2:7">
      <c r="B4142" s="118" t="s">
        <v>3290</v>
      </c>
      <c r="C4142" s="119">
        <v>1673</v>
      </c>
      <c r="E4142" s="96" t="s">
        <v>1319</v>
      </c>
      <c r="F4142" s="96" t="s">
        <v>165</v>
      </c>
      <c r="G4142" s="100">
        <v>4806</v>
      </c>
    </row>
    <row r="4143" spans="2:7">
      <c r="B4143" s="118" t="s">
        <v>3291</v>
      </c>
      <c r="C4143" s="119">
        <v>1686</v>
      </c>
      <c r="E4143" s="96" t="s">
        <v>1320</v>
      </c>
      <c r="F4143" s="96" t="s">
        <v>165</v>
      </c>
      <c r="G4143" s="100">
        <v>6036</v>
      </c>
    </row>
    <row r="4144" spans="2:7">
      <c r="B4144" s="118" t="s">
        <v>1234</v>
      </c>
      <c r="C4144" s="119">
        <v>1692</v>
      </c>
      <c r="E4144" s="96" t="s">
        <v>1321</v>
      </c>
      <c r="F4144" s="96" t="s">
        <v>165</v>
      </c>
      <c r="G4144" s="100">
        <v>6216</v>
      </c>
    </row>
    <row r="4145" spans="2:7">
      <c r="B4145" s="118" t="s">
        <v>3292</v>
      </c>
      <c r="C4145" s="119">
        <v>1680</v>
      </c>
      <c r="E4145" s="96" t="s">
        <v>1322</v>
      </c>
      <c r="F4145" s="96" t="s">
        <v>165</v>
      </c>
      <c r="G4145" s="100">
        <v>6243</v>
      </c>
    </row>
    <row r="4146" spans="2:7">
      <c r="B4146" s="118" t="s">
        <v>3293</v>
      </c>
      <c r="C4146" s="119">
        <v>1680</v>
      </c>
      <c r="E4146" s="96" t="s">
        <v>1323</v>
      </c>
      <c r="F4146" s="96" t="s">
        <v>165</v>
      </c>
      <c r="G4146" s="100">
        <v>6354</v>
      </c>
    </row>
    <row r="4147" spans="2:7">
      <c r="B4147" s="118" t="s">
        <v>3294</v>
      </c>
      <c r="C4147" s="119">
        <v>1684</v>
      </c>
      <c r="E4147" s="96" t="s">
        <v>1324</v>
      </c>
      <c r="F4147" s="96" t="s">
        <v>165</v>
      </c>
      <c r="G4147" s="100">
        <v>6344</v>
      </c>
    </row>
    <row r="4148" spans="2:7">
      <c r="B4148" s="118" t="s">
        <v>1243</v>
      </c>
      <c r="C4148" s="119">
        <v>1674</v>
      </c>
      <c r="E4148" s="96" t="s">
        <v>1325</v>
      </c>
      <c r="F4148" s="96" t="s">
        <v>165</v>
      </c>
      <c r="G4148" s="100">
        <v>6038</v>
      </c>
    </row>
    <row r="4149" spans="2:7">
      <c r="B4149" s="118" t="s">
        <v>3292</v>
      </c>
      <c r="C4149" s="119">
        <v>1680</v>
      </c>
      <c r="E4149" s="96" t="s">
        <v>1326</v>
      </c>
      <c r="F4149" s="96" t="s">
        <v>165</v>
      </c>
      <c r="G4149" s="100">
        <v>6156</v>
      </c>
    </row>
    <row r="4150" spans="2:7">
      <c r="B4150" s="118" t="s">
        <v>1252</v>
      </c>
      <c r="C4150" s="119">
        <v>1608</v>
      </c>
      <c r="E4150" s="96" t="s">
        <v>1327</v>
      </c>
      <c r="F4150" s="96" t="s">
        <v>165</v>
      </c>
      <c r="G4150" s="100">
        <v>6287</v>
      </c>
    </row>
    <row r="4151" spans="2:7">
      <c r="B4151" s="118" t="s">
        <v>3295</v>
      </c>
      <c r="C4151" s="119">
        <v>1673</v>
      </c>
      <c r="E4151" s="96" t="s">
        <v>1328</v>
      </c>
      <c r="F4151" s="96" t="s">
        <v>165</v>
      </c>
      <c r="G4151" s="100">
        <v>6142</v>
      </c>
    </row>
    <row r="4152" spans="2:7">
      <c r="B4152" s="118" t="s">
        <v>3296</v>
      </c>
      <c r="C4152" s="119">
        <v>1673</v>
      </c>
      <c r="E4152" s="96" t="s">
        <v>1329</v>
      </c>
      <c r="F4152" s="96" t="s">
        <v>165</v>
      </c>
      <c r="G4152" s="100">
        <v>6404</v>
      </c>
    </row>
    <row r="4153" spans="2:7">
      <c r="B4153" s="118" t="s">
        <v>1176</v>
      </c>
      <c r="C4153" s="119">
        <v>1673</v>
      </c>
      <c r="E4153" s="96" t="s">
        <v>1330</v>
      </c>
      <c r="F4153" s="96" t="s">
        <v>165</v>
      </c>
      <c r="G4153" s="100">
        <v>6288</v>
      </c>
    </row>
    <row r="4154" spans="2:7">
      <c r="B4154" s="118" t="s">
        <v>3297</v>
      </c>
      <c r="C4154" s="119">
        <v>1675</v>
      </c>
      <c r="E4154" s="96" t="s">
        <v>1331</v>
      </c>
      <c r="F4154" s="96" t="s">
        <v>165</v>
      </c>
      <c r="G4154" s="100">
        <v>6147</v>
      </c>
    </row>
    <row r="4155" spans="2:7">
      <c r="B4155" s="118" t="s">
        <v>3298</v>
      </c>
      <c r="C4155" s="119">
        <v>1676</v>
      </c>
      <c r="E4155" s="96" t="s">
        <v>1332</v>
      </c>
      <c r="F4155" s="96" t="s">
        <v>165</v>
      </c>
      <c r="G4155" s="100">
        <v>6294</v>
      </c>
    </row>
    <row r="4156" spans="2:7">
      <c r="B4156" s="118" t="s">
        <v>3299</v>
      </c>
      <c r="C4156" s="119">
        <v>1677</v>
      </c>
      <c r="E4156" s="96" t="s">
        <v>1333</v>
      </c>
      <c r="F4156" s="96" t="s">
        <v>165</v>
      </c>
      <c r="G4156" s="100">
        <v>6153</v>
      </c>
    </row>
    <row r="4157" spans="2:7">
      <c r="B4157" s="118" t="s">
        <v>1161</v>
      </c>
      <c r="C4157" s="119">
        <v>1678</v>
      </c>
      <c r="E4157" s="96" t="s">
        <v>1334</v>
      </c>
      <c r="F4157" s="96" t="s">
        <v>165</v>
      </c>
      <c r="G4157" s="100">
        <v>6231</v>
      </c>
    </row>
    <row r="4158" spans="2:7">
      <c r="B4158" s="118" t="s">
        <v>3300</v>
      </c>
      <c r="C4158" s="119">
        <v>1679</v>
      </c>
      <c r="E4158" s="96" t="s">
        <v>1335</v>
      </c>
      <c r="F4158" s="96" t="s">
        <v>165</v>
      </c>
      <c r="G4158" s="100">
        <v>6146</v>
      </c>
    </row>
    <row r="4159" spans="2:7">
      <c r="B4159" s="118" t="s">
        <v>3292</v>
      </c>
      <c r="C4159" s="119">
        <v>1680</v>
      </c>
      <c r="E4159" s="96" t="s">
        <v>1336</v>
      </c>
      <c r="F4159" s="96" t="s">
        <v>165</v>
      </c>
      <c r="G4159" s="100">
        <v>6112</v>
      </c>
    </row>
    <row r="4160" spans="2:7">
      <c r="B4160" s="118" t="s">
        <v>1148</v>
      </c>
      <c r="C4160" s="119">
        <v>1670</v>
      </c>
      <c r="E4160" s="96" t="s">
        <v>1337</v>
      </c>
      <c r="F4160" s="96" t="s">
        <v>165</v>
      </c>
      <c r="G4160" s="100">
        <v>6145</v>
      </c>
    </row>
    <row r="4161" spans="2:7">
      <c r="B4161" s="118" t="s">
        <v>3301</v>
      </c>
      <c r="C4161" s="119">
        <v>1670</v>
      </c>
      <c r="E4161" s="96" t="s">
        <v>1338</v>
      </c>
      <c r="F4161" s="96" t="s">
        <v>165</v>
      </c>
      <c r="G4161" s="100">
        <v>6265</v>
      </c>
    </row>
    <row r="4162" spans="2:7">
      <c r="B4162" s="118" t="s">
        <v>3302</v>
      </c>
      <c r="C4162" s="119">
        <v>1670</v>
      </c>
      <c r="E4162" s="96" t="s">
        <v>1339</v>
      </c>
      <c r="F4162" s="96" t="s">
        <v>165</v>
      </c>
      <c r="G4162" s="100">
        <v>6113</v>
      </c>
    </row>
    <row r="4163" spans="2:7">
      <c r="B4163" s="118" t="s">
        <v>3303</v>
      </c>
      <c r="C4163" s="119">
        <v>1674</v>
      </c>
      <c r="E4163" s="96" t="s">
        <v>1340</v>
      </c>
      <c r="F4163" s="96" t="s">
        <v>165</v>
      </c>
      <c r="G4163" s="100">
        <v>6248</v>
      </c>
    </row>
    <row r="4164" spans="2:7">
      <c r="B4164" s="118" t="s">
        <v>3304</v>
      </c>
      <c r="C4164" s="119">
        <v>1674</v>
      </c>
      <c r="E4164" s="96" t="s">
        <v>1341</v>
      </c>
      <c r="F4164" s="96" t="s">
        <v>165</v>
      </c>
      <c r="G4164" s="100">
        <v>6286</v>
      </c>
    </row>
    <row r="4165" spans="2:7">
      <c r="B4165" s="118" t="s">
        <v>3305</v>
      </c>
      <c r="C4165" s="119">
        <v>1675</v>
      </c>
      <c r="E4165" s="96" t="s">
        <v>1342</v>
      </c>
      <c r="F4165" s="96" t="s">
        <v>165</v>
      </c>
      <c r="G4165" s="100">
        <v>6038</v>
      </c>
    </row>
    <row r="4166" spans="2:7">
      <c r="B4166" s="118" t="s">
        <v>3297</v>
      </c>
      <c r="C4166" s="119">
        <v>1675</v>
      </c>
      <c r="E4166" s="96" t="s">
        <v>1343</v>
      </c>
      <c r="F4166" s="96" t="s">
        <v>165</v>
      </c>
      <c r="G4166" s="100">
        <v>6245</v>
      </c>
    </row>
    <row r="4167" spans="2:7">
      <c r="B4167" s="118" t="s">
        <v>3306</v>
      </c>
      <c r="C4167" s="119">
        <v>1675</v>
      </c>
      <c r="E4167" s="96" t="s">
        <v>1344</v>
      </c>
      <c r="F4167" s="96" t="s">
        <v>174</v>
      </c>
      <c r="G4167" s="96">
        <v>2300</v>
      </c>
    </row>
    <row r="4168" spans="2:7">
      <c r="B4168" s="118" t="s">
        <v>3307</v>
      </c>
      <c r="C4168" s="119">
        <v>1685</v>
      </c>
      <c r="E4168" s="96" t="s">
        <v>1345</v>
      </c>
      <c r="F4168" s="96" t="s">
        <v>174</v>
      </c>
      <c r="G4168" s="96">
        <v>2000</v>
      </c>
    </row>
    <row r="4169" spans="2:7">
      <c r="B4169" s="118" t="s">
        <v>3308</v>
      </c>
      <c r="C4169" s="119">
        <v>1686</v>
      </c>
      <c r="E4169" s="96" t="s">
        <v>1346</v>
      </c>
      <c r="F4169" s="96" t="s">
        <v>174</v>
      </c>
      <c r="G4169" s="96">
        <v>2065</v>
      </c>
    </row>
    <row r="4170" spans="2:7">
      <c r="B4170" s="118" t="s">
        <v>1158</v>
      </c>
      <c r="C4170" s="119">
        <v>1687</v>
      </c>
      <c r="E4170" s="96" t="s">
        <v>1347</v>
      </c>
      <c r="F4170" s="96" t="s">
        <v>174</v>
      </c>
      <c r="G4170" s="96">
        <v>2108</v>
      </c>
    </row>
    <row r="4171" spans="2:7">
      <c r="B4171" s="118" t="s">
        <v>3309</v>
      </c>
      <c r="C4171" s="119">
        <v>1687</v>
      </c>
      <c r="E4171" s="96" t="s">
        <v>1348</v>
      </c>
      <c r="F4171" s="96" t="s">
        <v>174</v>
      </c>
      <c r="G4171" s="96">
        <v>2400</v>
      </c>
    </row>
    <row r="4172" spans="2:7">
      <c r="B4172" s="118" t="s">
        <v>3310</v>
      </c>
      <c r="C4172" s="119">
        <v>1687</v>
      </c>
      <c r="E4172" s="96" t="s">
        <v>1349</v>
      </c>
      <c r="F4172" s="96" t="s">
        <v>174</v>
      </c>
      <c r="G4172" s="96">
        <v>2012</v>
      </c>
    </row>
    <row r="4173" spans="2:7">
      <c r="B4173" s="118" t="s">
        <v>3311</v>
      </c>
      <c r="C4173" s="119">
        <v>1688</v>
      </c>
      <c r="E4173" s="96" t="s">
        <v>1350</v>
      </c>
      <c r="F4173" s="96" t="s">
        <v>174</v>
      </c>
      <c r="G4173" s="96">
        <v>2024</v>
      </c>
    </row>
    <row r="4174" spans="2:7">
      <c r="B4174" s="118" t="s">
        <v>3312</v>
      </c>
      <c r="C4174" s="119">
        <v>1688</v>
      </c>
      <c r="E4174" s="96" t="s">
        <v>1351</v>
      </c>
      <c r="F4174" s="96" t="s">
        <v>174</v>
      </c>
      <c r="G4174" s="96">
        <v>2017</v>
      </c>
    </row>
    <row r="4175" spans="2:7">
      <c r="B4175" s="118" t="s">
        <v>3313</v>
      </c>
      <c r="C4175" s="119">
        <v>1697</v>
      </c>
      <c r="E4175" s="96" t="s">
        <v>1352</v>
      </c>
      <c r="F4175" s="96" t="s">
        <v>174</v>
      </c>
      <c r="G4175" s="96">
        <v>2034</v>
      </c>
    </row>
    <row r="4176" spans="2:7">
      <c r="B4176" s="118" t="s">
        <v>3314</v>
      </c>
      <c r="C4176" s="119">
        <v>1697</v>
      </c>
      <c r="E4176" s="96" t="s">
        <v>1353</v>
      </c>
      <c r="F4176" s="96" t="s">
        <v>174</v>
      </c>
      <c r="G4176" s="96">
        <v>2074</v>
      </c>
    </row>
    <row r="4177" spans="2:7">
      <c r="B4177" s="118" t="s">
        <v>3315</v>
      </c>
      <c r="C4177" s="119">
        <v>1690</v>
      </c>
      <c r="E4177" s="96" t="s">
        <v>1354</v>
      </c>
      <c r="F4177" s="96" t="s">
        <v>174</v>
      </c>
      <c r="G4177" s="96">
        <v>2019</v>
      </c>
    </row>
    <row r="4178" spans="2:7">
      <c r="B4178" s="118" t="s">
        <v>3316</v>
      </c>
      <c r="C4178" s="119">
        <v>1694</v>
      </c>
      <c r="E4178" s="96" t="s">
        <v>1355</v>
      </c>
      <c r="F4178" s="96" t="s">
        <v>174</v>
      </c>
      <c r="G4178" s="96">
        <v>2035</v>
      </c>
    </row>
    <row r="4179" spans="2:7">
      <c r="B4179" s="118" t="s">
        <v>3317</v>
      </c>
      <c r="C4179" s="119">
        <v>1694</v>
      </c>
      <c r="E4179" s="96" t="s">
        <v>1356</v>
      </c>
      <c r="F4179" s="96" t="s">
        <v>174</v>
      </c>
      <c r="G4179" s="96">
        <v>2525</v>
      </c>
    </row>
    <row r="4180" spans="2:7">
      <c r="B4180" s="118" t="s">
        <v>3318</v>
      </c>
      <c r="C4180" s="119">
        <v>1694</v>
      </c>
      <c r="E4180" s="96" t="s">
        <v>1357</v>
      </c>
      <c r="F4180" s="96" t="s">
        <v>174</v>
      </c>
      <c r="G4180" s="96">
        <v>2072</v>
      </c>
    </row>
    <row r="4181" spans="2:7">
      <c r="B4181" s="118" t="s">
        <v>3319</v>
      </c>
      <c r="C4181" s="119">
        <v>1694</v>
      </c>
      <c r="E4181" s="96" t="s">
        <v>1358</v>
      </c>
      <c r="F4181" s="96" t="s">
        <v>174</v>
      </c>
      <c r="G4181" s="96">
        <v>2068</v>
      </c>
    </row>
    <row r="4182" spans="2:7">
      <c r="B4182" s="118" t="s">
        <v>3320</v>
      </c>
      <c r="C4182" s="119">
        <v>1748</v>
      </c>
      <c r="E4182" s="96" t="s">
        <v>1359</v>
      </c>
      <c r="F4182" s="96" t="s">
        <v>174</v>
      </c>
      <c r="G4182" s="96">
        <v>2088</v>
      </c>
    </row>
    <row r="4183" spans="2:7">
      <c r="B4183" s="118" t="s">
        <v>3321</v>
      </c>
      <c r="C4183" s="119">
        <v>1749</v>
      </c>
      <c r="E4183" s="96" t="s">
        <v>1360</v>
      </c>
      <c r="F4183" s="96" t="s">
        <v>174</v>
      </c>
      <c r="G4183" s="96">
        <v>2087</v>
      </c>
    </row>
    <row r="4184" spans="2:7">
      <c r="B4184" s="118" t="s">
        <v>3292</v>
      </c>
      <c r="C4184" s="119">
        <v>1680</v>
      </c>
      <c r="E4184" s="96" t="s">
        <v>1361</v>
      </c>
      <c r="F4184" s="96" t="s">
        <v>174</v>
      </c>
      <c r="G4184" s="96">
        <v>2316</v>
      </c>
    </row>
    <row r="4185" spans="2:7">
      <c r="B4185" s="118" t="s">
        <v>3315</v>
      </c>
      <c r="C4185" s="119">
        <v>1690</v>
      </c>
      <c r="E4185" s="96" t="s">
        <v>1362</v>
      </c>
      <c r="F4185" s="96" t="s">
        <v>174</v>
      </c>
      <c r="G4185" s="96">
        <v>2019</v>
      </c>
    </row>
    <row r="4186" spans="2:7">
      <c r="B4186" s="118" t="s">
        <v>3322</v>
      </c>
      <c r="C4186" s="119">
        <v>1690</v>
      </c>
      <c r="E4186" s="96" t="s">
        <v>1363</v>
      </c>
      <c r="F4186" s="96" t="s">
        <v>174</v>
      </c>
      <c r="G4186" s="96">
        <v>2416</v>
      </c>
    </row>
    <row r="4187" spans="2:7">
      <c r="B4187" s="118" t="s">
        <v>3323</v>
      </c>
      <c r="C4187" s="119">
        <v>1691</v>
      </c>
      <c r="E4187" s="96" t="s">
        <v>1364</v>
      </c>
      <c r="F4187" s="96" t="s">
        <v>174</v>
      </c>
      <c r="G4187" s="96">
        <v>2314</v>
      </c>
    </row>
    <row r="4188" spans="2:7">
      <c r="B4188" s="118" t="s">
        <v>3324</v>
      </c>
      <c r="C4188" s="119">
        <v>1669</v>
      </c>
      <c r="E4188" s="96" t="s">
        <v>1365</v>
      </c>
      <c r="F4188" s="96" t="s">
        <v>174</v>
      </c>
      <c r="G4188" s="96">
        <v>2523</v>
      </c>
    </row>
    <row r="4189" spans="2:7">
      <c r="B4189" s="118" t="s">
        <v>3325</v>
      </c>
      <c r="C4189" s="119">
        <v>1669</v>
      </c>
      <c r="E4189" s="96" t="s">
        <v>1366</v>
      </c>
      <c r="F4189" s="96" t="s">
        <v>174</v>
      </c>
      <c r="G4189" s="96">
        <v>2126</v>
      </c>
    </row>
    <row r="4190" spans="2:7">
      <c r="B4190" s="118" t="s">
        <v>3326</v>
      </c>
      <c r="C4190" s="119">
        <v>1669</v>
      </c>
      <c r="E4190" s="96" t="s">
        <v>1367</v>
      </c>
      <c r="F4190" s="96" t="s">
        <v>174</v>
      </c>
      <c r="G4190" s="96">
        <v>2406</v>
      </c>
    </row>
    <row r="4191" spans="2:7">
      <c r="B4191" s="118" t="s">
        <v>3327</v>
      </c>
      <c r="C4191" s="119">
        <v>1669</v>
      </c>
      <c r="E4191" s="96" t="s">
        <v>1368</v>
      </c>
      <c r="F4191" s="96" t="s">
        <v>174</v>
      </c>
      <c r="G4191" s="96">
        <v>2042</v>
      </c>
    </row>
    <row r="4192" spans="2:7">
      <c r="B4192" s="118" t="s">
        <v>3328</v>
      </c>
      <c r="C4192" s="119">
        <v>1669</v>
      </c>
      <c r="E4192" s="96" t="s">
        <v>1369</v>
      </c>
      <c r="F4192" s="96" t="s">
        <v>174</v>
      </c>
      <c r="G4192" s="96">
        <v>2405</v>
      </c>
    </row>
    <row r="4193" spans="2:7">
      <c r="B4193" s="118" t="s">
        <v>3329</v>
      </c>
      <c r="C4193" s="119">
        <v>1643</v>
      </c>
      <c r="E4193" s="96" t="s">
        <v>1370</v>
      </c>
      <c r="F4193" s="96" t="s">
        <v>174</v>
      </c>
      <c r="G4193" s="96">
        <v>2414</v>
      </c>
    </row>
    <row r="4194" spans="2:7">
      <c r="B4194" s="118" t="s">
        <v>3330</v>
      </c>
      <c r="C4194" s="119">
        <v>1644</v>
      </c>
      <c r="E4194" s="96" t="s">
        <v>1371</v>
      </c>
      <c r="F4194" s="96" t="s">
        <v>174</v>
      </c>
      <c r="G4194" s="96">
        <v>2037</v>
      </c>
    </row>
    <row r="4195" spans="2:7">
      <c r="B4195" s="118" t="s">
        <v>3331</v>
      </c>
      <c r="C4195" s="119">
        <v>1645</v>
      </c>
      <c r="E4195" s="96" t="s">
        <v>1372</v>
      </c>
      <c r="F4195" s="96" t="s">
        <v>174</v>
      </c>
      <c r="G4195" s="96">
        <v>2318</v>
      </c>
    </row>
    <row r="4196" spans="2:7">
      <c r="B4196" s="118" t="s">
        <v>1233</v>
      </c>
      <c r="C4196" s="119">
        <v>1652</v>
      </c>
      <c r="E4196" s="96" t="s">
        <v>1373</v>
      </c>
      <c r="F4196" s="96" t="s">
        <v>174</v>
      </c>
      <c r="G4196" s="96">
        <v>2325</v>
      </c>
    </row>
    <row r="4197" spans="2:7">
      <c r="B4197" s="118" t="s">
        <v>3332</v>
      </c>
      <c r="C4197" s="119">
        <v>1652</v>
      </c>
      <c r="E4197" s="96" t="s">
        <v>1374</v>
      </c>
      <c r="F4197" s="96" t="s">
        <v>174</v>
      </c>
      <c r="G4197" s="21" t="s">
        <v>3333</v>
      </c>
    </row>
    <row r="4198" spans="2:7">
      <c r="B4198" s="118" t="s">
        <v>1149</v>
      </c>
      <c r="C4198" s="119">
        <v>1636</v>
      </c>
      <c r="E4198" s="96" t="s">
        <v>175</v>
      </c>
      <c r="F4198" s="96" t="s">
        <v>175</v>
      </c>
      <c r="G4198" s="96">
        <v>8200</v>
      </c>
    </row>
    <row r="4199" spans="2:7">
      <c r="B4199" s="118" t="s">
        <v>1250</v>
      </c>
      <c r="C4199" s="119">
        <v>1653</v>
      </c>
      <c r="E4199" s="96" t="s">
        <v>1375</v>
      </c>
      <c r="F4199" s="96" t="s">
        <v>175</v>
      </c>
      <c r="G4199" s="96">
        <v>8212</v>
      </c>
    </row>
    <row r="4200" spans="2:7">
      <c r="B4200" s="118" t="s">
        <v>1124</v>
      </c>
      <c r="C4200" s="119">
        <v>1630</v>
      </c>
      <c r="E4200" s="96" t="s">
        <v>1376</v>
      </c>
      <c r="F4200" s="96" t="s">
        <v>175</v>
      </c>
      <c r="G4200" s="96">
        <v>8240</v>
      </c>
    </row>
    <row r="4201" spans="2:7">
      <c r="B4201" s="118" t="s">
        <v>3334</v>
      </c>
      <c r="C4201" s="119">
        <v>1635</v>
      </c>
      <c r="E4201" s="96" t="s">
        <v>1377</v>
      </c>
      <c r="F4201" s="96" t="s">
        <v>175</v>
      </c>
      <c r="G4201" s="96">
        <v>8222</v>
      </c>
    </row>
    <row r="4202" spans="2:7">
      <c r="B4202" s="118" t="s">
        <v>3335</v>
      </c>
      <c r="C4202" s="119">
        <v>1661</v>
      </c>
      <c r="E4202" s="96" t="s">
        <v>1378</v>
      </c>
      <c r="F4202" s="96" t="s">
        <v>175</v>
      </c>
      <c r="G4202" s="96">
        <v>8260</v>
      </c>
    </row>
    <row r="4203" spans="2:7">
      <c r="B4203" s="118" t="s">
        <v>1250</v>
      </c>
      <c r="C4203" s="119">
        <v>1653</v>
      </c>
      <c r="E4203" s="96" t="s">
        <v>1379</v>
      </c>
      <c r="F4203" s="96" t="s">
        <v>175</v>
      </c>
      <c r="G4203" s="96">
        <v>8213</v>
      </c>
    </row>
    <row r="4204" spans="2:7">
      <c r="B4204" s="118" t="s">
        <v>1219</v>
      </c>
      <c r="C4204" s="119">
        <v>1646</v>
      </c>
      <c r="E4204" s="96" t="s">
        <v>1380</v>
      </c>
      <c r="F4204" s="96" t="s">
        <v>175</v>
      </c>
      <c r="G4204" s="96">
        <v>8215</v>
      </c>
    </row>
    <row r="4205" spans="2:7">
      <c r="B4205" s="118" t="s">
        <v>1214</v>
      </c>
      <c r="C4205" s="119">
        <v>1647</v>
      </c>
      <c r="E4205" s="96" t="s">
        <v>1381</v>
      </c>
      <c r="F4205" s="96" t="s">
        <v>175</v>
      </c>
      <c r="G4205" s="96">
        <v>8217</v>
      </c>
    </row>
    <row r="4206" spans="2:7">
      <c r="B4206" s="118" t="s">
        <v>3336</v>
      </c>
      <c r="C4206" s="119">
        <v>1651</v>
      </c>
      <c r="E4206" s="96" t="s">
        <v>1382</v>
      </c>
      <c r="F4206" s="96" t="s">
        <v>175</v>
      </c>
      <c r="G4206" s="96">
        <v>8226</v>
      </c>
    </row>
    <row r="4207" spans="2:7">
      <c r="B4207" s="118" t="s">
        <v>1246</v>
      </c>
      <c r="C4207" s="119">
        <v>1653</v>
      </c>
      <c r="E4207" s="96" t="s">
        <v>1383</v>
      </c>
      <c r="F4207" s="96" t="s">
        <v>175</v>
      </c>
      <c r="G4207" s="96">
        <v>8262</v>
      </c>
    </row>
    <row r="4208" spans="2:7">
      <c r="B4208" s="118" t="s">
        <v>1157</v>
      </c>
      <c r="C4208" s="119">
        <v>1628</v>
      </c>
      <c r="E4208" s="96" t="s">
        <v>1384</v>
      </c>
      <c r="F4208" s="96" t="s">
        <v>175</v>
      </c>
      <c r="G4208" s="96">
        <v>8224</v>
      </c>
    </row>
    <row r="4209" spans="2:7">
      <c r="B4209" s="118" t="s">
        <v>1219</v>
      </c>
      <c r="C4209" s="119">
        <v>1646</v>
      </c>
      <c r="E4209" s="96" t="s">
        <v>1385</v>
      </c>
      <c r="F4209" s="96" t="s">
        <v>175</v>
      </c>
      <c r="G4209" s="96">
        <v>8234</v>
      </c>
    </row>
    <row r="4210" spans="2:7">
      <c r="B4210" s="118" t="s">
        <v>1217</v>
      </c>
      <c r="C4210" s="119">
        <v>1666</v>
      </c>
      <c r="E4210" s="96" t="s">
        <v>1386</v>
      </c>
      <c r="F4210" s="96" t="s">
        <v>175</v>
      </c>
      <c r="G4210" s="96">
        <v>8235</v>
      </c>
    </row>
    <row r="4211" spans="2:7">
      <c r="B4211" s="118" t="s">
        <v>3334</v>
      </c>
      <c r="C4211" s="119">
        <v>1635</v>
      </c>
      <c r="E4211" s="96" t="s">
        <v>1387</v>
      </c>
      <c r="F4211" s="96" t="s">
        <v>175</v>
      </c>
      <c r="G4211" s="96">
        <v>8454</v>
      </c>
    </row>
    <row r="4212" spans="2:7">
      <c r="B4212" s="118" t="s">
        <v>1149</v>
      </c>
      <c r="C4212" s="119">
        <v>1636</v>
      </c>
      <c r="E4212" s="96" t="s">
        <v>1388</v>
      </c>
      <c r="F4212" s="96" t="s">
        <v>175</v>
      </c>
      <c r="G4212" s="96">
        <v>8214</v>
      </c>
    </row>
    <row r="4213" spans="2:7">
      <c r="B4213" s="118" t="s">
        <v>3335</v>
      </c>
      <c r="C4213" s="119">
        <v>1661</v>
      </c>
      <c r="E4213" s="96" t="s">
        <v>1389</v>
      </c>
      <c r="F4213" s="96" t="s">
        <v>175</v>
      </c>
      <c r="G4213" s="96">
        <v>8225</v>
      </c>
    </row>
    <row r="4214" spans="2:7">
      <c r="B4214" s="118" t="s">
        <v>1160</v>
      </c>
      <c r="C4214" s="119">
        <v>1663</v>
      </c>
      <c r="E4214" s="96" t="s">
        <v>1390</v>
      </c>
      <c r="F4214" s="96" t="s">
        <v>175</v>
      </c>
      <c r="G4214" s="96">
        <v>8232</v>
      </c>
    </row>
    <row r="4215" spans="2:7">
      <c r="B4215" s="118" t="s">
        <v>3337</v>
      </c>
      <c r="C4215" s="119">
        <v>1663</v>
      </c>
      <c r="E4215" s="96" t="s">
        <v>1391</v>
      </c>
      <c r="F4215" s="96" t="s">
        <v>175</v>
      </c>
      <c r="G4215" s="96">
        <v>8235</v>
      </c>
    </row>
    <row r="4216" spans="2:7">
      <c r="B4216" s="118" t="s">
        <v>3338</v>
      </c>
      <c r="C4216" s="119">
        <v>1663</v>
      </c>
      <c r="E4216" s="96" t="s">
        <v>1392</v>
      </c>
      <c r="F4216" s="96" t="s">
        <v>175</v>
      </c>
      <c r="G4216" s="96">
        <v>8248</v>
      </c>
    </row>
    <row r="4217" spans="2:7">
      <c r="B4217" s="118" t="s">
        <v>3339</v>
      </c>
      <c r="C4217" s="119">
        <v>1663</v>
      </c>
      <c r="E4217" s="96" t="s">
        <v>1393</v>
      </c>
      <c r="F4217" s="96" t="s">
        <v>175</v>
      </c>
      <c r="G4217" s="96">
        <v>8214</v>
      </c>
    </row>
    <row r="4218" spans="2:7">
      <c r="B4218" s="118" t="s">
        <v>3340</v>
      </c>
      <c r="C4218" s="119">
        <v>1634</v>
      </c>
      <c r="E4218" s="96" t="s">
        <v>1394</v>
      </c>
      <c r="F4218" s="96" t="s">
        <v>175</v>
      </c>
      <c r="G4218" s="96">
        <v>8219</v>
      </c>
    </row>
    <row r="4219" spans="2:7">
      <c r="B4219" s="118" t="s">
        <v>1214</v>
      </c>
      <c r="C4219" s="119">
        <v>1647</v>
      </c>
      <c r="E4219" s="96" t="s">
        <v>1395</v>
      </c>
      <c r="F4219" s="96" t="s">
        <v>175</v>
      </c>
      <c r="G4219" s="96">
        <v>8253</v>
      </c>
    </row>
    <row r="4220" spans="2:7">
      <c r="B4220" s="118" t="s">
        <v>1229</v>
      </c>
      <c r="C4220" s="119">
        <v>1648</v>
      </c>
      <c r="E4220" s="96" t="s">
        <v>1396</v>
      </c>
      <c r="F4220" s="96" t="s">
        <v>175</v>
      </c>
      <c r="G4220" s="96">
        <v>8216</v>
      </c>
    </row>
    <row r="4221" spans="2:7">
      <c r="B4221" s="118" t="s">
        <v>3341</v>
      </c>
      <c r="C4221" s="119">
        <v>1637</v>
      </c>
      <c r="E4221" s="96" t="s">
        <v>1397</v>
      </c>
      <c r="F4221" s="96" t="s">
        <v>175</v>
      </c>
      <c r="G4221" s="96">
        <v>8218</v>
      </c>
    </row>
    <row r="4222" spans="2:7">
      <c r="B4222" s="118" t="s">
        <v>1226</v>
      </c>
      <c r="C4222" s="119">
        <v>1656</v>
      </c>
      <c r="E4222" s="96" t="s">
        <v>1398</v>
      </c>
      <c r="F4222" s="96" t="s">
        <v>175</v>
      </c>
      <c r="G4222" s="96">
        <v>8236</v>
      </c>
    </row>
    <row r="4223" spans="2:7">
      <c r="B4223" s="118" t="s">
        <v>3342</v>
      </c>
      <c r="C4223" s="119">
        <v>1656</v>
      </c>
      <c r="E4223" s="96" t="s">
        <v>1399</v>
      </c>
      <c r="F4223" s="96" t="s">
        <v>175</v>
      </c>
      <c r="G4223" s="96">
        <v>8238</v>
      </c>
    </row>
    <row r="4224" spans="2:7">
      <c r="B4224" s="118" t="s">
        <v>3019</v>
      </c>
      <c r="C4224" s="119">
        <v>1657</v>
      </c>
      <c r="E4224" s="96" t="s">
        <v>1400</v>
      </c>
      <c r="F4224" s="96" t="s">
        <v>178</v>
      </c>
      <c r="G4224" s="96">
        <v>8807</v>
      </c>
    </row>
    <row r="4225" spans="2:7">
      <c r="B4225" s="118" t="s">
        <v>3343</v>
      </c>
      <c r="C4225" s="119">
        <v>1716</v>
      </c>
      <c r="E4225" s="96" t="s">
        <v>1401</v>
      </c>
      <c r="F4225" s="96" t="s">
        <v>178</v>
      </c>
      <c r="G4225" s="96">
        <v>8840</v>
      </c>
    </row>
    <row r="4226" spans="2:7">
      <c r="B4226" s="118" t="s">
        <v>1167</v>
      </c>
      <c r="C4226" s="119">
        <v>1633</v>
      </c>
      <c r="E4226" s="96" t="s">
        <v>178</v>
      </c>
      <c r="F4226" s="96" t="s">
        <v>178</v>
      </c>
      <c r="G4226" s="96">
        <v>6430</v>
      </c>
    </row>
    <row r="4227" spans="2:7">
      <c r="B4227" s="118" t="s">
        <v>3344</v>
      </c>
      <c r="C4227" s="119">
        <v>1633</v>
      </c>
      <c r="E4227" s="96" t="s">
        <v>1402</v>
      </c>
      <c r="F4227" s="96" t="s">
        <v>178</v>
      </c>
      <c r="G4227" s="96">
        <v>6403</v>
      </c>
    </row>
    <row r="4228" spans="2:7">
      <c r="B4228" s="118" t="s">
        <v>1231</v>
      </c>
      <c r="C4228" s="119">
        <v>1638</v>
      </c>
      <c r="E4228" s="96" t="s">
        <v>1403</v>
      </c>
      <c r="F4228" s="96" t="s">
        <v>178</v>
      </c>
      <c r="G4228" s="96">
        <v>6415</v>
      </c>
    </row>
    <row r="4229" spans="2:7">
      <c r="B4229" s="118" t="s">
        <v>3334</v>
      </c>
      <c r="C4229" s="119">
        <v>1635</v>
      </c>
      <c r="E4229" s="96" t="s">
        <v>1404</v>
      </c>
      <c r="F4229" s="96" t="s">
        <v>178</v>
      </c>
      <c r="G4229" s="96">
        <v>8862</v>
      </c>
    </row>
    <row r="4230" spans="2:7">
      <c r="B4230" s="118" t="s">
        <v>3335</v>
      </c>
      <c r="C4230" s="119">
        <v>1661</v>
      </c>
      <c r="E4230" s="96" t="s">
        <v>1405</v>
      </c>
      <c r="F4230" s="96" t="s">
        <v>178</v>
      </c>
      <c r="G4230" s="96">
        <v>6440</v>
      </c>
    </row>
    <row r="4231" spans="2:7">
      <c r="B4231" s="118" t="s">
        <v>1230</v>
      </c>
      <c r="C4231" s="119">
        <v>1649</v>
      </c>
      <c r="E4231" s="96" t="s">
        <v>1406</v>
      </c>
      <c r="F4231" s="96" t="s">
        <v>178</v>
      </c>
      <c r="G4231" s="96">
        <v>8853</v>
      </c>
    </row>
    <row r="4232" spans="2:7">
      <c r="B4232" s="118" t="s">
        <v>1157</v>
      </c>
      <c r="C4232" s="119">
        <v>1628</v>
      </c>
      <c r="E4232" s="96" t="s">
        <v>1407</v>
      </c>
      <c r="F4232" s="96" t="s">
        <v>178</v>
      </c>
      <c r="G4232" s="96">
        <v>8832</v>
      </c>
    </row>
    <row r="4233" spans="2:7">
      <c r="B4233" s="118" t="s">
        <v>1150</v>
      </c>
      <c r="C4233" s="119">
        <v>1632</v>
      </c>
      <c r="E4233" s="96" t="s">
        <v>1408</v>
      </c>
      <c r="F4233" s="96" t="s">
        <v>178</v>
      </c>
      <c r="G4233" s="96">
        <v>8852</v>
      </c>
    </row>
    <row r="4234" spans="2:7">
      <c r="B4234" s="118" t="s">
        <v>3340</v>
      </c>
      <c r="C4234" s="119">
        <v>1634</v>
      </c>
      <c r="E4234" s="96" t="s">
        <v>1409</v>
      </c>
      <c r="F4234" s="96" t="s">
        <v>178</v>
      </c>
      <c r="G4234" s="96">
        <v>8835</v>
      </c>
    </row>
    <row r="4235" spans="2:7">
      <c r="B4235" s="118" t="s">
        <v>1179</v>
      </c>
      <c r="C4235" s="119">
        <v>1733</v>
      </c>
      <c r="E4235" s="96" t="s">
        <v>1410</v>
      </c>
      <c r="F4235" s="96" t="s">
        <v>178</v>
      </c>
      <c r="G4235" s="96">
        <v>8854</v>
      </c>
    </row>
    <row r="4236" spans="2:7">
      <c r="B4236" s="118" t="s">
        <v>3345</v>
      </c>
      <c r="C4236" s="119">
        <v>1625</v>
      </c>
      <c r="E4236" s="96" t="s">
        <v>1411</v>
      </c>
      <c r="F4236" s="96" t="s">
        <v>178</v>
      </c>
      <c r="G4236" s="96">
        <v>8855</v>
      </c>
    </row>
    <row r="4237" spans="2:7">
      <c r="B4237" s="118" t="s">
        <v>3346</v>
      </c>
      <c r="C4237" s="119">
        <v>1625</v>
      </c>
      <c r="E4237" s="96" t="s">
        <v>1412</v>
      </c>
      <c r="F4237" s="96" t="s">
        <v>178</v>
      </c>
      <c r="G4237" s="96">
        <v>6436</v>
      </c>
    </row>
    <row r="4238" spans="2:7">
      <c r="B4238" s="118" t="s">
        <v>3347</v>
      </c>
      <c r="C4238" s="119">
        <v>1626</v>
      </c>
      <c r="E4238" s="96" t="s">
        <v>1413</v>
      </c>
      <c r="F4238" s="96" t="s">
        <v>178</v>
      </c>
      <c r="G4238" s="96">
        <v>6422</v>
      </c>
    </row>
    <row r="4239" spans="2:7">
      <c r="B4239" s="118" t="s">
        <v>3348</v>
      </c>
      <c r="C4239" s="119">
        <v>1626</v>
      </c>
      <c r="E4239" s="96" t="s">
        <v>1414</v>
      </c>
      <c r="F4239" s="96" t="s">
        <v>178</v>
      </c>
      <c r="G4239" s="96">
        <v>8856</v>
      </c>
    </row>
    <row r="4240" spans="2:7">
      <c r="B4240" s="118" t="s">
        <v>3349</v>
      </c>
      <c r="C4240" s="119">
        <v>1626</v>
      </c>
      <c r="E4240" s="96" t="s">
        <v>1415</v>
      </c>
      <c r="F4240" s="96" t="s">
        <v>178</v>
      </c>
      <c r="G4240" s="96">
        <v>8842</v>
      </c>
    </row>
    <row r="4241" spans="2:7">
      <c r="B4241" s="118" t="s">
        <v>1203</v>
      </c>
      <c r="C4241" s="119">
        <v>1627</v>
      </c>
      <c r="E4241" s="96" t="s">
        <v>1416</v>
      </c>
      <c r="F4241" s="96" t="s">
        <v>178</v>
      </c>
      <c r="G4241" s="96">
        <v>6418</v>
      </c>
    </row>
    <row r="4242" spans="2:7">
      <c r="B4242" s="118" t="s">
        <v>1199</v>
      </c>
      <c r="C4242" s="119">
        <v>1642</v>
      </c>
      <c r="E4242" s="96" t="s">
        <v>1417</v>
      </c>
      <c r="F4242" s="96" t="s">
        <v>178</v>
      </c>
      <c r="G4242" s="96">
        <v>6442</v>
      </c>
    </row>
    <row r="4243" spans="2:7">
      <c r="B4243" s="118" t="s">
        <v>1203</v>
      </c>
      <c r="C4243" s="119">
        <v>1627</v>
      </c>
      <c r="E4243" s="96" t="s">
        <v>1418</v>
      </c>
      <c r="F4243" s="96" t="s">
        <v>178</v>
      </c>
      <c r="G4243" s="96">
        <v>6417</v>
      </c>
    </row>
    <row r="4244" spans="2:7">
      <c r="B4244" s="118" t="s">
        <v>1157</v>
      </c>
      <c r="C4244" s="119">
        <v>1628</v>
      </c>
      <c r="E4244" s="96" t="s">
        <v>1419</v>
      </c>
      <c r="F4244" s="96" t="s">
        <v>178</v>
      </c>
      <c r="G4244" s="96">
        <v>6443</v>
      </c>
    </row>
    <row r="4245" spans="2:7">
      <c r="B4245" s="118" t="s">
        <v>1124</v>
      </c>
      <c r="C4245" s="119">
        <v>1630</v>
      </c>
      <c r="E4245" s="96" t="s">
        <v>1420</v>
      </c>
      <c r="F4245" s="96" t="s">
        <v>178</v>
      </c>
      <c r="G4245" s="96">
        <v>6424</v>
      </c>
    </row>
    <row r="4246" spans="2:7">
      <c r="B4246" s="118" t="s">
        <v>1157</v>
      </c>
      <c r="C4246" s="119">
        <v>1628</v>
      </c>
      <c r="E4246" s="96" t="s">
        <v>1421</v>
      </c>
      <c r="F4246" s="96" t="s">
        <v>178</v>
      </c>
      <c r="G4246" s="96">
        <v>8857</v>
      </c>
    </row>
    <row r="4247" spans="2:7">
      <c r="B4247" s="118" t="s">
        <v>1124</v>
      </c>
      <c r="C4247" s="119">
        <v>1630</v>
      </c>
      <c r="E4247" s="96" t="s">
        <v>1422</v>
      </c>
      <c r="F4247" s="96" t="s">
        <v>178</v>
      </c>
      <c r="G4247" s="96">
        <v>6416</v>
      </c>
    </row>
    <row r="4248" spans="2:7">
      <c r="B4248" s="118" t="s">
        <v>3339</v>
      </c>
      <c r="C4248" s="119">
        <v>1663</v>
      </c>
      <c r="E4248" s="96" t="s">
        <v>1423</v>
      </c>
      <c r="F4248" s="96" t="s">
        <v>178</v>
      </c>
      <c r="G4248" s="96">
        <v>8843</v>
      </c>
    </row>
    <row r="4249" spans="2:7">
      <c r="B4249" s="118" t="s">
        <v>3350</v>
      </c>
      <c r="C4249" s="119">
        <v>1665</v>
      </c>
      <c r="E4249" s="96" t="s">
        <v>1424</v>
      </c>
      <c r="F4249" s="96" t="s">
        <v>178</v>
      </c>
      <c r="G4249" s="96">
        <v>6434</v>
      </c>
    </row>
    <row r="4250" spans="2:7">
      <c r="B4250" s="118" t="s">
        <v>3351</v>
      </c>
      <c r="C4250" s="119">
        <v>1666</v>
      </c>
      <c r="E4250" s="96" t="s">
        <v>1425</v>
      </c>
      <c r="F4250" s="96" t="s">
        <v>178</v>
      </c>
      <c r="G4250" s="96">
        <v>8849</v>
      </c>
    </row>
    <row r="4251" spans="2:7">
      <c r="B4251" s="118" t="s">
        <v>3352</v>
      </c>
      <c r="C4251" s="119">
        <v>1667</v>
      </c>
      <c r="E4251" s="96" t="s">
        <v>1426</v>
      </c>
      <c r="F4251" s="96" t="s">
        <v>178</v>
      </c>
      <c r="G4251" s="96">
        <v>8858</v>
      </c>
    </row>
    <row r="4252" spans="2:7">
      <c r="B4252" s="118" t="s">
        <v>3341</v>
      </c>
      <c r="C4252" s="119">
        <v>1637</v>
      </c>
      <c r="E4252" s="96" t="s">
        <v>1427</v>
      </c>
      <c r="F4252" s="96" t="s">
        <v>178</v>
      </c>
      <c r="G4252" s="96">
        <v>6452</v>
      </c>
    </row>
    <row r="4253" spans="2:7">
      <c r="B4253" s="118" t="s">
        <v>3353</v>
      </c>
      <c r="C4253" s="119">
        <v>1654</v>
      </c>
      <c r="E4253" s="96" t="s">
        <v>1428</v>
      </c>
      <c r="F4253" s="96" t="s">
        <v>178</v>
      </c>
      <c r="G4253" s="100">
        <v>6452</v>
      </c>
    </row>
    <row r="4254" spans="2:7">
      <c r="B4254" s="118" t="s">
        <v>3343</v>
      </c>
      <c r="C4254" s="119">
        <v>1716</v>
      </c>
      <c r="E4254" s="96" t="s">
        <v>1429</v>
      </c>
      <c r="F4254" s="96" t="s">
        <v>166</v>
      </c>
      <c r="G4254" s="100">
        <v>6900</v>
      </c>
    </row>
    <row r="4255" spans="2:7">
      <c r="B4255" s="118" t="s">
        <v>1220</v>
      </c>
      <c r="C4255" s="119">
        <v>1742</v>
      </c>
      <c r="E4255" s="96" t="s">
        <v>1430</v>
      </c>
      <c r="F4255" s="96" t="s">
        <v>166</v>
      </c>
      <c r="G4255" s="100">
        <v>6500</v>
      </c>
    </row>
    <row r="4256" spans="2:7">
      <c r="B4256" s="118" t="s">
        <v>3354</v>
      </c>
      <c r="C4256" s="119">
        <v>1745</v>
      </c>
      <c r="E4256" s="96" t="s">
        <v>1431</v>
      </c>
      <c r="F4256" s="96" t="s">
        <v>166</v>
      </c>
      <c r="G4256" s="100">
        <v>6600</v>
      </c>
    </row>
    <row r="4257" spans="2:7">
      <c r="B4257" s="118" t="s">
        <v>3355</v>
      </c>
      <c r="C4257" s="119">
        <v>1754</v>
      </c>
      <c r="E4257" s="96" t="s">
        <v>1432</v>
      </c>
      <c r="F4257" s="96" t="s">
        <v>166</v>
      </c>
      <c r="G4257" s="100">
        <v>6850</v>
      </c>
    </row>
    <row r="4258" spans="2:7">
      <c r="B4258" s="118" t="s">
        <v>3356</v>
      </c>
      <c r="C4258" s="119">
        <v>1754</v>
      </c>
      <c r="E4258" s="96" t="s">
        <v>1433</v>
      </c>
      <c r="F4258" s="96" t="s">
        <v>166</v>
      </c>
      <c r="G4258" s="100">
        <v>6830</v>
      </c>
    </row>
    <row r="4259" spans="2:7">
      <c r="B4259" s="118" t="s">
        <v>3357</v>
      </c>
      <c r="C4259" s="119">
        <v>1720</v>
      </c>
      <c r="E4259" s="96" t="s">
        <v>1434</v>
      </c>
      <c r="F4259" s="96" t="s">
        <v>166</v>
      </c>
      <c r="G4259" s="100">
        <v>6648</v>
      </c>
    </row>
    <row r="4260" spans="2:7">
      <c r="B4260" s="118" t="s">
        <v>1145</v>
      </c>
      <c r="C4260" s="119">
        <v>1782</v>
      </c>
      <c r="E4260" s="96" t="s">
        <v>1435</v>
      </c>
      <c r="F4260" s="96" t="s">
        <v>166</v>
      </c>
      <c r="G4260" s="100">
        <v>6950</v>
      </c>
    </row>
    <row r="4261" spans="2:7">
      <c r="B4261" s="118" t="s">
        <v>3358</v>
      </c>
      <c r="C4261" s="119">
        <v>1782</v>
      </c>
      <c r="E4261" s="96" t="s">
        <v>1436</v>
      </c>
      <c r="F4261" s="96" t="s">
        <v>166</v>
      </c>
      <c r="G4261" s="100">
        <v>6616</v>
      </c>
    </row>
    <row r="4262" spans="2:7">
      <c r="B4262" s="118" t="s">
        <v>1216</v>
      </c>
      <c r="C4262" s="119">
        <v>1744</v>
      </c>
      <c r="E4262" s="96" t="s">
        <v>1437</v>
      </c>
      <c r="F4262" s="96" t="s">
        <v>166</v>
      </c>
      <c r="G4262" s="100">
        <v>6900</v>
      </c>
    </row>
    <row r="4263" spans="2:7">
      <c r="B4263" s="118" t="s">
        <v>1152</v>
      </c>
      <c r="C4263" s="119">
        <v>1720</v>
      </c>
      <c r="E4263" s="96" t="s">
        <v>1438</v>
      </c>
      <c r="F4263" s="96" t="s">
        <v>166</v>
      </c>
      <c r="G4263" s="100">
        <v>6710</v>
      </c>
    </row>
    <row r="4264" spans="2:7">
      <c r="B4264" s="118" t="s">
        <v>3357</v>
      </c>
      <c r="C4264" s="119">
        <v>1720</v>
      </c>
      <c r="E4264" s="96" t="s">
        <v>1439</v>
      </c>
      <c r="F4264" s="96" t="s">
        <v>166</v>
      </c>
      <c r="G4264" s="100">
        <v>6612</v>
      </c>
    </row>
    <row r="4265" spans="2:7">
      <c r="B4265" s="118" t="s">
        <v>1175</v>
      </c>
      <c r="C4265" s="119">
        <v>1753</v>
      </c>
      <c r="E4265" s="96" t="s">
        <v>1440</v>
      </c>
      <c r="F4265" s="96" t="s">
        <v>166</v>
      </c>
      <c r="G4265" s="100">
        <v>6574</v>
      </c>
    </row>
    <row r="4266" spans="2:7">
      <c r="B4266" s="118" t="s">
        <v>3359</v>
      </c>
      <c r="C4266" s="119">
        <v>1741</v>
      </c>
      <c r="E4266" s="96" t="s">
        <v>1441</v>
      </c>
      <c r="F4266" s="96" t="s">
        <v>166</v>
      </c>
      <c r="G4266" s="100">
        <v>6517</v>
      </c>
    </row>
    <row r="4267" spans="2:7">
      <c r="B4267" s="118" t="s">
        <v>1251</v>
      </c>
      <c r="C4267" s="119">
        <v>1724</v>
      </c>
      <c r="E4267" s="96" t="s">
        <v>1442</v>
      </c>
      <c r="F4267" s="96" t="s">
        <v>166</v>
      </c>
      <c r="G4267" s="100">
        <v>6926</v>
      </c>
    </row>
    <row r="4268" spans="2:7">
      <c r="B4268" s="118" t="s">
        <v>2626</v>
      </c>
      <c r="C4268" s="119">
        <v>1700</v>
      </c>
      <c r="E4268" s="96" t="s">
        <v>1443</v>
      </c>
      <c r="F4268" s="96" t="s">
        <v>166</v>
      </c>
      <c r="G4268" s="100">
        <v>6596</v>
      </c>
    </row>
    <row r="4269" spans="2:7">
      <c r="B4269" s="118" t="s">
        <v>3360</v>
      </c>
      <c r="C4269" s="119">
        <v>1722</v>
      </c>
      <c r="E4269" s="96" t="s">
        <v>1444</v>
      </c>
      <c r="F4269" s="96" t="s">
        <v>166</v>
      </c>
      <c r="G4269" s="100">
        <v>6855</v>
      </c>
    </row>
    <row r="4270" spans="2:7">
      <c r="B4270" s="118" t="s">
        <v>1146</v>
      </c>
      <c r="C4270" s="119">
        <v>1762</v>
      </c>
      <c r="E4270" s="96" t="s">
        <v>1445</v>
      </c>
      <c r="F4270" s="96" t="s">
        <v>166</v>
      </c>
      <c r="G4270" s="100">
        <v>6834</v>
      </c>
    </row>
    <row r="4271" spans="2:7">
      <c r="B4271" s="118" t="s">
        <v>1139</v>
      </c>
      <c r="C4271" s="119">
        <v>1763</v>
      </c>
      <c r="E4271" s="96" t="s">
        <v>1446</v>
      </c>
      <c r="F4271" s="96" t="s">
        <v>166</v>
      </c>
      <c r="G4271" s="100">
        <v>6802</v>
      </c>
    </row>
    <row r="4272" spans="2:7">
      <c r="B4272" s="118" t="s">
        <v>1166</v>
      </c>
      <c r="C4272" s="119">
        <v>1772</v>
      </c>
      <c r="E4272" s="96" t="s">
        <v>1447</v>
      </c>
      <c r="F4272" s="96" t="s">
        <v>166</v>
      </c>
      <c r="G4272" s="100">
        <v>6982</v>
      </c>
    </row>
    <row r="4273" spans="2:7">
      <c r="B4273" s="118" t="s">
        <v>1128</v>
      </c>
      <c r="C4273" s="119">
        <v>1723</v>
      </c>
      <c r="E4273" s="96" t="s">
        <v>1448</v>
      </c>
      <c r="F4273" s="96" t="s">
        <v>166</v>
      </c>
      <c r="G4273" s="100">
        <v>6987</v>
      </c>
    </row>
    <row r="4274" spans="2:7">
      <c r="B4274" s="118" t="s">
        <v>3361</v>
      </c>
      <c r="C4274" s="119">
        <v>1725</v>
      </c>
      <c r="E4274" s="96" t="s">
        <v>1449</v>
      </c>
      <c r="F4274" s="96" t="s">
        <v>166</v>
      </c>
      <c r="G4274" s="100">
        <v>6707</v>
      </c>
    </row>
    <row r="4275" spans="2:7">
      <c r="B4275" s="118" t="s">
        <v>1175</v>
      </c>
      <c r="C4275" s="119">
        <v>1753</v>
      </c>
      <c r="E4275" s="96" t="s">
        <v>1450</v>
      </c>
      <c r="F4275" s="96" t="s">
        <v>166</v>
      </c>
      <c r="G4275" s="100">
        <v>6900</v>
      </c>
    </row>
    <row r="4276" spans="2:7">
      <c r="B4276" s="118" t="s">
        <v>3362</v>
      </c>
      <c r="C4276" s="119">
        <v>1740</v>
      </c>
      <c r="E4276" s="96" t="s">
        <v>1451</v>
      </c>
      <c r="F4276" s="96" t="s">
        <v>166</v>
      </c>
      <c r="G4276" s="100">
        <v>6833</v>
      </c>
    </row>
    <row r="4277" spans="2:7">
      <c r="B4277" s="118" t="s">
        <v>1256</v>
      </c>
      <c r="C4277" s="119">
        <v>1723</v>
      </c>
      <c r="E4277" s="96" t="s">
        <v>1452</v>
      </c>
      <c r="F4277" s="96" t="s">
        <v>166</v>
      </c>
      <c r="G4277" s="100">
        <v>6828</v>
      </c>
    </row>
    <row r="4278" spans="2:7">
      <c r="B4278" s="118" t="s">
        <v>3363</v>
      </c>
      <c r="C4278" s="119">
        <v>1772</v>
      </c>
      <c r="E4278" s="96" t="s">
        <v>1453</v>
      </c>
      <c r="F4278" s="96" t="s">
        <v>166</v>
      </c>
      <c r="G4278" s="100">
        <v>6598</v>
      </c>
    </row>
    <row r="4279" spans="2:7">
      <c r="B4279" s="118" t="s">
        <v>1222</v>
      </c>
      <c r="C4279" s="119">
        <v>1772</v>
      </c>
      <c r="E4279" s="96" t="s">
        <v>1454</v>
      </c>
      <c r="F4279" s="96" t="s">
        <v>166</v>
      </c>
      <c r="G4279" s="100">
        <v>6807</v>
      </c>
    </row>
    <row r="4280" spans="2:7">
      <c r="B4280" s="118" t="s">
        <v>1147</v>
      </c>
      <c r="C4280" s="119">
        <v>1724</v>
      </c>
      <c r="E4280" s="96" t="s">
        <v>1455</v>
      </c>
      <c r="F4280" s="96" t="s">
        <v>166</v>
      </c>
      <c r="G4280" s="100">
        <v>6760</v>
      </c>
    </row>
    <row r="4281" spans="2:7">
      <c r="B4281" s="118" t="s">
        <v>3364</v>
      </c>
      <c r="C4281" s="119">
        <v>1724</v>
      </c>
      <c r="E4281" s="96" t="s">
        <v>1456</v>
      </c>
      <c r="F4281" s="96" t="s">
        <v>166</v>
      </c>
      <c r="G4281" s="100">
        <v>6593</v>
      </c>
    </row>
    <row r="4282" spans="2:7">
      <c r="B4282" s="118" t="s">
        <v>3365</v>
      </c>
      <c r="C4282" s="119">
        <v>1724</v>
      </c>
      <c r="E4282" s="96" t="s">
        <v>1457</v>
      </c>
      <c r="F4282" s="96" t="s">
        <v>166</v>
      </c>
      <c r="G4282" s="100">
        <v>6877</v>
      </c>
    </row>
    <row r="4283" spans="2:7">
      <c r="B4283" s="118" t="s">
        <v>3366</v>
      </c>
      <c r="C4283" s="119">
        <v>1724</v>
      </c>
      <c r="E4283" s="96" t="s">
        <v>1458</v>
      </c>
      <c r="F4283" s="96" t="s">
        <v>166</v>
      </c>
      <c r="G4283" s="100">
        <v>6516</v>
      </c>
    </row>
    <row r="4284" spans="2:7">
      <c r="B4284" s="118" t="s">
        <v>3367</v>
      </c>
      <c r="C4284" s="119">
        <v>1724</v>
      </c>
      <c r="E4284" s="96" t="s">
        <v>1459</v>
      </c>
      <c r="F4284" s="96" t="s">
        <v>166</v>
      </c>
      <c r="G4284" s="100">
        <v>6600</v>
      </c>
    </row>
    <row r="4285" spans="2:7">
      <c r="B4285" s="118" t="s">
        <v>3368</v>
      </c>
      <c r="C4285" s="119">
        <v>1724</v>
      </c>
      <c r="E4285" s="96" t="s">
        <v>1460</v>
      </c>
      <c r="F4285" s="96" t="s">
        <v>166</v>
      </c>
      <c r="G4285" s="100">
        <v>6934</v>
      </c>
    </row>
    <row r="4286" spans="2:7">
      <c r="B4286" s="118" t="s">
        <v>1187</v>
      </c>
      <c r="C4286" s="119">
        <v>1734</v>
      </c>
      <c r="E4286" s="96" t="s">
        <v>1461</v>
      </c>
      <c r="F4286" s="96" t="s">
        <v>166</v>
      </c>
      <c r="G4286" s="100">
        <v>6826</v>
      </c>
    </row>
    <row r="4287" spans="2:7">
      <c r="B4287" s="118" t="s">
        <v>3364</v>
      </c>
      <c r="C4287" s="119">
        <v>1724</v>
      </c>
      <c r="E4287" s="96" t="s">
        <v>1462</v>
      </c>
      <c r="F4287" s="96" t="s">
        <v>166</v>
      </c>
      <c r="G4287" s="100">
        <v>6652</v>
      </c>
    </row>
    <row r="4288" spans="2:7">
      <c r="B4288" s="118" t="s">
        <v>1255</v>
      </c>
      <c r="C4288" s="119">
        <v>1724</v>
      </c>
      <c r="E4288" s="96" t="s">
        <v>1463</v>
      </c>
      <c r="F4288" s="96" t="s">
        <v>166</v>
      </c>
      <c r="G4288" s="100">
        <v>6673</v>
      </c>
    </row>
    <row r="4289" spans="2:7">
      <c r="B4289" s="118" t="s">
        <v>1179</v>
      </c>
      <c r="C4289" s="119">
        <v>1733</v>
      </c>
      <c r="E4289" s="96" t="s">
        <v>1464</v>
      </c>
      <c r="F4289" s="96" t="s">
        <v>166</v>
      </c>
      <c r="G4289" s="100">
        <v>6592</v>
      </c>
    </row>
    <row r="4290" spans="2:7">
      <c r="B4290" s="118" t="s">
        <v>1125</v>
      </c>
      <c r="C4290" s="119">
        <v>1752</v>
      </c>
      <c r="E4290" s="96" t="s">
        <v>1465</v>
      </c>
      <c r="F4290" s="96" t="s">
        <v>166</v>
      </c>
      <c r="G4290" s="100">
        <v>6883</v>
      </c>
    </row>
    <row r="4291" spans="2:7">
      <c r="B4291" s="118" t="s">
        <v>1257</v>
      </c>
      <c r="C4291" s="119">
        <v>1723</v>
      </c>
      <c r="E4291" s="96" t="s">
        <v>1466</v>
      </c>
      <c r="F4291" s="96" t="s">
        <v>166</v>
      </c>
      <c r="G4291" s="100">
        <v>6942</v>
      </c>
    </row>
    <row r="4292" spans="2:7">
      <c r="B4292" s="118" t="s">
        <v>1147</v>
      </c>
      <c r="C4292" s="119">
        <v>1724</v>
      </c>
      <c r="E4292" s="96" t="s">
        <v>1467</v>
      </c>
      <c r="F4292" s="96" t="s">
        <v>166</v>
      </c>
      <c r="G4292" s="100">
        <v>6874</v>
      </c>
    </row>
    <row r="4293" spans="2:7">
      <c r="B4293" s="118" t="s">
        <v>3361</v>
      </c>
      <c r="C4293" s="119">
        <v>1725</v>
      </c>
      <c r="E4293" s="96" t="s">
        <v>1468</v>
      </c>
      <c r="F4293" s="96" t="s">
        <v>166</v>
      </c>
      <c r="G4293" s="100">
        <v>6952</v>
      </c>
    </row>
    <row r="4294" spans="2:7">
      <c r="B4294" s="118" t="s">
        <v>3369</v>
      </c>
      <c r="C4294" s="119">
        <v>1730</v>
      </c>
      <c r="E4294" s="96" t="s">
        <v>1469</v>
      </c>
      <c r="F4294" s="96" t="s">
        <v>166</v>
      </c>
      <c r="G4294" s="100">
        <v>6705</v>
      </c>
    </row>
    <row r="4295" spans="2:7">
      <c r="B4295" s="118" t="s">
        <v>3354</v>
      </c>
      <c r="C4295" s="119">
        <v>1745</v>
      </c>
      <c r="E4295" s="96" t="s">
        <v>1470</v>
      </c>
      <c r="F4295" s="96" t="s">
        <v>166</v>
      </c>
      <c r="G4295" s="100">
        <v>6881</v>
      </c>
    </row>
    <row r="4296" spans="2:7">
      <c r="B4296" s="118" t="s">
        <v>3355</v>
      </c>
      <c r="C4296" s="119">
        <v>1754</v>
      </c>
      <c r="E4296" s="96" t="s">
        <v>1471</v>
      </c>
      <c r="F4296" s="96" t="s">
        <v>166</v>
      </c>
      <c r="G4296" s="100">
        <v>6949</v>
      </c>
    </row>
    <row r="4297" spans="2:7">
      <c r="B4297" s="118" t="s">
        <v>3370</v>
      </c>
      <c r="C4297" s="119">
        <v>1756</v>
      </c>
      <c r="E4297" s="96" t="s">
        <v>1472</v>
      </c>
      <c r="F4297" s="96" t="s">
        <v>166</v>
      </c>
      <c r="G4297" s="100">
        <v>6943</v>
      </c>
    </row>
    <row r="4298" spans="2:7">
      <c r="B4298" s="118" t="s">
        <v>3371</v>
      </c>
      <c r="C4298" s="119">
        <v>1756</v>
      </c>
      <c r="E4298" s="96" t="s">
        <v>1473</v>
      </c>
      <c r="F4298" s="96" t="s">
        <v>166</v>
      </c>
      <c r="G4298" s="100">
        <v>6946</v>
      </c>
    </row>
    <row r="4299" spans="2:7">
      <c r="B4299" s="118" t="s">
        <v>3372</v>
      </c>
      <c r="C4299" s="119">
        <v>1782</v>
      </c>
      <c r="E4299" s="96" t="s">
        <v>1474</v>
      </c>
      <c r="F4299" s="96" t="s">
        <v>166</v>
      </c>
      <c r="G4299" s="100">
        <v>6716</v>
      </c>
    </row>
    <row r="4300" spans="2:7">
      <c r="B4300" s="118" t="s">
        <v>3373</v>
      </c>
      <c r="C4300" s="119">
        <v>1782</v>
      </c>
      <c r="E4300" s="96" t="s">
        <v>1475</v>
      </c>
      <c r="F4300" s="96" t="s">
        <v>166</v>
      </c>
      <c r="G4300" s="100">
        <v>6718</v>
      </c>
    </row>
    <row r="4301" spans="2:7">
      <c r="B4301" s="118" t="s">
        <v>3374</v>
      </c>
      <c r="C4301" s="119">
        <v>1782</v>
      </c>
      <c r="E4301" s="96" t="s">
        <v>1476</v>
      </c>
      <c r="F4301" s="96" t="s">
        <v>166</v>
      </c>
      <c r="G4301" s="100">
        <v>6815</v>
      </c>
    </row>
    <row r="4302" spans="2:7">
      <c r="B4302" s="118" t="s">
        <v>3375</v>
      </c>
      <c r="C4302" s="119">
        <v>1782</v>
      </c>
      <c r="E4302" s="96" t="s">
        <v>1477</v>
      </c>
      <c r="F4302" s="96" t="s">
        <v>166</v>
      </c>
      <c r="G4302" s="100">
        <v>6814</v>
      </c>
    </row>
    <row r="4303" spans="2:7">
      <c r="B4303" s="118" t="s">
        <v>3376</v>
      </c>
      <c r="C4303" s="119">
        <v>1695</v>
      </c>
      <c r="E4303" s="96" t="s">
        <v>1478</v>
      </c>
      <c r="F4303" s="96" t="s">
        <v>166</v>
      </c>
      <c r="G4303" s="100">
        <v>6924</v>
      </c>
    </row>
    <row r="4304" spans="2:7">
      <c r="B4304" s="118" t="s">
        <v>3377</v>
      </c>
      <c r="C4304" s="119">
        <v>1695</v>
      </c>
      <c r="E4304" s="96" t="s">
        <v>1479</v>
      </c>
      <c r="F4304" s="96" t="s">
        <v>166</v>
      </c>
      <c r="G4304" s="100">
        <v>6614</v>
      </c>
    </row>
    <row r="4305" spans="2:7">
      <c r="B4305" s="118" t="s">
        <v>3378</v>
      </c>
      <c r="C4305" s="119">
        <v>1695</v>
      </c>
      <c r="E4305" s="96" t="s">
        <v>1480</v>
      </c>
      <c r="F4305" s="96" t="s">
        <v>166</v>
      </c>
      <c r="G4305" s="100">
        <v>6983</v>
      </c>
    </row>
    <row r="4306" spans="2:7">
      <c r="B4306" s="118" t="s">
        <v>3379</v>
      </c>
      <c r="C4306" s="119">
        <v>1695</v>
      </c>
      <c r="E4306" s="96" t="s">
        <v>1481</v>
      </c>
      <c r="F4306" s="96" t="s">
        <v>166</v>
      </c>
      <c r="G4306" s="100">
        <v>6948</v>
      </c>
    </row>
    <row r="4307" spans="2:7">
      <c r="B4307" s="118" t="s">
        <v>3380</v>
      </c>
      <c r="C4307" s="119">
        <v>1696</v>
      </c>
      <c r="E4307" s="96" t="s">
        <v>1482</v>
      </c>
      <c r="F4307" s="96" t="s">
        <v>166</v>
      </c>
      <c r="G4307" s="100">
        <v>6930</v>
      </c>
    </row>
    <row r="4308" spans="2:7">
      <c r="B4308" s="118" t="s">
        <v>3381</v>
      </c>
      <c r="C4308" s="119">
        <v>1726</v>
      </c>
      <c r="E4308" s="96" t="s">
        <v>1483</v>
      </c>
      <c r="F4308" s="96" t="s">
        <v>166</v>
      </c>
      <c r="G4308" s="100">
        <v>6780</v>
      </c>
    </row>
    <row r="4309" spans="2:7">
      <c r="B4309" s="118" t="s">
        <v>3382</v>
      </c>
      <c r="C4309" s="119">
        <v>1726</v>
      </c>
      <c r="E4309" s="96" t="s">
        <v>1484</v>
      </c>
      <c r="F4309" s="96" t="s">
        <v>166</v>
      </c>
      <c r="G4309" s="100">
        <v>6814</v>
      </c>
    </row>
    <row r="4310" spans="2:7">
      <c r="B4310" s="118" t="s">
        <v>3383</v>
      </c>
      <c r="C4310" s="119">
        <v>1726</v>
      </c>
      <c r="E4310" s="96" t="s">
        <v>1485</v>
      </c>
      <c r="F4310" s="96" t="s">
        <v>166</v>
      </c>
      <c r="G4310" s="100">
        <v>6670</v>
      </c>
    </row>
    <row r="4311" spans="2:7">
      <c r="B4311" s="118" t="s">
        <v>3384</v>
      </c>
      <c r="C4311" s="119">
        <v>1726</v>
      </c>
      <c r="E4311" s="96" t="s">
        <v>1486</v>
      </c>
      <c r="F4311" s="96" t="s">
        <v>166</v>
      </c>
      <c r="G4311" s="100">
        <v>6945</v>
      </c>
    </row>
    <row r="4312" spans="2:7">
      <c r="B4312" s="118" t="s">
        <v>3385</v>
      </c>
      <c r="C4312" s="119">
        <v>1727</v>
      </c>
      <c r="E4312" s="96" t="s">
        <v>1487</v>
      </c>
      <c r="F4312" s="96" t="s">
        <v>166</v>
      </c>
      <c r="G4312" s="100">
        <v>6533</v>
      </c>
    </row>
    <row r="4313" spans="2:7">
      <c r="B4313" s="118" t="s">
        <v>3386</v>
      </c>
      <c r="C4313" s="119">
        <v>1727</v>
      </c>
      <c r="E4313" s="96" t="s">
        <v>1488</v>
      </c>
      <c r="F4313" s="96" t="s">
        <v>166</v>
      </c>
      <c r="G4313" s="100">
        <v>6818</v>
      </c>
    </row>
    <row r="4314" spans="2:7">
      <c r="B4314" s="118" t="s">
        <v>3387</v>
      </c>
      <c r="C4314" s="119">
        <v>1728</v>
      </c>
      <c r="E4314" s="96" t="s">
        <v>1489</v>
      </c>
      <c r="F4314" s="96" t="s">
        <v>166</v>
      </c>
      <c r="G4314" s="100">
        <v>6936</v>
      </c>
    </row>
    <row r="4315" spans="2:7">
      <c r="B4315" s="118" t="s">
        <v>1197</v>
      </c>
      <c r="C4315" s="119">
        <v>1746</v>
      </c>
      <c r="E4315" s="96" t="s">
        <v>1490</v>
      </c>
      <c r="F4315" s="96" t="s">
        <v>166</v>
      </c>
      <c r="G4315" s="100">
        <v>6944</v>
      </c>
    </row>
    <row r="4316" spans="2:7">
      <c r="B4316" s="118" t="s">
        <v>1240</v>
      </c>
      <c r="C4316" s="119">
        <v>1747</v>
      </c>
      <c r="E4316" s="96" t="s">
        <v>1491</v>
      </c>
      <c r="F4316" s="96" t="s">
        <v>166</v>
      </c>
      <c r="G4316" s="100">
        <v>6984</v>
      </c>
    </row>
    <row r="4317" spans="2:7">
      <c r="B4317" s="118" t="s">
        <v>3355</v>
      </c>
      <c r="C4317" s="119">
        <v>1754</v>
      </c>
      <c r="E4317" s="96" t="s">
        <v>1492</v>
      </c>
      <c r="F4317" s="96" t="s">
        <v>166</v>
      </c>
      <c r="G4317" s="100">
        <v>6805</v>
      </c>
    </row>
    <row r="4318" spans="2:7">
      <c r="B4318" s="118" t="s">
        <v>1224</v>
      </c>
      <c r="C4318" s="119">
        <v>1757</v>
      </c>
      <c r="E4318" s="96" t="s">
        <v>1493</v>
      </c>
      <c r="F4318" s="96" t="s">
        <v>166</v>
      </c>
      <c r="G4318" s="100">
        <v>6928</v>
      </c>
    </row>
    <row r="4319" spans="2:7">
      <c r="B4319" s="118" t="s">
        <v>1255</v>
      </c>
      <c r="C4319" s="119">
        <v>1724</v>
      </c>
      <c r="E4319" s="96" t="s">
        <v>1494</v>
      </c>
      <c r="F4319" s="96" t="s">
        <v>166</v>
      </c>
      <c r="G4319" s="100">
        <v>6633</v>
      </c>
    </row>
    <row r="4320" spans="2:7">
      <c r="B4320" s="118" t="s">
        <v>3361</v>
      </c>
      <c r="C4320" s="119">
        <v>1725</v>
      </c>
      <c r="E4320" s="96" t="s">
        <v>1495</v>
      </c>
      <c r="F4320" s="96" t="s">
        <v>166</v>
      </c>
      <c r="G4320" s="100">
        <v>6929</v>
      </c>
    </row>
    <row r="4321" spans="2:7">
      <c r="B4321" s="118" t="s">
        <v>3388</v>
      </c>
      <c r="C4321" s="119">
        <v>1731</v>
      </c>
      <c r="E4321" s="96" t="s">
        <v>1496</v>
      </c>
      <c r="F4321" s="96" t="s">
        <v>166</v>
      </c>
      <c r="G4321" s="100">
        <v>6675</v>
      </c>
    </row>
    <row r="4322" spans="2:7">
      <c r="B4322" s="118" t="s">
        <v>1213</v>
      </c>
      <c r="C4322" s="119">
        <v>1732</v>
      </c>
      <c r="E4322" s="96" t="s">
        <v>1497</v>
      </c>
      <c r="F4322" s="96" t="s">
        <v>166</v>
      </c>
      <c r="G4322" s="100">
        <v>6654</v>
      </c>
    </row>
    <row r="4323" spans="2:7">
      <c r="B4323" s="118" t="s">
        <v>1182</v>
      </c>
      <c r="C4323" s="119">
        <v>1796</v>
      </c>
      <c r="E4323" s="96" t="s">
        <v>1498</v>
      </c>
      <c r="F4323" s="96" t="s">
        <v>166</v>
      </c>
      <c r="G4323" s="100">
        <v>6777</v>
      </c>
    </row>
    <row r="4324" spans="2:7">
      <c r="B4324" s="118" t="s">
        <v>1127</v>
      </c>
      <c r="C4324" s="119">
        <v>3280</v>
      </c>
      <c r="E4324" s="96" t="s">
        <v>1499</v>
      </c>
      <c r="F4324" s="96" t="s">
        <v>166</v>
      </c>
      <c r="G4324" s="100">
        <v>6743</v>
      </c>
    </row>
    <row r="4325" spans="2:7">
      <c r="B4325" s="118" t="s">
        <v>3389</v>
      </c>
      <c r="C4325" s="119">
        <v>1583</v>
      </c>
      <c r="E4325" s="96" t="s">
        <v>1500</v>
      </c>
      <c r="F4325" s="96" t="s">
        <v>166</v>
      </c>
      <c r="G4325" s="100">
        <v>6822</v>
      </c>
    </row>
    <row r="4326" spans="2:7">
      <c r="B4326" s="118" t="s">
        <v>3390</v>
      </c>
      <c r="C4326" s="119">
        <v>1783</v>
      </c>
      <c r="E4326" s="96" t="s">
        <v>1501</v>
      </c>
      <c r="F4326" s="96" t="s">
        <v>166</v>
      </c>
      <c r="G4326" s="100">
        <v>6816</v>
      </c>
    </row>
    <row r="4327" spans="2:7">
      <c r="B4327" s="118" t="s">
        <v>3391</v>
      </c>
      <c r="C4327" s="119">
        <v>1783</v>
      </c>
      <c r="E4327" s="96" t="s">
        <v>1502</v>
      </c>
      <c r="F4327" s="96" t="s">
        <v>166</v>
      </c>
      <c r="G4327" s="100">
        <v>6998</v>
      </c>
    </row>
    <row r="4328" spans="2:7">
      <c r="B4328" s="118" t="s">
        <v>1134</v>
      </c>
      <c r="C4328" s="119">
        <v>1784</v>
      </c>
      <c r="E4328" s="96" t="s">
        <v>1503</v>
      </c>
      <c r="F4328" s="96" t="s">
        <v>166</v>
      </c>
      <c r="G4328" s="100">
        <v>6745</v>
      </c>
    </row>
    <row r="4329" spans="2:7">
      <c r="B4329" s="118" t="s">
        <v>3392</v>
      </c>
      <c r="C4329" s="119">
        <v>1784</v>
      </c>
      <c r="E4329" s="96" t="s">
        <v>1504</v>
      </c>
      <c r="F4329" s="96" t="s">
        <v>166</v>
      </c>
      <c r="G4329" s="100">
        <v>6980</v>
      </c>
    </row>
    <row r="4330" spans="2:7">
      <c r="B4330" s="118" t="s">
        <v>3393</v>
      </c>
      <c r="C4330" s="119">
        <v>1791</v>
      </c>
      <c r="E4330" s="96" t="s">
        <v>1505</v>
      </c>
      <c r="F4330" s="96" t="s">
        <v>166</v>
      </c>
      <c r="G4330" s="100">
        <v>6821</v>
      </c>
    </row>
    <row r="4331" spans="2:7">
      <c r="B4331" s="118" t="s">
        <v>3394</v>
      </c>
      <c r="C4331" s="119">
        <v>1795</v>
      </c>
      <c r="E4331" s="96" t="s">
        <v>1506</v>
      </c>
      <c r="F4331" s="96" t="s">
        <v>166</v>
      </c>
      <c r="G4331" s="100">
        <v>6986</v>
      </c>
    </row>
    <row r="4332" spans="2:7">
      <c r="B4332" s="118" t="s">
        <v>3395</v>
      </c>
      <c r="C4332" s="119">
        <v>3212</v>
      </c>
      <c r="E4332" s="96" t="s">
        <v>1507</v>
      </c>
      <c r="F4332" s="96" t="s">
        <v>166</v>
      </c>
      <c r="G4332" s="100">
        <v>6933</v>
      </c>
    </row>
    <row r="4333" spans="2:7">
      <c r="B4333" s="118" t="s">
        <v>3396</v>
      </c>
      <c r="C4333" s="119">
        <v>1785</v>
      </c>
      <c r="E4333" s="96" t="s">
        <v>1508</v>
      </c>
      <c r="F4333" s="96" t="s">
        <v>166</v>
      </c>
      <c r="G4333" s="100">
        <v>6936</v>
      </c>
    </row>
    <row r="4334" spans="2:7">
      <c r="B4334" s="118" t="s">
        <v>1235</v>
      </c>
      <c r="C4334" s="119">
        <v>3284</v>
      </c>
      <c r="E4334" s="96" t="s">
        <v>1509</v>
      </c>
      <c r="F4334" s="96" t="s">
        <v>166</v>
      </c>
      <c r="G4334" s="100">
        <v>6988</v>
      </c>
    </row>
    <row r="4335" spans="2:7">
      <c r="B4335" s="118" t="s">
        <v>1254</v>
      </c>
      <c r="C4335" s="119">
        <v>3280</v>
      </c>
      <c r="E4335" s="96" t="s">
        <v>1510</v>
      </c>
      <c r="F4335" s="96" t="s">
        <v>166</v>
      </c>
      <c r="G4335" s="100">
        <v>6742</v>
      </c>
    </row>
    <row r="4336" spans="2:7">
      <c r="B4336" s="118" t="s">
        <v>3397</v>
      </c>
      <c r="C4336" s="119">
        <v>1792</v>
      </c>
      <c r="E4336" s="96" t="s">
        <v>1511</v>
      </c>
      <c r="F4336" s="96" t="s">
        <v>166</v>
      </c>
      <c r="G4336" s="100">
        <v>6644</v>
      </c>
    </row>
    <row r="4337" spans="2:7">
      <c r="B4337" s="118" t="s">
        <v>3398</v>
      </c>
      <c r="C4337" s="119">
        <v>1792</v>
      </c>
      <c r="E4337" s="96" t="s">
        <v>1512</v>
      </c>
      <c r="F4337" s="96" t="s">
        <v>166</v>
      </c>
      <c r="G4337" s="100">
        <v>6922</v>
      </c>
    </row>
    <row r="4338" spans="2:7">
      <c r="B4338" s="118" t="s">
        <v>2467</v>
      </c>
      <c r="C4338" s="119">
        <v>3179</v>
      </c>
      <c r="E4338" s="96" t="s">
        <v>1513</v>
      </c>
      <c r="F4338" s="96" t="s">
        <v>166</v>
      </c>
      <c r="G4338" s="100">
        <v>6661</v>
      </c>
    </row>
    <row r="4339" spans="2:7">
      <c r="B4339" s="118" t="s">
        <v>2972</v>
      </c>
      <c r="C4339" s="119">
        <v>3205</v>
      </c>
      <c r="E4339" s="96" t="s">
        <v>1514</v>
      </c>
      <c r="F4339" s="96" t="s">
        <v>166</v>
      </c>
      <c r="G4339" s="100">
        <v>6817</v>
      </c>
    </row>
    <row r="4340" spans="2:7">
      <c r="B4340" s="118" t="s">
        <v>3399</v>
      </c>
      <c r="C4340" s="119">
        <v>3206</v>
      </c>
      <c r="E4340" s="96" t="s">
        <v>1515</v>
      </c>
      <c r="F4340" s="96" t="s">
        <v>166</v>
      </c>
      <c r="G4340" s="100">
        <v>6997</v>
      </c>
    </row>
    <row r="4341" spans="2:7">
      <c r="B4341" s="118" t="s">
        <v>1137</v>
      </c>
      <c r="C4341" s="119">
        <v>3212</v>
      </c>
      <c r="E4341" s="96" t="s">
        <v>1516</v>
      </c>
      <c r="F4341" s="96" t="s">
        <v>166</v>
      </c>
      <c r="G4341" s="100">
        <v>6981</v>
      </c>
    </row>
    <row r="4342" spans="2:7">
      <c r="B4342" s="118" t="s">
        <v>3395</v>
      </c>
      <c r="C4342" s="119">
        <v>3212</v>
      </c>
      <c r="E4342" s="96" t="s">
        <v>1517</v>
      </c>
      <c r="F4342" s="96" t="s">
        <v>166</v>
      </c>
      <c r="G4342" s="100">
        <v>6622</v>
      </c>
    </row>
    <row r="4343" spans="2:7">
      <c r="B4343" s="118" t="s">
        <v>3400</v>
      </c>
      <c r="C4343" s="119">
        <v>3213</v>
      </c>
      <c r="E4343" s="96" t="s">
        <v>1518</v>
      </c>
      <c r="F4343" s="96" t="s">
        <v>166</v>
      </c>
      <c r="G4343" s="100">
        <v>6992</v>
      </c>
    </row>
    <row r="4344" spans="2:7">
      <c r="B4344" s="118" t="s">
        <v>2612</v>
      </c>
      <c r="C4344" s="119">
        <v>3207</v>
      </c>
      <c r="E4344" s="96" t="s">
        <v>1519</v>
      </c>
      <c r="F4344" s="96" t="s">
        <v>166</v>
      </c>
      <c r="G4344" s="100">
        <v>6986</v>
      </c>
    </row>
    <row r="4345" spans="2:7">
      <c r="B4345" s="118" t="s">
        <v>2819</v>
      </c>
      <c r="C4345" s="119">
        <v>3207</v>
      </c>
      <c r="E4345" s="96" t="s">
        <v>1520</v>
      </c>
      <c r="F4345" s="96" t="s">
        <v>166</v>
      </c>
      <c r="G4345" s="100">
        <v>6685</v>
      </c>
    </row>
    <row r="4346" spans="2:7">
      <c r="B4346" s="118" t="s">
        <v>1136</v>
      </c>
      <c r="C4346" s="119">
        <v>3210</v>
      </c>
      <c r="E4346" s="96" t="s">
        <v>1521</v>
      </c>
      <c r="F4346" s="96" t="s">
        <v>166</v>
      </c>
      <c r="G4346" s="100">
        <v>6916</v>
      </c>
    </row>
    <row r="4347" spans="2:7">
      <c r="B4347" s="118" t="s">
        <v>1228</v>
      </c>
      <c r="C4347" s="119">
        <v>3213</v>
      </c>
      <c r="E4347" s="96" t="s">
        <v>1522</v>
      </c>
      <c r="F4347" s="96" t="s">
        <v>166</v>
      </c>
      <c r="G4347" s="100">
        <v>6645</v>
      </c>
    </row>
    <row r="4348" spans="2:7">
      <c r="B4348" s="118" t="s">
        <v>1127</v>
      </c>
      <c r="C4348" s="119">
        <v>3280</v>
      </c>
      <c r="E4348" s="96" t="s">
        <v>1523</v>
      </c>
      <c r="F4348" s="96" t="s">
        <v>166</v>
      </c>
      <c r="G4348" s="100">
        <v>6827</v>
      </c>
    </row>
    <row r="4349" spans="2:7">
      <c r="B4349" s="118" t="s">
        <v>1232</v>
      </c>
      <c r="C4349" s="119">
        <v>3280</v>
      </c>
      <c r="E4349" s="96" t="s">
        <v>1524</v>
      </c>
      <c r="F4349" s="96" t="s">
        <v>166</v>
      </c>
      <c r="G4349" s="100">
        <v>6774</v>
      </c>
    </row>
    <row r="4350" spans="2:7">
      <c r="B4350" s="118" t="s">
        <v>3401</v>
      </c>
      <c r="C4350" s="119">
        <v>1721</v>
      </c>
      <c r="E4350" s="96" t="s">
        <v>1525</v>
      </c>
      <c r="F4350" s="96" t="s">
        <v>166</v>
      </c>
      <c r="G4350" s="100">
        <v>6921</v>
      </c>
    </row>
    <row r="4351" spans="2:7">
      <c r="B4351" s="118" t="s">
        <v>3402</v>
      </c>
      <c r="C4351" s="119">
        <v>1721</v>
      </c>
      <c r="E4351" s="96" t="s">
        <v>1526</v>
      </c>
      <c r="F4351" s="96" t="s">
        <v>166</v>
      </c>
      <c r="G4351" s="100">
        <v>6810</v>
      </c>
    </row>
    <row r="4352" spans="2:7">
      <c r="B4352" s="118" t="s">
        <v>3403</v>
      </c>
      <c r="C4352" s="119">
        <v>1721</v>
      </c>
      <c r="E4352" s="96" t="s">
        <v>1527</v>
      </c>
      <c r="F4352" s="96" t="s">
        <v>166</v>
      </c>
      <c r="G4352" s="100">
        <v>6994</v>
      </c>
    </row>
    <row r="4353" spans="2:7">
      <c r="B4353" s="118" t="s">
        <v>3404</v>
      </c>
      <c r="C4353" s="119">
        <v>1721</v>
      </c>
      <c r="E4353" s="96" t="s">
        <v>1528</v>
      </c>
      <c r="F4353" s="96" t="s">
        <v>166</v>
      </c>
      <c r="G4353" s="100">
        <v>6744</v>
      </c>
    </row>
    <row r="4354" spans="2:7">
      <c r="B4354" s="118" t="s">
        <v>1210</v>
      </c>
      <c r="C4354" s="119">
        <v>3286</v>
      </c>
      <c r="E4354" s="96" t="s">
        <v>1529</v>
      </c>
      <c r="F4354" s="96" t="s">
        <v>166</v>
      </c>
      <c r="G4354" s="100">
        <v>6991</v>
      </c>
    </row>
    <row r="4355" spans="2:7">
      <c r="B4355" s="118" t="s">
        <v>3405</v>
      </c>
      <c r="C4355" s="119">
        <v>1595</v>
      </c>
      <c r="E4355" s="96" t="s">
        <v>1530</v>
      </c>
      <c r="F4355" s="96" t="s">
        <v>166</v>
      </c>
      <c r="G4355" s="100">
        <v>6938</v>
      </c>
    </row>
    <row r="4356" spans="2:7">
      <c r="B4356" s="118" t="s">
        <v>3406</v>
      </c>
      <c r="C4356" s="119">
        <v>1793</v>
      </c>
      <c r="E4356" s="96" t="s">
        <v>1531</v>
      </c>
      <c r="F4356" s="96" t="s">
        <v>166</v>
      </c>
      <c r="G4356" s="100">
        <v>6999</v>
      </c>
    </row>
    <row r="4357" spans="2:7">
      <c r="B4357" s="118" t="s">
        <v>3407</v>
      </c>
      <c r="C4357" s="119">
        <v>1794</v>
      </c>
      <c r="E4357" s="96" t="s">
        <v>1532</v>
      </c>
      <c r="F4357" s="96" t="s">
        <v>166</v>
      </c>
      <c r="G4357" s="100">
        <v>6634</v>
      </c>
    </row>
    <row r="4358" spans="2:7">
      <c r="B4358" s="118" t="s">
        <v>3394</v>
      </c>
      <c r="C4358" s="119">
        <v>1795</v>
      </c>
      <c r="E4358" s="96" t="s">
        <v>1533</v>
      </c>
      <c r="F4358" s="96" t="s">
        <v>166</v>
      </c>
      <c r="G4358" s="100">
        <v>6647</v>
      </c>
    </row>
    <row r="4359" spans="2:7">
      <c r="B4359" s="118" t="s">
        <v>1248</v>
      </c>
      <c r="C4359" s="119">
        <v>3215</v>
      </c>
      <c r="E4359" s="96" t="s">
        <v>1534</v>
      </c>
      <c r="F4359" s="96" t="s">
        <v>166</v>
      </c>
      <c r="G4359" s="100">
        <v>6634</v>
      </c>
    </row>
    <row r="4360" spans="2:7">
      <c r="B4360" s="118" t="s">
        <v>3408</v>
      </c>
      <c r="C4360" s="119">
        <v>3215</v>
      </c>
      <c r="E4360" s="96" t="s">
        <v>1535</v>
      </c>
      <c r="F4360" s="96" t="s">
        <v>166</v>
      </c>
      <c r="G4360" s="100">
        <v>6774</v>
      </c>
    </row>
    <row r="4361" spans="2:7">
      <c r="B4361" s="118" t="s">
        <v>3409</v>
      </c>
      <c r="C4361" s="119">
        <v>3215</v>
      </c>
      <c r="E4361" s="96" t="s">
        <v>1536</v>
      </c>
      <c r="F4361" s="96" t="s">
        <v>166</v>
      </c>
      <c r="G4361" s="100">
        <v>6781</v>
      </c>
    </row>
    <row r="4362" spans="2:7">
      <c r="B4362" s="118" t="s">
        <v>1127</v>
      </c>
      <c r="C4362" s="119">
        <v>3280</v>
      </c>
      <c r="E4362" s="96" t="s">
        <v>1537</v>
      </c>
      <c r="F4362" s="96" t="s">
        <v>166</v>
      </c>
      <c r="G4362" s="100">
        <v>6636</v>
      </c>
    </row>
    <row r="4363" spans="2:7">
      <c r="B4363" s="118" t="s">
        <v>1254</v>
      </c>
      <c r="C4363" s="119">
        <v>3280</v>
      </c>
      <c r="E4363" s="96" t="s">
        <v>1538</v>
      </c>
      <c r="F4363" s="96" t="s">
        <v>166</v>
      </c>
      <c r="G4363" s="100">
        <v>6637</v>
      </c>
    </row>
    <row r="4364" spans="2:7">
      <c r="B4364" s="118" t="s">
        <v>1225</v>
      </c>
      <c r="C4364" s="119">
        <v>3285</v>
      </c>
      <c r="E4364" s="96" t="s">
        <v>1539</v>
      </c>
      <c r="F4364" s="96" t="s">
        <v>166</v>
      </c>
      <c r="G4364" s="100">
        <v>6684</v>
      </c>
    </row>
    <row r="4365" spans="2:7">
      <c r="B4365" s="118" t="s">
        <v>1136</v>
      </c>
      <c r="C4365" s="119">
        <v>3210</v>
      </c>
      <c r="E4365" s="96" t="s">
        <v>1540</v>
      </c>
      <c r="F4365" s="96" t="s">
        <v>166</v>
      </c>
      <c r="G4365" s="100">
        <v>6699</v>
      </c>
    </row>
    <row r="4366" spans="2:7">
      <c r="B4366" s="118" t="s">
        <v>3410</v>
      </c>
      <c r="C4366" s="119">
        <v>3216</v>
      </c>
      <c r="E4366" s="96" t="s">
        <v>1541</v>
      </c>
      <c r="F4366" s="96" t="s">
        <v>166</v>
      </c>
      <c r="G4366" s="100">
        <v>6685</v>
      </c>
    </row>
    <row r="4367" spans="2:7">
      <c r="B4367" s="118" t="s">
        <v>3411</v>
      </c>
      <c r="C4367" s="119">
        <v>3216</v>
      </c>
      <c r="E4367" s="96" t="s">
        <v>1542</v>
      </c>
      <c r="F4367" s="96" t="s">
        <v>166</v>
      </c>
      <c r="G4367" s="100">
        <v>6683</v>
      </c>
    </row>
    <row r="4368" spans="2:7">
      <c r="B4368" s="118" t="s">
        <v>1237</v>
      </c>
      <c r="C4368" s="119">
        <v>3214</v>
      </c>
      <c r="E4368" s="96" t="s">
        <v>1543</v>
      </c>
      <c r="F4368" s="96" t="s">
        <v>166</v>
      </c>
      <c r="G4368" s="100">
        <v>6682</v>
      </c>
    </row>
    <row r="4369" spans="2:7">
      <c r="B4369" s="118" t="s">
        <v>3412</v>
      </c>
      <c r="C4369" s="119">
        <v>1786</v>
      </c>
      <c r="E4369" s="96" t="s">
        <v>1544</v>
      </c>
      <c r="F4369" s="96" t="s">
        <v>166</v>
      </c>
      <c r="G4369" s="100">
        <v>6646</v>
      </c>
    </row>
    <row r="4370" spans="2:7">
      <c r="B4370" s="118" t="s">
        <v>3413</v>
      </c>
      <c r="C4370" s="119">
        <v>1787</v>
      </c>
      <c r="E4370" s="96" t="s">
        <v>1545</v>
      </c>
      <c r="F4370" s="96" t="s">
        <v>166</v>
      </c>
      <c r="G4370" s="100">
        <v>6576</v>
      </c>
    </row>
    <row r="4371" spans="2:7">
      <c r="B4371" s="118" t="s">
        <v>3414</v>
      </c>
      <c r="C4371" s="119">
        <v>1787</v>
      </c>
      <c r="E4371" s="96" t="s">
        <v>1446</v>
      </c>
      <c r="F4371" s="96" t="s">
        <v>166</v>
      </c>
      <c r="G4371" s="100">
        <v>6803</v>
      </c>
    </row>
    <row r="4372" spans="2:7">
      <c r="B4372" s="118" t="s">
        <v>3415</v>
      </c>
      <c r="C4372" s="119">
        <v>1788</v>
      </c>
      <c r="E4372" s="96" t="s">
        <v>1546</v>
      </c>
      <c r="F4372" s="96" t="s">
        <v>166</v>
      </c>
      <c r="G4372" s="100">
        <v>6956</v>
      </c>
    </row>
    <row r="4373" spans="2:7">
      <c r="B4373" s="118" t="s">
        <v>3416</v>
      </c>
      <c r="C4373" s="119">
        <v>1789</v>
      </c>
      <c r="E4373" s="96" t="s">
        <v>1429</v>
      </c>
      <c r="F4373" s="96" t="s">
        <v>166</v>
      </c>
      <c r="G4373" s="100">
        <v>6900</v>
      </c>
    </row>
    <row r="4374" spans="2:7">
      <c r="B4374" s="118" t="s">
        <v>2382</v>
      </c>
      <c r="C4374" s="119">
        <v>3236</v>
      </c>
      <c r="E4374" s="96" t="s">
        <v>1547</v>
      </c>
      <c r="F4374" s="96" t="s">
        <v>1547</v>
      </c>
      <c r="G4374" s="96">
        <v>6300</v>
      </c>
    </row>
    <row r="4375" spans="2:7">
      <c r="B4375" s="118" t="s">
        <v>1227</v>
      </c>
      <c r="C4375" s="119">
        <v>1719</v>
      </c>
      <c r="E4375" s="96" t="s">
        <v>1548</v>
      </c>
      <c r="F4375" s="96" t="s">
        <v>1547</v>
      </c>
      <c r="G4375" s="96">
        <v>6340</v>
      </c>
    </row>
    <row r="4376" spans="2:7">
      <c r="B4376" s="118" t="s">
        <v>2626</v>
      </c>
      <c r="C4376" s="119">
        <v>1700</v>
      </c>
      <c r="E4376" s="96" t="s">
        <v>1549</v>
      </c>
      <c r="F4376" s="96" t="s">
        <v>1547</v>
      </c>
      <c r="G4376" s="96">
        <v>6330</v>
      </c>
    </row>
    <row r="4377" spans="2:7">
      <c r="B4377" s="118" t="s">
        <v>1129</v>
      </c>
      <c r="C4377" s="119">
        <v>3186</v>
      </c>
      <c r="E4377" s="96" t="s">
        <v>1550</v>
      </c>
      <c r="F4377" s="96" t="s">
        <v>1547</v>
      </c>
      <c r="G4377" s="96">
        <v>6343</v>
      </c>
    </row>
    <row r="4378" spans="2:7">
      <c r="B4378" s="118" t="s">
        <v>1173</v>
      </c>
      <c r="C4378" s="119">
        <v>1735</v>
      </c>
      <c r="E4378" s="96" t="s">
        <v>1551</v>
      </c>
      <c r="F4378" s="96" t="s">
        <v>1547</v>
      </c>
      <c r="G4378" s="96">
        <v>6312</v>
      </c>
    </row>
    <row r="4379" spans="2:7">
      <c r="B4379" s="118" t="s">
        <v>1142</v>
      </c>
      <c r="C4379" s="119">
        <v>3178</v>
      </c>
      <c r="E4379" s="96" t="s">
        <v>1552</v>
      </c>
      <c r="F4379" s="96" t="s">
        <v>1547</v>
      </c>
      <c r="G4379" s="96">
        <v>6331</v>
      </c>
    </row>
    <row r="4380" spans="2:7">
      <c r="B4380" s="118" t="s">
        <v>3417</v>
      </c>
      <c r="C4380" s="119">
        <v>3184</v>
      </c>
      <c r="E4380" s="96" t="s">
        <v>1553</v>
      </c>
      <c r="F4380" s="96" t="s">
        <v>1547</v>
      </c>
      <c r="G4380" s="96">
        <v>6314</v>
      </c>
    </row>
    <row r="4381" spans="2:7">
      <c r="B4381" s="118" t="s">
        <v>3418</v>
      </c>
      <c r="C4381" s="119">
        <v>3185</v>
      </c>
      <c r="E4381" s="96" t="s">
        <v>1554</v>
      </c>
      <c r="F4381" s="96" t="s">
        <v>1547</v>
      </c>
      <c r="G4381" s="96">
        <v>6315</v>
      </c>
    </row>
    <row r="4382" spans="2:7">
      <c r="B4382" s="118" t="s">
        <v>1186</v>
      </c>
      <c r="C4382" s="119">
        <v>1714</v>
      </c>
      <c r="E4382" s="96" t="s">
        <v>1555</v>
      </c>
      <c r="F4382" s="96" t="s">
        <v>1547</v>
      </c>
      <c r="G4382" s="96">
        <v>6313</v>
      </c>
    </row>
    <row r="4383" spans="2:7">
      <c r="B4383" s="118" t="s">
        <v>1140</v>
      </c>
      <c r="C4383" s="119">
        <v>1716</v>
      </c>
      <c r="E4383" s="96" t="s">
        <v>1556</v>
      </c>
      <c r="F4383" s="96" t="s">
        <v>1547</v>
      </c>
      <c r="G4383" s="96">
        <v>6318</v>
      </c>
    </row>
    <row r="4384" spans="2:7">
      <c r="B4384" s="118" t="s">
        <v>3419</v>
      </c>
      <c r="C4384" s="119">
        <v>1716</v>
      </c>
      <c r="E4384" s="96" t="s">
        <v>1557</v>
      </c>
      <c r="F4384" s="96" t="s">
        <v>1547</v>
      </c>
      <c r="G4384" s="96">
        <v>6345</v>
      </c>
    </row>
    <row r="4385" spans="2:7">
      <c r="B4385" s="118" t="s">
        <v>3343</v>
      </c>
      <c r="C4385" s="119">
        <v>1716</v>
      </c>
      <c r="E4385" s="96" t="s">
        <v>1558</v>
      </c>
      <c r="F4385" s="96" t="s">
        <v>180</v>
      </c>
      <c r="G4385" s="96">
        <v>8775</v>
      </c>
    </row>
    <row r="4386" spans="2:7">
      <c r="B4386" s="118" t="s">
        <v>1227</v>
      </c>
      <c r="C4386" s="119">
        <v>1719</v>
      </c>
      <c r="E4386" s="96" t="s">
        <v>1559</v>
      </c>
      <c r="F4386" s="96" t="s">
        <v>180</v>
      </c>
      <c r="G4386" s="96">
        <v>8774</v>
      </c>
    </row>
    <row r="4387" spans="2:7">
      <c r="B4387" s="118" t="s">
        <v>3420</v>
      </c>
      <c r="C4387" s="119">
        <v>1719</v>
      </c>
      <c r="E4387" s="96" t="s">
        <v>1560</v>
      </c>
      <c r="F4387" s="96" t="s">
        <v>180</v>
      </c>
      <c r="G4387" s="96">
        <v>8762</v>
      </c>
    </row>
    <row r="4388" spans="2:7">
      <c r="B4388" s="118" t="s">
        <v>3032</v>
      </c>
      <c r="C4388" s="119">
        <v>1738</v>
      </c>
      <c r="E4388" s="96" t="s">
        <v>1561</v>
      </c>
      <c r="F4388" s="96" t="s">
        <v>180</v>
      </c>
      <c r="G4388" s="96">
        <v>8784</v>
      </c>
    </row>
    <row r="4389" spans="2:7">
      <c r="B4389" s="118" t="s">
        <v>3343</v>
      </c>
      <c r="C4389" s="119">
        <v>1716</v>
      </c>
      <c r="E4389" s="96" t="s">
        <v>1562</v>
      </c>
      <c r="F4389" s="96" t="s">
        <v>180</v>
      </c>
      <c r="G4389" s="96">
        <v>8765</v>
      </c>
    </row>
    <row r="4390" spans="2:7">
      <c r="B4390" s="118" t="s">
        <v>1205</v>
      </c>
      <c r="C4390" s="119">
        <v>1737</v>
      </c>
      <c r="E4390" s="96" t="s">
        <v>1563</v>
      </c>
      <c r="F4390" s="96" t="s">
        <v>180</v>
      </c>
      <c r="G4390" s="96">
        <v>8762</v>
      </c>
    </row>
    <row r="4391" spans="2:7">
      <c r="B4391" s="118" t="s">
        <v>1200</v>
      </c>
      <c r="C4391" s="119">
        <v>1718</v>
      </c>
      <c r="E4391" s="96" t="s">
        <v>1564</v>
      </c>
      <c r="F4391" s="96" t="s">
        <v>180</v>
      </c>
      <c r="G4391" s="96">
        <v>8777</v>
      </c>
    </row>
    <row r="4392" spans="2:7">
      <c r="B4392" s="118" t="s">
        <v>1173</v>
      </c>
      <c r="C4392" s="119">
        <v>1735</v>
      </c>
      <c r="E4392" s="96" t="s">
        <v>1565</v>
      </c>
      <c r="F4392" s="96" t="s">
        <v>180</v>
      </c>
      <c r="G4392" s="96">
        <v>8767</v>
      </c>
    </row>
    <row r="4393" spans="2:7">
      <c r="B4393" s="118" t="s">
        <v>3368</v>
      </c>
      <c r="C4393" s="119">
        <v>1724</v>
      </c>
      <c r="E4393" s="96" t="s">
        <v>1566</v>
      </c>
      <c r="F4393" s="96" t="s">
        <v>180</v>
      </c>
      <c r="G4393" s="96">
        <v>8762</v>
      </c>
    </row>
    <row r="4394" spans="2:7">
      <c r="B4394" s="118" t="s">
        <v>1187</v>
      </c>
      <c r="C4394" s="119">
        <v>1734</v>
      </c>
      <c r="E4394" s="96" t="s">
        <v>1567</v>
      </c>
      <c r="F4394" s="96" t="s">
        <v>180</v>
      </c>
      <c r="G4394" s="96">
        <v>8783</v>
      </c>
    </row>
    <row r="4395" spans="2:7">
      <c r="B4395" s="118" t="s">
        <v>1209</v>
      </c>
      <c r="C4395" s="119">
        <v>1736</v>
      </c>
      <c r="E4395" s="96" t="s">
        <v>1568</v>
      </c>
      <c r="F4395" s="96" t="s">
        <v>180</v>
      </c>
      <c r="G4395" s="96">
        <v>8777</v>
      </c>
    </row>
    <row r="4396" spans="2:7">
      <c r="B4396" s="118" t="s">
        <v>3421</v>
      </c>
      <c r="C4396" s="119">
        <v>1715</v>
      </c>
      <c r="E4396" s="96" t="s">
        <v>1569</v>
      </c>
      <c r="F4396" s="96" t="s">
        <v>180</v>
      </c>
      <c r="G4396" s="96">
        <v>8756</v>
      </c>
    </row>
    <row r="4397" spans="2:7">
      <c r="B4397" s="118" t="s">
        <v>1188</v>
      </c>
      <c r="C4397" s="119">
        <v>1717</v>
      </c>
      <c r="E4397" s="96" t="s">
        <v>1570</v>
      </c>
      <c r="F4397" s="96" t="s">
        <v>180</v>
      </c>
      <c r="G4397" s="96">
        <v>8772</v>
      </c>
    </row>
    <row r="4398" spans="2:7">
      <c r="B4398" s="118" t="s">
        <v>1200</v>
      </c>
      <c r="C4398" s="119">
        <v>1718</v>
      </c>
      <c r="E4398" s="96" t="s">
        <v>1571</v>
      </c>
      <c r="F4398" s="96" t="s">
        <v>180</v>
      </c>
      <c r="G4398" s="96">
        <v>8773</v>
      </c>
    </row>
    <row r="4399" spans="2:7">
      <c r="B4399" s="118" t="s">
        <v>1144</v>
      </c>
      <c r="C4399" s="119">
        <v>1712</v>
      </c>
      <c r="E4399" s="96" t="s">
        <v>1572</v>
      </c>
      <c r="F4399" s="96" t="s">
        <v>180</v>
      </c>
      <c r="G4399" s="96">
        <v>8775</v>
      </c>
    </row>
    <row r="4400" spans="2:7">
      <c r="B4400" s="118" t="s">
        <v>1162</v>
      </c>
      <c r="C4400" s="119">
        <v>1713</v>
      </c>
      <c r="E4400" s="96" t="s">
        <v>1573</v>
      </c>
      <c r="F4400" s="96" t="s">
        <v>180</v>
      </c>
      <c r="G4400" s="96">
        <v>8782</v>
      </c>
    </row>
    <row r="4401" spans="2:7">
      <c r="B4401" s="118" t="s">
        <v>1156</v>
      </c>
      <c r="C4401" s="119">
        <v>3182</v>
      </c>
      <c r="E4401" s="96" t="s">
        <v>1574</v>
      </c>
      <c r="F4401" s="96" t="s">
        <v>180</v>
      </c>
      <c r="G4401" s="96">
        <v>8766</v>
      </c>
    </row>
    <row r="4402" spans="2:7">
      <c r="B4402" s="118" t="s">
        <v>3418</v>
      </c>
      <c r="C4402" s="119">
        <v>3185</v>
      </c>
      <c r="E4402" s="96" t="s">
        <v>1558</v>
      </c>
      <c r="F4402" s="96" t="s">
        <v>180</v>
      </c>
      <c r="G4402" s="96">
        <v>8775</v>
      </c>
    </row>
    <row r="4403" spans="2:7">
      <c r="B4403" s="118" t="s">
        <v>2626</v>
      </c>
      <c r="C4403" s="119">
        <v>1700</v>
      </c>
      <c r="E4403" s="96" t="s">
        <v>1559</v>
      </c>
      <c r="F4403" s="96" t="s">
        <v>180</v>
      </c>
      <c r="G4403" s="96">
        <v>8774</v>
      </c>
    </row>
    <row r="4404" spans="2:7">
      <c r="B4404" s="118" t="s">
        <v>1144</v>
      </c>
      <c r="C4404" s="119">
        <v>1712</v>
      </c>
      <c r="E4404" s="96" t="s">
        <v>1560</v>
      </c>
      <c r="F4404" s="96" t="s">
        <v>180</v>
      </c>
      <c r="G4404" s="96">
        <v>8762</v>
      </c>
    </row>
    <row r="4405" spans="2:7">
      <c r="B4405" s="118" t="s">
        <v>1162</v>
      </c>
      <c r="C4405" s="119">
        <v>1713</v>
      </c>
      <c r="E4405" s="96" t="s">
        <v>1561</v>
      </c>
      <c r="F4405" s="96" t="s">
        <v>180</v>
      </c>
      <c r="G4405" s="96">
        <v>8784</v>
      </c>
    </row>
    <row r="4406" spans="2:7">
      <c r="B4406" s="118" t="s">
        <v>1186</v>
      </c>
      <c r="C4406" s="119">
        <v>1714</v>
      </c>
      <c r="E4406" s="96" t="s">
        <v>1562</v>
      </c>
      <c r="F4406" s="96" t="s">
        <v>180</v>
      </c>
      <c r="G4406" s="96">
        <v>8765</v>
      </c>
    </row>
    <row r="4407" spans="2:7">
      <c r="B4407" s="118" t="s">
        <v>3421</v>
      </c>
      <c r="C4407" s="119">
        <v>1715</v>
      </c>
      <c r="E4407" s="96" t="s">
        <v>1563</v>
      </c>
      <c r="F4407" s="96" t="s">
        <v>180</v>
      </c>
      <c r="G4407" s="96">
        <v>8762</v>
      </c>
    </row>
    <row r="4408" spans="2:7">
      <c r="B4408" s="118" t="s">
        <v>1188</v>
      </c>
      <c r="C4408" s="119">
        <v>1717</v>
      </c>
      <c r="E4408" s="96" t="s">
        <v>1564</v>
      </c>
      <c r="F4408" s="96" t="s">
        <v>180</v>
      </c>
      <c r="G4408" s="96">
        <v>8777</v>
      </c>
    </row>
    <row r="4409" spans="2:7">
      <c r="B4409" s="118" t="s">
        <v>1156</v>
      </c>
      <c r="C4409" s="119">
        <v>3182</v>
      </c>
      <c r="E4409" s="96" t="s">
        <v>1565</v>
      </c>
      <c r="F4409" s="96" t="s">
        <v>180</v>
      </c>
      <c r="G4409" s="96">
        <v>8767</v>
      </c>
    </row>
    <row r="4410" spans="2:7">
      <c r="B4410" s="118" t="s">
        <v>3418</v>
      </c>
      <c r="C4410" s="119">
        <v>3185</v>
      </c>
      <c r="E4410" s="96" t="s">
        <v>1566</v>
      </c>
      <c r="F4410" s="96" t="s">
        <v>180</v>
      </c>
      <c r="G4410" s="96">
        <v>8762</v>
      </c>
    </row>
    <row r="4411" spans="2:7">
      <c r="B4411" s="118" t="s">
        <v>1187</v>
      </c>
      <c r="C4411" s="119">
        <v>1734</v>
      </c>
      <c r="E4411" s="96" t="s">
        <v>1567</v>
      </c>
      <c r="F4411" s="96" t="s">
        <v>180</v>
      </c>
      <c r="G4411" s="96">
        <v>8783</v>
      </c>
    </row>
    <row r="4412" spans="2:7">
      <c r="B4412" s="118" t="s">
        <v>1156</v>
      </c>
      <c r="C4412" s="119">
        <v>3182</v>
      </c>
      <c r="E4412" s="96" t="s">
        <v>1568</v>
      </c>
      <c r="F4412" s="96" t="s">
        <v>180</v>
      </c>
      <c r="G4412" s="96">
        <v>8777</v>
      </c>
    </row>
    <row r="4413" spans="2:7">
      <c r="B4413" s="118" t="s">
        <v>3422</v>
      </c>
      <c r="C4413" s="119">
        <v>3175</v>
      </c>
      <c r="E4413" s="96" t="s">
        <v>1569</v>
      </c>
      <c r="F4413" s="96" t="s">
        <v>180</v>
      </c>
      <c r="G4413" s="96">
        <v>8756</v>
      </c>
    </row>
    <row r="4414" spans="2:7">
      <c r="B4414" s="118" t="s">
        <v>2217</v>
      </c>
      <c r="C4414" s="119">
        <v>3176</v>
      </c>
      <c r="E4414" s="96" t="s">
        <v>1570</v>
      </c>
      <c r="F4414" s="96" t="s">
        <v>180</v>
      </c>
      <c r="G4414" s="96">
        <v>8772</v>
      </c>
    </row>
    <row r="4415" spans="2:7">
      <c r="B4415" s="118" t="s">
        <v>3417</v>
      </c>
      <c r="C4415" s="119">
        <v>3184</v>
      </c>
      <c r="E4415" s="96" t="s">
        <v>1571</v>
      </c>
      <c r="F4415" s="96" t="s">
        <v>180</v>
      </c>
      <c r="G4415" s="96">
        <v>8773</v>
      </c>
    </row>
    <row r="4416" spans="2:7">
      <c r="B4416" s="118" t="s">
        <v>3418</v>
      </c>
      <c r="C4416" s="119">
        <v>3185</v>
      </c>
      <c r="E4416" s="96" t="s">
        <v>1572</v>
      </c>
      <c r="F4416" s="96" t="s">
        <v>180</v>
      </c>
      <c r="G4416" s="96">
        <v>8775</v>
      </c>
    </row>
    <row r="4417" spans="2:7">
      <c r="B4417" s="118" t="s">
        <v>1143</v>
      </c>
      <c r="C4417" s="119">
        <v>1616</v>
      </c>
      <c r="E4417" s="96" t="s">
        <v>1573</v>
      </c>
      <c r="F4417" s="96" t="s">
        <v>180</v>
      </c>
      <c r="G4417" s="96">
        <v>8782</v>
      </c>
    </row>
    <row r="4418" spans="2:7">
      <c r="B4418" s="118" t="s">
        <v>3423</v>
      </c>
      <c r="C4418" s="119">
        <v>1617</v>
      </c>
      <c r="E4418" s="96" t="s">
        <v>1574</v>
      </c>
      <c r="F4418" s="96" t="s">
        <v>180</v>
      </c>
      <c r="G4418" s="96">
        <v>8766</v>
      </c>
    </row>
    <row r="4419" spans="2:7">
      <c r="B4419" s="118" t="s">
        <v>3424</v>
      </c>
      <c r="C4419" s="119">
        <v>1808</v>
      </c>
      <c r="E4419" s="96" t="s">
        <v>1575</v>
      </c>
      <c r="F4419" s="96" t="s">
        <v>180</v>
      </c>
      <c r="G4419" s="96">
        <v>8755</v>
      </c>
    </row>
    <row r="4420" spans="2:7">
      <c r="B4420" s="118" t="s">
        <v>1178</v>
      </c>
      <c r="C4420" s="119">
        <v>1615</v>
      </c>
      <c r="E4420" s="96" t="s">
        <v>1576</v>
      </c>
      <c r="F4420" s="96" t="s">
        <v>180</v>
      </c>
      <c r="G4420" s="96">
        <v>8750</v>
      </c>
    </row>
    <row r="4421" spans="2:7">
      <c r="B4421" s="118" t="s">
        <v>3425</v>
      </c>
      <c r="C4421" s="119">
        <v>1618</v>
      </c>
      <c r="E4421" s="96" t="s">
        <v>1577</v>
      </c>
      <c r="F4421" s="96" t="s">
        <v>180</v>
      </c>
      <c r="G4421" s="96">
        <v>8750</v>
      </c>
    </row>
    <row r="4422" spans="2:7">
      <c r="B4422" s="118" t="s">
        <v>3426</v>
      </c>
      <c r="C4422" s="119">
        <v>1619</v>
      </c>
      <c r="E4422" s="96" t="s">
        <v>1578</v>
      </c>
      <c r="F4422" s="96" t="s">
        <v>180</v>
      </c>
      <c r="G4422" s="96">
        <v>8754</v>
      </c>
    </row>
    <row r="4423" spans="2:7">
      <c r="B4423" s="118" t="s">
        <v>1215</v>
      </c>
      <c r="C4423" s="119">
        <v>1614</v>
      </c>
      <c r="E4423" s="96" t="s">
        <v>1579</v>
      </c>
      <c r="F4423" s="96" t="s">
        <v>180</v>
      </c>
      <c r="G4423" s="96">
        <v>8868</v>
      </c>
    </row>
    <row r="4424" spans="2:7">
      <c r="B4424" s="118" t="s">
        <v>1202</v>
      </c>
      <c r="C4424" s="119">
        <v>1617</v>
      </c>
      <c r="E4424" s="96" t="s">
        <v>1580</v>
      </c>
      <c r="F4424" s="96" t="s">
        <v>180</v>
      </c>
      <c r="G4424" s="96">
        <v>8865</v>
      </c>
    </row>
    <row r="4425" spans="2:7">
      <c r="B4425" s="118" t="s">
        <v>3425</v>
      </c>
      <c r="C4425" s="119">
        <v>1618</v>
      </c>
      <c r="E4425" s="96" t="s">
        <v>1581</v>
      </c>
      <c r="F4425" s="96" t="s">
        <v>180</v>
      </c>
      <c r="G4425" s="96">
        <v>8752</v>
      </c>
    </row>
    <row r="4426" spans="2:7">
      <c r="B4426" s="118" t="s">
        <v>3427</v>
      </c>
      <c r="C4426" s="119">
        <v>1609</v>
      </c>
      <c r="E4426" s="96" t="s">
        <v>1582</v>
      </c>
      <c r="F4426" s="96" t="s">
        <v>180</v>
      </c>
      <c r="G4426" s="96">
        <v>8867</v>
      </c>
    </row>
    <row r="4427" spans="2:7">
      <c r="B4427" s="118" t="s">
        <v>3428</v>
      </c>
      <c r="C4427" s="119">
        <v>1609</v>
      </c>
      <c r="E4427" s="96" t="s">
        <v>1583</v>
      </c>
      <c r="F4427" s="96" t="s">
        <v>180</v>
      </c>
      <c r="G4427" s="96">
        <v>8757</v>
      </c>
    </row>
    <row r="4428" spans="2:7">
      <c r="B4428" s="118" t="s">
        <v>3429</v>
      </c>
      <c r="C4428" s="119">
        <v>1609</v>
      </c>
      <c r="E4428" s="96" t="s">
        <v>1584</v>
      </c>
      <c r="F4428" s="96" t="s">
        <v>180</v>
      </c>
      <c r="G4428" s="96">
        <v>8758</v>
      </c>
    </row>
    <row r="4429" spans="2:7">
      <c r="B4429" s="118" t="s">
        <v>1181</v>
      </c>
      <c r="C4429" s="119">
        <v>1623</v>
      </c>
      <c r="E4429" s="96" t="s">
        <v>1585</v>
      </c>
      <c r="F4429" s="96" t="s">
        <v>180</v>
      </c>
      <c r="G4429" s="96">
        <v>8874</v>
      </c>
    </row>
    <row r="4430" spans="2:7">
      <c r="B4430" s="118" t="s">
        <v>1203</v>
      </c>
      <c r="C4430" s="119">
        <v>1627</v>
      </c>
      <c r="E4430" s="96" t="s">
        <v>1586</v>
      </c>
      <c r="F4430" s="96" t="s">
        <v>180</v>
      </c>
      <c r="G4430" s="96">
        <v>8753</v>
      </c>
    </row>
    <row r="4431" spans="2:7">
      <c r="B4431" s="118" t="s">
        <v>1124</v>
      </c>
      <c r="C4431" s="119">
        <v>1630</v>
      </c>
      <c r="E4431" s="96" t="s">
        <v>162</v>
      </c>
      <c r="F4431" s="96" t="s">
        <v>162</v>
      </c>
      <c r="G4431" s="96">
        <v>8057</v>
      </c>
    </row>
    <row r="4432" spans="2:7">
      <c r="B4432" s="118" t="s">
        <v>3430</v>
      </c>
      <c r="C4432" s="119">
        <v>1699</v>
      </c>
      <c r="E4432" s="96" t="s">
        <v>162</v>
      </c>
      <c r="F4432" s="96" t="s">
        <v>162</v>
      </c>
      <c r="G4432" s="96">
        <v>8047</v>
      </c>
    </row>
    <row r="4433" spans="2:7">
      <c r="B4433" s="118" t="s">
        <v>3431</v>
      </c>
      <c r="C4433" s="119">
        <v>1699</v>
      </c>
      <c r="E4433" s="96" t="s">
        <v>162</v>
      </c>
      <c r="F4433" s="96" t="s">
        <v>162</v>
      </c>
      <c r="G4433" s="96">
        <v>8006</v>
      </c>
    </row>
    <row r="4434" spans="2:7">
      <c r="B4434" s="118" t="s">
        <v>3432</v>
      </c>
      <c r="C4434" s="119">
        <v>1699</v>
      </c>
      <c r="E4434" s="96" t="s">
        <v>162</v>
      </c>
      <c r="F4434" s="96" t="s">
        <v>162</v>
      </c>
      <c r="G4434" s="96">
        <v>8032</v>
      </c>
    </row>
    <row r="4435" spans="2:7">
      <c r="B4435" s="118" t="s">
        <v>3433</v>
      </c>
      <c r="C4435" s="119">
        <v>1611</v>
      </c>
      <c r="E4435" s="96" t="s">
        <v>162</v>
      </c>
      <c r="F4435" s="96" t="s">
        <v>162</v>
      </c>
      <c r="G4435" s="96">
        <v>8045</v>
      </c>
    </row>
    <row r="4436" spans="2:7">
      <c r="B4436" s="118" t="s">
        <v>1193</v>
      </c>
      <c r="C4436" s="119">
        <v>1624</v>
      </c>
      <c r="E4436" s="96" t="s">
        <v>162</v>
      </c>
      <c r="F4436" s="96" t="s">
        <v>162</v>
      </c>
      <c r="G4436" s="96">
        <v>8003</v>
      </c>
    </row>
    <row r="4437" spans="2:7">
      <c r="B4437" s="118" t="s">
        <v>3434</v>
      </c>
      <c r="C4437" s="119">
        <v>1624</v>
      </c>
      <c r="E4437" s="96" t="s">
        <v>162</v>
      </c>
      <c r="F4437" s="96" t="s">
        <v>162</v>
      </c>
      <c r="G4437" s="96">
        <v>8041</v>
      </c>
    </row>
    <row r="4438" spans="2:7">
      <c r="B4438" s="118" t="s">
        <v>3435</v>
      </c>
      <c r="C4438" s="119">
        <v>1624</v>
      </c>
      <c r="E4438" s="96" t="s">
        <v>162</v>
      </c>
      <c r="F4438" s="96" t="s">
        <v>162</v>
      </c>
      <c r="G4438" s="96">
        <v>8055</v>
      </c>
    </row>
    <row r="4439" spans="2:7">
      <c r="B4439" s="118" t="s">
        <v>3435</v>
      </c>
      <c r="C4439" s="119">
        <v>1624</v>
      </c>
      <c r="E4439" s="96" t="s">
        <v>162</v>
      </c>
      <c r="F4439" s="96" t="s">
        <v>162</v>
      </c>
      <c r="G4439" s="96">
        <v>8064</v>
      </c>
    </row>
    <row r="4440" spans="2:7">
      <c r="B4440" s="118" t="s">
        <v>2046</v>
      </c>
      <c r="C4440" s="119">
        <v>4622</v>
      </c>
      <c r="E4440" s="96" t="s">
        <v>162</v>
      </c>
      <c r="F4440" s="96" t="s">
        <v>162</v>
      </c>
      <c r="G4440" s="96">
        <v>8001</v>
      </c>
    </row>
    <row r="4441" spans="2:7">
      <c r="B4441" s="118" t="s">
        <v>2073</v>
      </c>
      <c r="C4441" s="119">
        <v>4624</v>
      </c>
      <c r="E4441" s="96" t="s">
        <v>162</v>
      </c>
      <c r="F4441" s="96" t="s">
        <v>162</v>
      </c>
      <c r="G4441" s="96">
        <v>8046</v>
      </c>
    </row>
    <row r="4442" spans="2:7">
      <c r="B4442" s="118" t="s">
        <v>2067</v>
      </c>
      <c r="C4442" s="119">
        <v>4703</v>
      </c>
      <c r="E4442" s="96" t="s">
        <v>162</v>
      </c>
      <c r="F4442" s="96" t="s">
        <v>162</v>
      </c>
      <c r="G4442" s="96">
        <v>8037</v>
      </c>
    </row>
    <row r="4443" spans="2:7">
      <c r="B4443" s="118" t="s">
        <v>2046</v>
      </c>
      <c r="C4443" s="119">
        <v>4622</v>
      </c>
      <c r="E4443" s="96" t="s">
        <v>162</v>
      </c>
      <c r="F4443" s="96" t="s">
        <v>162</v>
      </c>
      <c r="G4443" s="96">
        <v>8052</v>
      </c>
    </row>
    <row r="4444" spans="2:7">
      <c r="B4444" s="118" t="s">
        <v>2063</v>
      </c>
      <c r="C4444" s="119">
        <v>4623</v>
      </c>
      <c r="E4444" s="96" t="s">
        <v>162</v>
      </c>
      <c r="F4444" s="96" t="s">
        <v>162</v>
      </c>
      <c r="G4444" s="96">
        <v>8002</v>
      </c>
    </row>
    <row r="4445" spans="2:7">
      <c r="B4445" s="118" t="s">
        <v>2095</v>
      </c>
      <c r="C4445" s="119">
        <v>4626</v>
      </c>
      <c r="E4445" s="96" t="s">
        <v>162</v>
      </c>
      <c r="F4445" s="96" t="s">
        <v>162</v>
      </c>
      <c r="G4445" s="96">
        <v>8038</v>
      </c>
    </row>
    <row r="4446" spans="2:7">
      <c r="B4446" s="118" t="s">
        <v>2059</v>
      </c>
      <c r="C4446" s="119">
        <v>4625</v>
      </c>
      <c r="E4446" s="96" t="s">
        <v>162</v>
      </c>
      <c r="F4446" s="96" t="s">
        <v>162</v>
      </c>
      <c r="G4446" s="96">
        <v>8051</v>
      </c>
    </row>
    <row r="4447" spans="2:7">
      <c r="B4447" s="118" t="s">
        <v>2095</v>
      </c>
      <c r="C4447" s="119">
        <v>4626</v>
      </c>
      <c r="E4447" s="96" t="s">
        <v>162</v>
      </c>
      <c r="F4447" s="96" t="s">
        <v>162</v>
      </c>
      <c r="G4447" s="96">
        <v>8053</v>
      </c>
    </row>
    <row r="4448" spans="2:7">
      <c r="B4448" s="118" t="s">
        <v>3436</v>
      </c>
      <c r="C4448" s="119">
        <v>4718</v>
      </c>
      <c r="E4448" s="96" t="s">
        <v>162</v>
      </c>
      <c r="F4448" s="96" t="s">
        <v>162</v>
      </c>
      <c r="G4448" s="96">
        <v>8049</v>
      </c>
    </row>
    <row r="4449" spans="2:7">
      <c r="B4449" s="118" t="s">
        <v>2032</v>
      </c>
      <c r="C4449" s="119">
        <v>4702</v>
      </c>
      <c r="E4449" s="96" t="s">
        <v>162</v>
      </c>
      <c r="F4449" s="96" t="s">
        <v>162</v>
      </c>
      <c r="G4449" s="96">
        <v>8008</v>
      </c>
    </row>
    <row r="4450" spans="2:7">
      <c r="B4450" s="118" t="s">
        <v>2033</v>
      </c>
      <c r="C4450" s="119">
        <v>4710</v>
      </c>
      <c r="E4450" s="96" t="s">
        <v>162</v>
      </c>
      <c r="F4450" s="96" t="s">
        <v>162</v>
      </c>
      <c r="G4450" s="96">
        <v>8005</v>
      </c>
    </row>
    <row r="4451" spans="2:7">
      <c r="B4451" s="118" t="s">
        <v>2062</v>
      </c>
      <c r="C4451" s="119">
        <v>4628</v>
      </c>
      <c r="E4451" s="96" t="s">
        <v>2472</v>
      </c>
      <c r="F4451" s="96" t="s">
        <v>162</v>
      </c>
      <c r="G4451" s="96">
        <v>8404</v>
      </c>
    </row>
    <row r="4452" spans="2:7">
      <c r="B4452" s="118" t="s">
        <v>2601</v>
      </c>
      <c r="C4452" s="119">
        <v>2747</v>
      </c>
      <c r="E4452" s="96" t="s">
        <v>2473</v>
      </c>
      <c r="F4452" s="96" t="s">
        <v>162</v>
      </c>
      <c r="G4452" s="96">
        <v>8482</v>
      </c>
    </row>
    <row r="4453" spans="2:7">
      <c r="B4453" s="118" t="s">
        <v>2154</v>
      </c>
      <c r="C4453" s="119">
        <v>4714</v>
      </c>
      <c r="E4453" s="96" t="s">
        <v>2474</v>
      </c>
      <c r="F4453" s="96" t="s">
        <v>162</v>
      </c>
      <c r="G4453" s="96">
        <v>8404</v>
      </c>
    </row>
    <row r="4454" spans="2:7">
      <c r="B4454" s="118" t="s">
        <v>3437</v>
      </c>
      <c r="C4454" s="119">
        <v>4717</v>
      </c>
      <c r="E4454" s="96" t="s">
        <v>1676</v>
      </c>
      <c r="F4454" s="96" t="s">
        <v>162</v>
      </c>
      <c r="G4454" s="96">
        <v>8409</v>
      </c>
    </row>
    <row r="4455" spans="2:7">
      <c r="B4455" s="118" t="s">
        <v>3438</v>
      </c>
      <c r="C4455" s="119">
        <v>4719</v>
      </c>
      <c r="E4455" s="96" t="s">
        <v>1676</v>
      </c>
      <c r="F4455" s="96" t="s">
        <v>162</v>
      </c>
      <c r="G4455" s="96">
        <v>8404</v>
      </c>
    </row>
    <row r="4456" spans="2:7">
      <c r="B4456" s="118" t="s">
        <v>2033</v>
      </c>
      <c r="C4456" s="119">
        <v>4710</v>
      </c>
      <c r="E4456" s="96" t="s">
        <v>1676</v>
      </c>
      <c r="F4456" s="96" t="s">
        <v>162</v>
      </c>
      <c r="G4456" s="96">
        <v>8405</v>
      </c>
    </row>
    <row r="4457" spans="2:7">
      <c r="B4457" s="118" t="s">
        <v>3437</v>
      </c>
      <c r="C4457" s="119">
        <v>4717</v>
      </c>
      <c r="E4457" s="96" t="s">
        <v>1676</v>
      </c>
      <c r="F4457" s="96" t="s">
        <v>162</v>
      </c>
      <c r="G4457" s="96">
        <v>8400</v>
      </c>
    </row>
    <row r="4458" spans="2:7">
      <c r="B4458" s="118" t="s">
        <v>2156</v>
      </c>
      <c r="C4458" s="119">
        <v>4715</v>
      </c>
      <c r="E4458" s="96" t="s">
        <v>1676</v>
      </c>
      <c r="F4458" s="96" t="s">
        <v>162</v>
      </c>
      <c r="G4458" s="96">
        <v>8406</v>
      </c>
    </row>
    <row r="4459" spans="2:7">
      <c r="B4459" s="118" t="s">
        <v>2103</v>
      </c>
      <c r="C4459" s="119">
        <v>4716</v>
      </c>
      <c r="E4459" s="96" t="s">
        <v>1676</v>
      </c>
      <c r="F4459" s="96" t="s">
        <v>162</v>
      </c>
      <c r="G4459" s="96">
        <v>8408</v>
      </c>
    </row>
    <row r="4460" spans="2:7">
      <c r="B4460" s="118" t="s">
        <v>1084</v>
      </c>
      <c r="C4460" s="119">
        <v>4438</v>
      </c>
      <c r="E4460" s="96" t="s">
        <v>2475</v>
      </c>
      <c r="F4460" s="96" t="s">
        <v>162</v>
      </c>
      <c r="G4460" s="96">
        <v>8352</v>
      </c>
    </row>
    <row r="4461" spans="2:7">
      <c r="B4461" s="118" t="s">
        <v>3436</v>
      </c>
      <c r="C4461" s="119">
        <v>4718</v>
      </c>
      <c r="E4461" s="96" t="s">
        <v>2476</v>
      </c>
      <c r="F4461" s="96" t="s">
        <v>162</v>
      </c>
      <c r="G4461" s="96">
        <v>8615</v>
      </c>
    </row>
    <row r="4462" spans="2:7">
      <c r="B4462" s="118" t="s">
        <v>2069</v>
      </c>
      <c r="C4462" s="119">
        <v>4712</v>
      </c>
      <c r="E4462" s="96" t="s">
        <v>2477</v>
      </c>
      <c r="F4462" s="96" t="s">
        <v>162</v>
      </c>
      <c r="G4462" s="96">
        <v>8606</v>
      </c>
    </row>
    <row r="4463" spans="2:7">
      <c r="B4463" s="118" t="s">
        <v>3437</v>
      </c>
      <c r="C4463" s="119">
        <v>4717</v>
      </c>
      <c r="E4463" s="96" t="s">
        <v>1675</v>
      </c>
      <c r="F4463" s="96" t="s">
        <v>162</v>
      </c>
      <c r="G4463" s="96">
        <v>8610</v>
      </c>
    </row>
    <row r="4464" spans="2:7">
      <c r="B4464" s="118" t="s">
        <v>2081</v>
      </c>
      <c r="C4464" s="119">
        <v>4713</v>
      </c>
      <c r="E4464" s="96" t="s">
        <v>2478</v>
      </c>
      <c r="F4464" s="96" t="s">
        <v>162</v>
      </c>
      <c r="G4464" s="96">
        <v>8614</v>
      </c>
    </row>
    <row r="4465" spans="2:7">
      <c r="B4465" s="118" t="s">
        <v>3437</v>
      </c>
      <c r="C4465" s="119">
        <v>4717</v>
      </c>
      <c r="E4465" s="96" t="s">
        <v>2479</v>
      </c>
      <c r="F4465" s="96" t="s">
        <v>162</v>
      </c>
      <c r="G4465" s="96">
        <v>8615</v>
      </c>
    </row>
    <row r="4466" spans="2:7">
      <c r="B4466" s="118" t="s">
        <v>3439</v>
      </c>
      <c r="C4466" s="119">
        <v>4229</v>
      </c>
      <c r="E4466" s="96" t="s">
        <v>2480</v>
      </c>
      <c r="F4466" s="96" t="s">
        <v>162</v>
      </c>
      <c r="G4466" s="96">
        <v>8616</v>
      </c>
    </row>
    <row r="4467" spans="2:7">
      <c r="B4467" s="118" t="s">
        <v>1070</v>
      </c>
      <c r="C4467" s="119">
        <v>4418</v>
      </c>
      <c r="E4467" s="96" t="s">
        <v>164</v>
      </c>
      <c r="F4467" s="96" t="s">
        <v>164</v>
      </c>
      <c r="G4467" s="96">
        <v>3014</v>
      </c>
    </row>
    <row r="4468" spans="2:7">
      <c r="B4468" s="118" t="s">
        <v>3437</v>
      </c>
      <c r="C4468" s="119">
        <v>4717</v>
      </c>
      <c r="E4468" s="96" t="s">
        <v>164</v>
      </c>
      <c r="F4468" s="96" t="s">
        <v>164</v>
      </c>
      <c r="G4468" s="96">
        <v>3013</v>
      </c>
    </row>
    <row r="4469" spans="2:7">
      <c r="B4469" s="118" t="s">
        <v>3438</v>
      </c>
      <c r="C4469" s="119">
        <v>4719</v>
      </c>
      <c r="E4469" s="96" t="s">
        <v>164</v>
      </c>
      <c r="F4469" s="96" t="s">
        <v>164</v>
      </c>
      <c r="G4469" s="96">
        <v>3018</v>
      </c>
    </row>
    <row r="4470" spans="2:7">
      <c r="B4470" s="118" t="s">
        <v>2103</v>
      </c>
      <c r="C4470" s="119">
        <v>4716</v>
      </c>
      <c r="E4470" s="96" t="s">
        <v>164</v>
      </c>
      <c r="F4470" s="96" t="s">
        <v>164</v>
      </c>
      <c r="G4470" s="96">
        <v>3011</v>
      </c>
    </row>
    <row r="4471" spans="2:7">
      <c r="B4471" s="118" t="s">
        <v>2182</v>
      </c>
      <c r="C4471" s="119">
        <v>4716</v>
      </c>
      <c r="E4471" s="96" t="s">
        <v>164</v>
      </c>
      <c r="F4471" s="96" t="s">
        <v>164</v>
      </c>
      <c r="G4471" s="96">
        <v>3008</v>
      </c>
    </row>
    <row r="4472" spans="2:7">
      <c r="B4472" s="118" t="s">
        <v>2168</v>
      </c>
      <c r="C4472" s="119">
        <v>4585</v>
      </c>
      <c r="E4472" s="96" t="s">
        <v>164</v>
      </c>
      <c r="F4472" s="96" t="s">
        <v>164</v>
      </c>
      <c r="G4472" s="96">
        <v>3020</v>
      </c>
    </row>
    <row r="4473" spans="2:7">
      <c r="B4473" s="118" t="s">
        <v>3440</v>
      </c>
      <c r="C4473" s="119">
        <v>4571</v>
      </c>
      <c r="E4473" s="96" t="s">
        <v>164</v>
      </c>
      <c r="F4473" s="96" t="s">
        <v>164</v>
      </c>
      <c r="G4473" s="96">
        <v>3005</v>
      </c>
    </row>
    <row r="4474" spans="2:7">
      <c r="B4474" s="118" t="s">
        <v>3441</v>
      </c>
      <c r="C4474" s="119">
        <v>4571</v>
      </c>
      <c r="E4474" s="96" t="s">
        <v>164</v>
      </c>
      <c r="F4474" s="96" t="s">
        <v>164</v>
      </c>
      <c r="G4474" s="96">
        <v>3019</v>
      </c>
    </row>
    <row r="4475" spans="2:7">
      <c r="B4475" s="118" t="s">
        <v>2077</v>
      </c>
      <c r="C4475" s="119">
        <v>3254</v>
      </c>
      <c r="E4475" s="96" t="s">
        <v>164</v>
      </c>
      <c r="F4475" s="96" t="s">
        <v>164</v>
      </c>
      <c r="G4475" s="96">
        <v>3012</v>
      </c>
    </row>
    <row r="4476" spans="2:7">
      <c r="B4476" s="118" t="s">
        <v>3442</v>
      </c>
      <c r="C4476" s="119">
        <v>3254</v>
      </c>
      <c r="E4476" s="96" t="s">
        <v>164</v>
      </c>
      <c r="F4476" s="96" t="s">
        <v>164</v>
      </c>
      <c r="G4476" s="96">
        <v>3027</v>
      </c>
    </row>
    <row r="4477" spans="2:7">
      <c r="B4477" s="118" t="s">
        <v>3443</v>
      </c>
      <c r="C4477" s="119">
        <v>3307</v>
      </c>
      <c r="E4477" s="96" t="s">
        <v>164</v>
      </c>
      <c r="F4477" s="96" t="s">
        <v>164</v>
      </c>
      <c r="G4477" s="96">
        <v>3004</v>
      </c>
    </row>
    <row r="4478" spans="2:7">
      <c r="B4478" s="118" t="s">
        <v>3444</v>
      </c>
      <c r="C4478" s="119">
        <v>4588</v>
      </c>
      <c r="E4478" s="96" t="s">
        <v>164</v>
      </c>
      <c r="F4478" s="96" t="s">
        <v>164</v>
      </c>
      <c r="G4478" s="96">
        <v>3015</v>
      </c>
    </row>
    <row r="4479" spans="2:7">
      <c r="B4479" s="118" t="s">
        <v>2101</v>
      </c>
      <c r="C4479" s="119">
        <v>3253</v>
      </c>
      <c r="E4479" s="96" t="s">
        <v>164</v>
      </c>
      <c r="F4479" s="96" t="s">
        <v>164</v>
      </c>
      <c r="G4479" s="96">
        <v>3010</v>
      </c>
    </row>
    <row r="4480" spans="2:7">
      <c r="B4480" s="118" t="s">
        <v>2174</v>
      </c>
      <c r="C4480" s="119">
        <v>4588</v>
      </c>
      <c r="E4480" s="96" t="s">
        <v>164</v>
      </c>
      <c r="F4480" s="96" t="s">
        <v>164</v>
      </c>
      <c r="G4480" s="96">
        <v>3007</v>
      </c>
    </row>
    <row r="4481" spans="2:7">
      <c r="B4481" s="118" t="s">
        <v>3445</v>
      </c>
      <c r="C4481" s="119">
        <v>4574</v>
      </c>
      <c r="E4481" s="96" t="s">
        <v>164</v>
      </c>
      <c r="F4481" s="96" t="s">
        <v>164</v>
      </c>
      <c r="G4481" s="96">
        <v>3006</v>
      </c>
    </row>
    <row r="4482" spans="2:7">
      <c r="B4482" s="118" t="s">
        <v>3446</v>
      </c>
      <c r="C4482" s="119">
        <v>4574</v>
      </c>
      <c r="E4482" s="96" t="s">
        <v>2481</v>
      </c>
      <c r="F4482" s="96" t="s">
        <v>162</v>
      </c>
      <c r="G4482" s="96">
        <v>8713</v>
      </c>
    </row>
    <row r="4483" spans="2:7">
      <c r="B4483" s="118" t="s">
        <v>3447</v>
      </c>
      <c r="C4483" s="119">
        <v>4576</v>
      </c>
      <c r="E4483" s="96" t="s">
        <v>2482</v>
      </c>
      <c r="F4483" s="96" t="s">
        <v>162</v>
      </c>
      <c r="G4483" s="96">
        <v>8816</v>
      </c>
    </row>
    <row r="4484" spans="2:7">
      <c r="B4484" s="118" t="s">
        <v>3448</v>
      </c>
      <c r="C4484" s="119">
        <v>4577</v>
      </c>
      <c r="E4484" s="96" t="s">
        <v>1683</v>
      </c>
      <c r="F4484" s="96" t="s">
        <v>162</v>
      </c>
      <c r="G4484" s="96">
        <v>8810</v>
      </c>
    </row>
    <row r="4485" spans="2:7">
      <c r="B4485" s="118" t="s">
        <v>3449</v>
      </c>
      <c r="C4485" s="119">
        <v>4578</v>
      </c>
      <c r="E4485" s="96" t="s">
        <v>2483</v>
      </c>
      <c r="F4485" s="96" t="s">
        <v>162</v>
      </c>
      <c r="G4485" s="96">
        <v>8815</v>
      </c>
    </row>
    <row r="4486" spans="2:7">
      <c r="B4486" s="118" t="s">
        <v>3450</v>
      </c>
      <c r="C4486" s="119">
        <v>4579</v>
      </c>
      <c r="E4486" s="96" t="s">
        <v>2484</v>
      </c>
      <c r="F4486" s="96" t="s">
        <v>162</v>
      </c>
      <c r="G4486" s="96">
        <v>8135</v>
      </c>
    </row>
    <row r="4487" spans="2:7">
      <c r="B4487" s="118" t="s">
        <v>3451</v>
      </c>
      <c r="C4487" s="119">
        <v>4581</v>
      </c>
      <c r="E4487" s="96" t="s">
        <v>2485</v>
      </c>
      <c r="F4487" s="96" t="s">
        <v>162</v>
      </c>
      <c r="G4487" s="96">
        <v>8135</v>
      </c>
    </row>
    <row r="4488" spans="2:7">
      <c r="B4488" s="118" t="s">
        <v>3452</v>
      </c>
      <c r="C4488" s="119">
        <v>4582</v>
      </c>
      <c r="E4488" s="96" t="s">
        <v>2486</v>
      </c>
      <c r="F4488" s="96" t="s">
        <v>162</v>
      </c>
      <c r="G4488" s="96">
        <v>8136</v>
      </c>
    </row>
    <row r="4489" spans="2:7">
      <c r="B4489" s="118" t="s">
        <v>3453</v>
      </c>
      <c r="C4489" s="119">
        <v>4583</v>
      </c>
      <c r="E4489" s="96" t="s">
        <v>2487</v>
      </c>
      <c r="F4489" s="96" t="s">
        <v>162</v>
      </c>
      <c r="G4489" s="96">
        <v>8804</v>
      </c>
    </row>
    <row r="4490" spans="2:7">
      <c r="B4490" s="118" t="s">
        <v>3454</v>
      </c>
      <c r="C4490" s="119">
        <v>4583</v>
      </c>
      <c r="E4490" s="96" t="s">
        <v>1681</v>
      </c>
      <c r="F4490" s="96" t="s">
        <v>162</v>
      </c>
      <c r="G4490" s="96">
        <v>8820</v>
      </c>
    </row>
    <row r="4491" spans="2:7">
      <c r="B4491" s="118" t="s">
        <v>3455</v>
      </c>
      <c r="C4491" s="119">
        <v>4584</v>
      </c>
      <c r="E4491" s="96" t="s">
        <v>2488</v>
      </c>
      <c r="F4491" s="96" t="s">
        <v>162</v>
      </c>
      <c r="G4491" s="96">
        <v>8824</v>
      </c>
    </row>
    <row r="4492" spans="2:7">
      <c r="B4492" s="118" t="s">
        <v>3456</v>
      </c>
      <c r="C4492" s="119">
        <v>4584</v>
      </c>
      <c r="E4492" s="96" t="s">
        <v>2489</v>
      </c>
      <c r="F4492" s="96" t="s">
        <v>162</v>
      </c>
      <c r="G4492" s="96">
        <v>8825</v>
      </c>
    </row>
    <row r="4493" spans="2:7">
      <c r="B4493" s="118" t="s">
        <v>3457</v>
      </c>
      <c r="C4493" s="119">
        <v>4586</v>
      </c>
      <c r="E4493" s="96" t="s">
        <v>1690</v>
      </c>
      <c r="F4493" s="96" t="s">
        <v>162</v>
      </c>
      <c r="G4493" s="96">
        <v>8105</v>
      </c>
    </row>
    <row r="4494" spans="2:7">
      <c r="B4494" s="118" t="s">
        <v>3458</v>
      </c>
      <c r="C4494" s="119">
        <v>4587</v>
      </c>
      <c r="E4494" s="96" t="s">
        <v>2490</v>
      </c>
      <c r="F4494" s="96" t="s">
        <v>162</v>
      </c>
      <c r="G4494" s="96">
        <v>8105</v>
      </c>
    </row>
    <row r="4495" spans="2:7">
      <c r="B4495" s="118" t="s">
        <v>3459</v>
      </c>
      <c r="C4495" s="119">
        <v>4588</v>
      </c>
      <c r="E4495" s="96" t="s">
        <v>2491</v>
      </c>
      <c r="F4495" s="96" t="s">
        <v>162</v>
      </c>
      <c r="G4495" s="96">
        <v>8333</v>
      </c>
    </row>
    <row r="4496" spans="2:7">
      <c r="B4496" s="118" t="s">
        <v>3460</v>
      </c>
      <c r="C4496" s="119">
        <v>4105</v>
      </c>
      <c r="E4496" s="96" t="s">
        <v>2492</v>
      </c>
      <c r="F4496" s="96" t="s">
        <v>162</v>
      </c>
      <c r="G4496" s="96">
        <v>8152</v>
      </c>
    </row>
    <row r="4497" spans="2:7">
      <c r="B4497" s="118" t="s">
        <v>2093</v>
      </c>
      <c r="C4497" s="119">
        <v>4112</v>
      </c>
      <c r="E4497" s="96" t="s">
        <v>2493</v>
      </c>
      <c r="F4497" s="96" t="s">
        <v>162</v>
      </c>
      <c r="G4497" s="96">
        <v>8152</v>
      </c>
    </row>
    <row r="4498" spans="2:7">
      <c r="B4498" s="118" t="s">
        <v>3461</v>
      </c>
      <c r="C4498" s="119">
        <v>4413</v>
      </c>
      <c r="E4498" s="96" t="s">
        <v>2494</v>
      </c>
      <c r="F4498" s="96" t="s">
        <v>162</v>
      </c>
      <c r="G4498" s="96">
        <v>8605</v>
      </c>
    </row>
    <row r="4499" spans="2:7">
      <c r="B4499" s="118" t="s">
        <v>2029</v>
      </c>
      <c r="C4499" s="119">
        <v>4143</v>
      </c>
      <c r="E4499" s="96" t="s">
        <v>2495</v>
      </c>
      <c r="F4499" s="96" t="s">
        <v>162</v>
      </c>
      <c r="G4499" s="96">
        <v>8125</v>
      </c>
    </row>
    <row r="4500" spans="2:7">
      <c r="B4500" s="118" t="s">
        <v>2125</v>
      </c>
      <c r="C4500" s="119">
        <v>4145</v>
      </c>
      <c r="E4500" s="96" t="s">
        <v>1587</v>
      </c>
      <c r="F4500" s="96"/>
      <c r="G4500" s="96">
        <v>3624</v>
      </c>
    </row>
    <row r="4501" spans="2:7">
      <c r="B4501" s="118" t="s">
        <v>2087</v>
      </c>
      <c r="C4501" s="119">
        <v>4146</v>
      </c>
      <c r="E4501" s="96" t="s">
        <v>2187</v>
      </c>
      <c r="F4501" s="96" t="s">
        <v>184</v>
      </c>
      <c r="G4501" s="96">
        <v>3600</v>
      </c>
    </row>
    <row r="4502" spans="2:7">
      <c r="B4502" s="118" t="s">
        <v>3462</v>
      </c>
      <c r="C4502" s="119">
        <v>4112</v>
      </c>
      <c r="E4502" s="96" t="s">
        <v>2187</v>
      </c>
      <c r="F4502" s="96" t="s">
        <v>184</v>
      </c>
      <c r="G4502" s="96">
        <v>3604</v>
      </c>
    </row>
    <row r="4503" spans="2:7">
      <c r="B4503" s="118" t="s">
        <v>3463</v>
      </c>
      <c r="C4503" s="119">
        <v>4114</v>
      </c>
      <c r="E4503" s="96" t="s">
        <v>2187</v>
      </c>
      <c r="F4503" s="96" t="s">
        <v>184</v>
      </c>
      <c r="G4503" s="96">
        <v>3603</v>
      </c>
    </row>
    <row r="4504" spans="2:7">
      <c r="B4504" s="118" t="s">
        <v>3464</v>
      </c>
      <c r="C4504" s="119">
        <v>4115</v>
      </c>
      <c r="E4504" s="96" t="s">
        <v>2187</v>
      </c>
      <c r="F4504" s="96" t="s">
        <v>184</v>
      </c>
      <c r="G4504" s="96">
        <v>3608</v>
      </c>
    </row>
    <row r="4505" spans="2:7">
      <c r="B4505" s="118" t="s">
        <v>3464</v>
      </c>
      <c r="C4505" s="119">
        <v>4115</v>
      </c>
      <c r="E4505" s="96" t="s">
        <v>2186</v>
      </c>
      <c r="F4505" s="96" t="s">
        <v>184</v>
      </c>
      <c r="G4505" s="96">
        <v>2503</v>
      </c>
    </row>
    <row r="4506" spans="2:7">
      <c r="B4506" s="118" t="s">
        <v>3465</v>
      </c>
      <c r="C4506" s="119">
        <v>4116</v>
      </c>
      <c r="E4506" s="96" t="s">
        <v>2186</v>
      </c>
      <c r="F4506" s="96" t="s">
        <v>184</v>
      </c>
      <c r="G4506" s="96">
        <v>2505</v>
      </c>
    </row>
    <row r="4507" spans="2:7">
      <c r="B4507" s="118" t="s">
        <v>3466</v>
      </c>
      <c r="C4507" s="119">
        <v>4412</v>
      </c>
      <c r="E4507" s="96" t="s">
        <v>2186</v>
      </c>
      <c r="F4507" s="96" t="s">
        <v>184</v>
      </c>
      <c r="G4507" s="96">
        <v>2504</v>
      </c>
    </row>
    <row r="4508" spans="2:7">
      <c r="B4508" s="118" t="s">
        <v>3467</v>
      </c>
      <c r="C4508" s="119">
        <v>4421</v>
      </c>
      <c r="E4508" s="96" t="s">
        <v>2186</v>
      </c>
      <c r="F4508" s="96" t="s">
        <v>184</v>
      </c>
      <c r="G4508" s="96">
        <v>2502</v>
      </c>
    </row>
    <row r="4509" spans="2:7">
      <c r="B4509" s="118" t="s">
        <v>2083</v>
      </c>
      <c r="C4509" s="119">
        <v>4118</v>
      </c>
      <c r="E4509" s="96" t="s">
        <v>1588</v>
      </c>
      <c r="F4509" s="96"/>
      <c r="G4509" s="96">
        <v>3415</v>
      </c>
    </row>
    <row r="4510" spans="2:7">
      <c r="B4510" s="118" t="s">
        <v>2121</v>
      </c>
      <c r="C4510" s="119">
        <v>4204</v>
      </c>
      <c r="E4510" s="96" t="s">
        <v>1589</v>
      </c>
      <c r="F4510" s="96"/>
      <c r="G4510" s="96">
        <v>3419</v>
      </c>
    </row>
    <row r="4511" spans="2:7">
      <c r="B4511" s="118" t="s">
        <v>3468</v>
      </c>
      <c r="C4511" s="119">
        <v>4206</v>
      </c>
      <c r="E4511" s="96" t="s">
        <v>1590</v>
      </c>
      <c r="F4511" s="96"/>
      <c r="G4511" s="96">
        <v>3415</v>
      </c>
    </row>
    <row r="4512" spans="2:7">
      <c r="B4512" s="118" t="s">
        <v>2075</v>
      </c>
      <c r="C4512" s="119">
        <v>4108</v>
      </c>
      <c r="E4512" s="96" t="s">
        <v>1591</v>
      </c>
      <c r="F4512" s="96" t="s">
        <v>184</v>
      </c>
      <c r="G4512" s="96">
        <v>4900</v>
      </c>
    </row>
    <row r="4513" spans="2:7">
      <c r="B4513" s="118" t="s">
        <v>2093</v>
      </c>
      <c r="C4513" s="119">
        <v>4112</v>
      </c>
      <c r="E4513" s="96" t="s">
        <v>1592</v>
      </c>
      <c r="F4513" s="96"/>
      <c r="G4513" s="96">
        <v>4916</v>
      </c>
    </row>
    <row r="4514" spans="2:7">
      <c r="B4514" s="118" t="s">
        <v>3469</v>
      </c>
      <c r="C4514" s="119">
        <v>4633</v>
      </c>
      <c r="E4514" s="96" t="s">
        <v>165</v>
      </c>
      <c r="F4514" s="96" t="s">
        <v>184</v>
      </c>
      <c r="G4514" s="96">
        <v>6003</v>
      </c>
    </row>
    <row r="4515" spans="2:7">
      <c r="B4515" s="118" t="s">
        <v>2158</v>
      </c>
      <c r="C4515" s="119">
        <v>4468</v>
      </c>
      <c r="E4515" s="96" t="s">
        <v>165</v>
      </c>
      <c r="F4515" s="96" t="s">
        <v>184</v>
      </c>
      <c r="G4515" s="96">
        <v>6006</v>
      </c>
    </row>
    <row r="4516" spans="2:7">
      <c r="B4516" s="118" t="s">
        <v>3470</v>
      </c>
      <c r="C4516" s="119">
        <v>4634</v>
      </c>
      <c r="E4516" s="96" t="s">
        <v>165</v>
      </c>
      <c r="F4516" s="96" t="s">
        <v>184</v>
      </c>
      <c r="G4516" s="96">
        <v>6015</v>
      </c>
    </row>
    <row r="4517" spans="2:7">
      <c r="B4517" s="118" t="s">
        <v>2041</v>
      </c>
      <c r="C4517" s="119">
        <v>4654</v>
      </c>
      <c r="E4517" s="96" t="s">
        <v>165</v>
      </c>
      <c r="F4517" s="96" t="s">
        <v>184</v>
      </c>
      <c r="G4517" s="96">
        <v>6014</v>
      </c>
    </row>
    <row r="4518" spans="2:7">
      <c r="B4518" s="118" t="s">
        <v>2042</v>
      </c>
      <c r="C4518" s="119">
        <v>5013</v>
      </c>
      <c r="E4518" s="96" t="s">
        <v>165</v>
      </c>
      <c r="F4518" s="96" t="s">
        <v>184</v>
      </c>
      <c r="G4518" s="96">
        <v>6004</v>
      </c>
    </row>
    <row r="4519" spans="2:7">
      <c r="B4519" s="118" t="s">
        <v>2066</v>
      </c>
      <c r="C4519" s="119">
        <v>4652</v>
      </c>
      <c r="E4519" s="96" t="s">
        <v>165</v>
      </c>
      <c r="F4519" s="96" t="s">
        <v>184</v>
      </c>
      <c r="G4519" s="96">
        <v>6005</v>
      </c>
    </row>
    <row r="4520" spans="2:7">
      <c r="B4520" s="118" t="s">
        <v>2061</v>
      </c>
      <c r="C4520" s="119">
        <v>4653</v>
      </c>
      <c r="E4520" s="96" t="s">
        <v>1593</v>
      </c>
      <c r="F4520" s="96"/>
      <c r="G4520" s="96">
        <v>6020</v>
      </c>
    </row>
    <row r="4521" spans="2:7">
      <c r="B4521" s="118" t="s">
        <v>2105</v>
      </c>
      <c r="C4521" s="119">
        <v>4655</v>
      </c>
      <c r="E4521" s="96" t="s">
        <v>1262</v>
      </c>
      <c r="F4521" s="96" t="s">
        <v>184</v>
      </c>
      <c r="G4521" s="96">
        <v>6032</v>
      </c>
    </row>
    <row r="4522" spans="2:7">
      <c r="B4522" s="118" t="s">
        <v>3471</v>
      </c>
      <c r="C4522" s="119">
        <v>4655</v>
      </c>
      <c r="E4522" s="96" t="s">
        <v>1263</v>
      </c>
      <c r="F4522" s="96" t="s">
        <v>184</v>
      </c>
      <c r="G4522" s="96">
        <v>6010</v>
      </c>
    </row>
    <row r="4523" spans="2:7">
      <c r="B4523" s="118" t="s">
        <v>2024</v>
      </c>
      <c r="C4523" s="119">
        <v>4600</v>
      </c>
      <c r="E4523" s="96" t="s">
        <v>1594</v>
      </c>
      <c r="F4523" s="96" t="s">
        <v>184</v>
      </c>
      <c r="G4523" s="96">
        <v>6012</v>
      </c>
    </row>
    <row r="4524" spans="2:7">
      <c r="B4524" s="118" t="s">
        <v>2030</v>
      </c>
      <c r="C4524" s="119">
        <v>4632</v>
      </c>
      <c r="E4524" s="96" t="s">
        <v>1264</v>
      </c>
      <c r="F4524" s="96" t="s">
        <v>184</v>
      </c>
      <c r="G4524" s="96">
        <v>6048</v>
      </c>
    </row>
    <row r="4525" spans="2:7">
      <c r="B4525" s="118" t="s">
        <v>3470</v>
      </c>
      <c r="C4525" s="119">
        <v>4634</v>
      </c>
      <c r="E4525" s="96" t="s">
        <v>1595</v>
      </c>
      <c r="F4525" s="96"/>
      <c r="G4525" s="96">
        <v>6047</v>
      </c>
    </row>
    <row r="4526" spans="2:7">
      <c r="B4526" s="118" t="s">
        <v>2066</v>
      </c>
      <c r="C4526" s="119">
        <v>4652</v>
      </c>
      <c r="E4526" s="96" t="s">
        <v>1596</v>
      </c>
      <c r="F4526" s="96"/>
      <c r="G4526" s="96">
        <v>6005</v>
      </c>
    </row>
    <row r="4527" spans="2:7">
      <c r="B4527" s="118" t="s">
        <v>2041</v>
      </c>
      <c r="C4527" s="119">
        <v>4654</v>
      </c>
      <c r="E4527" s="96" t="s">
        <v>163</v>
      </c>
      <c r="F4527" s="96" t="s">
        <v>184</v>
      </c>
      <c r="G4527" s="96">
        <v>1202</v>
      </c>
    </row>
    <row r="4528" spans="2:7">
      <c r="B4528" s="118" t="s">
        <v>3470</v>
      </c>
      <c r="C4528" s="119">
        <v>4634</v>
      </c>
      <c r="E4528" s="96" t="s">
        <v>163</v>
      </c>
      <c r="F4528" s="96" t="s">
        <v>184</v>
      </c>
      <c r="G4528" s="96">
        <v>1205</v>
      </c>
    </row>
    <row r="4529" spans="2:7">
      <c r="B4529" s="118" t="s">
        <v>3472</v>
      </c>
      <c r="C4529" s="119">
        <v>5015</v>
      </c>
      <c r="E4529" s="96" t="s">
        <v>163</v>
      </c>
      <c r="F4529" s="96" t="s">
        <v>184</v>
      </c>
      <c r="G4529" s="96">
        <v>1201</v>
      </c>
    </row>
    <row r="4530" spans="2:7">
      <c r="B4530" s="118" t="s">
        <v>3473</v>
      </c>
      <c r="C4530" s="119">
        <v>5017</v>
      </c>
      <c r="E4530" s="96" t="s">
        <v>163</v>
      </c>
      <c r="F4530" s="96" t="s">
        <v>184</v>
      </c>
      <c r="G4530" s="96">
        <v>1206</v>
      </c>
    </row>
    <row r="4531" spans="2:7">
      <c r="B4531" s="118" t="s">
        <v>3094</v>
      </c>
      <c r="C4531" s="119">
        <v>3365</v>
      </c>
      <c r="E4531" s="96" t="s">
        <v>163</v>
      </c>
      <c r="F4531" s="96" t="s">
        <v>184</v>
      </c>
      <c r="G4531" s="96">
        <v>1207</v>
      </c>
    </row>
    <row r="4532" spans="2:7">
      <c r="B4532" s="118" t="s">
        <v>3474</v>
      </c>
      <c r="C4532" s="119">
        <v>4556</v>
      </c>
      <c r="E4532" s="96" t="s">
        <v>163</v>
      </c>
      <c r="F4532" s="96" t="s">
        <v>184</v>
      </c>
      <c r="G4532" s="96">
        <v>1208</v>
      </c>
    </row>
    <row r="4533" spans="2:7">
      <c r="B4533" s="118" t="s">
        <v>3092</v>
      </c>
      <c r="C4533" s="119">
        <v>4556</v>
      </c>
      <c r="E4533" s="96" t="s">
        <v>163</v>
      </c>
      <c r="F4533" s="96" t="s">
        <v>184</v>
      </c>
      <c r="G4533" s="96">
        <v>1203</v>
      </c>
    </row>
    <row r="4534" spans="2:7">
      <c r="B4534" s="118" t="s">
        <v>3475</v>
      </c>
      <c r="C4534" s="119">
        <v>4556</v>
      </c>
      <c r="E4534" s="96" t="s">
        <v>1597</v>
      </c>
      <c r="F4534" s="96" t="s">
        <v>184</v>
      </c>
      <c r="G4534" s="96">
        <v>1227</v>
      </c>
    </row>
    <row r="4535" spans="2:7">
      <c r="B4535" s="118" t="s">
        <v>169</v>
      </c>
      <c r="C4535" s="119">
        <v>4500</v>
      </c>
      <c r="E4535" s="96" t="s">
        <v>163</v>
      </c>
      <c r="F4535" s="96" t="s">
        <v>184</v>
      </c>
      <c r="G4535" s="96">
        <v>1209</v>
      </c>
    </row>
    <row r="4536" spans="2:7">
      <c r="B4536" s="118" t="s">
        <v>2027</v>
      </c>
      <c r="C4536" s="119">
        <v>4528</v>
      </c>
      <c r="E4536" s="96" t="s">
        <v>1598</v>
      </c>
      <c r="F4536" s="96" t="s">
        <v>184</v>
      </c>
      <c r="G4536" s="96">
        <v>1213</v>
      </c>
    </row>
    <row r="4537" spans="2:7">
      <c r="B4537" s="118" t="s">
        <v>2028</v>
      </c>
      <c r="C4537" s="119">
        <v>4562</v>
      </c>
      <c r="E4537" s="96" t="s">
        <v>1599</v>
      </c>
      <c r="F4537" s="96"/>
      <c r="G4537" s="96">
        <v>1212</v>
      </c>
    </row>
    <row r="4538" spans="2:7">
      <c r="B4538" s="118" t="s">
        <v>3446</v>
      </c>
      <c r="C4538" s="119">
        <v>4574</v>
      </c>
      <c r="E4538" s="96" t="s">
        <v>813</v>
      </c>
      <c r="F4538" s="96" t="s">
        <v>184</v>
      </c>
      <c r="G4538" s="96">
        <v>1217</v>
      </c>
    </row>
    <row r="4539" spans="2:7">
      <c r="B4539" s="118" t="s">
        <v>2151</v>
      </c>
      <c r="C4539" s="119">
        <v>4556</v>
      </c>
      <c r="E4539" s="96" t="s">
        <v>1600</v>
      </c>
      <c r="F4539" s="96" t="s">
        <v>184</v>
      </c>
      <c r="G4539" s="96">
        <v>1216</v>
      </c>
    </row>
    <row r="4540" spans="2:7">
      <c r="B4540" s="118" t="s">
        <v>2047</v>
      </c>
      <c r="C4540" s="119">
        <v>4542</v>
      </c>
      <c r="E4540" s="96" t="s">
        <v>1601</v>
      </c>
      <c r="F4540" s="96" t="s">
        <v>184</v>
      </c>
      <c r="G4540" s="96">
        <v>1219</v>
      </c>
    </row>
    <row r="4541" spans="2:7">
      <c r="B4541" s="118" t="s">
        <v>2060</v>
      </c>
      <c r="C4541" s="119">
        <v>4543</v>
      </c>
      <c r="E4541" s="96" t="s">
        <v>1602</v>
      </c>
      <c r="F4541" s="96"/>
      <c r="G4541" s="96">
        <v>1220</v>
      </c>
    </row>
    <row r="4542" spans="2:7">
      <c r="B4542" s="118" t="s">
        <v>2031</v>
      </c>
      <c r="C4542" s="119">
        <v>4552</v>
      </c>
      <c r="E4542" s="96" t="s">
        <v>811</v>
      </c>
      <c r="F4542" s="96" t="s">
        <v>184</v>
      </c>
      <c r="G4542" s="96">
        <v>1214</v>
      </c>
    </row>
    <row r="4543" spans="2:7">
      <c r="B4543" s="118" t="s">
        <v>2050</v>
      </c>
      <c r="C4543" s="119">
        <v>4553</v>
      </c>
      <c r="E4543" s="96" t="s">
        <v>1603</v>
      </c>
      <c r="F4543" s="96" t="s">
        <v>184</v>
      </c>
      <c r="G4543" s="96">
        <v>1219</v>
      </c>
    </row>
    <row r="4544" spans="2:7">
      <c r="B4544" s="118" t="s">
        <v>2130</v>
      </c>
      <c r="C4544" s="119">
        <v>4554</v>
      </c>
      <c r="E4544" s="96" t="s">
        <v>1604</v>
      </c>
      <c r="F4544" s="96" t="s">
        <v>184</v>
      </c>
      <c r="G4544" s="96">
        <v>1219</v>
      </c>
    </row>
    <row r="4545" spans="2:7">
      <c r="B4545" s="118" t="s">
        <v>2035</v>
      </c>
      <c r="C4545" s="119">
        <v>4563</v>
      </c>
      <c r="E4545" s="96" t="s">
        <v>182</v>
      </c>
      <c r="F4545" s="96" t="s">
        <v>184</v>
      </c>
      <c r="G4545" s="96">
        <v>1003</v>
      </c>
    </row>
    <row r="4546" spans="2:7">
      <c r="B4546" s="118" t="s">
        <v>2127</v>
      </c>
      <c r="C4546" s="119">
        <v>4566</v>
      </c>
      <c r="E4546" s="96" t="s">
        <v>182</v>
      </c>
      <c r="F4546" s="96" t="s">
        <v>184</v>
      </c>
      <c r="G4546" s="96">
        <v>1015</v>
      </c>
    </row>
    <row r="4547" spans="2:7">
      <c r="B4547" s="118" t="s">
        <v>2129</v>
      </c>
      <c r="C4547" s="119">
        <v>4557</v>
      </c>
      <c r="E4547" s="96" t="s">
        <v>182</v>
      </c>
      <c r="F4547" s="96" t="s">
        <v>184</v>
      </c>
      <c r="G4547" s="96">
        <v>1007</v>
      </c>
    </row>
    <row r="4548" spans="2:7">
      <c r="B4548" s="118" t="s">
        <v>2178</v>
      </c>
      <c r="C4548" s="119">
        <v>4554</v>
      </c>
      <c r="E4548" s="96" t="s">
        <v>182</v>
      </c>
      <c r="F4548" s="96" t="s">
        <v>184</v>
      </c>
      <c r="G4548" s="96">
        <v>1012</v>
      </c>
    </row>
    <row r="4549" spans="2:7">
      <c r="B4549" s="118" t="s">
        <v>2035</v>
      </c>
      <c r="C4549" s="119">
        <v>4563</v>
      </c>
      <c r="E4549" s="96" t="s">
        <v>182</v>
      </c>
      <c r="F4549" s="96" t="s">
        <v>184</v>
      </c>
      <c r="G4549" s="96">
        <v>1011</v>
      </c>
    </row>
    <row r="4550" spans="2:7">
      <c r="B4550" s="118" t="s">
        <v>2085</v>
      </c>
      <c r="C4550" s="119">
        <v>4566</v>
      </c>
      <c r="E4550" s="96" t="s">
        <v>182</v>
      </c>
      <c r="F4550" s="96" t="s">
        <v>184</v>
      </c>
      <c r="G4550" s="96">
        <v>1018</v>
      </c>
    </row>
    <row r="4551" spans="2:7">
      <c r="B4551" s="118" t="s">
        <v>2052</v>
      </c>
      <c r="C4551" s="119">
        <v>4573</v>
      </c>
      <c r="E4551" s="96" t="s">
        <v>182</v>
      </c>
      <c r="F4551" s="96" t="s">
        <v>184</v>
      </c>
      <c r="G4551" s="96">
        <v>1000</v>
      </c>
    </row>
    <row r="4552" spans="2:7">
      <c r="B4552" s="118" t="s">
        <v>2047</v>
      </c>
      <c r="C4552" s="119">
        <v>4542</v>
      </c>
      <c r="E4552" s="96" t="s">
        <v>182</v>
      </c>
      <c r="F4552" s="96" t="s">
        <v>184</v>
      </c>
      <c r="G4552" s="96">
        <v>1000</v>
      </c>
    </row>
    <row r="4553" spans="2:7">
      <c r="B4553" s="118" t="s">
        <v>2031</v>
      </c>
      <c r="C4553" s="119">
        <v>4552</v>
      </c>
      <c r="E4553" s="96" t="s">
        <v>182</v>
      </c>
      <c r="F4553" s="96" t="s">
        <v>184</v>
      </c>
      <c r="G4553" s="96">
        <v>1010</v>
      </c>
    </row>
    <row r="4554" spans="2:7">
      <c r="B4554" s="118" t="s">
        <v>2035</v>
      </c>
      <c r="C4554" s="119">
        <v>4563</v>
      </c>
      <c r="E4554" s="96" t="s">
        <v>182</v>
      </c>
      <c r="F4554" s="96" t="s">
        <v>184</v>
      </c>
      <c r="G4554" s="96">
        <v>1005</v>
      </c>
    </row>
    <row r="4555" spans="2:7">
      <c r="B4555" s="118" t="s">
        <v>2099</v>
      </c>
      <c r="C4555" s="119">
        <v>4564</v>
      </c>
      <c r="E4555" s="96" t="s">
        <v>182</v>
      </c>
      <c r="F4555" s="96" t="s">
        <v>184</v>
      </c>
      <c r="G4555" s="96">
        <v>1006</v>
      </c>
    </row>
    <row r="4556" spans="2:7">
      <c r="B4556" s="118" t="s">
        <v>2132</v>
      </c>
      <c r="C4556" s="119">
        <v>4566</v>
      </c>
      <c r="E4556" s="96" t="s">
        <v>182</v>
      </c>
      <c r="F4556" s="96" t="s">
        <v>184</v>
      </c>
      <c r="G4556" s="96">
        <v>1000</v>
      </c>
    </row>
    <row r="4557" spans="2:7">
      <c r="B4557" s="118" t="s">
        <v>2064</v>
      </c>
      <c r="C4557" s="119">
        <v>4565</v>
      </c>
      <c r="E4557" s="96" t="s">
        <v>182</v>
      </c>
      <c r="F4557" s="96" t="s">
        <v>184</v>
      </c>
      <c r="G4557" s="96">
        <v>1004</v>
      </c>
    </row>
    <row r="4558" spans="2:7">
      <c r="B4558" s="118" t="s">
        <v>2050</v>
      </c>
      <c r="C4558" s="119">
        <v>4553</v>
      </c>
      <c r="E4558" s="96" t="s">
        <v>1605</v>
      </c>
      <c r="F4558" s="96" t="s">
        <v>184</v>
      </c>
      <c r="G4558" s="96">
        <v>1817</v>
      </c>
    </row>
    <row r="4559" spans="2:7">
      <c r="B4559" s="118" t="s">
        <v>169</v>
      </c>
      <c r="C4559" s="119">
        <v>4500</v>
      </c>
      <c r="E4559" s="96" t="s">
        <v>1606</v>
      </c>
      <c r="F4559" s="96" t="s">
        <v>184</v>
      </c>
      <c r="G4559" s="96">
        <v>1820</v>
      </c>
    </row>
    <row r="4560" spans="2:7">
      <c r="B4560" s="118" t="s">
        <v>2027</v>
      </c>
      <c r="C4560" s="119">
        <v>4528</v>
      </c>
      <c r="E4560" s="96" t="s">
        <v>1607</v>
      </c>
      <c r="F4560" s="96" t="s">
        <v>184</v>
      </c>
      <c r="G4560" s="96">
        <v>1833</v>
      </c>
    </row>
    <row r="4561" spans="2:7">
      <c r="B4561" s="118" t="s">
        <v>3476</v>
      </c>
      <c r="C4561" s="119">
        <v>4558</v>
      </c>
      <c r="E4561" s="96" t="s">
        <v>1608</v>
      </c>
      <c r="F4561" s="96" t="s">
        <v>184</v>
      </c>
      <c r="G4561" s="96">
        <v>1832</v>
      </c>
    </row>
    <row r="4562" spans="2:7">
      <c r="B4562" s="118" t="s">
        <v>3477</v>
      </c>
      <c r="C4562" s="119">
        <v>4558</v>
      </c>
      <c r="E4562" s="96" t="s">
        <v>1609</v>
      </c>
      <c r="F4562" s="96" t="s">
        <v>184</v>
      </c>
      <c r="G4562" s="96">
        <v>1824</v>
      </c>
    </row>
    <row r="4563" spans="2:7">
      <c r="B4563" s="118" t="s">
        <v>3478</v>
      </c>
      <c r="C4563" s="119">
        <v>4558</v>
      </c>
      <c r="E4563" s="96" t="s">
        <v>1610</v>
      </c>
      <c r="F4563" s="96" t="s">
        <v>184</v>
      </c>
      <c r="G4563" s="96">
        <v>1816</v>
      </c>
    </row>
    <row r="4564" spans="2:7">
      <c r="B4564" s="118" t="s">
        <v>3479</v>
      </c>
      <c r="C4564" s="119">
        <v>4524</v>
      </c>
      <c r="E4564" s="96" t="s">
        <v>1611</v>
      </c>
      <c r="F4564" s="96" t="s">
        <v>184</v>
      </c>
      <c r="G4564" s="96">
        <v>1822</v>
      </c>
    </row>
    <row r="4565" spans="2:7">
      <c r="B4565" s="118" t="s">
        <v>3480</v>
      </c>
      <c r="C4565" s="119">
        <v>4524</v>
      </c>
      <c r="E4565" s="96" t="s">
        <v>1612</v>
      </c>
      <c r="F4565" s="96" t="s">
        <v>184</v>
      </c>
      <c r="G4565" s="96">
        <v>1832</v>
      </c>
    </row>
    <row r="4566" spans="2:7">
      <c r="B4566" s="118" t="s">
        <v>3481</v>
      </c>
      <c r="C4566" s="119">
        <v>4525</v>
      </c>
      <c r="E4566" s="96" t="s">
        <v>186</v>
      </c>
      <c r="F4566" s="96" t="s">
        <v>184</v>
      </c>
      <c r="G4566" s="96">
        <v>1820</v>
      </c>
    </row>
    <row r="4567" spans="2:7">
      <c r="B4567" s="118" t="s">
        <v>169</v>
      </c>
      <c r="C4567" s="119">
        <v>4500</v>
      </c>
      <c r="E4567" s="96" t="s">
        <v>703</v>
      </c>
      <c r="F4567" s="96" t="s">
        <v>184</v>
      </c>
      <c r="G4567" s="96">
        <v>1823</v>
      </c>
    </row>
    <row r="4568" spans="2:7">
      <c r="B4568" s="118" t="s">
        <v>2034</v>
      </c>
      <c r="C4568" s="119">
        <v>4512</v>
      </c>
      <c r="E4568" s="96" t="s">
        <v>1613</v>
      </c>
      <c r="F4568" s="96" t="s">
        <v>184</v>
      </c>
      <c r="G4568" s="96">
        <v>1815</v>
      </c>
    </row>
    <row r="4569" spans="2:7">
      <c r="B4569" s="118" t="s">
        <v>2039</v>
      </c>
      <c r="C4569" s="119">
        <v>2544</v>
      </c>
      <c r="E4569" s="96" t="s">
        <v>1614</v>
      </c>
      <c r="F4569" s="96" t="s">
        <v>184</v>
      </c>
      <c r="G4569" s="96">
        <v>5032</v>
      </c>
    </row>
    <row r="4570" spans="2:7">
      <c r="B4570" s="118" t="s">
        <v>3482</v>
      </c>
      <c r="C4570" s="119">
        <v>4532</v>
      </c>
      <c r="E4570" s="96" t="s">
        <v>1615</v>
      </c>
      <c r="F4570" s="96" t="s">
        <v>184</v>
      </c>
      <c r="G4570" s="96">
        <v>5000</v>
      </c>
    </row>
    <row r="4571" spans="2:7">
      <c r="B4571" s="118" t="s">
        <v>2117</v>
      </c>
      <c r="C4571" s="119">
        <v>4534</v>
      </c>
      <c r="E4571" s="96" t="s">
        <v>1615</v>
      </c>
      <c r="F4571" s="96" t="s">
        <v>184</v>
      </c>
      <c r="G4571" s="96">
        <v>5004</v>
      </c>
    </row>
    <row r="4572" spans="2:7">
      <c r="B4572" s="118" t="s">
        <v>2060</v>
      </c>
      <c r="C4572" s="119">
        <v>4543</v>
      </c>
      <c r="E4572" s="96" t="s">
        <v>1616</v>
      </c>
      <c r="F4572" s="96" t="s">
        <v>184</v>
      </c>
      <c r="G4572" s="96">
        <v>5400</v>
      </c>
    </row>
    <row r="4573" spans="2:7">
      <c r="B4573" s="118" t="s">
        <v>2026</v>
      </c>
      <c r="C4573" s="119">
        <v>2540</v>
      </c>
      <c r="E4573" s="96" t="s">
        <v>1617</v>
      </c>
      <c r="F4573" s="96" t="s">
        <v>184</v>
      </c>
      <c r="G4573" s="96">
        <v>5405</v>
      </c>
    </row>
    <row r="4574" spans="2:7">
      <c r="B4574" s="118" t="s">
        <v>2097</v>
      </c>
      <c r="C4574" s="119">
        <v>4524</v>
      </c>
      <c r="E4574" s="96" t="s">
        <v>1616</v>
      </c>
      <c r="F4574" s="96" t="s">
        <v>184</v>
      </c>
      <c r="G4574" s="96">
        <v>5404</v>
      </c>
    </row>
    <row r="4575" spans="2:7">
      <c r="B4575" s="118" t="s">
        <v>2156</v>
      </c>
      <c r="C4575" s="119">
        <v>4715</v>
      </c>
      <c r="E4575" s="96" t="s">
        <v>1618</v>
      </c>
      <c r="F4575" s="96" t="s">
        <v>184</v>
      </c>
      <c r="G4575" s="96">
        <v>5406</v>
      </c>
    </row>
    <row r="4576" spans="2:7">
      <c r="B4576" s="118" t="s">
        <v>2139</v>
      </c>
      <c r="C4576" s="119">
        <v>4535</v>
      </c>
      <c r="E4576" s="96" t="s">
        <v>1619</v>
      </c>
      <c r="F4576" s="96" t="s">
        <v>184</v>
      </c>
      <c r="G4576" s="96">
        <v>4800</v>
      </c>
    </row>
    <row r="4577" spans="2:7">
      <c r="B4577" s="118" t="s">
        <v>2184</v>
      </c>
      <c r="C4577" s="119">
        <v>4535</v>
      </c>
      <c r="E4577" s="96" t="s">
        <v>1620</v>
      </c>
      <c r="F4577" s="96" t="s">
        <v>184</v>
      </c>
      <c r="G4577" s="96">
        <v>4812</v>
      </c>
    </row>
    <row r="4578" spans="2:7">
      <c r="B4578" s="118" t="s">
        <v>169</v>
      </c>
      <c r="C4578" s="119">
        <v>4500</v>
      </c>
      <c r="E4578" s="96" t="s">
        <v>170</v>
      </c>
      <c r="F4578" s="96" t="s">
        <v>184</v>
      </c>
      <c r="G4578" s="96">
        <v>9014</v>
      </c>
    </row>
    <row r="4579" spans="2:7">
      <c r="B4579" s="118" t="s">
        <v>2044</v>
      </c>
      <c r="C4579" s="119">
        <v>4513</v>
      </c>
      <c r="E4579" s="96" t="s">
        <v>170</v>
      </c>
      <c r="F4579" s="96" t="s">
        <v>184</v>
      </c>
      <c r="G4579" s="96">
        <v>9016</v>
      </c>
    </row>
    <row r="4580" spans="2:7">
      <c r="B4580" s="118" t="s">
        <v>2076</v>
      </c>
      <c r="C4580" s="119">
        <v>4522</v>
      </c>
      <c r="E4580" s="96" t="s">
        <v>170</v>
      </c>
      <c r="F4580" s="96" t="s">
        <v>184</v>
      </c>
      <c r="G4580" s="96">
        <v>9008</v>
      </c>
    </row>
    <row r="4581" spans="2:7">
      <c r="B4581" s="118" t="s">
        <v>2034</v>
      </c>
      <c r="C4581" s="119">
        <v>4512</v>
      </c>
      <c r="E4581" s="96" t="s">
        <v>170</v>
      </c>
      <c r="F4581" s="96" t="s">
        <v>184</v>
      </c>
      <c r="G4581" s="96">
        <v>9010</v>
      </c>
    </row>
    <row r="4582" spans="2:7">
      <c r="B4582" s="118" t="s">
        <v>2074</v>
      </c>
      <c r="C4582" s="119">
        <v>4514</v>
      </c>
      <c r="E4582" s="96" t="s">
        <v>170</v>
      </c>
      <c r="F4582" s="96" t="s">
        <v>184</v>
      </c>
      <c r="G4582" s="96">
        <v>9012</v>
      </c>
    </row>
    <row r="4583" spans="2:7">
      <c r="B4583" s="118" t="s">
        <v>3483</v>
      </c>
      <c r="C4583" s="119">
        <v>4515</v>
      </c>
      <c r="E4583" s="96" t="s">
        <v>170</v>
      </c>
      <c r="F4583" s="96" t="s">
        <v>184</v>
      </c>
      <c r="G4583" s="96">
        <v>9015</v>
      </c>
    </row>
    <row r="4584" spans="2:7">
      <c r="B4584" s="118" t="s">
        <v>3484</v>
      </c>
      <c r="C4584" s="119">
        <v>4515</v>
      </c>
      <c r="E4584" s="96" t="s">
        <v>170</v>
      </c>
      <c r="F4584" s="96" t="s">
        <v>184</v>
      </c>
      <c r="G4584" s="96">
        <v>9000</v>
      </c>
    </row>
    <row r="4585" spans="2:7">
      <c r="B4585" s="118" t="s">
        <v>2076</v>
      </c>
      <c r="C4585" s="119">
        <v>4522</v>
      </c>
      <c r="E4585" s="96" t="s">
        <v>170</v>
      </c>
      <c r="F4585" s="96" t="s">
        <v>184</v>
      </c>
      <c r="G4585" s="96">
        <v>9011</v>
      </c>
    </row>
    <row r="4586" spans="2:7">
      <c r="B4586" s="118" t="s">
        <v>3485</v>
      </c>
      <c r="C4586" s="119">
        <v>4523</v>
      </c>
      <c r="E4586" s="96" t="s">
        <v>1621</v>
      </c>
      <c r="F4586" s="96" t="s">
        <v>184</v>
      </c>
      <c r="G4586" s="96">
        <v>8646</v>
      </c>
    </row>
    <row r="4587" spans="2:7">
      <c r="B4587" s="118" t="s">
        <v>2057</v>
      </c>
      <c r="C4587" s="119">
        <v>4533</v>
      </c>
      <c r="E4587" s="96" t="s">
        <v>1622</v>
      </c>
      <c r="F4587" s="96" t="s">
        <v>184</v>
      </c>
      <c r="G4587" s="96">
        <v>8715</v>
      </c>
    </row>
    <row r="4588" spans="2:7">
      <c r="B4588" s="118" t="s">
        <v>169</v>
      </c>
      <c r="C4588" s="119">
        <v>4500</v>
      </c>
      <c r="E4588" s="96" t="s">
        <v>1623</v>
      </c>
      <c r="F4588" s="96" t="s">
        <v>184</v>
      </c>
      <c r="G4588" s="96">
        <v>8645</v>
      </c>
    </row>
    <row r="4589" spans="2:7">
      <c r="B4589" s="118" t="s">
        <v>2076</v>
      </c>
      <c r="C4589" s="119">
        <v>4522</v>
      </c>
      <c r="E4589" s="96" t="s">
        <v>1624</v>
      </c>
      <c r="F4589" s="96" t="s">
        <v>184</v>
      </c>
      <c r="G4589" s="96">
        <v>8640</v>
      </c>
    </row>
    <row r="4590" spans="2:7">
      <c r="B4590" s="118" t="s">
        <v>3482</v>
      </c>
      <c r="C4590" s="119">
        <v>4532</v>
      </c>
      <c r="E4590" s="96" t="s">
        <v>1625</v>
      </c>
      <c r="F4590" s="96" t="s">
        <v>184</v>
      </c>
      <c r="G4590" s="96">
        <v>9512</v>
      </c>
    </row>
    <row r="4591" spans="2:7">
      <c r="B4591" s="118" t="s">
        <v>2048</v>
      </c>
      <c r="C4591" s="119">
        <v>2545</v>
      </c>
      <c r="E4591" s="96" t="s">
        <v>1626</v>
      </c>
      <c r="F4591" s="96" t="s">
        <v>184</v>
      </c>
      <c r="G4591" s="96">
        <v>9500</v>
      </c>
    </row>
    <row r="4592" spans="2:7">
      <c r="B4592" s="118" t="s">
        <v>2034</v>
      </c>
      <c r="C4592" s="119">
        <v>4512</v>
      </c>
      <c r="E4592" s="96" t="s">
        <v>1627</v>
      </c>
      <c r="F4592" s="96" t="s">
        <v>184</v>
      </c>
      <c r="G4592" s="96">
        <v>9552</v>
      </c>
    </row>
    <row r="4593" spans="2:7">
      <c r="B4593" s="118" t="s">
        <v>3445</v>
      </c>
      <c r="C4593" s="119">
        <v>4574</v>
      </c>
      <c r="E4593" s="96" t="s">
        <v>1628</v>
      </c>
      <c r="F4593" s="96" t="s">
        <v>184</v>
      </c>
      <c r="G4593" s="96">
        <v>9212</v>
      </c>
    </row>
    <row r="4594" spans="2:7">
      <c r="B4594" s="118" t="s">
        <v>2137</v>
      </c>
      <c r="C4594" s="119">
        <v>4618</v>
      </c>
      <c r="E4594" s="96" t="s">
        <v>1629</v>
      </c>
      <c r="F4594" s="96" t="s">
        <v>184</v>
      </c>
      <c r="G4594" s="96">
        <v>9200</v>
      </c>
    </row>
    <row r="4595" spans="2:7">
      <c r="B4595" s="118" t="s">
        <v>502</v>
      </c>
      <c r="C4595" s="119">
        <v>4663</v>
      </c>
      <c r="E4595" s="96" t="s">
        <v>1630</v>
      </c>
      <c r="F4595" s="96" t="s">
        <v>184</v>
      </c>
      <c r="G4595" s="96">
        <v>6978</v>
      </c>
    </row>
    <row r="4596" spans="2:7">
      <c r="B4596" s="118" t="s">
        <v>3486</v>
      </c>
      <c r="C4596" s="119">
        <v>4658</v>
      </c>
      <c r="E4596" s="96" t="s">
        <v>1631</v>
      </c>
      <c r="F4596" s="96" t="s">
        <v>184</v>
      </c>
      <c r="G4596" s="96">
        <v>6979</v>
      </c>
    </row>
    <row r="4597" spans="2:7">
      <c r="B4597" s="118" t="s">
        <v>2038</v>
      </c>
      <c r="C4597" s="119">
        <v>4657</v>
      </c>
      <c r="E4597" s="96" t="s">
        <v>1632</v>
      </c>
      <c r="F4597" s="96" t="s">
        <v>184</v>
      </c>
      <c r="G4597" s="96">
        <v>6967</v>
      </c>
    </row>
    <row r="4598" spans="2:7">
      <c r="B4598" s="118" t="s">
        <v>3487</v>
      </c>
      <c r="C4598" s="119">
        <v>5746</v>
      </c>
      <c r="E4598" s="96" t="s">
        <v>1633</v>
      </c>
      <c r="F4598" s="96" t="s">
        <v>184</v>
      </c>
      <c r="G4598" s="96">
        <v>6959</v>
      </c>
    </row>
    <row r="4599" spans="2:7">
      <c r="B4599" s="118" t="s">
        <v>3488</v>
      </c>
      <c r="C4599" s="119">
        <v>5012</v>
      </c>
      <c r="E4599" s="96" t="s">
        <v>1634</v>
      </c>
      <c r="F4599" s="96" t="s">
        <v>184</v>
      </c>
      <c r="G4599" s="96">
        <v>6915</v>
      </c>
    </row>
    <row r="4600" spans="2:7">
      <c r="B4600" s="118" t="s">
        <v>3489</v>
      </c>
      <c r="C4600" s="119">
        <v>5012</v>
      </c>
      <c r="E4600" s="96" t="s">
        <v>1635</v>
      </c>
      <c r="F4600" s="96" t="s">
        <v>184</v>
      </c>
      <c r="G4600" s="96">
        <v>6968</v>
      </c>
    </row>
    <row r="4601" spans="2:7">
      <c r="B4601" s="118" t="s">
        <v>2068</v>
      </c>
      <c r="C4601" s="119">
        <v>4629</v>
      </c>
      <c r="E4601" s="96" t="s">
        <v>1636</v>
      </c>
      <c r="F4601" s="96" t="s">
        <v>184</v>
      </c>
      <c r="G4601" s="96">
        <v>6963</v>
      </c>
    </row>
    <row r="4602" spans="2:7">
      <c r="B4602" s="118" t="s">
        <v>3486</v>
      </c>
      <c r="C4602" s="119">
        <v>4658</v>
      </c>
      <c r="E4602" s="96" t="s">
        <v>1637</v>
      </c>
      <c r="F4602" s="96" t="s">
        <v>184</v>
      </c>
      <c r="G4602" s="96">
        <v>6912</v>
      </c>
    </row>
    <row r="4603" spans="2:7">
      <c r="B4603" s="118" t="s">
        <v>2054</v>
      </c>
      <c r="C4603" s="119">
        <v>5014</v>
      </c>
      <c r="E4603" s="96" t="s">
        <v>1638</v>
      </c>
      <c r="F4603" s="96" t="s">
        <v>184</v>
      </c>
      <c r="G4603" s="96">
        <v>6976</v>
      </c>
    </row>
    <row r="4604" spans="2:7">
      <c r="B4604" s="118" t="s">
        <v>2037</v>
      </c>
      <c r="C4604" s="119">
        <v>4614</v>
      </c>
      <c r="E4604" s="96" t="s">
        <v>1639</v>
      </c>
      <c r="F4604" s="96" t="s">
        <v>184</v>
      </c>
      <c r="G4604" s="96">
        <v>6974</v>
      </c>
    </row>
    <row r="4605" spans="2:7">
      <c r="B4605" s="118" t="s">
        <v>3490</v>
      </c>
      <c r="C4605" s="119">
        <v>4616</v>
      </c>
      <c r="E4605" s="96" t="s">
        <v>1640</v>
      </c>
      <c r="F4605" s="96" t="s">
        <v>184</v>
      </c>
      <c r="G4605" s="96">
        <v>6951</v>
      </c>
    </row>
    <row r="4606" spans="2:7">
      <c r="B4606" s="118" t="s">
        <v>2072</v>
      </c>
      <c r="C4606" s="119">
        <v>4617</v>
      </c>
      <c r="E4606" s="96" t="s">
        <v>1641</v>
      </c>
      <c r="F4606" s="96" t="s">
        <v>184</v>
      </c>
      <c r="G4606" s="96">
        <v>6932</v>
      </c>
    </row>
    <row r="4607" spans="2:7">
      <c r="B4607" s="118" t="s">
        <v>1084</v>
      </c>
      <c r="C4607" s="119">
        <v>4438</v>
      </c>
      <c r="E4607" s="96" t="s">
        <v>1642</v>
      </c>
      <c r="F4607" s="96" t="s">
        <v>184</v>
      </c>
      <c r="G4607" s="96">
        <v>6951</v>
      </c>
    </row>
    <row r="4608" spans="2:7">
      <c r="B4608" s="118" t="s">
        <v>2037</v>
      </c>
      <c r="C4608" s="119">
        <v>4614</v>
      </c>
      <c r="E4608" s="96" t="s">
        <v>1644</v>
      </c>
      <c r="F4608" s="96" t="s">
        <v>184</v>
      </c>
      <c r="G4608" s="96">
        <v>6913</v>
      </c>
    </row>
    <row r="4609" spans="2:7">
      <c r="B4609" s="118" t="s">
        <v>3491</v>
      </c>
      <c r="C4609" s="119">
        <v>4615</v>
      </c>
      <c r="E4609" s="96" t="s">
        <v>1645</v>
      </c>
      <c r="F4609" s="96" t="s">
        <v>184</v>
      </c>
      <c r="G4609" s="96">
        <v>6966</v>
      </c>
    </row>
    <row r="4610" spans="2:7">
      <c r="B4610" s="118" t="s">
        <v>3490</v>
      </c>
      <c r="C4610" s="119">
        <v>4616</v>
      </c>
      <c r="E4610" s="96" t="s">
        <v>1646</v>
      </c>
      <c r="F4610" s="96" t="s">
        <v>184</v>
      </c>
      <c r="G4610" s="96">
        <v>6918</v>
      </c>
    </row>
    <row r="4611" spans="2:7">
      <c r="B4611" s="118" t="s">
        <v>2137</v>
      </c>
      <c r="C4611" s="119">
        <v>4618</v>
      </c>
      <c r="E4611" s="96" t="s">
        <v>1647</v>
      </c>
      <c r="F4611" s="96" t="s">
        <v>184</v>
      </c>
      <c r="G4611" s="96">
        <v>6959</v>
      </c>
    </row>
    <row r="4612" spans="2:7">
      <c r="B4612" s="118" t="s">
        <v>2024</v>
      </c>
      <c r="C4612" s="119">
        <v>4600</v>
      </c>
      <c r="E4612" s="96" t="s">
        <v>1648</v>
      </c>
      <c r="F4612" s="96" t="s">
        <v>184</v>
      </c>
      <c r="G4612" s="96">
        <v>6917</v>
      </c>
    </row>
    <row r="4613" spans="2:7">
      <c r="B4613" s="118" t="s">
        <v>3492</v>
      </c>
      <c r="C4613" s="119">
        <v>4612</v>
      </c>
      <c r="E4613" s="96" t="s">
        <v>1649</v>
      </c>
      <c r="F4613" s="96" t="s">
        <v>184</v>
      </c>
      <c r="G4613" s="96">
        <v>6951</v>
      </c>
    </row>
    <row r="4614" spans="2:7">
      <c r="B4614" s="118" t="s">
        <v>502</v>
      </c>
      <c r="C4614" s="119">
        <v>4663</v>
      </c>
      <c r="E4614" s="96" t="s">
        <v>1650</v>
      </c>
      <c r="F4614" s="96" t="s">
        <v>184</v>
      </c>
      <c r="G4614" s="96">
        <v>6962</v>
      </c>
    </row>
    <row r="4615" spans="2:7">
      <c r="B4615" s="118" t="s">
        <v>3493</v>
      </c>
      <c r="C4615" s="119">
        <v>4613</v>
      </c>
      <c r="E4615" s="96" t="s">
        <v>1651</v>
      </c>
      <c r="F4615" s="96" t="s">
        <v>184</v>
      </c>
      <c r="G4615" s="96">
        <v>6959</v>
      </c>
    </row>
    <row r="4616" spans="2:7">
      <c r="B4616" s="118" t="s">
        <v>2040</v>
      </c>
      <c r="C4616" s="119">
        <v>5012</v>
      </c>
      <c r="E4616" s="96" t="s">
        <v>1652</v>
      </c>
      <c r="F4616" s="96" t="s">
        <v>184</v>
      </c>
      <c r="G4616" s="96">
        <v>6977</v>
      </c>
    </row>
    <row r="4617" spans="2:7">
      <c r="B4617" s="118" t="s">
        <v>2024</v>
      </c>
      <c r="C4617" s="119">
        <v>4600</v>
      </c>
      <c r="E4617" s="96" t="s">
        <v>1429</v>
      </c>
      <c r="F4617" s="96" t="s">
        <v>184</v>
      </c>
      <c r="G4617" s="96">
        <v>6900</v>
      </c>
    </row>
    <row r="4618" spans="2:7">
      <c r="B4618" s="118" t="s">
        <v>2071</v>
      </c>
      <c r="C4618" s="119">
        <v>4656</v>
      </c>
      <c r="E4618" s="96" t="s">
        <v>1653</v>
      </c>
      <c r="F4618" s="96" t="s">
        <v>184</v>
      </c>
      <c r="G4618" s="96">
        <v>6951</v>
      </c>
    </row>
    <row r="4619" spans="2:7">
      <c r="B4619" s="118" t="s">
        <v>2038</v>
      </c>
      <c r="C4619" s="119">
        <v>4657</v>
      </c>
      <c r="E4619" s="96" t="s">
        <v>1654</v>
      </c>
      <c r="F4619" s="96" t="s">
        <v>184</v>
      </c>
      <c r="G4619" s="96">
        <v>6964</v>
      </c>
    </row>
    <row r="4620" spans="2:7">
      <c r="B4620" s="118" t="s">
        <v>3487</v>
      </c>
      <c r="C4620" s="119">
        <v>5746</v>
      </c>
      <c r="E4620" s="96" t="s">
        <v>1655</v>
      </c>
      <c r="F4620" s="96" t="s">
        <v>184</v>
      </c>
      <c r="G4620" s="96">
        <v>6951</v>
      </c>
    </row>
    <row r="4621" spans="2:7">
      <c r="B4621" s="118" t="s">
        <v>3492</v>
      </c>
      <c r="C4621" s="119">
        <v>4612</v>
      </c>
      <c r="E4621" s="96" t="s">
        <v>1656</v>
      </c>
      <c r="F4621" s="96" t="s">
        <v>184</v>
      </c>
      <c r="G4621" s="96">
        <v>6963</v>
      </c>
    </row>
    <row r="4622" spans="2:7">
      <c r="B4622" s="118" t="s">
        <v>2030</v>
      </c>
      <c r="C4622" s="119">
        <v>4632</v>
      </c>
      <c r="E4622" s="96" t="s">
        <v>1657</v>
      </c>
      <c r="F4622" s="96" t="s">
        <v>184</v>
      </c>
      <c r="G4622" s="96">
        <v>6951</v>
      </c>
    </row>
    <row r="4623" spans="2:7">
      <c r="B4623" s="118" t="s">
        <v>169</v>
      </c>
      <c r="C4623" s="119">
        <v>4500</v>
      </c>
      <c r="E4623" s="96" t="s">
        <v>1658</v>
      </c>
      <c r="F4623" s="96" t="s">
        <v>184</v>
      </c>
      <c r="G4623" s="96">
        <v>6959</v>
      </c>
    </row>
    <row r="4624" spans="2:7">
      <c r="B4624" s="118" t="s">
        <v>2134</v>
      </c>
      <c r="C4624" s="119">
        <v>4252</v>
      </c>
      <c r="E4624" s="96" t="s">
        <v>1659</v>
      </c>
      <c r="F4624" s="96" t="s">
        <v>184</v>
      </c>
      <c r="G4624" s="96">
        <v>6959</v>
      </c>
    </row>
    <row r="4625" spans="2:7">
      <c r="B4625" s="118" t="s">
        <v>1079</v>
      </c>
      <c r="C4625" s="119">
        <v>4253</v>
      </c>
      <c r="E4625" s="96" t="s">
        <v>1660</v>
      </c>
      <c r="F4625" s="96" t="s">
        <v>184</v>
      </c>
      <c r="G4625" s="96">
        <v>6965</v>
      </c>
    </row>
    <row r="4626" spans="2:7">
      <c r="B4626" s="118" t="s">
        <v>2600</v>
      </c>
      <c r="C4626" s="119">
        <v>2827</v>
      </c>
      <c r="E4626" s="96" t="s">
        <v>1661</v>
      </c>
      <c r="F4626" s="96" t="s">
        <v>184</v>
      </c>
      <c r="G4626" s="96">
        <v>6914</v>
      </c>
    </row>
    <row r="4627" spans="2:7">
      <c r="B4627" s="118" t="s">
        <v>3439</v>
      </c>
      <c r="C4627" s="119">
        <v>4229</v>
      </c>
      <c r="E4627" s="96" t="s">
        <v>1430</v>
      </c>
      <c r="F4627" s="96" t="s">
        <v>184</v>
      </c>
      <c r="G4627" s="96">
        <v>6503</v>
      </c>
    </row>
    <row r="4628" spans="2:7">
      <c r="B4628" s="118" t="s">
        <v>3438</v>
      </c>
      <c r="C4628" s="119">
        <v>4719</v>
      </c>
      <c r="E4628" s="96" t="s">
        <v>1662</v>
      </c>
      <c r="F4628" s="96" t="s">
        <v>184</v>
      </c>
      <c r="G4628" s="96">
        <v>6514</v>
      </c>
    </row>
    <row r="4629" spans="2:7">
      <c r="B4629" s="118" t="s">
        <v>2043</v>
      </c>
      <c r="C4629" s="119">
        <v>4226</v>
      </c>
      <c r="E4629" s="96" t="s">
        <v>1663</v>
      </c>
      <c r="F4629" s="96" t="s">
        <v>184</v>
      </c>
      <c r="G4629" s="96">
        <v>6583</v>
      </c>
    </row>
    <row r="4630" spans="2:7">
      <c r="B4630" s="118" t="s">
        <v>2152</v>
      </c>
      <c r="C4630" s="119">
        <v>4232</v>
      </c>
      <c r="E4630" s="96" t="s">
        <v>1664</v>
      </c>
      <c r="F4630" s="96" t="s">
        <v>184</v>
      </c>
      <c r="G4630" s="96">
        <v>6702</v>
      </c>
    </row>
    <row r="4631" spans="2:7">
      <c r="B4631" s="118" t="s">
        <v>2058</v>
      </c>
      <c r="C4631" s="119">
        <v>4227</v>
      </c>
      <c r="E4631" s="96" t="s">
        <v>1665</v>
      </c>
      <c r="F4631" s="96" t="s">
        <v>184</v>
      </c>
      <c r="G4631" s="96">
        <v>6513</v>
      </c>
    </row>
    <row r="4632" spans="2:7">
      <c r="B4632" s="118" t="s">
        <v>2123</v>
      </c>
      <c r="C4632" s="119">
        <v>4228</v>
      </c>
      <c r="E4632" s="96" t="s">
        <v>1666</v>
      </c>
      <c r="F4632" s="96" t="s">
        <v>184</v>
      </c>
      <c r="G4632" s="96">
        <v>6515</v>
      </c>
    </row>
    <row r="4633" spans="2:7">
      <c r="B4633" s="118" t="s">
        <v>2149</v>
      </c>
      <c r="C4633" s="119">
        <v>4233</v>
      </c>
      <c r="E4633" s="96" t="s">
        <v>1667</v>
      </c>
      <c r="F4633" s="96" t="s">
        <v>184</v>
      </c>
      <c r="G4633" s="96">
        <v>6582</v>
      </c>
    </row>
    <row r="4634" spans="2:7">
      <c r="B4634" s="118" t="s">
        <v>2152</v>
      </c>
      <c r="C4634" s="119">
        <v>4232</v>
      </c>
      <c r="E4634" s="96" t="s">
        <v>1668</v>
      </c>
      <c r="F4634" s="96" t="s">
        <v>184</v>
      </c>
      <c r="G4634" s="96">
        <v>6518</v>
      </c>
    </row>
    <row r="4635" spans="2:7">
      <c r="B4635" s="118" t="s">
        <v>2160</v>
      </c>
      <c r="C4635" s="119">
        <v>4247</v>
      </c>
      <c r="E4635" s="96" t="s">
        <v>1669</v>
      </c>
      <c r="F4635" s="96" t="s">
        <v>184</v>
      </c>
      <c r="G4635" s="96">
        <v>6525</v>
      </c>
    </row>
    <row r="4636" spans="2:7">
      <c r="B4636" s="118" t="s">
        <v>2121</v>
      </c>
      <c r="C4636" s="119">
        <v>4204</v>
      </c>
      <c r="E4636" s="96" t="s">
        <v>1670</v>
      </c>
      <c r="F4636" s="96" t="s">
        <v>184</v>
      </c>
      <c r="G4636" s="96">
        <v>6524</v>
      </c>
    </row>
    <row r="4637" spans="2:7">
      <c r="B4637" s="118" t="s">
        <v>3468</v>
      </c>
      <c r="C4637" s="119">
        <v>4206</v>
      </c>
      <c r="E4637" s="96" t="s">
        <v>163</v>
      </c>
      <c r="F4637" s="96" t="s">
        <v>184</v>
      </c>
      <c r="G4637" s="96">
        <v>1204</v>
      </c>
    </row>
    <row r="4638" spans="2:7">
      <c r="B4638" s="118" t="s">
        <v>1115</v>
      </c>
      <c r="C4638" s="119">
        <v>2814</v>
      </c>
    </row>
    <row r="4639" spans="2:7">
      <c r="B4639" s="118" t="s">
        <v>2089</v>
      </c>
      <c r="C4639" s="119">
        <v>4245</v>
      </c>
    </row>
    <row r="4640" spans="2:7">
      <c r="B4640" s="118" t="s">
        <v>3439</v>
      </c>
      <c r="C4640" s="119">
        <v>4229</v>
      </c>
    </row>
    <row r="4641" spans="2:3">
      <c r="B4641" s="118" t="s">
        <v>2149</v>
      </c>
      <c r="C4641" s="119">
        <v>4233</v>
      </c>
    </row>
    <row r="4642" spans="2:3">
      <c r="B4642" s="118" t="s">
        <v>2121</v>
      </c>
      <c r="C4642" s="119">
        <v>4204</v>
      </c>
    </row>
    <row r="4643" spans="2:3">
      <c r="B4643" s="118" t="s">
        <v>2065</v>
      </c>
      <c r="C4643" s="119">
        <v>4208</v>
      </c>
    </row>
    <row r="4644" spans="2:3">
      <c r="B4644" s="118" t="s">
        <v>2149</v>
      </c>
      <c r="C4644" s="119">
        <v>4233</v>
      </c>
    </row>
    <row r="4645" spans="2:3">
      <c r="B4645" s="118" t="s">
        <v>2147</v>
      </c>
      <c r="C4645" s="119">
        <v>4234</v>
      </c>
    </row>
    <row r="4646" spans="2:3">
      <c r="B4646" s="118" t="s">
        <v>1121</v>
      </c>
      <c r="C4646" s="119">
        <v>4001</v>
      </c>
    </row>
    <row r="4647" spans="2:3">
      <c r="B4647" s="118" t="s">
        <v>1121</v>
      </c>
      <c r="C4647" s="119">
        <v>4031</v>
      </c>
    </row>
    <row r="4648" spans="2:3">
      <c r="B4648" s="118" t="s">
        <v>1121</v>
      </c>
      <c r="C4648" s="119">
        <v>4031</v>
      </c>
    </row>
    <row r="4649" spans="2:3">
      <c r="B4649" s="118" t="s">
        <v>1121</v>
      </c>
      <c r="C4649" s="119">
        <v>4051</v>
      </c>
    </row>
    <row r="4650" spans="2:3">
      <c r="B4650" s="118" t="s">
        <v>1121</v>
      </c>
      <c r="C4650" s="119">
        <v>4052</v>
      </c>
    </row>
    <row r="4651" spans="2:3">
      <c r="B4651" s="118" t="s">
        <v>1121</v>
      </c>
      <c r="C4651" s="119">
        <v>4052</v>
      </c>
    </row>
    <row r="4652" spans="2:3">
      <c r="B4652" s="118" t="s">
        <v>1121</v>
      </c>
      <c r="C4652" s="119">
        <v>4053</v>
      </c>
    </row>
    <row r="4653" spans="2:3">
      <c r="B4653" s="118" t="s">
        <v>1121</v>
      </c>
      <c r="C4653" s="119">
        <v>4054</v>
      </c>
    </row>
    <row r="4654" spans="2:3">
      <c r="B4654" s="118" t="s">
        <v>1121</v>
      </c>
      <c r="C4654" s="119">
        <v>4055</v>
      </c>
    </row>
    <row r="4655" spans="2:3">
      <c r="B4655" s="118" t="s">
        <v>1121</v>
      </c>
      <c r="C4655" s="119">
        <v>4056</v>
      </c>
    </row>
    <row r="4656" spans="2:3">
      <c r="B4656" s="118" t="s">
        <v>1121</v>
      </c>
      <c r="C4656" s="119">
        <v>4057</v>
      </c>
    </row>
    <row r="4657" spans="2:3">
      <c r="B4657" s="118" t="s">
        <v>1121</v>
      </c>
      <c r="C4657" s="119">
        <v>4058</v>
      </c>
    </row>
    <row r="4658" spans="2:3">
      <c r="B4658" s="118" t="s">
        <v>1121</v>
      </c>
      <c r="C4658" s="119">
        <v>4059</v>
      </c>
    </row>
    <row r="4659" spans="2:3">
      <c r="B4659" s="118" t="s">
        <v>1123</v>
      </c>
      <c r="C4659" s="119">
        <v>4126</v>
      </c>
    </row>
    <row r="4660" spans="2:3">
      <c r="B4660" s="118" t="s">
        <v>1121</v>
      </c>
      <c r="C4660" s="119">
        <v>4058</v>
      </c>
    </row>
    <row r="4661" spans="2:3">
      <c r="B4661" s="118" t="s">
        <v>1122</v>
      </c>
      <c r="C4661" s="119">
        <v>4125</v>
      </c>
    </row>
    <row r="4662" spans="2:3">
      <c r="B4662" s="118" t="s">
        <v>3494</v>
      </c>
      <c r="C4662" s="119">
        <v>4147</v>
      </c>
    </row>
    <row r="4663" spans="2:3">
      <c r="B4663" s="118" t="s">
        <v>3495</v>
      </c>
      <c r="C4663" s="119">
        <v>4153</v>
      </c>
    </row>
    <row r="4664" spans="2:3">
      <c r="B4664" s="118" t="s">
        <v>1072</v>
      </c>
      <c r="C4664" s="119">
        <v>4202</v>
      </c>
    </row>
    <row r="4665" spans="2:3">
      <c r="B4665" s="118" t="s">
        <v>1034</v>
      </c>
      <c r="C4665" s="119">
        <v>4123</v>
      </c>
    </row>
    <row r="4666" spans="2:3">
      <c r="B4666" s="118" t="s">
        <v>1046</v>
      </c>
      <c r="C4666" s="119">
        <v>4144</v>
      </c>
    </row>
    <row r="4667" spans="2:3">
      <c r="B4667" s="118" t="s">
        <v>3460</v>
      </c>
      <c r="C4667" s="119">
        <v>4105</v>
      </c>
    </row>
    <row r="4668" spans="2:3">
      <c r="B4668" s="118" t="s">
        <v>1121</v>
      </c>
      <c r="C4668" s="119">
        <v>4053</v>
      </c>
    </row>
    <row r="4669" spans="2:3">
      <c r="B4669" s="118" t="s">
        <v>3496</v>
      </c>
      <c r="C4669" s="119">
        <v>4101</v>
      </c>
    </row>
    <row r="4670" spans="2:3">
      <c r="B4670" s="118" t="s">
        <v>1039</v>
      </c>
      <c r="C4670" s="119">
        <v>4102</v>
      </c>
    </row>
    <row r="4671" spans="2:3">
      <c r="B4671" s="118" t="s">
        <v>1043</v>
      </c>
      <c r="C4671" s="119">
        <v>4127</v>
      </c>
    </row>
    <row r="4672" spans="2:3">
      <c r="B4672" s="118" t="s">
        <v>3496</v>
      </c>
      <c r="C4672" s="119">
        <v>4101</v>
      </c>
    </row>
    <row r="4673" spans="2:3">
      <c r="B4673" s="118" t="s">
        <v>1039</v>
      </c>
      <c r="C4673" s="119">
        <v>4102</v>
      </c>
    </row>
    <row r="4674" spans="2:3">
      <c r="B4674" s="118" t="s">
        <v>1048</v>
      </c>
      <c r="C4674" s="119">
        <v>4103</v>
      </c>
    </row>
    <row r="4675" spans="2:3">
      <c r="B4675" s="118" t="s">
        <v>1052</v>
      </c>
      <c r="C4675" s="119">
        <v>4107</v>
      </c>
    </row>
    <row r="4676" spans="2:3">
      <c r="B4676" s="118" t="s">
        <v>1121</v>
      </c>
      <c r="C4676" s="119">
        <v>4052</v>
      </c>
    </row>
    <row r="4677" spans="2:3">
      <c r="B4677" s="118" t="s">
        <v>1041</v>
      </c>
      <c r="C4677" s="119">
        <v>4142</v>
      </c>
    </row>
    <row r="4678" spans="2:3">
      <c r="B4678" s="118" t="s">
        <v>3495</v>
      </c>
      <c r="C4678" s="119">
        <v>4153</v>
      </c>
    </row>
    <row r="4679" spans="2:3">
      <c r="B4679" s="118" t="s">
        <v>1043</v>
      </c>
      <c r="C4679" s="119">
        <v>4127</v>
      </c>
    </row>
    <row r="4680" spans="2:3">
      <c r="B4680" s="118" t="s">
        <v>1037</v>
      </c>
      <c r="C4680" s="119">
        <v>4132</v>
      </c>
    </row>
    <row r="4681" spans="2:3">
      <c r="B4681" s="118" t="s">
        <v>1038</v>
      </c>
      <c r="C4681" s="119">
        <v>4133</v>
      </c>
    </row>
    <row r="4682" spans="2:3">
      <c r="B4682" s="118" t="s">
        <v>1041</v>
      </c>
      <c r="C4682" s="119">
        <v>4142</v>
      </c>
    </row>
    <row r="4683" spans="2:3">
      <c r="B4683" s="118" t="s">
        <v>3497</v>
      </c>
      <c r="C4683" s="119">
        <v>4104</v>
      </c>
    </row>
    <row r="4684" spans="2:3">
      <c r="B4684" s="118" t="s">
        <v>3494</v>
      </c>
      <c r="C4684" s="119">
        <v>4147</v>
      </c>
    </row>
    <row r="4685" spans="2:3">
      <c r="B4685" s="118" t="s">
        <v>1060</v>
      </c>
      <c r="C4685" s="119">
        <v>4148</v>
      </c>
    </row>
    <row r="4686" spans="2:3">
      <c r="B4686" s="118" t="s">
        <v>1046</v>
      </c>
      <c r="C4686" s="119">
        <v>4144</v>
      </c>
    </row>
    <row r="4687" spans="2:3">
      <c r="B4687" s="118" t="s">
        <v>3495</v>
      </c>
      <c r="C4687" s="119">
        <v>4153</v>
      </c>
    </row>
    <row r="4688" spans="2:3">
      <c r="B4688" s="118" t="s">
        <v>1076</v>
      </c>
      <c r="C4688" s="119">
        <v>4124</v>
      </c>
    </row>
    <row r="4689" spans="2:3">
      <c r="B4689" s="118" t="s">
        <v>1045</v>
      </c>
      <c r="C4689" s="119">
        <v>4106</v>
      </c>
    </row>
    <row r="4690" spans="2:3">
      <c r="B4690" s="118" t="s">
        <v>3495</v>
      </c>
      <c r="C4690" s="119">
        <v>4153</v>
      </c>
    </row>
    <row r="4691" spans="2:3">
      <c r="B4691" s="118" t="s">
        <v>1097</v>
      </c>
      <c r="C4691" s="119">
        <v>4223</v>
      </c>
    </row>
    <row r="4692" spans="2:3">
      <c r="B4692" s="118" t="s">
        <v>1068</v>
      </c>
      <c r="C4692" s="119">
        <v>4225</v>
      </c>
    </row>
    <row r="4693" spans="2:3">
      <c r="B4693" s="118" t="s">
        <v>1051</v>
      </c>
      <c r="C4693" s="119">
        <v>4242</v>
      </c>
    </row>
    <row r="4694" spans="2:3">
      <c r="B4694" s="118" t="s">
        <v>1116</v>
      </c>
      <c r="C4694" s="119">
        <v>4117</v>
      </c>
    </row>
    <row r="4695" spans="2:3">
      <c r="B4695" s="118" t="s">
        <v>1094</v>
      </c>
      <c r="C4695" s="119">
        <v>4243</v>
      </c>
    </row>
    <row r="4696" spans="2:3">
      <c r="B4696" s="118" t="s">
        <v>1072</v>
      </c>
      <c r="C4696" s="119">
        <v>4202</v>
      </c>
    </row>
    <row r="4697" spans="2:3">
      <c r="B4697" s="118" t="s">
        <v>1065</v>
      </c>
      <c r="C4697" s="119">
        <v>4203</v>
      </c>
    </row>
    <row r="4698" spans="2:3">
      <c r="B4698" s="118" t="s">
        <v>1051</v>
      </c>
      <c r="C4698" s="119">
        <v>4242</v>
      </c>
    </row>
    <row r="4699" spans="2:3">
      <c r="B4699" s="118" t="s">
        <v>3498</v>
      </c>
      <c r="C4699" s="119">
        <v>4246</v>
      </c>
    </row>
    <row r="4700" spans="2:3">
      <c r="B4700" s="118" t="s">
        <v>2134</v>
      </c>
      <c r="C4700" s="119">
        <v>4252</v>
      </c>
    </row>
    <row r="4701" spans="2:3">
      <c r="B4701" s="118" t="s">
        <v>1079</v>
      </c>
      <c r="C4701" s="119">
        <v>4253</v>
      </c>
    </row>
    <row r="4702" spans="2:3">
      <c r="B4702" s="118" t="s">
        <v>3499</v>
      </c>
      <c r="C4702" s="119">
        <v>4254</v>
      </c>
    </row>
    <row r="4703" spans="2:3">
      <c r="B4703" s="118" t="s">
        <v>1109</v>
      </c>
      <c r="C4703" s="119">
        <v>4224</v>
      </c>
    </row>
    <row r="4704" spans="2:3">
      <c r="B4704" s="118" t="s">
        <v>1115</v>
      </c>
      <c r="C4704" s="119">
        <v>2814</v>
      </c>
    </row>
    <row r="4705" spans="2:3">
      <c r="B4705" s="118" t="s">
        <v>2089</v>
      </c>
      <c r="C4705" s="119">
        <v>4245</v>
      </c>
    </row>
    <row r="4706" spans="2:3">
      <c r="B4706" s="118" t="s">
        <v>1064</v>
      </c>
      <c r="C4706" s="119">
        <v>4244</v>
      </c>
    </row>
    <row r="4707" spans="2:3">
      <c r="B4707" s="118" t="s">
        <v>3498</v>
      </c>
      <c r="C4707" s="119">
        <v>4246</v>
      </c>
    </row>
    <row r="4708" spans="2:3">
      <c r="B4708" s="118" t="s">
        <v>1061</v>
      </c>
      <c r="C4708" s="119">
        <v>4222</v>
      </c>
    </row>
    <row r="4709" spans="2:3">
      <c r="B4709" s="118" t="s">
        <v>1051</v>
      </c>
      <c r="C4709" s="119">
        <v>4242</v>
      </c>
    </row>
    <row r="4710" spans="2:3">
      <c r="B4710" s="118" t="s">
        <v>686</v>
      </c>
      <c r="C4710" s="119">
        <v>4305</v>
      </c>
    </row>
    <row r="4711" spans="2:3">
      <c r="B4711" s="118" t="s">
        <v>1069</v>
      </c>
      <c r="C4711" s="119">
        <v>4422</v>
      </c>
    </row>
    <row r="4712" spans="2:3">
      <c r="B4712" s="118" t="s">
        <v>1038</v>
      </c>
      <c r="C4712" s="119">
        <v>4133</v>
      </c>
    </row>
    <row r="4713" spans="2:3">
      <c r="B4713" s="118" t="s">
        <v>3500</v>
      </c>
      <c r="C4713" s="119">
        <v>4302</v>
      </c>
    </row>
    <row r="4714" spans="2:3">
      <c r="B4714" s="118" t="s">
        <v>513</v>
      </c>
      <c r="C4714" s="119">
        <v>4303</v>
      </c>
    </row>
    <row r="4715" spans="2:3">
      <c r="B4715" s="118" t="s">
        <v>1040</v>
      </c>
      <c r="C4715" s="119">
        <v>4410</v>
      </c>
    </row>
    <row r="4716" spans="2:3">
      <c r="B4716" s="118" t="s">
        <v>1055</v>
      </c>
      <c r="C4716" s="119">
        <v>4416</v>
      </c>
    </row>
    <row r="4717" spans="2:3">
      <c r="B4717" s="118" t="s">
        <v>1038</v>
      </c>
      <c r="C4717" s="119">
        <v>4133</v>
      </c>
    </row>
    <row r="4718" spans="2:3">
      <c r="B4718" s="118" t="s">
        <v>1049</v>
      </c>
      <c r="C4718" s="119">
        <v>4402</v>
      </c>
    </row>
    <row r="4719" spans="2:3">
      <c r="B4719" s="118" t="s">
        <v>1054</v>
      </c>
      <c r="C4719" s="119">
        <v>4414</v>
      </c>
    </row>
    <row r="4720" spans="2:3">
      <c r="B4720" s="118" t="s">
        <v>513</v>
      </c>
      <c r="C4720" s="119">
        <v>4303</v>
      </c>
    </row>
    <row r="4721" spans="2:3">
      <c r="B4721" s="118" t="s">
        <v>1082</v>
      </c>
      <c r="C4721" s="119">
        <v>4304</v>
      </c>
    </row>
    <row r="4722" spans="2:3">
      <c r="B4722" s="118" t="s">
        <v>1113</v>
      </c>
      <c r="C4722" s="119">
        <v>4423</v>
      </c>
    </row>
    <row r="4723" spans="2:3">
      <c r="B4723" s="118" t="s">
        <v>1053</v>
      </c>
      <c r="C4723" s="119">
        <v>4415</v>
      </c>
    </row>
    <row r="4724" spans="2:3">
      <c r="B4724" s="118" t="s">
        <v>1040</v>
      </c>
      <c r="C4724" s="119">
        <v>4410</v>
      </c>
    </row>
    <row r="4725" spans="2:3">
      <c r="B4725" s="118" t="s">
        <v>1053</v>
      </c>
      <c r="C4725" s="119">
        <v>4415</v>
      </c>
    </row>
    <row r="4726" spans="2:3">
      <c r="B4726" s="118" t="s">
        <v>1069</v>
      </c>
      <c r="C4726" s="119">
        <v>4422</v>
      </c>
    </row>
    <row r="4727" spans="2:3">
      <c r="B4727" s="118" t="s">
        <v>1073</v>
      </c>
      <c r="C4727" s="119">
        <v>4419</v>
      </c>
    </row>
    <row r="4728" spans="2:3">
      <c r="B4728" s="118" t="s">
        <v>1038</v>
      </c>
      <c r="C4728" s="119">
        <v>4133</v>
      </c>
    </row>
    <row r="4729" spans="2:3">
      <c r="B4729" s="118" t="s">
        <v>3500</v>
      </c>
      <c r="C4729" s="119">
        <v>4302</v>
      </c>
    </row>
    <row r="4730" spans="2:3">
      <c r="B4730" s="118" t="s">
        <v>1049</v>
      </c>
      <c r="C4730" s="119">
        <v>4402</v>
      </c>
    </row>
    <row r="4731" spans="2:3">
      <c r="B4731" s="118" t="s">
        <v>1092</v>
      </c>
      <c r="C4731" s="119">
        <v>4433</v>
      </c>
    </row>
    <row r="4732" spans="2:3">
      <c r="B4732" s="118" t="s">
        <v>1078</v>
      </c>
      <c r="C4732" s="119">
        <v>4411</v>
      </c>
    </row>
    <row r="4733" spans="2:3">
      <c r="B4733" s="118" t="s">
        <v>3466</v>
      </c>
      <c r="C4733" s="119">
        <v>4412</v>
      </c>
    </row>
    <row r="4734" spans="2:3">
      <c r="B4734" s="118" t="s">
        <v>1071</v>
      </c>
      <c r="C4734" s="119">
        <v>4417</v>
      </c>
    </row>
    <row r="4735" spans="2:3">
      <c r="B4735" s="118" t="s">
        <v>1101</v>
      </c>
      <c r="C4735" s="119">
        <v>4469</v>
      </c>
    </row>
    <row r="4736" spans="2:3">
      <c r="B4736" s="118" t="s">
        <v>1047</v>
      </c>
      <c r="C4736" s="119">
        <v>4450</v>
      </c>
    </row>
    <row r="4737" spans="2:3">
      <c r="B4737" s="118" t="s">
        <v>1088</v>
      </c>
      <c r="C4737" s="119">
        <v>4461</v>
      </c>
    </row>
    <row r="4738" spans="2:3">
      <c r="B4738" s="118" t="s">
        <v>1111</v>
      </c>
      <c r="C4738" s="119">
        <v>4444</v>
      </c>
    </row>
    <row r="4739" spans="2:3">
      <c r="B4739" s="118" t="s">
        <v>1114</v>
      </c>
      <c r="C4739" s="119">
        <v>4445</v>
      </c>
    </row>
    <row r="4740" spans="2:3">
      <c r="B4740" s="118" t="s">
        <v>1096</v>
      </c>
      <c r="C4740" s="119">
        <v>4446</v>
      </c>
    </row>
    <row r="4741" spans="2:3">
      <c r="B4741" s="118" t="s">
        <v>1104</v>
      </c>
      <c r="C4741" s="119">
        <v>4447</v>
      </c>
    </row>
    <row r="4742" spans="2:3">
      <c r="B4742" s="118" t="s">
        <v>3501</v>
      </c>
      <c r="C4742" s="119">
        <v>4462</v>
      </c>
    </row>
    <row r="4743" spans="2:3">
      <c r="B4743" s="118" t="s">
        <v>1081</v>
      </c>
      <c r="C4743" s="119">
        <v>4463</v>
      </c>
    </row>
    <row r="4744" spans="2:3">
      <c r="B4744" s="118" t="s">
        <v>1093</v>
      </c>
      <c r="C4744" s="119">
        <v>4442</v>
      </c>
    </row>
    <row r="4745" spans="2:3">
      <c r="B4745" s="118" t="s">
        <v>1111</v>
      </c>
      <c r="C4745" s="119">
        <v>4444</v>
      </c>
    </row>
    <row r="4746" spans="2:3">
      <c r="B4746" s="118" t="s">
        <v>1050</v>
      </c>
      <c r="C4746" s="119">
        <v>4460</v>
      </c>
    </row>
    <row r="4747" spans="2:3">
      <c r="B4747" s="118" t="s">
        <v>1114</v>
      </c>
      <c r="C4747" s="119">
        <v>4445</v>
      </c>
    </row>
    <row r="4748" spans="2:3">
      <c r="B4748" s="118" t="s">
        <v>1077</v>
      </c>
      <c r="C4748" s="119">
        <v>4448</v>
      </c>
    </row>
    <row r="4749" spans="2:3">
      <c r="B4749" s="118" t="s">
        <v>665</v>
      </c>
      <c r="C4749" s="119">
        <v>4316</v>
      </c>
    </row>
    <row r="4750" spans="2:3">
      <c r="B4750" s="118" t="s">
        <v>1118</v>
      </c>
      <c r="C4750" s="119">
        <v>4465</v>
      </c>
    </row>
    <row r="4751" spans="2:3">
      <c r="B4751" s="118" t="s">
        <v>1062</v>
      </c>
      <c r="C4751" s="119">
        <v>4466</v>
      </c>
    </row>
    <row r="4752" spans="2:3">
      <c r="B4752" s="118" t="s">
        <v>1047</v>
      </c>
      <c r="C4752" s="119">
        <v>4450</v>
      </c>
    </row>
    <row r="4753" spans="2:3">
      <c r="B4753" s="118" t="s">
        <v>1063</v>
      </c>
      <c r="C4753" s="119">
        <v>4452</v>
      </c>
    </row>
    <row r="4754" spans="2:3">
      <c r="B4754" s="118" t="s">
        <v>1104</v>
      </c>
      <c r="C4754" s="119">
        <v>4447</v>
      </c>
    </row>
    <row r="4755" spans="2:3">
      <c r="B4755" s="118" t="s">
        <v>1095</v>
      </c>
      <c r="C4755" s="119">
        <v>4493</v>
      </c>
    </row>
    <row r="4756" spans="2:3">
      <c r="B4756" s="118" t="s">
        <v>3502</v>
      </c>
      <c r="C4756" s="119">
        <v>4496</v>
      </c>
    </row>
    <row r="4757" spans="2:3">
      <c r="B4757" s="118" t="s">
        <v>1096</v>
      </c>
      <c r="C4757" s="119">
        <v>4446</v>
      </c>
    </row>
    <row r="4758" spans="2:3">
      <c r="B4758" s="118" t="s">
        <v>1077</v>
      </c>
      <c r="C4758" s="119">
        <v>4448</v>
      </c>
    </row>
    <row r="4759" spans="2:3">
      <c r="B4759" s="118" t="s">
        <v>1103</v>
      </c>
      <c r="C4759" s="119">
        <v>4458</v>
      </c>
    </row>
    <row r="4760" spans="2:3">
      <c r="B4760" s="118" t="s">
        <v>3470</v>
      </c>
      <c r="C4760" s="119">
        <v>4634</v>
      </c>
    </row>
    <row r="4761" spans="2:3">
      <c r="B4761" s="118" t="s">
        <v>1099</v>
      </c>
      <c r="C4761" s="119">
        <v>4451</v>
      </c>
    </row>
    <row r="4762" spans="2:3">
      <c r="B4762" s="118" t="s">
        <v>1085</v>
      </c>
      <c r="C4762" s="119">
        <v>4464</v>
      </c>
    </row>
    <row r="4763" spans="2:3">
      <c r="B4763" s="118" t="s">
        <v>1117</v>
      </c>
      <c r="C4763" s="119">
        <v>4453</v>
      </c>
    </row>
    <row r="4764" spans="2:3">
      <c r="B4764" s="118" t="s">
        <v>1107</v>
      </c>
      <c r="C4764" s="119">
        <v>4494</v>
      </c>
    </row>
    <row r="4765" spans="2:3">
      <c r="B4765" s="118" t="s">
        <v>1050</v>
      </c>
      <c r="C4765" s="119">
        <v>4460</v>
      </c>
    </row>
    <row r="4766" spans="2:3">
      <c r="B4766" s="118" t="s">
        <v>1118</v>
      </c>
      <c r="C4766" s="119">
        <v>4465</v>
      </c>
    </row>
    <row r="4767" spans="2:3">
      <c r="B4767" s="118" t="s">
        <v>1062</v>
      </c>
      <c r="C4767" s="119">
        <v>4466</v>
      </c>
    </row>
    <row r="4768" spans="2:3">
      <c r="B4768" s="118" t="s">
        <v>3501</v>
      </c>
      <c r="C4768" s="119">
        <v>4462</v>
      </c>
    </row>
    <row r="4769" spans="2:3">
      <c r="B4769" s="118" t="s">
        <v>1089</v>
      </c>
      <c r="C4769" s="119">
        <v>4467</v>
      </c>
    </row>
    <row r="4770" spans="2:3">
      <c r="B4770" s="118" t="s">
        <v>1111</v>
      </c>
      <c r="C4770" s="119">
        <v>4444</v>
      </c>
    </row>
    <row r="4771" spans="2:3">
      <c r="B4771" s="118" t="s">
        <v>1114</v>
      </c>
      <c r="C4771" s="119">
        <v>4445</v>
      </c>
    </row>
    <row r="4772" spans="2:3">
      <c r="B4772" s="118" t="s">
        <v>1091</v>
      </c>
      <c r="C4772" s="119">
        <v>4497</v>
      </c>
    </row>
    <row r="4773" spans="2:3">
      <c r="B4773" s="118" t="s">
        <v>1047</v>
      </c>
      <c r="C4773" s="119">
        <v>4450</v>
      </c>
    </row>
    <row r="4774" spans="2:3">
      <c r="B4774" s="118" t="s">
        <v>1087</v>
      </c>
      <c r="C4774" s="119">
        <v>4492</v>
      </c>
    </row>
    <row r="4775" spans="2:3">
      <c r="B4775" s="118" t="s">
        <v>1108</v>
      </c>
      <c r="C4775" s="119">
        <v>4443</v>
      </c>
    </row>
    <row r="4776" spans="2:3">
      <c r="B4776" s="118" t="s">
        <v>1086</v>
      </c>
      <c r="C4776" s="119">
        <v>4456</v>
      </c>
    </row>
    <row r="4777" spans="2:3">
      <c r="B4777" s="118" t="s">
        <v>1075</v>
      </c>
      <c r="C4777" s="119">
        <v>4441</v>
      </c>
    </row>
    <row r="4778" spans="2:3">
      <c r="B4778" s="118" t="s">
        <v>1047</v>
      </c>
      <c r="C4778" s="119">
        <v>4450</v>
      </c>
    </row>
    <row r="4779" spans="2:3">
      <c r="B4779" s="118" t="s">
        <v>1095</v>
      </c>
      <c r="C4779" s="119">
        <v>4493</v>
      </c>
    </row>
    <row r="4780" spans="2:3">
      <c r="B4780" s="118" t="s">
        <v>1106</v>
      </c>
      <c r="C4780" s="119">
        <v>4495</v>
      </c>
    </row>
    <row r="4781" spans="2:3">
      <c r="B4781" s="118" t="s">
        <v>1099</v>
      </c>
      <c r="C4781" s="119">
        <v>4451</v>
      </c>
    </row>
    <row r="4782" spans="2:3">
      <c r="B4782" s="118" t="s">
        <v>1093</v>
      </c>
      <c r="C4782" s="119">
        <v>4442</v>
      </c>
    </row>
    <row r="4783" spans="2:3">
      <c r="B4783" s="118" t="s">
        <v>1108</v>
      </c>
      <c r="C4783" s="119">
        <v>4443</v>
      </c>
    </row>
    <row r="4784" spans="2:3">
      <c r="B4784" s="118" t="s">
        <v>1111</v>
      </c>
      <c r="C4784" s="119">
        <v>4444</v>
      </c>
    </row>
    <row r="4785" spans="2:3">
      <c r="B4785" s="118" t="s">
        <v>1106</v>
      </c>
      <c r="C4785" s="119">
        <v>4495</v>
      </c>
    </row>
    <row r="4786" spans="2:3">
      <c r="B4786" s="118" t="s">
        <v>1057</v>
      </c>
      <c r="C4786" s="119">
        <v>4455</v>
      </c>
    </row>
    <row r="4787" spans="2:3">
      <c r="B4787" s="118" t="s">
        <v>1102</v>
      </c>
      <c r="C4787" s="119">
        <v>4424</v>
      </c>
    </row>
    <row r="4788" spans="2:3">
      <c r="B4788" s="118" t="s">
        <v>1110</v>
      </c>
      <c r="C4788" s="119">
        <v>4425</v>
      </c>
    </row>
    <row r="4789" spans="2:3">
      <c r="B4789" s="118" t="s">
        <v>1098</v>
      </c>
      <c r="C4789" s="119">
        <v>4431</v>
      </c>
    </row>
    <row r="4790" spans="2:3">
      <c r="B4790" s="118" t="s">
        <v>1058</v>
      </c>
      <c r="C4790" s="119">
        <v>4434</v>
      </c>
    </row>
    <row r="4791" spans="2:3">
      <c r="B4791" s="118" t="s">
        <v>1067</v>
      </c>
      <c r="C4791" s="119">
        <v>4457</v>
      </c>
    </row>
    <row r="4792" spans="2:3">
      <c r="B4792" s="118" t="s">
        <v>1090</v>
      </c>
      <c r="C4792" s="119">
        <v>4207</v>
      </c>
    </row>
    <row r="4793" spans="2:3">
      <c r="B4793" s="118" t="s">
        <v>1104</v>
      </c>
      <c r="C4793" s="119">
        <v>4447</v>
      </c>
    </row>
    <row r="4794" spans="2:3">
      <c r="B4794" s="118" t="s">
        <v>1077</v>
      </c>
      <c r="C4794" s="119">
        <v>4448</v>
      </c>
    </row>
    <row r="4795" spans="2:3">
      <c r="B4795" s="118" t="s">
        <v>1086</v>
      </c>
      <c r="C4795" s="119">
        <v>4456</v>
      </c>
    </row>
    <row r="4796" spans="2:3">
      <c r="B4796" s="118" t="s">
        <v>1067</v>
      </c>
      <c r="C4796" s="119">
        <v>4457</v>
      </c>
    </row>
    <row r="4797" spans="2:3">
      <c r="B4797" s="118" t="s">
        <v>1103</v>
      </c>
      <c r="C4797" s="119">
        <v>4458</v>
      </c>
    </row>
    <row r="4798" spans="2:3">
      <c r="B4798" s="118" t="s">
        <v>1058</v>
      </c>
      <c r="C4798" s="119">
        <v>4434</v>
      </c>
    </row>
    <row r="4799" spans="2:3">
      <c r="B4799" s="118" t="s">
        <v>1067</v>
      </c>
      <c r="C4799" s="119">
        <v>4457</v>
      </c>
    </row>
    <row r="4800" spans="2:3">
      <c r="B4800" s="118" t="s">
        <v>1105</v>
      </c>
      <c r="C4800" s="119">
        <v>4432</v>
      </c>
    </row>
    <row r="4801" spans="2:3">
      <c r="B4801" s="118" t="s">
        <v>1084</v>
      </c>
      <c r="C4801" s="119">
        <v>4438</v>
      </c>
    </row>
    <row r="4802" spans="2:3">
      <c r="B4802" s="118" t="s">
        <v>3439</v>
      </c>
      <c r="C4802" s="119">
        <v>4229</v>
      </c>
    </row>
    <row r="4803" spans="2:3">
      <c r="B4803" s="118" t="s">
        <v>1070</v>
      </c>
      <c r="C4803" s="119">
        <v>4418</v>
      </c>
    </row>
    <row r="4804" spans="2:3">
      <c r="B4804" s="118" t="s">
        <v>1112</v>
      </c>
      <c r="C4804" s="119">
        <v>4426</v>
      </c>
    </row>
    <row r="4805" spans="2:3">
      <c r="B4805" s="118" t="s">
        <v>3438</v>
      </c>
      <c r="C4805" s="119">
        <v>4719</v>
      </c>
    </row>
    <row r="4806" spans="2:3">
      <c r="B4806" s="118" t="s">
        <v>1119</v>
      </c>
      <c r="C4806" s="119">
        <v>4436</v>
      </c>
    </row>
    <row r="4807" spans="2:3">
      <c r="B4807" s="118" t="s">
        <v>1102</v>
      </c>
      <c r="C4807" s="119">
        <v>4424</v>
      </c>
    </row>
    <row r="4808" spans="2:3">
      <c r="B4808" s="118" t="s">
        <v>1098</v>
      </c>
      <c r="C4808" s="119">
        <v>4431</v>
      </c>
    </row>
    <row r="4809" spans="2:3">
      <c r="B4809" s="118" t="s">
        <v>1066</v>
      </c>
      <c r="C4809" s="119">
        <v>4435</v>
      </c>
    </row>
    <row r="4810" spans="2:3">
      <c r="B4810" s="118" t="s">
        <v>3503</v>
      </c>
      <c r="C4810" s="119">
        <v>4436</v>
      </c>
    </row>
    <row r="4811" spans="2:3">
      <c r="B4811" s="118" t="s">
        <v>1066</v>
      </c>
      <c r="C4811" s="119">
        <v>4435</v>
      </c>
    </row>
    <row r="4812" spans="2:3">
      <c r="B4812" s="118" t="s">
        <v>3503</v>
      </c>
      <c r="C4812" s="119">
        <v>4436</v>
      </c>
    </row>
    <row r="4813" spans="2:3">
      <c r="B4813" s="118" t="s">
        <v>1119</v>
      </c>
      <c r="C4813" s="119">
        <v>4436</v>
      </c>
    </row>
    <row r="4814" spans="2:3">
      <c r="B4814" s="118" t="s">
        <v>1070</v>
      </c>
      <c r="C4814" s="119">
        <v>4418</v>
      </c>
    </row>
    <row r="4815" spans="2:3">
      <c r="B4815" s="118" t="s">
        <v>1110</v>
      </c>
      <c r="C4815" s="119">
        <v>4425</v>
      </c>
    </row>
    <row r="4816" spans="2:3">
      <c r="B4816" s="118" t="s">
        <v>1070</v>
      </c>
      <c r="C4816" s="119">
        <v>4418</v>
      </c>
    </row>
    <row r="4817" spans="2:3">
      <c r="B4817" s="118" t="s">
        <v>1080</v>
      </c>
      <c r="C4817" s="119">
        <v>4437</v>
      </c>
    </row>
    <row r="4818" spans="2:3">
      <c r="B4818" s="118" t="s">
        <v>1084</v>
      </c>
      <c r="C4818" s="119">
        <v>4438</v>
      </c>
    </row>
    <row r="4819" spans="2:3">
      <c r="B4819" s="118" t="s">
        <v>1388</v>
      </c>
      <c r="C4819" s="119">
        <v>8214</v>
      </c>
    </row>
    <row r="4820" spans="2:3">
      <c r="B4820" s="118" t="s">
        <v>1388</v>
      </c>
      <c r="C4820" s="119">
        <v>8214</v>
      </c>
    </row>
    <row r="4821" spans="2:3">
      <c r="B4821" s="118" t="s">
        <v>1389</v>
      </c>
      <c r="C4821" s="119">
        <v>8225</v>
      </c>
    </row>
    <row r="4822" spans="2:3">
      <c r="B4822" s="118" t="s">
        <v>1382</v>
      </c>
      <c r="C4822" s="119">
        <v>8226</v>
      </c>
    </row>
    <row r="4823" spans="2:3">
      <c r="B4823" s="118" t="s">
        <v>3504</v>
      </c>
      <c r="C4823" s="119">
        <v>8223</v>
      </c>
    </row>
    <row r="4824" spans="2:3">
      <c r="B4824" s="118" t="s">
        <v>1384</v>
      </c>
      <c r="C4824" s="119">
        <v>8224</v>
      </c>
    </row>
    <row r="4825" spans="2:3">
      <c r="B4825" s="118" t="s">
        <v>1379</v>
      </c>
      <c r="C4825" s="119">
        <v>8213</v>
      </c>
    </row>
    <row r="4826" spans="2:3">
      <c r="B4826" s="118" t="s">
        <v>1381</v>
      </c>
      <c r="C4826" s="119">
        <v>8217</v>
      </c>
    </row>
    <row r="4827" spans="2:3">
      <c r="B4827" s="118" t="s">
        <v>3504</v>
      </c>
      <c r="C4827" s="119">
        <v>8223</v>
      </c>
    </row>
    <row r="4828" spans="2:3">
      <c r="B4828" s="118" t="s">
        <v>1384</v>
      </c>
      <c r="C4828" s="119">
        <v>8224</v>
      </c>
    </row>
    <row r="4829" spans="2:3">
      <c r="B4829" s="118" t="s">
        <v>175</v>
      </c>
      <c r="C4829" s="119">
        <v>8200</v>
      </c>
    </row>
    <row r="4830" spans="2:3">
      <c r="B4830" s="118" t="s">
        <v>1397</v>
      </c>
      <c r="C4830" s="119">
        <v>8236</v>
      </c>
    </row>
    <row r="4831" spans="2:3">
      <c r="B4831" s="118" t="s">
        <v>1386</v>
      </c>
      <c r="C4831" s="119">
        <v>8239</v>
      </c>
    </row>
    <row r="4832" spans="2:3">
      <c r="B4832" s="118" t="s">
        <v>3505</v>
      </c>
      <c r="C4832" s="119">
        <v>8235</v>
      </c>
    </row>
    <row r="4833" spans="2:3">
      <c r="B4833" s="118" t="s">
        <v>3506</v>
      </c>
      <c r="C4833" s="119">
        <v>8234</v>
      </c>
    </row>
    <row r="4834" spans="2:3">
      <c r="B4834" s="118" t="s">
        <v>3507</v>
      </c>
      <c r="C4834" s="119">
        <v>8236</v>
      </c>
    </row>
    <row r="4835" spans="2:3">
      <c r="B4835" s="118" t="s">
        <v>1376</v>
      </c>
      <c r="C4835" s="119">
        <v>8240</v>
      </c>
    </row>
    <row r="4836" spans="2:3">
      <c r="B4836" s="118" t="s">
        <v>3508</v>
      </c>
      <c r="C4836" s="119">
        <v>8241</v>
      </c>
    </row>
    <row r="4837" spans="2:3">
      <c r="B4837" s="118" t="s">
        <v>3509</v>
      </c>
      <c r="C4837" s="119">
        <v>8242</v>
      </c>
    </row>
    <row r="4838" spans="2:3">
      <c r="B4838" s="118" t="s">
        <v>3510</v>
      </c>
      <c r="C4838" s="119">
        <v>8242</v>
      </c>
    </row>
    <row r="4839" spans="2:3">
      <c r="B4839" s="118" t="s">
        <v>3511</v>
      </c>
      <c r="C4839" s="119">
        <v>8243</v>
      </c>
    </row>
    <row r="4840" spans="2:3">
      <c r="B4840" s="118" t="s">
        <v>3512</v>
      </c>
      <c r="C4840" s="119">
        <v>8233</v>
      </c>
    </row>
    <row r="4841" spans="2:3">
      <c r="B4841" s="118" t="s">
        <v>1377</v>
      </c>
      <c r="C4841" s="119">
        <v>8222</v>
      </c>
    </row>
    <row r="4842" spans="2:3">
      <c r="B4842" s="118" t="s">
        <v>3504</v>
      </c>
      <c r="C4842" s="119">
        <v>8223</v>
      </c>
    </row>
    <row r="4843" spans="2:3">
      <c r="B4843" s="118" t="s">
        <v>1387</v>
      </c>
      <c r="C4843" s="119">
        <v>8454</v>
      </c>
    </row>
    <row r="4844" spans="2:3">
      <c r="B4844" s="118" t="s">
        <v>1392</v>
      </c>
      <c r="C4844" s="119">
        <v>8455</v>
      </c>
    </row>
    <row r="4845" spans="2:3">
      <c r="B4845" s="118" t="s">
        <v>1390</v>
      </c>
      <c r="C4845" s="119">
        <v>8232</v>
      </c>
    </row>
    <row r="4846" spans="2:3">
      <c r="B4846" s="118" t="s">
        <v>175</v>
      </c>
      <c r="C4846" s="119">
        <v>8200</v>
      </c>
    </row>
    <row r="4847" spans="2:3">
      <c r="B4847" s="118" t="s">
        <v>1375</v>
      </c>
      <c r="C4847" s="119">
        <v>8212</v>
      </c>
    </row>
    <row r="4848" spans="2:3">
      <c r="B4848" s="118" t="s">
        <v>1392</v>
      </c>
      <c r="C4848" s="119">
        <v>8455</v>
      </c>
    </row>
    <row r="4849" spans="2:3">
      <c r="B4849" s="118" t="s">
        <v>175</v>
      </c>
      <c r="C4849" s="119">
        <v>8200</v>
      </c>
    </row>
    <row r="4850" spans="2:3">
      <c r="B4850" s="118" t="s">
        <v>175</v>
      </c>
      <c r="C4850" s="119">
        <v>8203</v>
      </c>
    </row>
    <row r="4851" spans="2:3">
      <c r="B4851" s="118" t="s">
        <v>175</v>
      </c>
      <c r="C4851" s="119">
        <v>8207</v>
      </c>
    </row>
    <row r="4852" spans="2:3">
      <c r="B4852" s="118" t="s">
        <v>175</v>
      </c>
      <c r="C4852" s="119">
        <v>8208</v>
      </c>
    </row>
    <row r="4853" spans="2:3">
      <c r="B4853" s="118" t="s">
        <v>1375</v>
      </c>
      <c r="C4853" s="119">
        <v>8212</v>
      </c>
    </row>
    <row r="4854" spans="2:3">
      <c r="B4854" s="118" t="s">
        <v>1377</v>
      </c>
      <c r="C4854" s="119">
        <v>8222</v>
      </c>
    </row>
    <row r="4855" spans="2:3">
      <c r="B4855" s="118" t="s">
        <v>3513</v>
      </c>
      <c r="C4855" s="119">
        <v>8231</v>
      </c>
    </row>
    <row r="4856" spans="2:3">
      <c r="B4856" s="118" t="s">
        <v>1382</v>
      </c>
      <c r="C4856" s="119">
        <v>8226</v>
      </c>
    </row>
    <row r="4857" spans="2:3">
      <c r="B4857" s="118" t="s">
        <v>1394</v>
      </c>
      <c r="C4857" s="119">
        <v>8228</v>
      </c>
    </row>
    <row r="4858" spans="2:3">
      <c r="B4858" s="118" t="s">
        <v>1382</v>
      </c>
      <c r="C4858" s="119">
        <v>8226</v>
      </c>
    </row>
    <row r="4859" spans="2:3">
      <c r="B4859" s="118" t="s">
        <v>1389</v>
      </c>
      <c r="C4859" s="119">
        <v>8225</v>
      </c>
    </row>
    <row r="4860" spans="2:3">
      <c r="B4860" s="118" t="s">
        <v>3514</v>
      </c>
      <c r="C4860" s="119">
        <v>8263</v>
      </c>
    </row>
    <row r="4861" spans="2:3">
      <c r="B4861" s="118" t="s">
        <v>1395</v>
      </c>
      <c r="C4861" s="119">
        <v>8261</v>
      </c>
    </row>
    <row r="4862" spans="2:3">
      <c r="B4862" s="118" t="s">
        <v>1383</v>
      </c>
      <c r="C4862" s="119">
        <v>8262</v>
      </c>
    </row>
    <row r="4863" spans="2:3">
      <c r="B4863" s="118" t="s">
        <v>1378</v>
      </c>
      <c r="C4863" s="119">
        <v>8260</v>
      </c>
    </row>
    <row r="4864" spans="2:3">
      <c r="B4864" s="118" t="s">
        <v>1380</v>
      </c>
      <c r="C4864" s="119">
        <v>8215</v>
      </c>
    </row>
    <row r="4865" spans="2:3">
      <c r="B4865" s="118" t="s">
        <v>1396</v>
      </c>
      <c r="C4865" s="119">
        <v>8216</v>
      </c>
    </row>
    <row r="4866" spans="2:3">
      <c r="B4866" s="118" t="s">
        <v>1381</v>
      </c>
      <c r="C4866" s="119">
        <v>8217</v>
      </c>
    </row>
    <row r="4867" spans="2:3">
      <c r="B4867" s="118" t="s">
        <v>1393</v>
      </c>
      <c r="C4867" s="119">
        <v>8219</v>
      </c>
    </row>
    <row r="4868" spans="2:3">
      <c r="B4868" s="118" t="s">
        <v>1381</v>
      </c>
      <c r="C4868" s="119">
        <v>8217</v>
      </c>
    </row>
    <row r="4869" spans="2:3">
      <c r="B4869" s="118" t="s">
        <v>1381</v>
      </c>
      <c r="C4869" s="119">
        <v>8217</v>
      </c>
    </row>
    <row r="4870" spans="2:3">
      <c r="B4870" s="118" t="s">
        <v>3515</v>
      </c>
      <c r="C4870" s="119">
        <v>8218</v>
      </c>
    </row>
    <row r="4871" spans="2:3">
      <c r="B4871" s="118" t="s">
        <v>1877</v>
      </c>
      <c r="C4871" s="119">
        <v>9100</v>
      </c>
    </row>
    <row r="4872" spans="2:3">
      <c r="B4872" s="118" t="s">
        <v>3516</v>
      </c>
      <c r="C4872" s="119">
        <v>9112</v>
      </c>
    </row>
    <row r="4873" spans="2:3">
      <c r="B4873" s="118" t="s">
        <v>1629</v>
      </c>
      <c r="C4873" s="119">
        <v>9200</v>
      </c>
    </row>
    <row r="4874" spans="2:3">
      <c r="B4874" s="118" t="s">
        <v>3517</v>
      </c>
      <c r="C4874" s="119">
        <v>9063</v>
      </c>
    </row>
    <row r="4875" spans="2:3">
      <c r="B4875" s="118" t="s">
        <v>1894</v>
      </c>
      <c r="C4875" s="119">
        <v>9064</v>
      </c>
    </row>
    <row r="4876" spans="2:3">
      <c r="B4876" s="118" t="s">
        <v>1883</v>
      </c>
      <c r="C4876" s="119">
        <v>9107</v>
      </c>
    </row>
    <row r="4877" spans="2:3">
      <c r="B4877" s="118" t="s">
        <v>2631</v>
      </c>
      <c r="C4877" s="119">
        <v>9108</v>
      </c>
    </row>
    <row r="4878" spans="2:3">
      <c r="B4878" s="118" t="s">
        <v>1897</v>
      </c>
      <c r="C4878" s="119">
        <v>9105</v>
      </c>
    </row>
    <row r="4879" spans="2:3">
      <c r="B4879" s="118" t="s">
        <v>1883</v>
      </c>
      <c r="C4879" s="119">
        <v>9107</v>
      </c>
    </row>
    <row r="4880" spans="2:3">
      <c r="B4880" s="118" t="s">
        <v>1877</v>
      </c>
      <c r="C4880" s="119">
        <v>9100</v>
      </c>
    </row>
    <row r="4881" spans="2:3">
      <c r="B4881" s="118" t="s">
        <v>1890</v>
      </c>
      <c r="C4881" s="119">
        <v>9103</v>
      </c>
    </row>
    <row r="4882" spans="2:3">
      <c r="B4882" s="118" t="s">
        <v>1885</v>
      </c>
      <c r="C4882" s="119">
        <v>9104</v>
      </c>
    </row>
    <row r="4883" spans="2:3">
      <c r="B4883" s="118" t="s">
        <v>1897</v>
      </c>
      <c r="C4883" s="119">
        <v>9105</v>
      </c>
    </row>
    <row r="4884" spans="2:3">
      <c r="B4884" s="118" t="s">
        <v>1844</v>
      </c>
      <c r="C4884" s="119">
        <v>9113</v>
      </c>
    </row>
    <row r="4885" spans="2:3">
      <c r="B4885" s="118" t="s">
        <v>170</v>
      </c>
      <c r="C4885" s="119">
        <v>9014</v>
      </c>
    </row>
    <row r="4886" spans="2:3">
      <c r="B4886" s="118" t="s">
        <v>3517</v>
      </c>
      <c r="C4886" s="119">
        <v>9063</v>
      </c>
    </row>
    <row r="4887" spans="2:3">
      <c r="B4887" s="118" t="s">
        <v>1890</v>
      </c>
      <c r="C4887" s="119">
        <v>9103</v>
      </c>
    </row>
    <row r="4888" spans="2:3">
      <c r="B4888" s="118" t="s">
        <v>1885</v>
      </c>
      <c r="C4888" s="119">
        <v>9104</v>
      </c>
    </row>
    <row r="4889" spans="2:3">
      <c r="B4889" s="118" t="s">
        <v>1883</v>
      </c>
      <c r="C4889" s="119">
        <v>9107</v>
      </c>
    </row>
    <row r="4890" spans="2:3">
      <c r="B4890" s="118" t="s">
        <v>1877</v>
      </c>
      <c r="C4890" s="119">
        <v>9100</v>
      </c>
    </row>
    <row r="4891" spans="2:3">
      <c r="B4891" s="118" t="s">
        <v>1890</v>
      </c>
      <c r="C4891" s="119">
        <v>9103</v>
      </c>
    </row>
    <row r="4892" spans="2:3">
      <c r="B4892" s="118" t="s">
        <v>1885</v>
      </c>
      <c r="C4892" s="119">
        <v>9104</v>
      </c>
    </row>
    <row r="4893" spans="2:3">
      <c r="B4893" s="118" t="s">
        <v>1889</v>
      </c>
      <c r="C4893" s="119">
        <v>9043</v>
      </c>
    </row>
    <row r="4894" spans="2:3">
      <c r="B4894" s="118" t="s">
        <v>1887</v>
      </c>
      <c r="C4894" s="119">
        <v>9055</v>
      </c>
    </row>
    <row r="4895" spans="2:3">
      <c r="B4895" s="118" t="s">
        <v>1889</v>
      </c>
      <c r="C4895" s="119">
        <v>9043</v>
      </c>
    </row>
    <row r="4896" spans="2:3">
      <c r="B4896" s="118" t="s">
        <v>1887</v>
      </c>
      <c r="C4896" s="119">
        <v>9055</v>
      </c>
    </row>
    <row r="4897" spans="2:3">
      <c r="B4897" s="118" t="s">
        <v>1882</v>
      </c>
      <c r="C4897" s="119">
        <v>9056</v>
      </c>
    </row>
    <row r="4898" spans="2:3">
      <c r="B4898" s="118" t="s">
        <v>3518</v>
      </c>
      <c r="C4898" s="119">
        <v>9450</v>
      </c>
    </row>
    <row r="4899" spans="2:3">
      <c r="B4899" s="118" t="s">
        <v>3519</v>
      </c>
      <c r="C4899" s="119">
        <v>9037</v>
      </c>
    </row>
    <row r="4900" spans="2:3">
      <c r="B4900" s="118" t="s">
        <v>1880</v>
      </c>
      <c r="C4900" s="119">
        <v>9042</v>
      </c>
    </row>
    <row r="4901" spans="2:3">
      <c r="B4901" s="118" t="s">
        <v>170</v>
      </c>
      <c r="C4901" s="119">
        <v>9012</v>
      </c>
    </row>
    <row r="4902" spans="2:3">
      <c r="B4902" s="118" t="s">
        <v>1880</v>
      </c>
      <c r="C4902" s="119">
        <v>9042</v>
      </c>
    </row>
    <row r="4903" spans="2:3">
      <c r="B4903" s="118" t="s">
        <v>3520</v>
      </c>
      <c r="C4903" s="119">
        <v>9052</v>
      </c>
    </row>
    <row r="4904" spans="2:3">
      <c r="B4904" s="118" t="s">
        <v>3521</v>
      </c>
      <c r="C4904" s="119">
        <v>9053</v>
      </c>
    </row>
    <row r="4905" spans="2:3">
      <c r="B4905" s="118" t="s">
        <v>1887</v>
      </c>
      <c r="C4905" s="119">
        <v>9055</v>
      </c>
    </row>
    <row r="4906" spans="2:3">
      <c r="B4906" s="118" t="s">
        <v>3522</v>
      </c>
      <c r="C4906" s="119">
        <v>9062</v>
      </c>
    </row>
    <row r="4907" spans="2:3">
      <c r="B4907" s="118" t="s">
        <v>1889</v>
      </c>
      <c r="C4907" s="119">
        <v>9043</v>
      </c>
    </row>
    <row r="4908" spans="2:3">
      <c r="B4908" s="118" t="s">
        <v>3523</v>
      </c>
      <c r="C4908" s="119">
        <v>9035</v>
      </c>
    </row>
    <row r="4909" spans="2:3">
      <c r="B4909" s="118" t="s">
        <v>1888</v>
      </c>
      <c r="C4909" s="119">
        <v>9038</v>
      </c>
    </row>
    <row r="4910" spans="2:3">
      <c r="B4910" s="118" t="s">
        <v>3524</v>
      </c>
      <c r="C4910" s="119">
        <v>9036</v>
      </c>
    </row>
    <row r="4911" spans="2:3">
      <c r="B4911" s="118" t="s">
        <v>1888</v>
      </c>
      <c r="C4911" s="119">
        <v>9038</v>
      </c>
    </row>
    <row r="4912" spans="2:3">
      <c r="B4912" s="118" t="s">
        <v>1881</v>
      </c>
      <c r="C4912" s="119">
        <v>9410</v>
      </c>
    </row>
    <row r="4913" spans="2:3">
      <c r="B4913" s="118" t="s">
        <v>2632</v>
      </c>
      <c r="C4913" s="119">
        <v>9413</v>
      </c>
    </row>
    <row r="4914" spans="2:3">
      <c r="B4914" s="118" t="s">
        <v>1886</v>
      </c>
      <c r="C4914" s="119">
        <v>9427</v>
      </c>
    </row>
    <row r="4915" spans="2:3">
      <c r="B4915" s="118" t="s">
        <v>3525</v>
      </c>
      <c r="C4915" s="119">
        <v>9405</v>
      </c>
    </row>
    <row r="4916" spans="2:3">
      <c r="B4916" s="118" t="s">
        <v>1892</v>
      </c>
      <c r="C4916" s="119">
        <v>9426</v>
      </c>
    </row>
    <row r="4917" spans="2:3">
      <c r="B4917" s="118" t="s">
        <v>1886</v>
      </c>
      <c r="C4917" s="119">
        <v>9427</v>
      </c>
    </row>
    <row r="4918" spans="2:3">
      <c r="B4918" s="118" t="s">
        <v>1860</v>
      </c>
      <c r="C4918" s="119">
        <v>9034</v>
      </c>
    </row>
    <row r="4919" spans="2:3">
      <c r="B4919" s="118" t="s">
        <v>3519</v>
      </c>
      <c r="C4919" s="119">
        <v>9037</v>
      </c>
    </row>
    <row r="4920" spans="2:3">
      <c r="B4920" s="118" t="s">
        <v>1888</v>
      </c>
      <c r="C4920" s="119">
        <v>9038</v>
      </c>
    </row>
    <row r="4921" spans="2:3">
      <c r="B4921" s="118" t="s">
        <v>3526</v>
      </c>
      <c r="C4921" s="119">
        <v>9411</v>
      </c>
    </row>
    <row r="4922" spans="2:3">
      <c r="B4922" s="118" t="s">
        <v>3527</v>
      </c>
      <c r="C4922" s="119">
        <v>9411</v>
      </c>
    </row>
    <row r="4923" spans="2:3">
      <c r="B4923" s="118" t="s">
        <v>3528</v>
      </c>
      <c r="C4923" s="119">
        <v>9437</v>
      </c>
    </row>
    <row r="4924" spans="2:3">
      <c r="B4924" s="118" t="s">
        <v>1889</v>
      </c>
      <c r="C4924" s="119">
        <v>9043</v>
      </c>
    </row>
    <row r="4925" spans="2:3">
      <c r="B4925" s="118" t="s">
        <v>3529</v>
      </c>
      <c r="C4925" s="119">
        <v>9044</v>
      </c>
    </row>
    <row r="4926" spans="2:3">
      <c r="B4926" s="118" t="s">
        <v>1886</v>
      </c>
      <c r="C4926" s="119">
        <v>9427</v>
      </c>
    </row>
    <row r="4927" spans="2:3">
      <c r="B4927" s="118" t="s">
        <v>1884</v>
      </c>
      <c r="C4927" s="119">
        <v>9428</v>
      </c>
    </row>
    <row r="4928" spans="2:3">
      <c r="B4928" s="118" t="s">
        <v>1881</v>
      </c>
      <c r="C4928" s="119">
        <v>9410</v>
      </c>
    </row>
    <row r="4929" spans="2:3">
      <c r="B4929" s="118" t="s">
        <v>2653</v>
      </c>
      <c r="C4929" s="119">
        <v>9425</v>
      </c>
    </row>
    <row r="4930" spans="2:3">
      <c r="B4930" s="118" t="s">
        <v>1886</v>
      </c>
      <c r="C4930" s="119">
        <v>9427</v>
      </c>
    </row>
    <row r="4931" spans="2:3">
      <c r="B4931" s="118" t="s">
        <v>1884</v>
      </c>
      <c r="C4931" s="119">
        <v>9428</v>
      </c>
    </row>
    <row r="4932" spans="2:3">
      <c r="B4932" s="118" t="s">
        <v>1898</v>
      </c>
      <c r="C4932" s="119">
        <v>9050</v>
      </c>
    </row>
    <row r="4933" spans="2:3">
      <c r="B4933" s="118" t="s">
        <v>3530</v>
      </c>
      <c r="C4933" s="119">
        <v>9050</v>
      </c>
    </row>
    <row r="4934" spans="2:3">
      <c r="B4934" s="118" t="s">
        <v>3531</v>
      </c>
      <c r="C4934" s="119">
        <v>9050</v>
      </c>
    </row>
    <row r="4935" spans="2:3">
      <c r="B4935" s="118" t="s">
        <v>1882</v>
      </c>
      <c r="C4935" s="119">
        <v>9056</v>
      </c>
    </row>
    <row r="4936" spans="2:3">
      <c r="B4936" s="118" t="s">
        <v>1898</v>
      </c>
      <c r="C4936" s="119">
        <v>9050</v>
      </c>
    </row>
    <row r="4937" spans="2:3">
      <c r="B4937" s="118" t="s">
        <v>2631</v>
      </c>
      <c r="C4937" s="119">
        <v>9108</v>
      </c>
    </row>
    <row r="4938" spans="2:3">
      <c r="B4938" s="118" t="s">
        <v>3532</v>
      </c>
      <c r="C4938" s="119">
        <v>9108</v>
      </c>
    </row>
    <row r="4939" spans="2:3">
      <c r="B4939" s="118" t="s">
        <v>3533</v>
      </c>
      <c r="C4939" s="119">
        <v>9108</v>
      </c>
    </row>
    <row r="4940" spans="2:3">
      <c r="B4940" s="118" t="s">
        <v>1898</v>
      </c>
      <c r="C4940" s="119">
        <v>9050</v>
      </c>
    </row>
    <row r="4941" spans="2:3">
      <c r="B4941" s="118" t="s">
        <v>3534</v>
      </c>
      <c r="C4941" s="119">
        <v>9050</v>
      </c>
    </row>
    <row r="4942" spans="2:3">
      <c r="B4942" s="118" t="s">
        <v>3531</v>
      </c>
      <c r="C4942" s="119">
        <v>9050</v>
      </c>
    </row>
    <row r="4943" spans="2:3">
      <c r="B4943" s="118" t="s">
        <v>3520</v>
      </c>
      <c r="C4943" s="119">
        <v>9052</v>
      </c>
    </row>
    <row r="4944" spans="2:3">
      <c r="B4944" s="118" t="s">
        <v>3521</v>
      </c>
      <c r="C4944" s="119">
        <v>9053</v>
      </c>
    </row>
    <row r="4945" spans="2:3">
      <c r="B4945" s="118" t="s">
        <v>3535</v>
      </c>
      <c r="C4945" s="119">
        <v>9054</v>
      </c>
    </row>
    <row r="4946" spans="2:3">
      <c r="B4946" s="118" t="s">
        <v>1887</v>
      </c>
      <c r="C4946" s="119">
        <v>9055</v>
      </c>
    </row>
    <row r="4947" spans="2:3">
      <c r="B4947" s="118" t="s">
        <v>1882</v>
      </c>
      <c r="C4947" s="119">
        <v>9056</v>
      </c>
    </row>
    <row r="4948" spans="2:3">
      <c r="B4948" s="118" t="s">
        <v>2631</v>
      </c>
      <c r="C4948" s="119">
        <v>9108</v>
      </c>
    </row>
    <row r="4949" spans="2:3">
      <c r="B4949" s="118" t="s">
        <v>2632</v>
      </c>
      <c r="C4949" s="119">
        <v>9413</v>
      </c>
    </row>
    <row r="4950" spans="2:3">
      <c r="B4950" s="118" t="s">
        <v>2632</v>
      </c>
      <c r="C4950" s="119">
        <v>9413</v>
      </c>
    </row>
    <row r="4951" spans="2:3">
      <c r="B4951" s="118" t="s">
        <v>1886</v>
      </c>
      <c r="C4951" s="119">
        <v>9427</v>
      </c>
    </row>
    <row r="4952" spans="2:3">
      <c r="B4952" s="118" t="s">
        <v>1884</v>
      </c>
      <c r="C4952" s="119">
        <v>9428</v>
      </c>
    </row>
    <row r="4953" spans="2:3">
      <c r="B4953" s="118" t="s">
        <v>1845</v>
      </c>
      <c r="C4953" s="119">
        <v>9442</v>
      </c>
    </row>
    <row r="4954" spans="2:3">
      <c r="B4954" s="118" t="s">
        <v>3536</v>
      </c>
      <c r="C4954" s="119">
        <v>9442</v>
      </c>
    </row>
    <row r="4955" spans="2:3">
      <c r="B4955" s="118" t="s">
        <v>3537</v>
      </c>
      <c r="C4955" s="119">
        <v>9450</v>
      </c>
    </row>
    <row r="4956" spans="2:3">
      <c r="B4956" s="118" t="s">
        <v>1898</v>
      </c>
      <c r="C4956" s="119">
        <v>9050</v>
      </c>
    </row>
    <row r="4957" spans="2:3">
      <c r="B4957" s="118" t="s">
        <v>3538</v>
      </c>
      <c r="C4957" s="119">
        <v>9050</v>
      </c>
    </row>
    <row r="4958" spans="2:3">
      <c r="B4958" s="118" t="s">
        <v>3530</v>
      </c>
      <c r="C4958" s="119">
        <v>9050</v>
      </c>
    </row>
    <row r="4959" spans="2:3">
      <c r="B4959" s="118" t="s">
        <v>3539</v>
      </c>
      <c r="C4959" s="119">
        <v>9050</v>
      </c>
    </row>
    <row r="4960" spans="2:3">
      <c r="B4960" s="118" t="s">
        <v>3540</v>
      </c>
      <c r="C4960" s="119">
        <v>9057</v>
      </c>
    </row>
    <row r="4961" spans="2:3">
      <c r="B4961" s="118" t="s">
        <v>3541</v>
      </c>
      <c r="C4961" s="119">
        <v>9057</v>
      </c>
    </row>
    <row r="4962" spans="2:3">
      <c r="B4962" s="118" t="s">
        <v>3542</v>
      </c>
      <c r="C4962" s="119">
        <v>9057</v>
      </c>
    </row>
    <row r="4963" spans="2:3">
      <c r="B4963" s="118" t="s">
        <v>3543</v>
      </c>
      <c r="C4963" s="119">
        <v>9058</v>
      </c>
    </row>
    <row r="4964" spans="2:3">
      <c r="B4964" s="118" t="s">
        <v>1883</v>
      </c>
      <c r="C4964" s="119">
        <v>9107</v>
      </c>
    </row>
    <row r="4965" spans="2:3">
      <c r="B4965" s="118" t="s">
        <v>2631</v>
      </c>
      <c r="C4965" s="119">
        <v>9108</v>
      </c>
    </row>
    <row r="4966" spans="2:3">
      <c r="B4966" s="118" t="s">
        <v>3544</v>
      </c>
      <c r="C4966" s="119">
        <v>9467</v>
      </c>
    </row>
    <row r="4967" spans="2:3">
      <c r="B4967" s="118" t="s">
        <v>3545</v>
      </c>
      <c r="C4967" s="119">
        <v>9308</v>
      </c>
    </row>
    <row r="4968" spans="2:3">
      <c r="B4968" s="118" t="s">
        <v>1871</v>
      </c>
      <c r="C4968" s="119">
        <v>9312</v>
      </c>
    </row>
    <row r="4969" spans="2:3">
      <c r="B4969" s="118" t="s">
        <v>3546</v>
      </c>
      <c r="C4969" s="119">
        <v>9315</v>
      </c>
    </row>
    <row r="4970" spans="2:3">
      <c r="B4970" s="118" t="s">
        <v>3547</v>
      </c>
      <c r="C4970" s="119">
        <v>8580</v>
      </c>
    </row>
    <row r="4971" spans="2:3">
      <c r="B4971" s="118" t="s">
        <v>1913</v>
      </c>
      <c r="C4971" s="119">
        <v>9220</v>
      </c>
    </row>
    <row r="4972" spans="2:3">
      <c r="B4972" s="118" t="s">
        <v>3545</v>
      </c>
      <c r="C4972" s="119">
        <v>9308</v>
      </c>
    </row>
    <row r="4973" spans="2:3">
      <c r="B4973" s="118" t="s">
        <v>1873</v>
      </c>
      <c r="C4973" s="119">
        <v>9313</v>
      </c>
    </row>
    <row r="4974" spans="2:3">
      <c r="B4974" s="118" t="s">
        <v>170</v>
      </c>
      <c r="C4974" s="119">
        <v>9000</v>
      </c>
    </row>
    <row r="4975" spans="2:3">
      <c r="B4975" s="118" t="s">
        <v>170</v>
      </c>
      <c r="C4975" s="119">
        <v>9008</v>
      </c>
    </row>
    <row r="4976" spans="2:3">
      <c r="B4976" s="118" t="s">
        <v>170</v>
      </c>
      <c r="C4976" s="119">
        <v>9010</v>
      </c>
    </row>
    <row r="4977" spans="2:3">
      <c r="B4977" s="118" t="s">
        <v>170</v>
      </c>
      <c r="C4977" s="119">
        <v>9011</v>
      </c>
    </row>
    <row r="4978" spans="2:3">
      <c r="B4978" s="118" t="s">
        <v>170</v>
      </c>
      <c r="C4978" s="119">
        <v>9012</v>
      </c>
    </row>
    <row r="4979" spans="2:3">
      <c r="B4979" s="118" t="s">
        <v>170</v>
      </c>
      <c r="C4979" s="119">
        <v>9014</v>
      </c>
    </row>
    <row r="4980" spans="2:3">
      <c r="B4980" s="118" t="s">
        <v>170</v>
      </c>
      <c r="C4980" s="119">
        <v>9015</v>
      </c>
    </row>
    <row r="4981" spans="2:3">
      <c r="B4981" s="118" t="s">
        <v>170</v>
      </c>
      <c r="C4981" s="119">
        <v>9016</v>
      </c>
    </row>
    <row r="4982" spans="2:3">
      <c r="B4982" s="118" t="s">
        <v>3548</v>
      </c>
      <c r="C4982" s="119">
        <v>9030</v>
      </c>
    </row>
    <row r="4983" spans="2:3">
      <c r="B4983" s="118" t="s">
        <v>3519</v>
      </c>
      <c r="C4983" s="119">
        <v>9037</v>
      </c>
    </row>
    <row r="4984" spans="2:3">
      <c r="B4984" s="118" t="s">
        <v>1880</v>
      </c>
      <c r="C4984" s="119">
        <v>9042</v>
      </c>
    </row>
    <row r="4985" spans="2:3">
      <c r="B4985" s="118" t="s">
        <v>2658</v>
      </c>
      <c r="C4985" s="119">
        <v>9300</v>
      </c>
    </row>
    <row r="4986" spans="2:3">
      <c r="B4986" s="118" t="s">
        <v>170</v>
      </c>
      <c r="C4986" s="119">
        <v>9008</v>
      </c>
    </row>
    <row r="4987" spans="2:3">
      <c r="B4987" s="118" t="s">
        <v>2658</v>
      </c>
      <c r="C4987" s="119">
        <v>9300</v>
      </c>
    </row>
    <row r="4988" spans="2:3">
      <c r="B4988" s="118" t="s">
        <v>3545</v>
      </c>
      <c r="C4988" s="119">
        <v>9308</v>
      </c>
    </row>
    <row r="4989" spans="2:3">
      <c r="B4989" s="118" t="s">
        <v>2658</v>
      </c>
      <c r="C4989" s="119">
        <v>9300</v>
      </c>
    </row>
    <row r="4990" spans="2:3">
      <c r="B4990" s="118" t="s">
        <v>3549</v>
      </c>
      <c r="C4990" s="119">
        <v>9305</v>
      </c>
    </row>
    <row r="4991" spans="2:3">
      <c r="B4991" s="118" t="s">
        <v>3550</v>
      </c>
      <c r="C4991" s="119">
        <v>9306</v>
      </c>
    </row>
    <row r="4992" spans="2:3">
      <c r="B4992" s="118" t="s">
        <v>1860</v>
      </c>
      <c r="C4992" s="119">
        <v>9034</v>
      </c>
    </row>
    <row r="4993" spans="2:3">
      <c r="B4993" s="118" t="s">
        <v>3523</v>
      </c>
      <c r="C4993" s="119">
        <v>9035</v>
      </c>
    </row>
    <row r="4994" spans="2:3">
      <c r="B4994" s="118" t="s">
        <v>3524</v>
      </c>
      <c r="C4994" s="119">
        <v>9036</v>
      </c>
    </row>
    <row r="4995" spans="2:3">
      <c r="B4995" s="118" t="s">
        <v>3519</v>
      </c>
      <c r="C4995" s="119">
        <v>9037</v>
      </c>
    </row>
    <row r="4996" spans="2:3">
      <c r="B4996" s="118" t="s">
        <v>3525</v>
      </c>
      <c r="C4996" s="119">
        <v>9405</v>
      </c>
    </row>
    <row r="4997" spans="2:3">
      <c r="B4997" s="118" t="s">
        <v>2650</v>
      </c>
      <c r="C4997" s="119">
        <v>9400</v>
      </c>
    </row>
    <row r="4998" spans="2:3">
      <c r="B4998" s="118" t="s">
        <v>2642</v>
      </c>
      <c r="C4998" s="119">
        <v>9403</v>
      </c>
    </row>
    <row r="4999" spans="2:3">
      <c r="B4999" s="118" t="s">
        <v>1870</v>
      </c>
      <c r="C4999" s="119">
        <v>9327</v>
      </c>
    </row>
    <row r="5000" spans="2:3">
      <c r="B5000" s="118" t="s">
        <v>1851</v>
      </c>
      <c r="C5000" s="119">
        <v>9402</v>
      </c>
    </row>
    <row r="5001" spans="2:3">
      <c r="B5001" s="118" t="s">
        <v>2650</v>
      </c>
      <c r="C5001" s="119">
        <v>9400</v>
      </c>
    </row>
    <row r="5002" spans="2:3">
      <c r="B5002" s="118" t="s">
        <v>2651</v>
      </c>
      <c r="C5002" s="119">
        <v>9404</v>
      </c>
    </row>
    <row r="5003" spans="2:3">
      <c r="B5003" s="118" t="s">
        <v>3525</v>
      </c>
      <c r="C5003" s="119">
        <v>9405</v>
      </c>
    </row>
    <row r="5004" spans="2:3">
      <c r="B5004" s="118" t="s">
        <v>3551</v>
      </c>
      <c r="C5004" s="119">
        <v>9422</v>
      </c>
    </row>
    <row r="5005" spans="2:3">
      <c r="B5005" s="118" t="s">
        <v>3549</v>
      </c>
      <c r="C5005" s="119">
        <v>9305</v>
      </c>
    </row>
    <row r="5006" spans="2:3">
      <c r="B5006" s="118" t="s">
        <v>1850</v>
      </c>
      <c r="C5006" s="119">
        <v>9323</v>
      </c>
    </row>
    <row r="5007" spans="2:3">
      <c r="B5007" s="118" t="s">
        <v>1936</v>
      </c>
      <c r="C5007" s="119">
        <v>9326</v>
      </c>
    </row>
    <row r="5008" spans="2:3">
      <c r="B5008" s="118" t="s">
        <v>1870</v>
      </c>
      <c r="C5008" s="119">
        <v>9327</v>
      </c>
    </row>
    <row r="5009" spans="2:3">
      <c r="B5009" s="118" t="s">
        <v>1874</v>
      </c>
      <c r="C5009" s="119">
        <v>9033</v>
      </c>
    </row>
    <row r="5010" spans="2:3">
      <c r="B5010" s="118" t="s">
        <v>2651</v>
      </c>
      <c r="C5010" s="119">
        <v>9404</v>
      </c>
    </row>
    <row r="5011" spans="2:3">
      <c r="B5011" s="118" t="s">
        <v>3552</v>
      </c>
      <c r="C5011" s="119">
        <v>9434</v>
      </c>
    </row>
    <row r="5012" spans="2:3">
      <c r="B5012" s="118" t="s">
        <v>3553</v>
      </c>
      <c r="C5012" s="119">
        <v>9435</v>
      </c>
    </row>
    <row r="5013" spans="2:3">
      <c r="B5013" s="118" t="s">
        <v>3553</v>
      </c>
      <c r="C5013" s="119">
        <v>9435</v>
      </c>
    </row>
    <row r="5014" spans="2:3">
      <c r="B5014" s="118" t="s">
        <v>1840</v>
      </c>
      <c r="C5014" s="119">
        <v>9436</v>
      </c>
    </row>
    <row r="5015" spans="2:3">
      <c r="B5015" s="118" t="s">
        <v>1841</v>
      </c>
      <c r="C5015" s="119">
        <v>9445</v>
      </c>
    </row>
    <row r="5016" spans="2:3">
      <c r="B5016" s="118" t="s">
        <v>3526</v>
      </c>
      <c r="C5016" s="119">
        <v>9411</v>
      </c>
    </row>
    <row r="5017" spans="2:3">
      <c r="B5017" s="118" t="s">
        <v>3552</v>
      </c>
      <c r="C5017" s="119">
        <v>9434</v>
      </c>
    </row>
    <row r="5018" spans="2:3">
      <c r="B5018" s="118" t="s">
        <v>3553</v>
      </c>
      <c r="C5018" s="119">
        <v>9435</v>
      </c>
    </row>
    <row r="5019" spans="2:3">
      <c r="B5019" s="118" t="s">
        <v>1845</v>
      </c>
      <c r="C5019" s="119">
        <v>9442</v>
      </c>
    </row>
    <row r="5020" spans="2:3">
      <c r="B5020" s="118" t="s">
        <v>3536</v>
      </c>
      <c r="C5020" s="119">
        <v>9442</v>
      </c>
    </row>
    <row r="5021" spans="2:3">
      <c r="B5021" s="118" t="s">
        <v>1840</v>
      </c>
      <c r="C5021" s="119">
        <v>9436</v>
      </c>
    </row>
    <row r="5022" spans="2:3">
      <c r="B5022" s="118" t="s">
        <v>2656</v>
      </c>
      <c r="C5022" s="119">
        <v>9443</v>
      </c>
    </row>
    <row r="5023" spans="2:3">
      <c r="B5023" s="118" t="s">
        <v>2638</v>
      </c>
      <c r="C5023" s="119">
        <v>9444</v>
      </c>
    </row>
    <row r="5024" spans="2:3">
      <c r="B5024" s="118" t="s">
        <v>1853</v>
      </c>
      <c r="C5024" s="119">
        <v>9424</v>
      </c>
    </row>
    <row r="5025" spans="2:3">
      <c r="B5025" s="118" t="s">
        <v>2653</v>
      </c>
      <c r="C5025" s="119">
        <v>9425</v>
      </c>
    </row>
    <row r="5026" spans="2:3">
      <c r="B5026" s="118" t="s">
        <v>1892</v>
      </c>
      <c r="C5026" s="119">
        <v>9426</v>
      </c>
    </row>
    <row r="5027" spans="2:3">
      <c r="B5027" s="118" t="s">
        <v>1853</v>
      </c>
      <c r="C5027" s="119">
        <v>9424</v>
      </c>
    </row>
    <row r="5028" spans="2:3">
      <c r="B5028" s="118" t="s">
        <v>1884</v>
      </c>
      <c r="C5028" s="119">
        <v>9428</v>
      </c>
    </row>
    <row r="5029" spans="2:3">
      <c r="B5029" s="118" t="s">
        <v>3554</v>
      </c>
      <c r="C5029" s="119">
        <v>9430</v>
      </c>
    </row>
    <row r="5030" spans="2:3">
      <c r="B5030" s="118" t="s">
        <v>2651</v>
      </c>
      <c r="C5030" s="119">
        <v>9404</v>
      </c>
    </row>
    <row r="5031" spans="2:3">
      <c r="B5031" s="118" t="s">
        <v>3551</v>
      </c>
      <c r="C5031" s="119">
        <v>9422</v>
      </c>
    </row>
    <row r="5032" spans="2:3">
      <c r="B5032" s="118" t="s">
        <v>3555</v>
      </c>
      <c r="C5032" s="119">
        <v>9423</v>
      </c>
    </row>
    <row r="5033" spans="2:3">
      <c r="B5033" s="118" t="s">
        <v>2653</v>
      </c>
      <c r="C5033" s="119">
        <v>9425</v>
      </c>
    </row>
    <row r="5034" spans="2:3">
      <c r="B5034" s="118" t="s">
        <v>3553</v>
      </c>
      <c r="C5034" s="119">
        <v>9435</v>
      </c>
    </row>
    <row r="5035" spans="2:3">
      <c r="B5035" s="118" t="s">
        <v>2656</v>
      </c>
      <c r="C5035" s="119">
        <v>9443</v>
      </c>
    </row>
    <row r="5036" spans="2:3">
      <c r="B5036" s="118" t="s">
        <v>3543</v>
      </c>
      <c r="C5036" s="119">
        <v>9058</v>
      </c>
    </row>
    <row r="5037" spans="2:3">
      <c r="B5037" s="118" t="s">
        <v>3518</v>
      </c>
      <c r="C5037" s="119">
        <v>9450</v>
      </c>
    </row>
    <row r="5038" spans="2:3">
      <c r="B5038" s="118" t="s">
        <v>3537</v>
      </c>
      <c r="C5038" s="119">
        <v>9450</v>
      </c>
    </row>
    <row r="5039" spans="2:3">
      <c r="B5039" s="118" t="s">
        <v>3556</v>
      </c>
      <c r="C5039" s="119">
        <v>9452</v>
      </c>
    </row>
    <row r="5040" spans="2:3">
      <c r="B5040" s="118" t="s">
        <v>1869</v>
      </c>
      <c r="C5040" s="119">
        <v>9453</v>
      </c>
    </row>
    <row r="5041" spans="2:3">
      <c r="B5041" s="118" t="s">
        <v>3557</v>
      </c>
      <c r="C5041" s="119">
        <v>9463</v>
      </c>
    </row>
    <row r="5042" spans="2:3">
      <c r="B5042" s="118" t="s">
        <v>3558</v>
      </c>
      <c r="C5042" s="119">
        <v>9464</v>
      </c>
    </row>
    <row r="5043" spans="2:3">
      <c r="B5043" s="118" t="s">
        <v>3559</v>
      </c>
      <c r="C5043" s="119">
        <v>9464</v>
      </c>
    </row>
    <row r="5044" spans="2:3">
      <c r="B5044" s="118" t="s">
        <v>3556</v>
      </c>
      <c r="C5044" s="119">
        <v>9452</v>
      </c>
    </row>
    <row r="5045" spans="2:3">
      <c r="B5045" s="118" t="s">
        <v>1869</v>
      </c>
      <c r="C5045" s="119">
        <v>9453</v>
      </c>
    </row>
    <row r="5046" spans="2:3">
      <c r="B5046" s="118" t="s">
        <v>3528</v>
      </c>
      <c r="C5046" s="119">
        <v>9437</v>
      </c>
    </row>
    <row r="5047" spans="2:3">
      <c r="B5047" s="118" t="s">
        <v>1840</v>
      </c>
      <c r="C5047" s="119">
        <v>9436</v>
      </c>
    </row>
    <row r="5048" spans="2:3">
      <c r="B5048" s="118" t="s">
        <v>3560</v>
      </c>
      <c r="C5048" s="119">
        <v>9451</v>
      </c>
    </row>
    <row r="5049" spans="2:3">
      <c r="B5049" s="118" t="s">
        <v>3561</v>
      </c>
      <c r="C5049" s="119">
        <v>9462</v>
      </c>
    </row>
    <row r="5050" spans="2:3">
      <c r="B5050" s="118" t="s">
        <v>3557</v>
      </c>
      <c r="C5050" s="119">
        <v>9463</v>
      </c>
    </row>
    <row r="5051" spans="2:3">
      <c r="B5051" s="118" t="s">
        <v>3528</v>
      </c>
      <c r="C5051" s="119">
        <v>9437</v>
      </c>
    </row>
    <row r="5052" spans="2:3">
      <c r="B5052" s="118" t="s">
        <v>1841</v>
      </c>
      <c r="C5052" s="119">
        <v>9445</v>
      </c>
    </row>
    <row r="5053" spans="2:3">
      <c r="B5053" s="118" t="s">
        <v>3557</v>
      </c>
      <c r="C5053" s="119">
        <v>9463</v>
      </c>
    </row>
    <row r="5054" spans="2:3">
      <c r="B5054" s="118" t="s">
        <v>3558</v>
      </c>
      <c r="C5054" s="119">
        <v>9464</v>
      </c>
    </row>
    <row r="5055" spans="2:3">
      <c r="B5055" s="118" t="s">
        <v>3559</v>
      </c>
      <c r="C5055" s="119">
        <v>9464</v>
      </c>
    </row>
    <row r="5056" spans="2:3">
      <c r="B5056" s="118" t="s">
        <v>3562</v>
      </c>
      <c r="C5056" s="119">
        <v>9469</v>
      </c>
    </row>
    <row r="5057" spans="2:3">
      <c r="B5057" s="118" t="s">
        <v>3563</v>
      </c>
      <c r="C5057" s="119">
        <v>9470</v>
      </c>
    </row>
    <row r="5058" spans="2:3">
      <c r="B5058" s="118" t="s">
        <v>1854</v>
      </c>
      <c r="C5058" s="119">
        <v>9473</v>
      </c>
    </row>
    <row r="5059" spans="2:3">
      <c r="B5059" s="118" t="s">
        <v>3564</v>
      </c>
      <c r="C5059" s="119">
        <v>9658</v>
      </c>
    </row>
    <row r="5060" spans="2:3">
      <c r="B5060" s="118" t="s">
        <v>3562</v>
      </c>
      <c r="C5060" s="119">
        <v>9469</v>
      </c>
    </row>
    <row r="5061" spans="2:3">
      <c r="B5061" s="118" t="s">
        <v>3563</v>
      </c>
      <c r="C5061" s="119">
        <v>9470</v>
      </c>
    </row>
    <row r="5062" spans="2:3">
      <c r="B5062" s="118" t="s">
        <v>3565</v>
      </c>
      <c r="C5062" s="119">
        <v>9470</v>
      </c>
    </row>
    <row r="5063" spans="2:3">
      <c r="B5063" s="118" t="s">
        <v>2644</v>
      </c>
      <c r="C5063" s="119">
        <v>9472</v>
      </c>
    </row>
    <row r="5064" spans="2:3">
      <c r="B5064" s="118" t="s">
        <v>3566</v>
      </c>
      <c r="C5064" s="119">
        <v>9472</v>
      </c>
    </row>
    <row r="5065" spans="2:3">
      <c r="B5065" s="118" t="s">
        <v>3564</v>
      </c>
      <c r="C5065" s="119">
        <v>9658</v>
      </c>
    </row>
    <row r="5066" spans="2:3">
      <c r="B5066" s="118" t="s">
        <v>3567</v>
      </c>
      <c r="C5066" s="119">
        <v>9465</v>
      </c>
    </row>
    <row r="5067" spans="2:3">
      <c r="B5067" s="118" t="s">
        <v>1830</v>
      </c>
      <c r="C5067" s="119">
        <v>9466</v>
      </c>
    </row>
    <row r="5068" spans="2:3">
      <c r="B5068" s="118" t="s">
        <v>3544</v>
      </c>
      <c r="C5068" s="119">
        <v>9467</v>
      </c>
    </row>
    <row r="5069" spans="2:3">
      <c r="B5069" s="118" t="s">
        <v>3568</v>
      </c>
      <c r="C5069" s="119">
        <v>9468</v>
      </c>
    </row>
    <row r="5070" spans="2:3">
      <c r="B5070" s="118" t="s">
        <v>3562</v>
      </c>
      <c r="C5070" s="119">
        <v>9469</v>
      </c>
    </row>
    <row r="5071" spans="2:3">
      <c r="B5071" s="118" t="s">
        <v>1854</v>
      </c>
      <c r="C5071" s="119">
        <v>9473</v>
      </c>
    </row>
    <row r="5072" spans="2:3">
      <c r="B5072" s="118" t="s">
        <v>3563</v>
      </c>
      <c r="C5072" s="119">
        <v>9470</v>
      </c>
    </row>
    <row r="5073" spans="2:3">
      <c r="B5073" s="118" t="s">
        <v>1833</v>
      </c>
      <c r="C5073" s="119">
        <v>9475</v>
      </c>
    </row>
    <row r="5074" spans="2:3">
      <c r="B5074" s="118" t="s">
        <v>3569</v>
      </c>
      <c r="C5074" s="119">
        <v>9476</v>
      </c>
    </row>
    <row r="5075" spans="2:3">
      <c r="B5075" s="118" t="s">
        <v>1829</v>
      </c>
      <c r="C5075" s="119">
        <v>7320</v>
      </c>
    </row>
    <row r="5076" spans="2:3">
      <c r="B5076" s="118" t="s">
        <v>3569</v>
      </c>
      <c r="C5076" s="119">
        <v>9476</v>
      </c>
    </row>
    <row r="5077" spans="2:3">
      <c r="B5077" s="118" t="s">
        <v>3570</v>
      </c>
      <c r="C5077" s="119">
        <v>9476</v>
      </c>
    </row>
    <row r="5078" spans="2:3">
      <c r="B5078" s="118" t="s">
        <v>3571</v>
      </c>
      <c r="C5078" s="119">
        <v>9477</v>
      </c>
    </row>
    <row r="5079" spans="2:3">
      <c r="B5079" s="118" t="s">
        <v>3572</v>
      </c>
      <c r="C5079" s="119">
        <v>9478</v>
      </c>
    </row>
    <row r="5080" spans="2:3">
      <c r="B5080" s="118" t="s">
        <v>3573</v>
      </c>
      <c r="C5080" s="119">
        <v>9479</v>
      </c>
    </row>
    <row r="5081" spans="2:3">
      <c r="B5081" s="118" t="s">
        <v>3574</v>
      </c>
      <c r="C5081" s="119">
        <v>9479</v>
      </c>
    </row>
    <row r="5082" spans="2:3">
      <c r="B5082" s="118" t="s">
        <v>3575</v>
      </c>
      <c r="C5082" s="119">
        <v>9479</v>
      </c>
    </row>
    <row r="5083" spans="2:3">
      <c r="B5083" s="118" t="s">
        <v>2636</v>
      </c>
      <c r="C5083" s="119">
        <v>7310</v>
      </c>
    </row>
    <row r="5084" spans="2:3">
      <c r="B5084" s="118" t="s">
        <v>3576</v>
      </c>
      <c r="C5084" s="119">
        <v>7317</v>
      </c>
    </row>
    <row r="5085" spans="2:3">
      <c r="B5085" s="118" t="s">
        <v>3577</v>
      </c>
      <c r="C5085" s="119">
        <v>8888</v>
      </c>
    </row>
    <row r="5086" spans="2:3">
      <c r="B5086" s="118" t="s">
        <v>1835</v>
      </c>
      <c r="C5086" s="119">
        <v>8890</v>
      </c>
    </row>
    <row r="5087" spans="2:3">
      <c r="B5087" s="118" t="s">
        <v>3578</v>
      </c>
      <c r="C5087" s="119">
        <v>8892</v>
      </c>
    </row>
    <row r="5088" spans="2:3">
      <c r="B5088" s="118" t="s">
        <v>3579</v>
      </c>
      <c r="C5088" s="119">
        <v>8893</v>
      </c>
    </row>
    <row r="5089" spans="2:3">
      <c r="B5089" s="118" t="s">
        <v>3580</v>
      </c>
      <c r="C5089" s="119">
        <v>8894</v>
      </c>
    </row>
    <row r="5090" spans="2:3">
      <c r="B5090" s="118" t="s">
        <v>3581</v>
      </c>
      <c r="C5090" s="119">
        <v>8895</v>
      </c>
    </row>
    <row r="5091" spans="2:3">
      <c r="B5091" s="118" t="s">
        <v>3582</v>
      </c>
      <c r="C5091" s="119">
        <v>8896</v>
      </c>
    </row>
    <row r="5092" spans="2:3">
      <c r="B5092" s="118" t="s">
        <v>3583</v>
      </c>
      <c r="C5092" s="119">
        <v>8897</v>
      </c>
    </row>
    <row r="5093" spans="2:3">
      <c r="B5093" s="118" t="s">
        <v>3584</v>
      </c>
      <c r="C5093" s="119">
        <v>8898</v>
      </c>
    </row>
    <row r="5094" spans="2:3">
      <c r="B5094" s="118" t="s">
        <v>3585</v>
      </c>
      <c r="C5094" s="119">
        <v>7325</v>
      </c>
    </row>
    <row r="5095" spans="2:3">
      <c r="B5095" s="118" t="s">
        <v>3586</v>
      </c>
      <c r="C5095" s="119">
        <v>7326</v>
      </c>
    </row>
    <row r="5096" spans="2:3">
      <c r="B5096" s="118" t="s">
        <v>3587</v>
      </c>
      <c r="C5096" s="119">
        <v>8886</v>
      </c>
    </row>
    <row r="5097" spans="2:3">
      <c r="B5097" s="118" t="s">
        <v>2646</v>
      </c>
      <c r="C5097" s="119">
        <v>8887</v>
      </c>
    </row>
    <row r="5098" spans="2:3">
      <c r="B5098" s="118" t="s">
        <v>3577</v>
      </c>
      <c r="C5098" s="119">
        <v>8888</v>
      </c>
    </row>
    <row r="5099" spans="2:3">
      <c r="B5099" s="118" t="s">
        <v>3588</v>
      </c>
      <c r="C5099" s="119">
        <v>8889</v>
      </c>
    </row>
    <row r="5100" spans="2:3">
      <c r="B5100" s="118" t="s">
        <v>1866</v>
      </c>
      <c r="C5100" s="119">
        <v>7312</v>
      </c>
    </row>
    <row r="5101" spans="2:3">
      <c r="B5101" s="118" t="s">
        <v>3589</v>
      </c>
      <c r="C5101" s="119">
        <v>7313</v>
      </c>
    </row>
    <row r="5102" spans="2:3">
      <c r="B5102" s="118" t="s">
        <v>3590</v>
      </c>
      <c r="C5102" s="119">
        <v>7314</v>
      </c>
    </row>
    <row r="5103" spans="2:3">
      <c r="B5103" s="118" t="s">
        <v>3591</v>
      </c>
      <c r="C5103" s="119">
        <v>7315</v>
      </c>
    </row>
    <row r="5104" spans="2:3">
      <c r="B5104" s="118" t="s">
        <v>3576</v>
      </c>
      <c r="C5104" s="119">
        <v>7317</v>
      </c>
    </row>
    <row r="5105" spans="2:3">
      <c r="B5105" s="118" t="s">
        <v>3592</v>
      </c>
      <c r="C5105" s="119">
        <v>7317</v>
      </c>
    </row>
    <row r="5106" spans="2:3">
      <c r="B5106" s="118" t="s">
        <v>3593</v>
      </c>
      <c r="C5106" s="119">
        <v>8877</v>
      </c>
    </row>
    <row r="5107" spans="2:3">
      <c r="B5107" s="118" t="s">
        <v>3594</v>
      </c>
      <c r="C5107" s="119">
        <v>8878</v>
      </c>
    </row>
    <row r="5108" spans="2:3">
      <c r="B5108" s="118" t="s">
        <v>3595</v>
      </c>
      <c r="C5108" s="119">
        <v>8882</v>
      </c>
    </row>
    <row r="5109" spans="2:3">
      <c r="B5109" s="118" t="s">
        <v>2649</v>
      </c>
      <c r="C5109" s="119">
        <v>8883</v>
      </c>
    </row>
    <row r="5110" spans="2:3">
      <c r="B5110" s="118" t="s">
        <v>3596</v>
      </c>
      <c r="C5110" s="119">
        <v>8884</v>
      </c>
    </row>
    <row r="5111" spans="2:3">
      <c r="B5111" s="118" t="s">
        <v>3597</v>
      </c>
      <c r="C5111" s="119">
        <v>8885</v>
      </c>
    </row>
    <row r="5112" spans="2:3">
      <c r="B5112" s="118" t="s">
        <v>3582</v>
      </c>
      <c r="C5112" s="119">
        <v>8896</v>
      </c>
    </row>
    <row r="5113" spans="2:3">
      <c r="B5113" s="118" t="s">
        <v>3584</v>
      </c>
      <c r="C5113" s="119">
        <v>8898</v>
      </c>
    </row>
    <row r="5114" spans="2:3">
      <c r="B5114" s="118" t="s">
        <v>1829</v>
      </c>
      <c r="C5114" s="119">
        <v>7320</v>
      </c>
    </row>
    <row r="5115" spans="2:3">
      <c r="B5115" s="118" t="s">
        <v>3577</v>
      </c>
      <c r="C5115" s="119">
        <v>8888</v>
      </c>
    </row>
    <row r="5116" spans="2:3">
      <c r="B5116" s="118" t="s">
        <v>3598</v>
      </c>
      <c r="C5116" s="119">
        <v>7323</v>
      </c>
    </row>
    <row r="5117" spans="2:3">
      <c r="B5117" s="118" t="s">
        <v>3598</v>
      </c>
      <c r="C5117" s="119">
        <v>7323</v>
      </c>
    </row>
    <row r="5118" spans="2:3">
      <c r="B5118" s="118" t="s">
        <v>3599</v>
      </c>
      <c r="C5118" s="119">
        <v>7324</v>
      </c>
    </row>
    <row r="5119" spans="2:3">
      <c r="B5119" s="118" t="s">
        <v>3594</v>
      </c>
      <c r="C5119" s="119">
        <v>8878</v>
      </c>
    </row>
    <row r="5120" spans="2:3">
      <c r="B5120" s="118" t="s">
        <v>1827</v>
      </c>
      <c r="C5120" s="119">
        <v>8880</v>
      </c>
    </row>
    <row r="5121" spans="2:3">
      <c r="B5121" s="118" t="s">
        <v>3600</v>
      </c>
      <c r="C5121" s="119">
        <v>8881</v>
      </c>
    </row>
    <row r="5122" spans="2:3">
      <c r="B5122" s="118" t="s">
        <v>3601</v>
      </c>
      <c r="C5122" s="119">
        <v>8881</v>
      </c>
    </row>
    <row r="5123" spans="2:3">
      <c r="B5123" s="118" t="s">
        <v>1835</v>
      </c>
      <c r="C5123" s="119">
        <v>8890</v>
      </c>
    </row>
    <row r="5124" spans="2:3">
      <c r="B5124" s="118" t="s">
        <v>3578</v>
      </c>
      <c r="C5124" s="119">
        <v>8892</v>
      </c>
    </row>
    <row r="5125" spans="2:3">
      <c r="B5125" s="118" t="s">
        <v>3579</v>
      </c>
      <c r="C5125" s="119">
        <v>8893</v>
      </c>
    </row>
    <row r="5126" spans="2:3">
      <c r="B5126" s="118" t="s">
        <v>3582</v>
      </c>
      <c r="C5126" s="119">
        <v>8896</v>
      </c>
    </row>
    <row r="5127" spans="2:3">
      <c r="B5127" s="118" t="s">
        <v>1865</v>
      </c>
      <c r="C5127" s="119">
        <v>8872</v>
      </c>
    </row>
    <row r="5128" spans="2:3">
      <c r="B5128" s="118" t="s">
        <v>1864</v>
      </c>
      <c r="C5128" s="119">
        <v>8873</v>
      </c>
    </row>
    <row r="5129" spans="2:3">
      <c r="B5129" s="118" t="s">
        <v>3602</v>
      </c>
      <c r="C5129" s="119">
        <v>8717</v>
      </c>
    </row>
    <row r="5130" spans="2:3">
      <c r="B5130" s="118" t="s">
        <v>3196</v>
      </c>
      <c r="C5130" s="119">
        <v>8863</v>
      </c>
    </row>
    <row r="5131" spans="2:3">
      <c r="B5131" s="118" t="s">
        <v>3602</v>
      </c>
      <c r="C5131" s="119">
        <v>8717</v>
      </c>
    </row>
    <row r="5132" spans="2:3">
      <c r="B5132" s="118" t="s">
        <v>1837</v>
      </c>
      <c r="C5132" s="119">
        <v>8722</v>
      </c>
    </row>
    <row r="5133" spans="2:3">
      <c r="B5133" s="118" t="s">
        <v>1846</v>
      </c>
      <c r="C5133" s="119">
        <v>8718</v>
      </c>
    </row>
    <row r="5134" spans="2:3">
      <c r="B5134" s="118" t="s">
        <v>1837</v>
      </c>
      <c r="C5134" s="119">
        <v>8722</v>
      </c>
    </row>
    <row r="5135" spans="2:3">
      <c r="B5135" s="118" t="s">
        <v>3603</v>
      </c>
      <c r="C5135" s="119">
        <v>8723</v>
      </c>
    </row>
    <row r="5136" spans="2:3">
      <c r="B5136" s="118" t="s">
        <v>3604</v>
      </c>
      <c r="C5136" s="119">
        <v>8723</v>
      </c>
    </row>
    <row r="5137" spans="2:3">
      <c r="B5137" s="118" t="s">
        <v>3232</v>
      </c>
      <c r="C5137" s="119">
        <v>8866</v>
      </c>
    </row>
    <row r="5138" spans="2:3">
      <c r="B5138" s="118" t="s">
        <v>1865</v>
      </c>
      <c r="C5138" s="119">
        <v>8872</v>
      </c>
    </row>
    <row r="5139" spans="2:3">
      <c r="B5139" s="118" t="s">
        <v>1848</v>
      </c>
      <c r="C5139" s="119">
        <v>8716</v>
      </c>
    </row>
    <row r="5140" spans="2:3">
      <c r="B5140" s="118" t="s">
        <v>1825</v>
      </c>
      <c r="C5140" s="119">
        <v>8730</v>
      </c>
    </row>
    <row r="5141" spans="2:3">
      <c r="B5141" s="118" t="s">
        <v>1848</v>
      </c>
      <c r="C5141" s="119">
        <v>8716</v>
      </c>
    </row>
    <row r="5142" spans="2:3">
      <c r="B5142" s="118" t="s">
        <v>1825</v>
      </c>
      <c r="C5142" s="119">
        <v>8730</v>
      </c>
    </row>
    <row r="5143" spans="2:3">
      <c r="B5143" s="118" t="s">
        <v>2779</v>
      </c>
      <c r="C5143" s="119">
        <v>8630</v>
      </c>
    </row>
    <row r="5144" spans="2:3">
      <c r="B5144" s="118" t="s">
        <v>2811</v>
      </c>
      <c r="C5144" s="119">
        <v>8633</v>
      </c>
    </row>
    <row r="5145" spans="2:3">
      <c r="B5145" s="118" t="s">
        <v>1624</v>
      </c>
      <c r="C5145" s="119">
        <v>8640</v>
      </c>
    </row>
    <row r="5146" spans="2:3">
      <c r="B5146" s="118" t="s">
        <v>1623</v>
      </c>
      <c r="C5146" s="119">
        <v>8645</v>
      </c>
    </row>
    <row r="5147" spans="2:3">
      <c r="B5147" s="118" t="s">
        <v>1621</v>
      </c>
      <c r="C5147" s="119">
        <v>8646</v>
      </c>
    </row>
    <row r="5148" spans="2:3">
      <c r="B5148" s="118" t="s">
        <v>2729</v>
      </c>
      <c r="C5148" s="119">
        <v>8714</v>
      </c>
    </row>
    <row r="5149" spans="2:3">
      <c r="B5149" s="118" t="s">
        <v>1622</v>
      </c>
      <c r="C5149" s="119">
        <v>8715</v>
      </c>
    </row>
    <row r="5150" spans="2:3">
      <c r="B5150" s="118" t="s">
        <v>3605</v>
      </c>
      <c r="C5150" s="119">
        <v>8734</v>
      </c>
    </row>
    <row r="5151" spans="2:3">
      <c r="B5151" s="118" t="s">
        <v>3606</v>
      </c>
      <c r="C5151" s="119">
        <v>8725</v>
      </c>
    </row>
    <row r="5152" spans="2:3">
      <c r="B5152" s="118" t="s">
        <v>3607</v>
      </c>
      <c r="C5152" s="119">
        <v>8725</v>
      </c>
    </row>
    <row r="5153" spans="2:3">
      <c r="B5153" s="118" t="s">
        <v>3608</v>
      </c>
      <c r="C5153" s="119">
        <v>8726</v>
      </c>
    </row>
    <row r="5154" spans="2:3">
      <c r="B5154" s="118" t="s">
        <v>1825</v>
      </c>
      <c r="C5154" s="119">
        <v>8730</v>
      </c>
    </row>
    <row r="5155" spans="2:3">
      <c r="B5155" s="118" t="s">
        <v>1832</v>
      </c>
      <c r="C5155" s="119">
        <v>8737</v>
      </c>
    </row>
    <row r="5156" spans="2:3">
      <c r="B5156" s="118" t="s">
        <v>3609</v>
      </c>
      <c r="C5156" s="119">
        <v>8738</v>
      </c>
    </row>
    <row r="5157" spans="2:3">
      <c r="B5157" s="118" t="s">
        <v>3610</v>
      </c>
      <c r="C5157" s="119">
        <v>8739</v>
      </c>
    </row>
    <row r="5158" spans="2:3">
      <c r="B5158" s="118" t="s">
        <v>2799</v>
      </c>
      <c r="C5158" s="119">
        <v>8636</v>
      </c>
    </row>
    <row r="5159" spans="2:3">
      <c r="B5159" s="118" t="s">
        <v>2756</v>
      </c>
      <c r="C5159" s="119">
        <v>8637</v>
      </c>
    </row>
    <row r="5160" spans="2:3">
      <c r="B5160" s="118" t="s">
        <v>3611</v>
      </c>
      <c r="C5160" s="119">
        <v>8638</v>
      </c>
    </row>
    <row r="5161" spans="2:3">
      <c r="B5161" s="118" t="s">
        <v>3607</v>
      </c>
      <c r="C5161" s="119">
        <v>8725</v>
      </c>
    </row>
    <row r="5162" spans="2:3">
      <c r="B5162" s="118" t="s">
        <v>3612</v>
      </c>
      <c r="C5162" s="119">
        <v>8727</v>
      </c>
    </row>
    <row r="5163" spans="2:3">
      <c r="B5163" s="118" t="s">
        <v>3613</v>
      </c>
      <c r="C5163" s="119">
        <v>8732</v>
      </c>
    </row>
    <row r="5164" spans="2:3">
      <c r="B5164" s="118" t="s">
        <v>3614</v>
      </c>
      <c r="C5164" s="119">
        <v>8733</v>
      </c>
    </row>
    <row r="5165" spans="2:3">
      <c r="B5165" s="118" t="s">
        <v>3605</v>
      </c>
      <c r="C5165" s="119">
        <v>8734</v>
      </c>
    </row>
    <row r="5166" spans="2:3">
      <c r="B5166" s="118" t="s">
        <v>3615</v>
      </c>
      <c r="C5166" s="119">
        <v>8735</v>
      </c>
    </row>
    <row r="5167" spans="2:3">
      <c r="B5167" s="118" t="s">
        <v>3616</v>
      </c>
      <c r="C5167" s="119">
        <v>8735</v>
      </c>
    </row>
    <row r="5168" spans="2:3">
      <c r="B5168" s="118" t="s">
        <v>1875</v>
      </c>
      <c r="C5168" s="119">
        <v>9633</v>
      </c>
    </row>
    <row r="5169" spans="2:3">
      <c r="B5169" s="118" t="s">
        <v>1834</v>
      </c>
      <c r="C5169" s="119">
        <v>9642</v>
      </c>
    </row>
    <row r="5170" spans="2:3">
      <c r="B5170" s="118" t="s">
        <v>3617</v>
      </c>
      <c r="C5170" s="119">
        <v>9643</v>
      </c>
    </row>
    <row r="5171" spans="2:3">
      <c r="B5171" s="118" t="s">
        <v>1883</v>
      </c>
      <c r="C5171" s="119">
        <v>9107</v>
      </c>
    </row>
    <row r="5172" spans="2:3">
      <c r="B5172" s="118" t="s">
        <v>3618</v>
      </c>
      <c r="C5172" s="119">
        <v>9656</v>
      </c>
    </row>
    <row r="5173" spans="2:3">
      <c r="B5173" s="118" t="s">
        <v>3619</v>
      </c>
      <c r="C5173" s="119">
        <v>9657</v>
      </c>
    </row>
    <row r="5174" spans="2:3">
      <c r="B5174" s="118" t="s">
        <v>3564</v>
      </c>
      <c r="C5174" s="119">
        <v>9658</v>
      </c>
    </row>
    <row r="5175" spans="2:3">
      <c r="B5175" s="118" t="s">
        <v>1883</v>
      </c>
      <c r="C5175" s="119">
        <v>9107</v>
      </c>
    </row>
    <row r="5176" spans="2:3">
      <c r="B5176" s="118" t="s">
        <v>1875</v>
      </c>
      <c r="C5176" s="119">
        <v>9633</v>
      </c>
    </row>
    <row r="5177" spans="2:3">
      <c r="B5177" s="118" t="s">
        <v>3617</v>
      </c>
      <c r="C5177" s="119">
        <v>9643</v>
      </c>
    </row>
    <row r="5178" spans="2:3">
      <c r="B5178" s="118" t="s">
        <v>1849</v>
      </c>
      <c r="C5178" s="119">
        <v>9650</v>
      </c>
    </row>
    <row r="5179" spans="2:3">
      <c r="B5179" s="118" t="s">
        <v>3620</v>
      </c>
      <c r="C5179" s="119">
        <v>9651</v>
      </c>
    </row>
    <row r="5180" spans="2:3">
      <c r="B5180" s="118" t="s">
        <v>3621</v>
      </c>
      <c r="C5180" s="119">
        <v>9652</v>
      </c>
    </row>
    <row r="5181" spans="2:3">
      <c r="B5181" s="118" t="s">
        <v>3622</v>
      </c>
      <c r="C5181" s="119">
        <v>9655</v>
      </c>
    </row>
    <row r="5182" spans="2:3">
      <c r="B5182" s="118" t="s">
        <v>1863</v>
      </c>
      <c r="C5182" s="119">
        <v>9620</v>
      </c>
    </row>
    <row r="5183" spans="2:3">
      <c r="B5183" s="118" t="s">
        <v>3608</v>
      </c>
      <c r="C5183" s="119">
        <v>8726</v>
      </c>
    </row>
    <row r="5184" spans="2:3">
      <c r="B5184" s="118" t="s">
        <v>3623</v>
      </c>
      <c r="C5184" s="119">
        <v>9615</v>
      </c>
    </row>
    <row r="5185" spans="2:3">
      <c r="B5185" s="118" t="s">
        <v>1863</v>
      </c>
      <c r="C5185" s="119">
        <v>9620</v>
      </c>
    </row>
    <row r="5186" spans="2:3">
      <c r="B5186" s="118" t="s">
        <v>3624</v>
      </c>
      <c r="C5186" s="119">
        <v>9622</v>
      </c>
    </row>
    <row r="5187" spans="2:3">
      <c r="B5187" s="118" t="s">
        <v>2655</v>
      </c>
      <c r="C5187" s="119">
        <v>9630</v>
      </c>
    </row>
    <row r="5188" spans="2:3">
      <c r="B5188" s="118" t="s">
        <v>3625</v>
      </c>
      <c r="C5188" s="119">
        <v>9631</v>
      </c>
    </row>
    <row r="5189" spans="2:3">
      <c r="B5189" s="118" t="s">
        <v>1875</v>
      </c>
      <c r="C5189" s="119">
        <v>9633</v>
      </c>
    </row>
    <row r="5190" spans="2:3">
      <c r="B5190" s="118" t="s">
        <v>1834</v>
      </c>
      <c r="C5190" s="119">
        <v>9642</v>
      </c>
    </row>
    <row r="5191" spans="2:3">
      <c r="B5191" s="118" t="s">
        <v>1937</v>
      </c>
      <c r="C5191" s="119">
        <v>8376</v>
      </c>
    </row>
    <row r="5192" spans="2:3">
      <c r="B5192" s="118" t="s">
        <v>1626</v>
      </c>
      <c r="C5192" s="119">
        <v>9500</v>
      </c>
    </row>
    <row r="5193" spans="2:3">
      <c r="B5193" s="118" t="s">
        <v>3626</v>
      </c>
      <c r="C5193" s="119">
        <v>9532</v>
      </c>
    </row>
    <row r="5194" spans="2:3">
      <c r="B5194" s="118" t="s">
        <v>3627</v>
      </c>
      <c r="C5194" s="119">
        <v>9533</v>
      </c>
    </row>
    <row r="5195" spans="2:3">
      <c r="B5195" s="118" t="s">
        <v>3628</v>
      </c>
      <c r="C5195" s="119">
        <v>9533</v>
      </c>
    </row>
    <row r="5196" spans="2:3">
      <c r="B5196" s="118" t="s">
        <v>3629</v>
      </c>
      <c r="C5196" s="119">
        <v>9534</v>
      </c>
    </row>
    <row r="5197" spans="2:3">
      <c r="B5197" s="118" t="s">
        <v>3630</v>
      </c>
      <c r="C5197" s="119">
        <v>9601</v>
      </c>
    </row>
    <row r="5198" spans="2:3">
      <c r="B5198" s="118" t="s">
        <v>3631</v>
      </c>
      <c r="C5198" s="119">
        <v>9602</v>
      </c>
    </row>
    <row r="5199" spans="2:3">
      <c r="B5199" s="118" t="s">
        <v>3632</v>
      </c>
      <c r="C5199" s="119">
        <v>9602</v>
      </c>
    </row>
    <row r="5200" spans="2:3">
      <c r="B5200" s="118" t="s">
        <v>3633</v>
      </c>
      <c r="C5200" s="119">
        <v>9613</v>
      </c>
    </row>
    <row r="5201" spans="2:3">
      <c r="B5201" s="118" t="s">
        <v>3634</v>
      </c>
      <c r="C5201" s="119">
        <v>9123</v>
      </c>
    </row>
    <row r="5202" spans="2:3">
      <c r="B5202" s="118" t="s">
        <v>1847</v>
      </c>
      <c r="C5202" s="119">
        <v>9243</v>
      </c>
    </row>
    <row r="5203" spans="2:3">
      <c r="B5203" s="118" t="s">
        <v>3630</v>
      </c>
      <c r="C5203" s="119">
        <v>9601</v>
      </c>
    </row>
    <row r="5204" spans="2:3">
      <c r="B5204" s="118" t="s">
        <v>3631</v>
      </c>
      <c r="C5204" s="119">
        <v>9602</v>
      </c>
    </row>
    <row r="5205" spans="2:3">
      <c r="B5205" s="118" t="s">
        <v>1867</v>
      </c>
      <c r="C5205" s="119">
        <v>9604</v>
      </c>
    </row>
    <row r="5206" spans="2:3">
      <c r="B5206" s="118" t="s">
        <v>3635</v>
      </c>
      <c r="C5206" s="119">
        <v>9604</v>
      </c>
    </row>
    <row r="5207" spans="2:3">
      <c r="B5207" s="118" t="s">
        <v>3636</v>
      </c>
      <c r="C5207" s="119">
        <v>9604</v>
      </c>
    </row>
    <row r="5208" spans="2:3">
      <c r="B5208" s="118" t="s">
        <v>3637</v>
      </c>
      <c r="C5208" s="119">
        <v>9608</v>
      </c>
    </row>
    <row r="5209" spans="2:3">
      <c r="B5209" s="118" t="s">
        <v>3638</v>
      </c>
      <c r="C5209" s="119">
        <v>8376</v>
      </c>
    </row>
    <row r="5210" spans="2:3">
      <c r="B5210" s="118" t="s">
        <v>2787</v>
      </c>
      <c r="C5210" s="119">
        <v>8496</v>
      </c>
    </row>
    <row r="5211" spans="2:3">
      <c r="B5211" s="118" t="s">
        <v>3630</v>
      </c>
      <c r="C5211" s="119">
        <v>9601</v>
      </c>
    </row>
    <row r="5212" spans="2:3">
      <c r="B5212" s="118" t="s">
        <v>1857</v>
      </c>
      <c r="C5212" s="119">
        <v>9607</v>
      </c>
    </row>
    <row r="5213" spans="2:3">
      <c r="B5213" s="118" t="s">
        <v>3639</v>
      </c>
      <c r="C5213" s="119">
        <v>9612</v>
      </c>
    </row>
    <row r="5214" spans="2:3">
      <c r="B5214" s="118" t="s">
        <v>3633</v>
      </c>
      <c r="C5214" s="119">
        <v>9613</v>
      </c>
    </row>
    <row r="5215" spans="2:3">
      <c r="B5215" s="118" t="s">
        <v>3640</v>
      </c>
      <c r="C5215" s="119">
        <v>9614</v>
      </c>
    </row>
    <row r="5216" spans="2:3">
      <c r="B5216" s="118" t="s">
        <v>3623</v>
      </c>
      <c r="C5216" s="119">
        <v>9615</v>
      </c>
    </row>
    <row r="5217" spans="2:3">
      <c r="B5217" s="118" t="s">
        <v>2655</v>
      </c>
      <c r="C5217" s="119">
        <v>9630</v>
      </c>
    </row>
    <row r="5218" spans="2:3">
      <c r="B5218" s="118" t="s">
        <v>3630</v>
      </c>
      <c r="C5218" s="119">
        <v>9601</v>
      </c>
    </row>
    <row r="5219" spans="2:3">
      <c r="B5219" s="118" t="s">
        <v>3641</v>
      </c>
      <c r="C5219" s="119">
        <v>9606</v>
      </c>
    </row>
    <row r="5220" spans="2:3">
      <c r="B5220" s="118" t="s">
        <v>3637</v>
      </c>
      <c r="C5220" s="119">
        <v>9608</v>
      </c>
    </row>
    <row r="5221" spans="2:3">
      <c r="B5221" s="118" t="s">
        <v>3640</v>
      </c>
      <c r="C5221" s="119">
        <v>9614</v>
      </c>
    </row>
    <row r="5222" spans="2:3">
      <c r="B5222" s="118" t="s">
        <v>3623</v>
      </c>
      <c r="C5222" s="119">
        <v>9615</v>
      </c>
    </row>
    <row r="5223" spans="2:3">
      <c r="B5223" s="118" t="s">
        <v>1863</v>
      </c>
      <c r="C5223" s="119">
        <v>9620</v>
      </c>
    </row>
    <row r="5224" spans="2:3">
      <c r="B5224" s="118" t="s">
        <v>1872</v>
      </c>
      <c r="C5224" s="119">
        <v>9621</v>
      </c>
    </row>
    <row r="5225" spans="2:3">
      <c r="B5225" s="118" t="s">
        <v>1890</v>
      </c>
      <c r="C5225" s="119">
        <v>9103</v>
      </c>
    </row>
    <row r="5226" spans="2:3">
      <c r="B5226" s="118" t="s">
        <v>1897</v>
      </c>
      <c r="C5226" s="119">
        <v>9105</v>
      </c>
    </row>
    <row r="5227" spans="2:3">
      <c r="B5227" s="118" t="s">
        <v>1883</v>
      </c>
      <c r="C5227" s="119">
        <v>9107</v>
      </c>
    </row>
    <row r="5228" spans="2:3">
      <c r="B5228" s="118" t="s">
        <v>1844</v>
      </c>
      <c r="C5228" s="119">
        <v>9113</v>
      </c>
    </row>
    <row r="5229" spans="2:3">
      <c r="B5229" s="118" t="s">
        <v>3642</v>
      </c>
      <c r="C5229" s="119">
        <v>9114</v>
      </c>
    </row>
    <row r="5230" spans="2:3">
      <c r="B5230" s="118" t="s">
        <v>3643</v>
      </c>
      <c r="C5230" s="119">
        <v>9115</v>
      </c>
    </row>
    <row r="5231" spans="2:3">
      <c r="B5231" s="118" t="s">
        <v>3644</v>
      </c>
      <c r="C5231" s="119">
        <v>9116</v>
      </c>
    </row>
    <row r="5232" spans="2:3">
      <c r="B5232" s="118" t="s">
        <v>3645</v>
      </c>
      <c r="C5232" s="119">
        <v>9122</v>
      </c>
    </row>
    <row r="5233" spans="2:3">
      <c r="B5233" s="118" t="s">
        <v>3646</v>
      </c>
      <c r="C5233" s="119">
        <v>9122</v>
      </c>
    </row>
    <row r="5234" spans="2:3">
      <c r="B5234" s="118" t="s">
        <v>3634</v>
      </c>
      <c r="C5234" s="119">
        <v>9123</v>
      </c>
    </row>
    <row r="5235" spans="2:3">
      <c r="B5235" s="118" t="s">
        <v>3647</v>
      </c>
      <c r="C5235" s="119">
        <v>9125</v>
      </c>
    </row>
    <row r="5236" spans="2:3">
      <c r="B5236" s="118" t="s">
        <v>3648</v>
      </c>
      <c r="C5236" s="119">
        <v>9126</v>
      </c>
    </row>
    <row r="5237" spans="2:3">
      <c r="B5237" s="118" t="s">
        <v>3649</v>
      </c>
      <c r="C5237" s="119">
        <v>9127</v>
      </c>
    </row>
    <row r="5238" spans="2:3">
      <c r="B5238" s="118" t="s">
        <v>1863</v>
      </c>
      <c r="C5238" s="119">
        <v>9620</v>
      </c>
    </row>
    <row r="5239" spans="2:3">
      <c r="B5239" s="118" t="s">
        <v>1872</v>
      </c>
      <c r="C5239" s="119">
        <v>9621</v>
      </c>
    </row>
    <row r="5240" spans="2:3">
      <c r="B5240" s="118" t="s">
        <v>2655</v>
      </c>
      <c r="C5240" s="119">
        <v>9630</v>
      </c>
    </row>
    <row r="5241" spans="2:3">
      <c r="B5241" s="118" t="s">
        <v>1875</v>
      </c>
      <c r="C5241" s="119">
        <v>9633</v>
      </c>
    </row>
    <row r="5242" spans="2:3">
      <c r="B5242" s="118" t="s">
        <v>3650</v>
      </c>
      <c r="C5242" s="119">
        <v>9633</v>
      </c>
    </row>
    <row r="5243" spans="2:3">
      <c r="B5243" s="118" t="s">
        <v>1844</v>
      </c>
      <c r="C5243" s="119">
        <v>9113</v>
      </c>
    </row>
    <row r="5244" spans="2:3">
      <c r="B5244" s="118" t="s">
        <v>3644</v>
      </c>
      <c r="C5244" s="119">
        <v>9116</v>
      </c>
    </row>
    <row r="5245" spans="2:3">
      <c r="B5245" s="118" t="s">
        <v>2640</v>
      </c>
      <c r="C5245" s="119">
        <v>9230</v>
      </c>
    </row>
    <row r="5246" spans="2:3">
      <c r="B5246" s="118" t="s">
        <v>1844</v>
      </c>
      <c r="C5246" s="119">
        <v>9113</v>
      </c>
    </row>
    <row r="5247" spans="2:3">
      <c r="B5247" s="118" t="s">
        <v>1629</v>
      </c>
      <c r="C5247" s="119">
        <v>9200</v>
      </c>
    </row>
    <row r="5248" spans="2:3">
      <c r="B5248" s="118" t="s">
        <v>2640</v>
      </c>
      <c r="C5248" s="119">
        <v>9230</v>
      </c>
    </row>
    <row r="5249" spans="2:3">
      <c r="B5249" s="118" t="s">
        <v>3651</v>
      </c>
      <c r="C5249" s="119">
        <v>9231</v>
      </c>
    </row>
    <row r="5250" spans="2:3">
      <c r="B5250" s="118" t="s">
        <v>2648</v>
      </c>
      <c r="C5250" s="119">
        <v>9242</v>
      </c>
    </row>
    <row r="5251" spans="2:3">
      <c r="B5251" s="118" t="s">
        <v>1847</v>
      </c>
      <c r="C5251" s="119">
        <v>9243</v>
      </c>
    </row>
    <row r="5252" spans="2:3">
      <c r="B5252" s="118" t="s">
        <v>3626</v>
      </c>
      <c r="C5252" s="119">
        <v>9532</v>
      </c>
    </row>
    <row r="5253" spans="2:3">
      <c r="B5253" s="118" t="s">
        <v>3652</v>
      </c>
      <c r="C5253" s="119">
        <v>9536</v>
      </c>
    </row>
    <row r="5254" spans="2:3">
      <c r="B5254" s="118" t="s">
        <v>3635</v>
      </c>
      <c r="C5254" s="119">
        <v>9604</v>
      </c>
    </row>
    <row r="5255" spans="2:3">
      <c r="B5255" s="118" t="s">
        <v>2640</v>
      </c>
      <c r="C5255" s="119">
        <v>9230</v>
      </c>
    </row>
    <row r="5256" spans="2:3">
      <c r="B5256" s="118" t="s">
        <v>3653</v>
      </c>
      <c r="C5256" s="119">
        <v>9240</v>
      </c>
    </row>
    <row r="5257" spans="2:3">
      <c r="B5257" s="118" t="s">
        <v>2648</v>
      </c>
      <c r="C5257" s="119">
        <v>9242</v>
      </c>
    </row>
    <row r="5258" spans="2:3">
      <c r="B5258" s="118" t="s">
        <v>3654</v>
      </c>
      <c r="C5258" s="119">
        <v>9244</v>
      </c>
    </row>
    <row r="5259" spans="2:3">
      <c r="B5259" s="118" t="s">
        <v>3655</v>
      </c>
      <c r="C5259" s="119">
        <v>9248</v>
      </c>
    </row>
    <row r="5260" spans="2:3">
      <c r="B5260" s="118" t="s">
        <v>3635</v>
      </c>
      <c r="C5260" s="119">
        <v>9604</v>
      </c>
    </row>
    <row r="5261" spans="2:3">
      <c r="B5261" s="118" t="s">
        <v>2654</v>
      </c>
      <c r="C5261" s="119">
        <v>9240</v>
      </c>
    </row>
    <row r="5262" spans="2:3">
      <c r="B5262" s="118" t="s">
        <v>2648</v>
      </c>
      <c r="C5262" s="119">
        <v>9242</v>
      </c>
    </row>
    <row r="5263" spans="2:3">
      <c r="B5263" s="118" t="s">
        <v>3654</v>
      </c>
      <c r="C5263" s="119">
        <v>9244</v>
      </c>
    </row>
    <row r="5264" spans="2:3">
      <c r="B5264" s="118" t="s">
        <v>3656</v>
      </c>
      <c r="C5264" s="119">
        <v>9247</v>
      </c>
    </row>
    <row r="5265" spans="2:3">
      <c r="B5265" s="118" t="s">
        <v>3657</v>
      </c>
      <c r="C5265" s="119">
        <v>9249</v>
      </c>
    </row>
    <row r="5266" spans="2:3">
      <c r="B5266" s="118" t="s">
        <v>3658</v>
      </c>
      <c r="C5266" s="119">
        <v>9249</v>
      </c>
    </row>
    <row r="5267" spans="2:3">
      <c r="B5267" s="118" t="s">
        <v>3659</v>
      </c>
      <c r="C5267" s="119">
        <v>9249</v>
      </c>
    </row>
    <row r="5268" spans="2:3">
      <c r="B5268" s="118" t="s">
        <v>3652</v>
      </c>
      <c r="C5268" s="119">
        <v>9536</v>
      </c>
    </row>
    <row r="5269" spans="2:3">
      <c r="B5269" s="118" t="s">
        <v>1629</v>
      </c>
      <c r="C5269" s="119">
        <v>9200</v>
      </c>
    </row>
    <row r="5270" spans="2:3">
      <c r="B5270" s="118" t="s">
        <v>3660</v>
      </c>
      <c r="C5270" s="119">
        <v>9203</v>
      </c>
    </row>
    <row r="5271" spans="2:3">
      <c r="B5271" s="118" t="s">
        <v>1868</v>
      </c>
      <c r="C5271" s="119">
        <v>9246</v>
      </c>
    </row>
    <row r="5272" spans="2:3">
      <c r="B5272" s="118" t="s">
        <v>3661</v>
      </c>
      <c r="C5272" s="119">
        <v>9223</v>
      </c>
    </row>
    <row r="5273" spans="2:3">
      <c r="B5273" s="118" t="s">
        <v>1842</v>
      </c>
      <c r="C5273" s="119">
        <v>9245</v>
      </c>
    </row>
    <row r="5274" spans="2:3">
      <c r="B5274" s="118" t="s">
        <v>3662</v>
      </c>
      <c r="C5274" s="119">
        <v>9245</v>
      </c>
    </row>
    <row r="5275" spans="2:3">
      <c r="B5275" s="118" t="s">
        <v>3663</v>
      </c>
      <c r="C5275" s="119">
        <v>9524</v>
      </c>
    </row>
    <row r="5276" spans="2:3">
      <c r="B5276" s="118" t="s">
        <v>3664</v>
      </c>
      <c r="C5276" s="119">
        <v>9525</v>
      </c>
    </row>
    <row r="5277" spans="2:3">
      <c r="B5277" s="118" t="s">
        <v>3665</v>
      </c>
      <c r="C5277" s="119">
        <v>9526</v>
      </c>
    </row>
    <row r="5278" spans="2:3">
      <c r="B5278" s="118" t="s">
        <v>1855</v>
      </c>
      <c r="C5278" s="119">
        <v>9527</v>
      </c>
    </row>
    <row r="5279" spans="2:3">
      <c r="B5279" s="118" t="s">
        <v>3660</v>
      </c>
      <c r="C5279" s="119">
        <v>9203</v>
      </c>
    </row>
    <row r="5280" spans="2:3">
      <c r="B5280" s="118" t="s">
        <v>2640</v>
      </c>
      <c r="C5280" s="119">
        <v>9230</v>
      </c>
    </row>
    <row r="5281" spans="2:3">
      <c r="B5281" s="118" t="s">
        <v>3653</v>
      </c>
      <c r="C5281" s="119">
        <v>9240</v>
      </c>
    </row>
    <row r="5282" spans="2:3">
      <c r="B5282" s="118" t="s">
        <v>1842</v>
      </c>
      <c r="C5282" s="119">
        <v>9245</v>
      </c>
    </row>
    <row r="5283" spans="2:3">
      <c r="B5283" s="118" t="s">
        <v>3662</v>
      </c>
      <c r="C5283" s="119">
        <v>9245</v>
      </c>
    </row>
    <row r="5284" spans="2:3">
      <c r="B5284" s="118" t="s">
        <v>1626</v>
      </c>
      <c r="C5284" s="119">
        <v>9500</v>
      </c>
    </row>
    <row r="5285" spans="2:3">
      <c r="B5285" s="118" t="s">
        <v>3666</v>
      </c>
      <c r="C5285" s="119">
        <v>9515</v>
      </c>
    </row>
    <row r="5286" spans="2:3">
      <c r="B5286" s="118" t="s">
        <v>3667</v>
      </c>
      <c r="C5286" s="119">
        <v>9523</v>
      </c>
    </row>
    <row r="5287" spans="2:3">
      <c r="B5287" s="118" t="s">
        <v>3663</v>
      </c>
      <c r="C5287" s="119">
        <v>9524</v>
      </c>
    </row>
    <row r="5288" spans="2:3">
      <c r="B5288" s="118" t="s">
        <v>1626</v>
      </c>
      <c r="C5288" s="119">
        <v>9500</v>
      </c>
    </row>
    <row r="5289" spans="2:3">
      <c r="B5289" s="118" t="s">
        <v>1625</v>
      </c>
      <c r="C5289" s="119">
        <v>9512</v>
      </c>
    </row>
    <row r="5290" spans="2:3">
      <c r="B5290" s="118" t="s">
        <v>1969</v>
      </c>
      <c r="C5290" s="119">
        <v>9514</v>
      </c>
    </row>
    <row r="5291" spans="2:3">
      <c r="B5291" s="118" t="s">
        <v>3663</v>
      </c>
      <c r="C5291" s="119">
        <v>9524</v>
      </c>
    </row>
    <row r="5292" spans="2:3">
      <c r="B5292" s="118" t="s">
        <v>3652</v>
      </c>
      <c r="C5292" s="119">
        <v>9536</v>
      </c>
    </row>
    <row r="5293" spans="2:3">
      <c r="B5293" s="118" t="s">
        <v>3668</v>
      </c>
      <c r="C5293" s="119">
        <v>9543</v>
      </c>
    </row>
    <row r="5294" spans="2:3">
      <c r="B5294" s="118" t="s">
        <v>1627</v>
      </c>
      <c r="C5294" s="119">
        <v>9552</v>
      </c>
    </row>
    <row r="5295" spans="2:3">
      <c r="B5295" s="118" t="s">
        <v>3669</v>
      </c>
      <c r="C5295" s="119">
        <v>9204</v>
      </c>
    </row>
    <row r="5296" spans="2:3">
      <c r="B5296" s="118" t="s">
        <v>1628</v>
      </c>
      <c r="C5296" s="119">
        <v>9212</v>
      </c>
    </row>
    <row r="5297" spans="2:3">
      <c r="B5297" s="118" t="s">
        <v>3548</v>
      </c>
      <c r="C5297" s="119">
        <v>9030</v>
      </c>
    </row>
    <row r="5298" spans="2:3">
      <c r="B5298" s="118" t="s">
        <v>3670</v>
      </c>
      <c r="C5298" s="119">
        <v>9030</v>
      </c>
    </row>
    <row r="5299" spans="2:3">
      <c r="B5299" s="118" t="s">
        <v>3671</v>
      </c>
      <c r="C5299" s="119">
        <v>9032</v>
      </c>
    </row>
    <row r="5300" spans="2:3">
      <c r="B5300" s="118" t="s">
        <v>2658</v>
      </c>
      <c r="C5300" s="119">
        <v>9300</v>
      </c>
    </row>
    <row r="5301" spans="2:3">
      <c r="B5301" s="118" t="s">
        <v>170</v>
      </c>
      <c r="C5301" s="119">
        <v>9015</v>
      </c>
    </row>
    <row r="5302" spans="2:3">
      <c r="B5302" s="118" t="s">
        <v>3548</v>
      </c>
      <c r="C5302" s="119">
        <v>9030</v>
      </c>
    </row>
    <row r="5303" spans="2:3">
      <c r="B5303" s="118" t="s">
        <v>1877</v>
      </c>
      <c r="C5303" s="119">
        <v>9100</v>
      </c>
    </row>
    <row r="5304" spans="2:3">
      <c r="B5304" s="118" t="s">
        <v>1629</v>
      </c>
      <c r="C5304" s="119">
        <v>9200</v>
      </c>
    </row>
    <row r="5305" spans="2:3">
      <c r="B5305" s="118" t="s">
        <v>3669</v>
      </c>
      <c r="C5305" s="119">
        <v>9204</v>
      </c>
    </row>
    <row r="5306" spans="2:3">
      <c r="B5306" s="118" t="s">
        <v>1628</v>
      </c>
      <c r="C5306" s="119">
        <v>9212</v>
      </c>
    </row>
    <row r="5307" spans="2:3">
      <c r="B5307" s="118" t="s">
        <v>3671</v>
      </c>
      <c r="C5307" s="119">
        <v>9032</v>
      </c>
    </row>
    <row r="5308" spans="2:3">
      <c r="B5308" s="118" t="s">
        <v>3669</v>
      </c>
      <c r="C5308" s="119">
        <v>9204</v>
      </c>
    </row>
    <row r="5309" spans="2:3">
      <c r="B5309" s="118" t="s">
        <v>1852</v>
      </c>
      <c r="C5309" s="119">
        <v>9205</v>
      </c>
    </row>
    <row r="5310" spans="2:3">
      <c r="B5310" s="118" t="s">
        <v>3672</v>
      </c>
      <c r="C5310" s="119">
        <v>9213</v>
      </c>
    </row>
    <row r="5311" spans="2:3">
      <c r="B5311" s="118" t="s">
        <v>1868</v>
      </c>
      <c r="C5311" s="119">
        <v>9246</v>
      </c>
    </row>
    <row r="5312" spans="2:3">
      <c r="B5312" s="118" t="s">
        <v>2658</v>
      </c>
      <c r="C5312" s="119">
        <v>9300</v>
      </c>
    </row>
    <row r="5313" spans="2:3">
      <c r="B5313" s="118" t="s">
        <v>3673</v>
      </c>
      <c r="C5313" s="119">
        <v>9304</v>
      </c>
    </row>
    <row r="5314" spans="2:3">
      <c r="B5314" s="118" t="s">
        <v>3674</v>
      </c>
      <c r="C5314" s="119">
        <v>7076</v>
      </c>
    </row>
    <row r="5315" spans="2:3">
      <c r="B5315" s="118" t="s">
        <v>3675</v>
      </c>
      <c r="C5315" s="119">
        <v>7077</v>
      </c>
    </row>
    <row r="5316" spans="2:3">
      <c r="B5316" s="118" t="s">
        <v>3676</v>
      </c>
      <c r="C5316" s="119">
        <v>7078</v>
      </c>
    </row>
    <row r="5317" spans="2:3">
      <c r="B5317" s="118" t="s">
        <v>2670</v>
      </c>
      <c r="C5317" s="119">
        <v>7082</v>
      </c>
    </row>
    <row r="5318" spans="2:3">
      <c r="B5318" s="118" t="s">
        <v>3677</v>
      </c>
      <c r="C5318" s="119">
        <v>7450</v>
      </c>
    </row>
    <row r="5319" spans="2:3">
      <c r="B5319" s="118" t="s">
        <v>2667</v>
      </c>
      <c r="C5319" s="119">
        <v>7083</v>
      </c>
    </row>
    <row r="5320" spans="2:3">
      <c r="B5320" s="118" t="s">
        <v>3678</v>
      </c>
      <c r="C5320" s="119">
        <v>7493</v>
      </c>
    </row>
    <row r="5321" spans="2:3">
      <c r="B5321" s="118" t="s">
        <v>3679</v>
      </c>
      <c r="C5321" s="119">
        <v>7084</v>
      </c>
    </row>
    <row r="5322" spans="2:3">
      <c r="B5322" s="118" t="s">
        <v>3677</v>
      </c>
      <c r="C5322" s="119">
        <v>7450</v>
      </c>
    </row>
    <row r="5323" spans="2:3">
      <c r="B5323" s="118" t="s">
        <v>3680</v>
      </c>
      <c r="C5323" s="119">
        <v>7451</v>
      </c>
    </row>
    <row r="5324" spans="2:3">
      <c r="B5324" s="118" t="s">
        <v>3681</v>
      </c>
      <c r="C5324" s="119">
        <v>7458</v>
      </c>
    </row>
    <row r="5325" spans="2:3">
      <c r="B5325" s="118" t="s">
        <v>3682</v>
      </c>
      <c r="C5325" s="119">
        <v>7459</v>
      </c>
    </row>
    <row r="5326" spans="2:3">
      <c r="B5326" s="118" t="s">
        <v>3683</v>
      </c>
      <c r="C5326" s="119">
        <v>7472</v>
      </c>
    </row>
    <row r="5327" spans="2:3">
      <c r="B5327" s="118" t="s">
        <v>3684</v>
      </c>
      <c r="C5327" s="119">
        <v>7473</v>
      </c>
    </row>
    <row r="5328" spans="2:3">
      <c r="B5328" s="118" t="s">
        <v>3685</v>
      </c>
      <c r="C5328" s="119">
        <v>7492</v>
      </c>
    </row>
    <row r="5329" spans="2:3">
      <c r="B5329" s="118" t="s">
        <v>3686</v>
      </c>
      <c r="C5329" s="119">
        <v>7452</v>
      </c>
    </row>
    <row r="5330" spans="2:3">
      <c r="B5330" s="118" t="s">
        <v>3687</v>
      </c>
      <c r="C5330" s="119">
        <v>7453</v>
      </c>
    </row>
    <row r="5331" spans="2:3">
      <c r="B5331" s="118" t="s">
        <v>3688</v>
      </c>
      <c r="C5331" s="119">
        <v>7454</v>
      </c>
    </row>
    <row r="5332" spans="2:3">
      <c r="B5332" s="118" t="s">
        <v>3689</v>
      </c>
      <c r="C5332" s="119">
        <v>7455</v>
      </c>
    </row>
    <row r="5333" spans="2:3">
      <c r="B5333" s="118" t="s">
        <v>3690</v>
      </c>
      <c r="C5333" s="119">
        <v>7456</v>
      </c>
    </row>
    <row r="5334" spans="2:3">
      <c r="B5334" s="118" t="s">
        <v>3691</v>
      </c>
      <c r="C5334" s="119">
        <v>7456</v>
      </c>
    </row>
    <row r="5335" spans="2:3">
      <c r="B5335" s="118" t="s">
        <v>3692</v>
      </c>
      <c r="C5335" s="119">
        <v>7457</v>
      </c>
    </row>
    <row r="5336" spans="2:3">
      <c r="B5336" s="118" t="s">
        <v>3693</v>
      </c>
      <c r="C5336" s="119">
        <v>7460</v>
      </c>
    </row>
    <row r="5337" spans="2:3">
      <c r="B5337" s="118" t="s">
        <v>3694</v>
      </c>
      <c r="C5337" s="119">
        <v>7462</v>
      </c>
    </row>
    <row r="5338" spans="2:3">
      <c r="B5338" s="118" t="s">
        <v>3695</v>
      </c>
      <c r="C5338" s="119">
        <v>7463</v>
      </c>
    </row>
    <row r="5339" spans="2:3">
      <c r="B5339" s="118" t="s">
        <v>3695</v>
      </c>
      <c r="C5339" s="119">
        <v>7463</v>
      </c>
    </row>
    <row r="5340" spans="2:3">
      <c r="B5340" s="118" t="s">
        <v>3696</v>
      </c>
      <c r="C5340" s="119">
        <v>7464</v>
      </c>
    </row>
    <row r="5341" spans="2:3">
      <c r="B5341" s="118" t="s">
        <v>3697</v>
      </c>
      <c r="C5341" s="119">
        <v>7477</v>
      </c>
    </row>
    <row r="5342" spans="2:3">
      <c r="B5342" s="118" t="s">
        <v>3698</v>
      </c>
      <c r="C5342" s="119">
        <v>7482</v>
      </c>
    </row>
    <row r="5343" spans="2:3">
      <c r="B5343" s="118" t="s">
        <v>3699</v>
      </c>
      <c r="C5343" s="119">
        <v>7482</v>
      </c>
    </row>
    <row r="5344" spans="2:3">
      <c r="B5344" s="118" t="s">
        <v>3700</v>
      </c>
      <c r="C5344" s="119">
        <v>7482</v>
      </c>
    </row>
    <row r="5345" spans="2:3">
      <c r="B5345" s="118" t="s">
        <v>3701</v>
      </c>
      <c r="C5345" s="119">
        <v>7484</v>
      </c>
    </row>
    <row r="5346" spans="2:3">
      <c r="B5346" s="118" t="s">
        <v>3702</v>
      </c>
      <c r="C5346" s="119">
        <v>7494</v>
      </c>
    </row>
    <row r="5347" spans="2:3">
      <c r="B5347" s="118" t="s">
        <v>754</v>
      </c>
      <c r="C5347" s="119">
        <v>7743</v>
      </c>
    </row>
    <row r="5348" spans="2:3">
      <c r="B5348" s="118" t="s">
        <v>3703</v>
      </c>
      <c r="C5348" s="119">
        <v>7743</v>
      </c>
    </row>
    <row r="5349" spans="2:3">
      <c r="B5349" s="118" t="s">
        <v>3704</v>
      </c>
      <c r="C5349" s="119">
        <v>7744</v>
      </c>
    </row>
    <row r="5350" spans="2:3">
      <c r="B5350" s="118" t="s">
        <v>3705</v>
      </c>
      <c r="C5350" s="119">
        <v>7747</v>
      </c>
    </row>
    <row r="5351" spans="2:3">
      <c r="B5351" s="118" t="s">
        <v>3706</v>
      </c>
      <c r="C5351" s="119">
        <v>7748</v>
      </c>
    </row>
    <row r="5352" spans="2:3">
      <c r="B5352" s="118" t="s">
        <v>3707</v>
      </c>
      <c r="C5352" s="119">
        <v>7710</v>
      </c>
    </row>
    <row r="5353" spans="2:3">
      <c r="B5353" s="118" t="s">
        <v>3708</v>
      </c>
      <c r="C5353" s="119">
        <v>7710</v>
      </c>
    </row>
    <row r="5354" spans="2:3">
      <c r="B5354" s="118" t="s">
        <v>3709</v>
      </c>
      <c r="C5354" s="119">
        <v>7741</v>
      </c>
    </row>
    <row r="5355" spans="2:3">
      <c r="B5355" s="118" t="s">
        <v>706</v>
      </c>
      <c r="C5355" s="119">
        <v>7742</v>
      </c>
    </row>
    <row r="5356" spans="2:3">
      <c r="B5356" s="118" t="s">
        <v>3710</v>
      </c>
      <c r="C5356" s="119">
        <v>7742</v>
      </c>
    </row>
    <row r="5357" spans="2:3">
      <c r="B5357" s="118" t="s">
        <v>3711</v>
      </c>
      <c r="C5357" s="119">
        <v>7742</v>
      </c>
    </row>
    <row r="5358" spans="2:3">
      <c r="B5358" s="118" t="s">
        <v>3703</v>
      </c>
      <c r="C5358" s="119">
        <v>7743</v>
      </c>
    </row>
    <row r="5359" spans="2:3">
      <c r="B5359" s="118" t="s">
        <v>3712</v>
      </c>
      <c r="C5359" s="119">
        <v>7745</v>
      </c>
    </row>
    <row r="5360" spans="2:3">
      <c r="B5360" s="118" t="s">
        <v>3713</v>
      </c>
      <c r="C5360" s="119">
        <v>7746</v>
      </c>
    </row>
    <row r="5361" spans="2:3">
      <c r="B5361" s="118" t="s">
        <v>3714</v>
      </c>
      <c r="C5361" s="119">
        <v>7032</v>
      </c>
    </row>
    <row r="5362" spans="2:3">
      <c r="B5362" s="118" t="s">
        <v>777</v>
      </c>
      <c r="C5362" s="119">
        <v>7153</v>
      </c>
    </row>
    <row r="5363" spans="2:3">
      <c r="B5363" s="118" t="s">
        <v>3715</v>
      </c>
      <c r="C5363" s="119">
        <v>7031</v>
      </c>
    </row>
    <row r="5364" spans="2:3">
      <c r="B5364" s="118" t="s">
        <v>3714</v>
      </c>
      <c r="C5364" s="119">
        <v>7032</v>
      </c>
    </row>
    <row r="5365" spans="2:3">
      <c r="B5365" s="118" t="s">
        <v>773</v>
      </c>
      <c r="C5365" s="119">
        <v>7152</v>
      </c>
    </row>
    <row r="5366" spans="2:3">
      <c r="B5366" s="118" t="s">
        <v>776</v>
      </c>
      <c r="C5366" s="119">
        <v>7151</v>
      </c>
    </row>
    <row r="5367" spans="2:3">
      <c r="B5367" s="118" t="s">
        <v>3716</v>
      </c>
      <c r="C5367" s="119">
        <v>7116</v>
      </c>
    </row>
    <row r="5368" spans="2:3">
      <c r="B5368" s="118" t="s">
        <v>756</v>
      </c>
      <c r="C5368" s="119">
        <v>7132</v>
      </c>
    </row>
    <row r="5369" spans="2:3">
      <c r="B5369" s="118" t="s">
        <v>3717</v>
      </c>
      <c r="C5369" s="119">
        <v>7110</v>
      </c>
    </row>
    <row r="5370" spans="2:3">
      <c r="B5370" s="118" t="s">
        <v>3718</v>
      </c>
      <c r="C5370" s="119">
        <v>7113</v>
      </c>
    </row>
    <row r="5371" spans="2:3">
      <c r="B5371" s="118" t="s">
        <v>3719</v>
      </c>
      <c r="C5371" s="119">
        <v>7114</v>
      </c>
    </row>
    <row r="5372" spans="2:3">
      <c r="B5372" s="118" t="s">
        <v>3720</v>
      </c>
      <c r="C5372" s="119">
        <v>7115</v>
      </c>
    </row>
    <row r="5373" spans="2:3">
      <c r="B5373" s="118" t="s">
        <v>3721</v>
      </c>
      <c r="C5373" s="119">
        <v>7116</v>
      </c>
    </row>
    <row r="5374" spans="2:3">
      <c r="B5374" s="118" t="s">
        <v>3722</v>
      </c>
      <c r="C5374" s="119">
        <v>7142</v>
      </c>
    </row>
    <row r="5375" spans="2:3">
      <c r="B5375" s="118" t="s">
        <v>3723</v>
      </c>
      <c r="C5375" s="119">
        <v>7143</v>
      </c>
    </row>
    <row r="5376" spans="2:3">
      <c r="B5376" s="118" t="s">
        <v>3724</v>
      </c>
      <c r="C5376" s="119">
        <v>7144</v>
      </c>
    </row>
    <row r="5377" spans="2:3">
      <c r="B5377" s="118" t="s">
        <v>3725</v>
      </c>
      <c r="C5377" s="119">
        <v>7145</v>
      </c>
    </row>
    <row r="5378" spans="2:3">
      <c r="B5378" s="118" t="s">
        <v>3726</v>
      </c>
      <c r="C5378" s="119">
        <v>7146</v>
      </c>
    </row>
    <row r="5379" spans="2:3">
      <c r="B5379" s="118" t="s">
        <v>3727</v>
      </c>
      <c r="C5379" s="119">
        <v>7147</v>
      </c>
    </row>
    <row r="5380" spans="2:3">
      <c r="B5380" s="118" t="s">
        <v>3728</v>
      </c>
      <c r="C5380" s="119">
        <v>7148</v>
      </c>
    </row>
    <row r="5381" spans="2:3">
      <c r="B5381" s="118" t="s">
        <v>3729</v>
      </c>
      <c r="C5381" s="119">
        <v>7149</v>
      </c>
    </row>
    <row r="5382" spans="2:3">
      <c r="B5382" s="118" t="s">
        <v>3730</v>
      </c>
      <c r="C5382" s="119">
        <v>7111</v>
      </c>
    </row>
    <row r="5383" spans="2:3">
      <c r="B5383" s="118" t="s">
        <v>3731</v>
      </c>
      <c r="C5383" s="119">
        <v>7112</v>
      </c>
    </row>
    <row r="5384" spans="2:3">
      <c r="B5384" s="118" t="s">
        <v>3732</v>
      </c>
      <c r="C5384" s="119">
        <v>7122</v>
      </c>
    </row>
    <row r="5385" spans="2:3">
      <c r="B5385" s="118" t="s">
        <v>3733</v>
      </c>
      <c r="C5385" s="119">
        <v>7126</v>
      </c>
    </row>
    <row r="5386" spans="2:3">
      <c r="B5386" s="118" t="s">
        <v>3734</v>
      </c>
      <c r="C5386" s="119">
        <v>7127</v>
      </c>
    </row>
    <row r="5387" spans="2:3">
      <c r="B5387" s="118" t="s">
        <v>3735</v>
      </c>
      <c r="C5387" s="119">
        <v>7128</v>
      </c>
    </row>
    <row r="5388" spans="2:3">
      <c r="B5388" s="118" t="s">
        <v>702</v>
      </c>
      <c r="C5388" s="119">
        <v>7130</v>
      </c>
    </row>
    <row r="5389" spans="2:3">
      <c r="B5389" s="118" t="s">
        <v>3736</v>
      </c>
      <c r="C5389" s="119">
        <v>7130</v>
      </c>
    </row>
    <row r="5390" spans="2:3">
      <c r="B5390" s="118" t="s">
        <v>3736</v>
      </c>
      <c r="C5390" s="119">
        <v>7130</v>
      </c>
    </row>
    <row r="5391" spans="2:3">
      <c r="B5391" s="118" t="s">
        <v>3737</v>
      </c>
      <c r="C5391" s="119">
        <v>7141</v>
      </c>
    </row>
    <row r="5392" spans="2:3">
      <c r="B5392" s="118" t="s">
        <v>3738</v>
      </c>
      <c r="C5392" s="119">
        <v>7154</v>
      </c>
    </row>
    <row r="5393" spans="2:3">
      <c r="B5393" s="118" t="s">
        <v>3739</v>
      </c>
      <c r="C5393" s="119">
        <v>7155</v>
      </c>
    </row>
    <row r="5394" spans="2:3">
      <c r="B5394" s="118" t="s">
        <v>3740</v>
      </c>
      <c r="C5394" s="119">
        <v>7156</v>
      </c>
    </row>
    <row r="5395" spans="2:3">
      <c r="B5395" s="118" t="s">
        <v>3741</v>
      </c>
      <c r="C5395" s="119">
        <v>7156</v>
      </c>
    </row>
    <row r="5396" spans="2:3">
      <c r="B5396" s="118" t="s">
        <v>3742</v>
      </c>
      <c r="C5396" s="119">
        <v>7157</v>
      </c>
    </row>
    <row r="5397" spans="2:3">
      <c r="B5397" s="118" t="s">
        <v>3743</v>
      </c>
      <c r="C5397" s="119">
        <v>7413</v>
      </c>
    </row>
    <row r="5398" spans="2:3">
      <c r="B5398" s="118" t="s">
        <v>787</v>
      </c>
      <c r="C5398" s="119">
        <v>7414</v>
      </c>
    </row>
    <row r="5399" spans="2:3">
      <c r="B5399" s="118" t="s">
        <v>790</v>
      </c>
      <c r="C5399" s="119">
        <v>7405</v>
      </c>
    </row>
    <row r="5400" spans="2:3">
      <c r="B5400" s="118" t="s">
        <v>766</v>
      </c>
      <c r="C5400" s="119">
        <v>7412</v>
      </c>
    </row>
    <row r="5401" spans="2:3">
      <c r="B5401" s="118" t="s">
        <v>759</v>
      </c>
      <c r="C5401" s="119">
        <v>7411</v>
      </c>
    </row>
    <row r="5402" spans="2:3">
      <c r="B5402" s="118" t="s">
        <v>790</v>
      </c>
      <c r="C5402" s="119">
        <v>7405</v>
      </c>
    </row>
    <row r="5403" spans="2:3">
      <c r="B5403" s="118" t="s">
        <v>724</v>
      </c>
      <c r="C5403" s="119">
        <v>7408</v>
      </c>
    </row>
    <row r="5404" spans="2:3">
      <c r="B5404" s="118" t="s">
        <v>3744</v>
      </c>
      <c r="C5404" s="119">
        <v>7415</v>
      </c>
    </row>
    <row r="5405" spans="2:3">
      <c r="B5405" s="118" t="s">
        <v>3745</v>
      </c>
      <c r="C5405" s="119">
        <v>7421</v>
      </c>
    </row>
    <row r="5406" spans="2:3">
      <c r="B5406" s="118" t="s">
        <v>3746</v>
      </c>
      <c r="C5406" s="119">
        <v>7422</v>
      </c>
    </row>
    <row r="5407" spans="2:3">
      <c r="B5407" s="118" t="s">
        <v>3747</v>
      </c>
      <c r="C5407" s="119">
        <v>7423</v>
      </c>
    </row>
    <row r="5408" spans="2:3">
      <c r="B5408" s="118" t="s">
        <v>3748</v>
      </c>
      <c r="C5408" s="119">
        <v>7423</v>
      </c>
    </row>
    <row r="5409" spans="2:3">
      <c r="B5409" s="118" t="s">
        <v>3749</v>
      </c>
      <c r="C5409" s="119">
        <v>7424</v>
      </c>
    </row>
    <row r="5410" spans="2:3">
      <c r="B5410" s="118" t="s">
        <v>3750</v>
      </c>
      <c r="C5410" s="119">
        <v>7424</v>
      </c>
    </row>
    <row r="5411" spans="2:3">
      <c r="B5411" s="118" t="s">
        <v>792</v>
      </c>
      <c r="C5411" s="119">
        <v>7426</v>
      </c>
    </row>
    <row r="5412" spans="2:3">
      <c r="B5412" s="118" t="s">
        <v>792</v>
      </c>
      <c r="C5412" s="119">
        <v>7426</v>
      </c>
    </row>
    <row r="5413" spans="2:3">
      <c r="B5413" s="118" t="s">
        <v>3745</v>
      </c>
      <c r="C5413" s="119">
        <v>7421</v>
      </c>
    </row>
    <row r="5414" spans="2:3">
      <c r="B5414" s="118" t="s">
        <v>784</v>
      </c>
      <c r="C5414" s="119">
        <v>7425</v>
      </c>
    </row>
    <row r="5415" spans="2:3">
      <c r="B5415" s="118" t="s">
        <v>710</v>
      </c>
      <c r="C5415" s="119">
        <v>7430</v>
      </c>
    </row>
    <row r="5416" spans="2:3">
      <c r="B5416" s="118" t="s">
        <v>3751</v>
      </c>
      <c r="C5416" s="119">
        <v>7431</v>
      </c>
    </row>
    <row r="5417" spans="2:3">
      <c r="B5417" s="118" t="s">
        <v>3752</v>
      </c>
      <c r="C5417" s="119">
        <v>7431</v>
      </c>
    </row>
    <row r="5418" spans="2:3">
      <c r="B5418" s="118" t="s">
        <v>803</v>
      </c>
      <c r="C5418" s="119">
        <v>7428</v>
      </c>
    </row>
    <row r="5419" spans="2:3">
      <c r="B5419" s="118" t="s">
        <v>801</v>
      </c>
      <c r="C5419" s="119">
        <v>7427</v>
      </c>
    </row>
    <row r="5420" spans="2:3">
      <c r="B5420" s="118" t="s">
        <v>3753</v>
      </c>
      <c r="C5420" s="119">
        <v>7104</v>
      </c>
    </row>
    <row r="5421" spans="2:3">
      <c r="B5421" s="118" t="s">
        <v>3754</v>
      </c>
      <c r="C5421" s="119">
        <v>7106</v>
      </c>
    </row>
    <row r="5422" spans="2:3">
      <c r="B5422" s="118" t="s">
        <v>3755</v>
      </c>
      <c r="C5422" s="119">
        <v>7107</v>
      </c>
    </row>
    <row r="5423" spans="2:3">
      <c r="B5423" s="118" t="s">
        <v>3756</v>
      </c>
      <c r="C5423" s="119">
        <v>7109</v>
      </c>
    </row>
    <row r="5424" spans="2:3">
      <c r="B5424" s="118" t="s">
        <v>3732</v>
      </c>
      <c r="C5424" s="119">
        <v>7122</v>
      </c>
    </row>
    <row r="5425" spans="2:3">
      <c r="B5425" s="118" t="s">
        <v>708</v>
      </c>
      <c r="C5425" s="119">
        <v>7402</v>
      </c>
    </row>
    <row r="5426" spans="2:3">
      <c r="B5426" s="118" t="s">
        <v>3757</v>
      </c>
      <c r="C5426" s="119">
        <v>7404</v>
      </c>
    </row>
    <row r="5427" spans="2:3">
      <c r="B5427" s="118" t="s">
        <v>3758</v>
      </c>
      <c r="C5427" s="119">
        <v>7407</v>
      </c>
    </row>
    <row r="5428" spans="2:3">
      <c r="B5428" s="118" t="s">
        <v>3744</v>
      </c>
      <c r="C5428" s="119">
        <v>7415</v>
      </c>
    </row>
    <row r="5429" spans="2:3">
      <c r="B5429" s="118" t="s">
        <v>3759</v>
      </c>
      <c r="C5429" s="119">
        <v>7415</v>
      </c>
    </row>
    <row r="5430" spans="2:3">
      <c r="B5430" s="118" t="s">
        <v>3760</v>
      </c>
      <c r="C5430" s="119">
        <v>7416</v>
      </c>
    </row>
    <row r="5431" spans="2:3">
      <c r="B5431" s="118" t="s">
        <v>3761</v>
      </c>
      <c r="C5431" s="119">
        <v>7417</v>
      </c>
    </row>
    <row r="5432" spans="2:3">
      <c r="B5432" s="118" t="s">
        <v>3762</v>
      </c>
      <c r="C5432" s="119">
        <v>7418</v>
      </c>
    </row>
    <row r="5433" spans="2:3">
      <c r="B5433" s="118" t="s">
        <v>3763</v>
      </c>
      <c r="C5433" s="119">
        <v>7419</v>
      </c>
    </row>
    <row r="5434" spans="2:3">
      <c r="B5434" s="118" t="s">
        <v>799</v>
      </c>
      <c r="C5434" s="119">
        <v>7447</v>
      </c>
    </row>
    <row r="5435" spans="2:3">
      <c r="B5435" s="118" t="s">
        <v>3764</v>
      </c>
      <c r="C5435" s="119">
        <v>7448</v>
      </c>
    </row>
    <row r="5436" spans="2:3">
      <c r="B5436" s="118" t="s">
        <v>802</v>
      </c>
      <c r="C5436" s="119">
        <v>7434</v>
      </c>
    </row>
    <row r="5437" spans="2:3">
      <c r="B5437" s="118" t="s">
        <v>758</v>
      </c>
      <c r="C5437" s="119">
        <v>7440</v>
      </c>
    </row>
    <row r="5438" spans="2:3">
      <c r="B5438" s="118" t="s">
        <v>3765</v>
      </c>
      <c r="C5438" s="119">
        <v>7442</v>
      </c>
    </row>
    <row r="5439" spans="2:3">
      <c r="B5439" s="118" t="s">
        <v>3766</v>
      </c>
      <c r="C5439" s="119">
        <v>7443</v>
      </c>
    </row>
    <row r="5440" spans="2:3">
      <c r="B5440" s="118" t="s">
        <v>808</v>
      </c>
      <c r="C5440" s="119">
        <v>7430</v>
      </c>
    </row>
    <row r="5441" spans="2:3">
      <c r="B5441" s="118" t="s">
        <v>3767</v>
      </c>
      <c r="C5441" s="119">
        <v>7432</v>
      </c>
    </row>
    <row r="5442" spans="2:3">
      <c r="B5442" s="118" t="s">
        <v>3768</v>
      </c>
      <c r="C5442" s="119">
        <v>7444</v>
      </c>
    </row>
    <row r="5443" spans="2:3">
      <c r="B5443" s="118" t="s">
        <v>3769</v>
      </c>
      <c r="C5443" s="119">
        <v>7445</v>
      </c>
    </row>
    <row r="5444" spans="2:3">
      <c r="B5444" s="118" t="s">
        <v>3769</v>
      </c>
      <c r="C5444" s="119">
        <v>7445</v>
      </c>
    </row>
    <row r="5445" spans="2:3">
      <c r="B5445" s="118" t="s">
        <v>3770</v>
      </c>
      <c r="C5445" s="119">
        <v>7435</v>
      </c>
    </row>
    <row r="5446" spans="2:3">
      <c r="B5446" s="118" t="s">
        <v>3771</v>
      </c>
      <c r="C5446" s="119">
        <v>7436</v>
      </c>
    </row>
    <row r="5447" spans="2:3">
      <c r="B5447" s="118" t="s">
        <v>3772</v>
      </c>
      <c r="C5447" s="119">
        <v>7437</v>
      </c>
    </row>
    <row r="5448" spans="2:3">
      <c r="B5448" s="118" t="s">
        <v>3773</v>
      </c>
      <c r="C5448" s="119">
        <v>7438</v>
      </c>
    </row>
    <row r="5449" spans="2:3">
      <c r="B5449" s="118" t="s">
        <v>796</v>
      </c>
      <c r="C5449" s="119">
        <v>7433</v>
      </c>
    </row>
    <row r="5450" spans="2:3">
      <c r="B5450" s="118" t="s">
        <v>3774</v>
      </c>
      <c r="C5450" s="119">
        <v>7433</v>
      </c>
    </row>
    <row r="5451" spans="2:3">
      <c r="B5451" s="118" t="s">
        <v>809</v>
      </c>
      <c r="C5451" s="119">
        <v>7433</v>
      </c>
    </row>
    <row r="5452" spans="2:3">
      <c r="B5452" s="118" t="s">
        <v>3775</v>
      </c>
      <c r="C5452" s="119">
        <v>7433</v>
      </c>
    </row>
    <row r="5453" spans="2:3">
      <c r="B5453" s="118" t="s">
        <v>708</v>
      </c>
      <c r="C5453" s="119">
        <v>7402</v>
      </c>
    </row>
    <row r="5454" spans="2:3">
      <c r="B5454" s="118" t="s">
        <v>2663</v>
      </c>
      <c r="C5454" s="119">
        <v>7013</v>
      </c>
    </row>
    <row r="5455" spans="2:3">
      <c r="B5455" s="118" t="s">
        <v>740</v>
      </c>
      <c r="C5455" s="119">
        <v>7403</v>
      </c>
    </row>
    <row r="5456" spans="2:3">
      <c r="B5456" s="118" t="s">
        <v>718</v>
      </c>
      <c r="C5456" s="119">
        <v>7012</v>
      </c>
    </row>
    <row r="5457" spans="2:3">
      <c r="B5457" s="118" t="s">
        <v>3776</v>
      </c>
      <c r="C5457" s="119">
        <v>7017</v>
      </c>
    </row>
    <row r="5458" spans="2:3">
      <c r="B5458" s="118" t="s">
        <v>3777</v>
      </c>
      <c r="C5458" s="119">
        <v>7018</v>
      </c>
    </row>
    <row r="5459" spans="2:3">
      <c r="B5459" s="118" t="s">
        <v>3778</v>
      </c>
      <c r="C5459" s="119">
        <v>7019</v>
      </c>
    </row>
    <row r="5460" spans="2:3">
      <c r="B5460" s="118" t="s">
        <v>748</v>
      </c>
      <c r="C5460" s="119">
        <v>7015</v>
      </c>
    </row>
    <row r="5461" spans="2:3">
      <c r="B5461" s="118" t="s">
        <v>3591</v>
      </c>
      <c r="C5461" s="119">
        <v>7315</v>
      </c>
    </row>
    <row r="5462" spans="2:3">
      <c r="B5462" s="118" t="s">
        <v>741</v>
      </c>
      <c r="C5462" s="119">
        <v>7014</v>
      </c>
    </row>
    <row r="5463" spans="2:3">
      <c r="B5463" s="118" t="s">
        <v>748</v>
      </c>
      <c r="C5463" s="119">
        <v>7015</v>
      </c>
    </row>
    <row r="5464" spans="2:3">
      <c r="B5464" s="118" t="s">
        <v>3779</v>
      </c>
      <c r="C5464" s="119">
        <v>7016</v>
      </c>
    </row>
    <row r="5465" spans="2:3">
      <c r="B5465" s="118" t="s">
        <v>3780</v>
      </c>
      <c r="C5465" s="119">
        <v>7527</v>
      </c>
    </row>
    <row r="5466" spans="2:3">
      <c r="B5466" s="118" t="s">
        <v>735</v>
      </c>
      <c r="C5466" s="119">
        <v>7530</v>
      </c>
    </row>
    <row r="5467" spans="2:3">
      <c r="B5467" s="118" t="s">
        <v>3781</v>
      </c>
      <c r="C5467" s="119">
        <v>7542</v>
      </c>
    </row>
    <row r="5468" spans="2:3">
      <c r="B5468" s="118" t="s">
        <v>3782</v>
      </c>
      <c r="C5468" s="119">
        <v>7543</v>
      </c>
    </row>
    <row r="5469" spans="2:3">
      <c r="B5469" s="118" t="s">
        <v>3783</v>
      </c>
      <c r="C5469" s="119">
        <v>7562</v>
      </c>
    </row>
    <row r="5470" spans="2:3">
      <c r="B5470" s="118" t="s">
        <v>3784</v>
      </c>
      <c r="C5470" s="119">
        <v>7563</v>
      </c>
    </row>
    <row r="5471" spans="2:3">
      <c r="B5471" s="118" t="s">
        <v>3785</v>
      </c>
      <c r="C5471" s="119">
        <v>7545</v>
      </c>
    </row>
    <row r="5472" spans="2:3">
      <c r="B5472" s="118" t="s">
        <v>3786</v>
      </c>
      <c r="C5472" s="119">
        <v>7546</v>
      </c>
    </row>
    <row r="5473" spans="2:3">
      <c r="B5473" s="118" t="s">
        <v>704</v>
      </c>
      <c r="C5473" s="119">
        <v>7550</v>
      </c>
    </row>
    <row r="5474" spans="2:3">
      <c r="B5474" s="118" t="s">
        <v>3787</v>
      </c>
      <c r="C5474" s="119">
        <v>7551</v>
      </c>
    </row>
    <row r="5475" spans="2:3">
      <c r="B5475" s="118" t="s">
        <v>3788</v>
      </c>
      <c r="C5475" s="119">
        <v>7552</v>
      </c>
    </row>
    <row r="5476" spans="2:3">
      <c r="B5476" s="118" t="s">
        <v>3789</v>
      </c>
      <c r="C5476" s="119">
        <v>7553</v>
      </c>
    </row>
    <row r="5477" spans="2:3">
      <c r="B5477" s="118" t="s">
        <v>3790</v>
      </c>
      <c r="C5477" s="119">
        <v>7554</v>
      </c>
    </row>
    <row r="5478" spans="2:3">
      <c r="B5478" s="118" t="s">
        <v>3791</v>
      </c>
      <c r="C5478" s="119">
        <v>7557</v>
      </c>
    </row>
    <row r="5479" spans="2:3">
      <c r="B5479" s="118" t="s">
        <v>3792</v>
      </c>
      <c r="C5479" s="119">
        <v>7556</v>
      </c>
    </row>
    <row r="5480" spans="2:3">
      <c r="B5480" s="118" t="s">
        <v>3792</v>
      </c>
      <c r="C5480" s="119">
        <v>7556</v>
      </c>
    </row>
    <row r="5481" spans="2:3">
      <c r="B5481" s="118" t="s">
        <v>3791</v>
      </c>
      <c r="C5481" s="119">
        <v>7557</v>
      </c>
    </row>
    <row r="5482" spans="2:3">
      <c r="B5482" s="118" t="s">
        <v>3793</v>
      </c>
      <c r="C5482" s="119">
        <v>7558</v>
      </c>
    </row>
    <row r="5483" spans="2:3">
      <c r="B5483" s="118" t="s">
        <v>3794</v>
      </c>
      <c r="C5483" s="119">
        <v>7559</v>
      </c>
    </row>
    <row r="5484" spans="2:3">
      <c r="B5484" s="118" t="s">
        <v>3795</v>
      </c>
      <c r="C5484" s="119">
        <v>7560</v>
      </c>
    </row>
    <row r="5485" spans="2:3">
      <c r="B5485" s="118" t="s">
        <v>779</v>
      </c>
      <c r="C5485" s="119">
        <v>7502</v>
      </c>
    </row>
    <row r="5486" spans="2:3">
      <c r="B5486" s="118" t="s">
        <v>779</v>
      </c>
      <c r="C5486" s="119">
        <v>7502</v>
      </c>
    </row>
    <row r="5487" spans="2:3">
      <c r="B5487" s="118" t="s">
        <v>701</v>
      </c>
      <c r="C5487" s="119">
        <v>7500</v>
      </c>
    </row>
    <row r="5488" spans="2:3">
      <c r="B5488" s="118" t="s">
        <v>723</v>
      </c>
      <c r="C5488" s="119">
        <v>7504</v>
      </c>
    </row>
    <row r="5489" spans="2:3">
      <c r="B5489" s="118" t="s">
        <v>2661</v>
      </c>
      <c r="C5489" s="119">
        <v>7505</v>
      </c>
    </row>
    <row r="5490" spans="2:3">
      <c r="B5490" s="118" t="s">
        <v>797</v>
      </c>
      <c r="C5490" s="119">
        <v>7523</v>
      </c>
    </row>
    <row r="5491" spans="2:3">
      <c r="B5491" s="118" t="s">
        <v>797</v>
      </c>
      <c r="C5491" s="119">
        <v>7523</v>
      </c>
    </row>
    <row r="5492" spans="2:3">
      <c r="B5492" s="118" t="s">
        <v>723</v>
      </c>
      <c r="C5492" s="119">
        <v>7504</v>
      </c>
    </row>
    <row r="5493" spans="2:3">
      <c r="B5493" s="118" t="s">
        <v>2666</v>
      </c>
      <c r="C5493" s="119">
        <v>7522</v>
      </c>
    </row>
    <row r="5494" spans="2:3">
      <c r="B5494" s="118" t="s">
        <v>712</v>
      </c>
      <c r="C5494" s="119">
        <v>7503</v>
      </c>
    </row>
    <row r="5495" spans="2:3">
      <c r="B5495" s="118" t="s">
        <v>723</v>
      </c>
      <c r="C5495" s="119">
        <v>7504</v>
      </c>
    </row>
    <row r="5496" spans="2:3">
      <c r="B5496" s="118" t="s">
        <v>3796</v>
      </c>
      <c r="C5496" s="119">
        <v>7513</v>
      </c>
    </row>
    <row r="5497" spans="2:3">
      <c r="B5497" s="118" t="s">
        <v>701</v>
      </c>
      <c r="C5497" s="119">
        <v>7500</v>
      </c>
    </row>
    <row r="5498" spans="2:3">
      <c r="B5498" s="118" t="s">
        <v>3797</v>
      </c>
      <c r="C5498" s="119">
        <v>7512</v>
      </c>
    </row>
    <row r="5499" spans="2:3">
      <c r="B5499" s="118" t="s">
        <v>774</v>
      </c>
      <c r="C5499" s="119">
        <v>7525</v>
      </c>
    </row>
    <row r="5500" spans="2:3">
      <c r="B5500" s="118" t="s">
        <v>3798</v>
      </c>
      <c r="C5500" s="119">
        <v>7526</v>
      </c>
    </row>
    <row r="5501" spans="2:3">
      <c r="B5501" s="118" t="s">
        <v>3799</v>
      </c>
      <c r="C5501" s="119">
        <v>7526</v>
      </c>
    </row>
    <row r="5502" spans="2:3">
      <c r="B5502" s="118" t="s">
        <v>3800</v>
      </c>
      <c r="C5502" s="119">
        <v>7514</v>
      </c>
    </row>
    <row r="5503" spans="2:3">
      <c r="B5503" s="118" t="s">
        <v>3801</v>
      </c>
      <c r="C5503" s="119">
        <v>7514</v>
      </c>
    </row>
    <row r="5504" spans="2:3">
      <c r="B5504" s="118" t="s">
        <v>3802</v>
      </c>
      <c r="C5504" s="119">
        <v>7515</v>
      </c>
    </row>
    <row r="5505" spans="2:3">
      <c r="B5505" s="118" t="s">
        <v>3803</v>
      </c>
      <c r="C5505" s="119">
        <v>7517</v>
      </c>
    </row>
    <row r="5506" spans="2:3">
      <c r="B5506" s="118" t="s">
        <v>3797</v>
      </c>
      <c r="C5506" s="119">
        <v>7512</v>
      </c>
    </row>
    <row r="5507" spans="2:3">
      <c r="B5507" s="118" t="s">
        <v>755</v>
      </c>
      <c r="C5507" s="119">
        <v>7513</v>
      </c>
    </row>
    <row r="5508" spans="2:3">
      <c r="B5508" s="118" t="s">
        <v>3796</v>
      </c>
      <c r="C5508" s="119">
        <v>7513</v>
      </c>
    </row>
    <row r="5509" spans="2:3">
      <c r="B5509" s="118" t="s">
        <v>749</v>
      </c>
      <c r="C5509" s="119">
        <v>7524</v>
      </c>
    </row>
    <row r="5510" spans="2:3">
      <c r="B5510" s="118" t="s">
        <v>749</v>
      </c>
      <c r="C5510" s="119">
        <v>7524</v>
      </c>
    </row>
    <row r="5511" spans="2:3">
      <c r="B5511" s="118" t="s">
        <v>799</v>
      </c>
      <c r="C5511" s="119">
        <v>7447</v>
      </c>
    </row>
    <row r="5512" spans="2:3">
      <c r="B5512" s="118" t="s">
        <v>3804</v>
      </c>
      <c r="C5512" s="119">
        <v>7516</v>
      </c>
    </row>
    <row r="5513" spans="2:3">
      <c r="B5513" s="118" t="s">
        <v>3805</v>
      </c>
      <c r="C5513" s="119">
        <v>7602</v>
      </c>
    </row>
    <row r="5514" spans="2:3">
      <c r="B5514" s="118" t="s">
        <v>3806</v>
      </c>
      <c r="C5514" s="119">
        <v>7603</v>
      </c>
    </row>
    <row r="5515" spans="2:3">
      <c r="B5515" s="118" t="s">
        <v>3807</v>
      </c>
      <c r="C5515" s="119">
        <v>7604</v>
      </c>
    </row>
    <row r="5516" spans="2:3">
      <c r="B5516" s="118" t="s">
        <v>3808</v>
      </c>
      <c r="C5516" s="119">
        <v>7605</v>
      </c>
    </row>
    <row r="5517" spans="2:3">
      <c r="B5517" s="118" t="s">
        <v>3809</v>
      </c>
      <c r="C5517" s="119">
        <v>7606</v>
      </c>
    </row>
    <row r="5518" spans="2:3">
      <c r="B5518" s="118" t="s">
        <v>3810</v>
      </c>
      <c r="C5518" s="119">
        <v>7606</v>
      </c>
    </row>
    <row r="5519" spans="2:3">
      <c r="B5519" s="118" t="s">
        <v>3811</v>
      </c>
      <c r="C5519" s="119">
        <v>7608</v>
      </c>
    </row>
    <row r="5520" spans="2:3">
      <c r="B5520" s="118" t="s">
        <v>3812</v>
      </c>
      <c r="C5520" s="119">
        <v>7610</v>
      </c>
    </row>
    <row r="5521" spans="2:3">
      <c r="B5521" s="118" t="s">
        <v>805</v>
      </c>
      <c r="C5521" s="119">
        <v>6542</v>
      </c>
    </row>
    <row r="5522" spans="2:3">
      <c r="B5522" s="118" t="s">
        <v>744</v>
      </c>
      <c r="C5522" s="119">
        <v>6537</v>
      </c>
    </row>
    <row r="5523" spans="2:3">
      <c r="B5523" s="118" t="s">
        <v>791</v>
      </c>
      <c r="C5523" s="119">
        <v>6540</v>
      </c>
    </row>
    <row r="5524" spans="2:3">
      <c r="B5524" s="118" t="s">
        <v>3813</v>
      </c>
      <c r="C5524" s="119">
        <v>6541</v>
      </c>
    </row>
    <row r="5525" spans="2:3">
      <c r="B5525" s="118" t="s">
        <v>800</v>
      </c>
      <c r="C5525" s="119">
        <v>6548</v>
      </c>
    </row>
    <row r="5526" spans="2:3">
      <c r="B5526" s="118" t="s">
        <v>3814</v>
      </c>
      <c r="C5526" s="119">
        <v>6548</v>
      </c>
    </row>
    <row r="5527" spans="2:3">
      <c r="B5527" s="118" t="s">
        <v>3815</v>
      </c>
      <c r="C5527" s="119">
        <v>6548</v>
      </c>
    </row>
    <row r="5528" spans="2:3">
      <c r="B5528" s="118" t="s">
        <v>3813</v>
      </c>
      <c r="C5528" s="119">
        <v>6541</v>
      </c>
    </row>
    <row r="5529" spans="2:3">
      <c r="B5529" s="118" t="s">
        <v>769</v>
      </c>
      <c r="C5529" s="119">
        <v>6558</v>
      </c>
    </row>
    <row r="5530" spans="2:3">
      <c r="B5530" s="118" t="s">
        <v>743</v>
      </c>
      <c r="C5530" s="119">
        <v>6563</v>
      </c>
    </row>
    <row r="5531" spans="2:3">
      <c r="B5531" s="118" t="s">
        <v>3816</v>
      </c>
      <c r="C5531" s="119">
        <v>6565</v>
      </c>
    </row>
    <row r="5532" spans="2:3">
      <c r="B5532" s="118" t="s">
        <v>788</v>
      </c>
      <c r="C5532" s="119">
        <v>6562</v>
      </c>
    </row>
    <row r="5533" spans="2:3">
      <c r="B5533" s="118" t="s">
        <v>780</v>
      </c>
      <c r="C5533" s="119">
        <v>6557</v>
      </c>
    </row>
    <row r="5534" spans="2:3">
      <c r="B5534" s="118" t="s">
        <v>744</v>
      </c>
      <c r="C5534" s="119">
        <v>6537</v>
      </c>
    </row>
    <row r="5535" spans="2:3">
      <c r="B5535" s="118" t="s">
        <v>3817</v>
      </c>
      <c r="C5535" s="119">
        <v>6538</v>
      </c>
    </row>
    <row r="5536" spans="2:3">
      <c r="B5536" s="118" t="s">
        <v>3817</v>
      </c>
      <c r="C5536" s="119">
        <v>6538</v>
      </c>
    </row>
    <row r="5537" spans="2:3">
      <c r="B5537" s="118" t="s">
        <v>3818</v>
      </c>
      <c r="C5537" s="119">
        <v>6556</v>
      </c>
    </row>
    <row r="5538" spans="2:3">
      <c r="B5538" s="118" t="s">
        <v>780</v>
      </c>
      <c r="C5538" s="119">
        <v>6557</v>
      </c>
    </row>
    <row r="5539" spans="2:3">
      <c r="B5539" s="118" t="s">
        <v>3819</v>
      </c>
      <c r="C5539" s="119">
        <v>6535</v>
      </c>
    </row>
    <row r="5540" spans="2:3">
      <c r="B5540" s="118" t="s">
        <v>3820</v>
      </c>
      <c r="C5540" s="119">
        <v>6549</v>
      </c>
    </row>
    <row r="5541" spans="2:3">
      <c r="B5541" s="118" t="s">
        <v>1487</v>
      </c>
      <c r="C5541" s="119">
        <v>6533</v>
      </c>
    </row>
    <row r="5542" spans="2:3">
      <c r="B5542" s="118" t="s">
        <v>3821</v>
      </c>
      <c r="C5542" s="119">
        <v>6534</v>
      </c>
    </row>
    <row r="5543" spans="2:3">
      <c r="B5543" s="118" t="s">
        <v>3821</v>
      </c>
      <c r="C5543" s="119">
        <v>6534</v>
      </c>
    </row>
    <row r="5544" spans="2:3">
      <c r="B5544" s="118" t="s">
        <v>3822</v>
      </c>
      <c r="C5544" s="119">
        <v>6543</v>
      </c>
    </row>
    <row r="5545" spans="2:3">
      <c r="B5545" s="118" t="s">
        <v>3823</v>
      </c>
      <c r="C5545" s="119">
        <v>6544</v>
      </c>
    </row>
    <row r="5546" spans="2:3">
      <c r="B5546" s="118" t="s">
        <v>3824</v>
      </c>
      <c r="C5546" s="119">
        <v>6545</v>
      </c>
    </row>
    <row r="5547" spans="2:3">
      <c r="B5547" s="118" t="s">
        <v>3825</v>
      </c>
      <c r="C5547" s="119">
        <v>6546</v>
      </c>
    </row>
    <row r="5548" spans="2:3">
      <c r="B5548" s="118" t="s">
        <v>3826</v>
      </c>
      <c r="C5548" s="119">
        <v>7532</v>
      </c>
    </row>
    <row r="5549" spans="2:3">
      <c r="B5549" s="118" t="s">
        <v>3827</v>
      </c>
      <c r="C5549" s="119">
        <v>7533</v>
      </c>
    </row>
    <row r="5550" spans="2:3">
      <c r="B5550" s="118" t="s">
        <v>3828</v>
      </c>
      <c r="C5550" s="119">
        <v>7534</v>
      </c>
    </row>
    <row r="5551" spans="2:3">
      <c r="B5551" s="118" t="s">
        <v>3829</v>
      </c>
      <c r="C5551" s="119">
        <v>7535</v>
      </c>
    </row>
    <row r="5552" spans="2:3">
      <c r="B5552" s="118" t="s">
        <v>3830</v>
      </c>
      <c r="C5552" s="119">
        <v>7536</v>
      </c>
    </row>
    <row r="5553" spans="2:3">
      <c r="B5553" s="118" t="s">
        <v>3831</v>
      </c>
      <c r="C5553" s="119">
        <v>7537</v>
      </c>
    </row>
    <row r="5554" spans="2:3">
      <c r="B5554" s="118" t="s">
        <v>3832</v>
      </c>
      <c r="C5554" s="119">
        <v>7260</v>
      </c>
    </row>
    <row r="5555" spans="2:3">
      <c r="B5555" s="118" t="s">
        <v>3833</v>
      </c>
      <c r="C5555" s="119">
        <v>7265</v>
      </c>
    </row>
    <row r="5556" spans="2:3">
      <c r="B5556" s="118" t="s">
        <v>3834</v>
      </c>
      <c r="C5556" s="119">
        <v>7270</v>
      </c>
    </row>
    <row r="5557" spans="2:3">
      <c r="B5557" s="118" t="s">
        <v>3835</v>
      </c>
      <c r="C5557" s="119">
        <v>7272</v>
      </c>
    </row>
    <row r="5558" spans="2:3">
      <c r="B5558" s="118" t="s">
        <v>3836</v>
      </c>
      <c r="C5558" s="119">
        <v>7276</v>
      </c>
    </row>
    <row r="5559" spans="2:3">
      <c r="B5559" s="118" t="s">
        <v>3837</v>
      </c>
      <c r="C5559" s="119">
        <v>7277</v>
      </c>
    </row>
    <row r="5560" spans="2:3">
      <c r="B5560" s="118" t="s">
        <v>3838</v>
      </c>
      <c r="C5560" s="119">
        <v>7278</v>
      </c>
    </row>
    <row r="5561" spans="2:3">
      <c r="B5561" s="118" t="s">
        <v>3702</v>
      </c>
      <c r="C5561" s="119">
        <v>7494</v>
      </c>
    </row>
    <row r="5562" spans="2:3">
      <c r="B5562" s="118" t="s">
        <v>778</v>
      </c>
      <c r="C5562" s="119">
        <v>7235</v>
      </c>
    </row>
    <row r="5563" spans="2:3">
      <c r="B5563" s="118" t="s">
        <v>795</v>
      </c>
      <c r="C5563" s="119">
        <v>7232</v>
      </c>
    </row>
    <row r="5564" spans="2:3">
      <c r="B5564" s="118" t="s">
        <v>3839</v>
      </c>
      <c r="C5564" s="119">
        <v>7231</v>
      </c>
    </row>
    <row r="5565" spans="2:3">
      <c r="B5565" s="118" t="s">
        <v>795</v>
      </c>
      <c r="C5565" s="119">
        <v>7232</v>
      </c>
    </row>
    <row r="5566" spans="2:3">
      <c r="B5566" s="118" t="s">
        <v>752</v>
      </c>
      <c r="C5566" s="119">
        <v>7233</v>
      </c>
    </row>
    <row r="5567" spans="2:3">
      <c r="B5567" s="118" t="s">
        <v>3840</v>
      </c>
      <c r="C5567" s="119">
        <v>7247</v>
      </c>
    </row>
    <row r="5568" spans="2:3">
      <c r="B5568" s="118" t="s">
        <v>3841</v>
      </c>
      <c r="C5568" s="119">
        <v>7249</v>
      </c>
    </row>
    <row r="5569" spans="2:3">
      <c r="B5569" s="118" t="s">
        <v>2665</v>
      </c>
      <c r="C5569" s="119">
        <v>7250</v>
      </c>
    </row>
    <row r="5570" spans="2:3">
      <c r="B5570" s="118" t="s">
        <v>3842</v>
      </c>
      <c r="C5570" s="119">
        <v>7252</v>
      </c>
    </row>
    <row r="5571" spans="2:3">
      <c r="B5571" s="118" t="s">
        <v>3833</v>
      </c>
      <c r="C5571" s="119">
        <v>7265</v>
      </c>
    </row>
    <row r="5572" spans="2:3">
      <c r="B5572" s="118" t="s">
        <v>794</v>
      </c>
      <c r="C5572" s="119">
        <v>7241</v>
      </c>
    </row>
    <row r="5573" spans="2:3">
      <c r="B5573" s="118" t="s">
        <v>764</v>
      </c>
      <c r="C5573" s="119">
        <v>7240</v>
      </c>
    </row>
    <row r="5574" spans="2:3">
      <c r="B5574" s="118" t="s">
        <v>3843</v>
      </c>
      <c r="C5574" s="119">
        <v>7222</v>
      </c>
    </row>
    <row r="5575" spans="2:3">
      <c r="B5575" s="118" t="s">
        <v>3844</v>
      </c>
      <c r="C5575" s="119">
        <v>7223</v>
      </c>
    </row>
    <row r="5576" spans="2:3">
      <c r="B5576" s="118" t="s">
        <v>3845</v>
      </c>
      <c r="C5576" s="119">
        <v>7224</v>
      </c>
    </row>
    <row r="5577" spans="2:3">
      <c r="B5577" s="118" t="s">
        <v>3846</v>
      </c>
      <c r="C5577" s="119">
        <v>7226</v>
      </c>
    </row>
    <row r="5578" spans="2:3">
      <c r="B5578" s="118" t="s">
        <v>764</v>
      </c>
      <c r="C5578" s="119">
        <v>7240</v>
      </c>
    </row>
    <row r="5579" spans="2:3">
      <c r="B5579" s="118" t="s">
        <v>734</v>
      </c>
      <c r="C5579" s="119">
        <v>7242</v>
      </c>
    </row>
    <row r="5580" spans="2:3">
      <c r="B5580" s="118" t="s">
        <v>3847</v>
      </c>
      <c r="C5580" s="119">
        <v>7243</v>
      </c>
    </row>
    <row r="5581" spans="2:3">
      <c r="B5581" s="118" t="s">
        <v>3848</v>
      </c>
      <c r="C5581" s="119">
        <v>7244</v>
      </c>
    </row>
    <row r="5582" spans="2:3">
      <c r="B5582" s="118" t="s">
        <v>3849</v>
      </c>
      <c r="C5582" s="119">
        <v>7245</v>
      </c>
    </row>
    <row r="5583" spans="2:3">
      <c r="B5583" s="118" t="s">
        <v>3850</v>
      </c>
      <c r="C5583" s="119">
        <v>7246</v>
      </c>
    </row>
    <row r="5584" spans="2:3">
      <c r="B5584" s="118" t="s">
        <v>696</v>
      </c>
      <c r="C5584" s="119">
        <v>7000</v>
      </c>
    </row>
    <row r="5585" spans="2:3">
      <c r="B5585" s="118" t="s">
        <v>757</v>
      </c>
      <c r="C5585" s="119">
        <v>7023</v>
      </c>
    </row>
    <row r="5586" spans="2:3">
      <c r="B5586" s="118" t="s">
        <v>783</v>
      </c>
      <c r="C5586" s="119">
        <v>7026</v>
      </c>
    </row>
    <row r="5587" spans="2:3">
      <c r="B5587" s="118" t="s">
        <v>3851</v>
      </c>
      <c r="C5587" s="119">
        <v>7074</v>
      </c>
    </row>
    <row r="5588" spans="2:3">
      <c r="B5588" s="118" t="s">
        <v>696</v>
      </c>
      <c r="C5588" s="119">
        <v>7000</v>
      </c>
    </row>
    <row r="5589" spans="2:3">
      <c r="B5589" s="118" t="s">
        <v>3852</v>
      </c>
      <c r="C5589" s="119">
        <v>7062</v>
      </c>
    </row>
    <row r="5590" spans="2:3">
      <c r="B5590" s="118" t="s">
        <v>3851</v>
      </c>
      <c r="C5590" s="119">
        <v>7074</v>
      </c>
    </row>
    <row r="5591" spans="2:3">
      <c r="B5591" s="118" t="s">
        <v>729</v>
      </c>
      <c r="C5591" s="119">
        <v>7075</v>
      </c>
    </row>
    <row r="5592" spans="2:3">
      <c r="B5592" s="118" t="s">
        <v>3674</v>
      </c>
      <c r="C5592" s="119">
        <v>7076</v>
      </c>
    </row>
    <row r="5593" spans="2:3">
      <c r="B5593" s="118" t="s">
        <v>3853</v>
      </c>
      <c r="C5593" s="119">
        <v>7027</v>
      </c>
    </row>
    <row r="5594" spans="2:3">
      <c r="B5594" s="118" t="s">
        <v>3854</v>
      </c>
      <c r="C5594" s="119">
        <v>7027</v>
      </c>
    </row>
    <row r="5595" spans="2:3">
      <c r="B5595" s="118" t="s">
        <v>3855</v>
      </c>
      <c r="C5595" s="119">
        <v>7027</v>
      </c>
    </row>
    <row r="5596" spans="2:3">
      <c r="B5596" s="118" t="s">
        <v>3856</v>
      </c>
      <c r="C5596" s="119">
        <v>7028</v>
      </c>
    </row>
    <row r="5597" spans="2:3">
      <c r="B5597" s="118" t="s">
        <v>3857</v>
      </c>
      <c r="C5597" s="119">
        <v>7028</v>
      </c>
    </row>
    <row r="5598" spans="2:3">
      <c r="B5598" s="118" t="s">
        <v>3858</v>
      </c>
      <c r="C5598" s="119">
        <v>7029</v>
      </c>
    </row>
    <row r="5599" spans="2:3">
      <c r="B5599" s="118" t="s">
        <v>711</v>
      </c>
      <c r="C5599" s="119">
        <v>7050</v>
      </c>
    </row>
    <row r="5600" spans="2:3">
      <c r="B5600" s="118" t="s">
        <v>3859</v>
      </c>
      <c r="C5600" s="119">
        <v>7056</v>
      </c>
    </row>
    <row r="5601" spans="2:3">
      <c r="B5601" s="118" t="s">
        <v>3860</v>
      </c>
      <c r="C5601" s="119">
        <v>7057</v>
      </c>
    </row>
    <row r="5602" spans="2:3">
      <c r="B5602" s="118" t="s">
        <v>3861</v>
      </c>
      <c r="C5602" s="119">
        <v>7058</v>
      </c>
    </row>
    <row r="5603" spans="2:3">
      <c r="B5603" s="118" t="s">
        <v>3832</v>
      </c>
      <c r="C5603" s="119">
        <v>7260</v>
      </c>
    </row>
    <row r="5604" spans="2:3">
      <c r="B5604" s="118" t="s">
        <v>3862</v>
      </c>
      <c r="C5604" s="119">
        <v>7063</v>
      </c>
    </row>
    <row r="5605" spans="2:3">
      <c r="B5605" s="118" t="s">
        <v>3863</v>
      </c>
      <c r="C5605" s="119">
        <v>7064</v>
      </c>
    </row>
    <row r="5606" spans="2:3">
      <c r="B5606" s="118" t="s">
        <v>3864</v>
      </c>
      <c r="C5606" s="119">
        <v>7202</v>
      </c>
    </row>
    <row r="5607" spans="2:3">
      <c r="B5607" s="118" t="s">
        <v>709</v>
      </c>
      <c r="C5607" s="119">
        <v>7203</v>
      </c>
    </row>
    <row r="5608" spans="2:3">
      <c r="B5608" s="118" t="s">
        <v>3865</v>
      </c>
      <c r="C5608" s="119">
        <v>7213</v>
      </c>
    </row>
    <row r="5609" spans="2:3">
      <c r="B5609" s="118" t="s">
        <v>719</v>
      </c>
      <c r="C5609" s="119">
        <v>7204</v>
      </c>
    </row>
    <row r="5610" spans="2:3">
      <c r="B5610" s="118" t="s">
        <v>707</v>
      </c>
      <c r="C5610" s="119">
        <v>7205</v>
      </c>
    </row>
    <row r="5611" spans="2:3">
      <c r="B5611" s="118" t="s">
        <v>698</v>
      </c>
      <c r="C5611" s="119">
        <v>7302</v>
      </c>
    </row>
    <row r="5612" spans="2:3">
      <c r="B5612" s="118" t="s">
        <v>713</v>
      </c>
      <c r="C5612" s="119">
        <v>7304</v>
      </c>
    </row>
    <row r="5613" spans="2:3">
      <c r="B5613" s="118" t="s">
        <v>767</v>
      </c>
      <c r="C5613" s="119">
        <v>7306</v>
      </c>
    </row>
    <row r="5614" spans="2:3">
      <c r="B5614" s="118" t="s">
        <v>762</v>
      </c>
      <c r="C5614" s="119">
        <v>7307</v>
      </c>
    </row>
    <row r="5615" spans="2:3">
      <c r="B5615" s="118" t="s">
        <v>698</v>
      </c>
      <c r="C5615" s="119">
        <v>7302</v>
      </c>
    </row>
    <row r="5616" spans="2:3">
      <c r="B5616" s="118" t="s">
        <v>713</v>
      </c>
      <c r="C5616" s="119">
        <v>7304</v>
      </c>
    </row>
    <row r="5617" spans="2:3">
      <c r="B5617" s="118" t="s">
        <v>3866</v>
      </c>
      <c r="C5617" s="119">
        <v>7208</v>
      </c>
    </row>
    <row r="5618" spans="2:3">
      <c r="B5618" s="118" t="s">
        <v>719</v>
      </c>
      <c r="C5618" s="119">
        <v>7204</v>
      </c>
    </row>
    <row r="5619" spans="2:3">
      <c r="B5619" s="118" t="s">
        <v>3867</v>
      </c>
      <c r="C5619" s="119">
        <v>7206</v>
      </c>
    </row>
    <row r="5620" spans="2:3">
      <c r="B5620" s="118" t="s">
        <v>698</v>
      </c>
      <c r="C5620" s="119">
        <v>7302</v>
      </c>
    </row>
    <row r="5621" spans="2:3">
      <c r="B5621" s="118" t="s">
        <v>3868</v>
      </c>
      <c r="C5621" s="119">
        <v>7303</v>
      </c>
    </row>
    <row r="5622" spans="2:3">
      <c r="B5622" s="118" t="s">
        <v>3589</v>
      </c>
      <c r="C5622" s="119">
        <v>7313</v>
      </c>
    </row>
    <row r="5623" spans="2:3">
      <c r="B5623" s="118" t="s">
        <v>3865</v>
      </c>
      <c r="C5623" s="119">
        <v>7213</v>
      </c>
    </row>
    <row r="5624" spans="2:3">
      <c r="B5624" s="118" t="s">
        <v>727</v>
      </c>
      <c r="C5624" s="119">
        <v>7214</v>
      </c>
    </row>
    <row r="5625" spans="2:3">
      <c r="B5625" s="118" t="s">
        <v>3869</v>
      </c>
      <c r="C5625" s="119">
        <v>7215</v>
      </c>
    </row>
    <row r="5626" spans="2:3">
      <c r="B5626" s="118" t="s">
        <v>727</v>
      </c>
      <c r="C5626" s="119">
        <v>7214</v>
      </c>
    </row>
    <row r="5627" spans="2:3">
      <c r="B5627" s="118" t="s">
        <v>717</v>
      </c>
      <c r="C5627" s="119">
        <v>7220</v>
      </c>
    </row>
    <row r="5628" spans="2:3">
      <c r="B5628" s="118" t="s">
        <v>717</v>
      </c>
      <c r="C5628" s="119">
        <v>7220</v>
      </c>
    </row>
    <row r="5629" spans="2:3">
      <c r="B5629" s="118" t="s">
        <v>3843</v>
      </c>
      <c r="C5629" s="119">
        <v>7222</v>
      </c>
    </row>
    <row r="5630" spans="2:3">
      <c r="B5630" s="118" t="s">
        <v>3846</v>
      </c>
      <c r="C5630" s="119">
        <v>7226</v>
      </c>
    </row>
    <row r="5631" spans="2:3">
      <c r="B5631" s="118" t="s">
        <v>3846</v>
      </c>
      <c r="C5631" s="119">
        <v>7226</v>
      </c>
    </row>
    <row r="5632" spans="2:3">
      <c r="B5632" s="118" t="s">
        <v>3870</v>
      </c>
      <c r="C5632" s="119">
        <v>7226</v>
      </c>
    </row>
    <row r="5633" spans="2:3">
      <c r="B5633" s="118" t="s">
        <v>3871</v>
      </c>
      <c r="C5633" s="119">
        <v>7228</v>
      </c>
    </row>
    <row r="5634" spans="2:3">
      <c r="B5634" s="118" t="s">
        <v>3872</v>
      </c>
      <c r="C5634" s="119">
        <v>7228</v>
      </c>
    </row>
    <row r="5635" spans="2:3">
      <c r="B5635" s="118" t="s">
        <v>3873</v>
      </c>
      <c r="C5635" s="119">
        <v>7212</v>
      </c>
    </row>
    <row r="5636" spans="2:3">
      <c r="B5636" s="118" t="s">
        <v>3874</v>
      </c>
      <c r="C5636" s="119">
        <v>7212</v>
      </c>
    </row>
    <row r="5637" spans="2:3">
      <c r="B5637" s="118" t="s">
        <v>3875</v>
      </c>
      <c r="C5637" s="119">
        <v>7212</v>
      </c>
    </row>
    <row r="5638" spans="2:3">
      <c r="B5638" s="118" t="s">
        <v>3869</v>
      </c>
      <c r="C5638" s="119">
        <v>7215</v>
      </c>
    </row>
    <row r="5639" spans="2:3">
      <c r="B5639" s="118" t="s">
        <v>3876</v>
      </c>
      <c r="C5639" s="119">
        <v>7134</v>
      </c>
    </row>
    <row r="5640" spans="2:3">
      <c r="B5640" s="118" t="s">
        <v>3877</v>
      </c>
      <c r="C5640" s="119">
        <v>7158</v>
      </c>
    </row>
    <row r="5641" spans="2:3">
      <c r="B5641" s="118" t="s">
        <v>3878</v>
      </c>
      <c r="C5641" s="119">
        <v>7159</v>
      </c>
    </row>
    <row r="5642" spans="2:3">
      <c r="B5642" s="118" t="s">
        <v>3879</v>
      </c>
      <c r="C5642" s="119">
        <v>7162</v>
      </c>
    </row>
    <row r="5643" spans="2:3">
      <c r="B5643" s="118" t="s">
        <v>3880</v>
      </c>
      <c r="C5643" s="119">
        <v>7163</v>
      </c>
    </row>
    <row r="5644" spans="2:3">
      <c r="B5644" s="118" t="s">
        <v>3881</v>
      </c>
      <c r="C5644" s="119">
        <v>7164</v>
      </c>
    </row>
    <row r="5645" spans="2:3">
      <c r="B5645" s="118" t="s">
        <v>2660</v>
      </c>
      <c r="C5645" s="119">
        <v>7165</v>
      </c>
    </row>
    <row r="5646" spans="2:3">
      <c r="B5646" s="118" t="s">
        <v>2662</v>
      </c>
      <c r="C5646" s="119">
        <v>7180</v>
      </c>
    </row>
    <row r="5647" spans="2:3">
      <c r="B5647" s="118" t="s">
        <v>3882</v>
      </c>
      <c r="C5647" s="119">
        <v>7182</v>
      </c>
    </row>
    <row r="5648" spans="2:3">
      <c r="B5648" s="118" t="s">
        <v>3883</v>
      </c>
      <c r="C5648" s="119">
        <v>7183</v>
      </c>
    </row>
    <row r="5649" spans="2:3">
      <c r="B5649" s="118" t="s">
        <v>3884</v>
      </c>
      <c r="C5649" s="119">
        <v>7186</v>
      </c>
    </row>
    <row r="5650" spans="2:3">
      <c r="B5650" s="118" t="s">
        <v>3885</v>
      </c>
      <c r="C5650" s="119">
        <v>7184</v>
      </c>
    </row>
    <row r="5651" spans="2:3">
      <c r="B5651" s="118" t="s">
        <v>3886</v>
      </c>
      <c r="C5651" s="119">
        <v>7185</v>
      </c>
    </row>
    <row r="5652" spans="2:3">
      <c r="B5652" s="118" t="s">
        <v>3887</v>
      </c>
      <c r="C5652" s="119">
        <v>7172</v>
      </c>
    </row>
    <row r="5653" spans="2:3">
      <c r="B5653" s="118" t="s">
        <v>3888</v>
      </c>
      <c r="C5653" s="119">
        <v>7173</v>
      </c>
    </row>
    <row r="5654" spans="2:3">
      <c r="B5654" s="118" t="s">
        <v>3889</v>
      </c>
      <c r="C5654" s="119">
        <v>7174</v>
      </c>
    </row>
    <row r="5655" spans="2:3">
      <c r="B5655" s="118" t="s">
        <v>750</v>
      </c>
      <c r="C5655" s="119">
        <v>7175</v>
      </c>
    </row>
    <row r="5656" spans="2:3">
      <c r="B5656" s="118" t="s">
        <v>3890</v>
      </c>
      <c r="C5656" s="119">
        <v>7176</v>
      </c>
    </row>
    <row r="5657" spans="2:3">
      <c r="B5657" s="118" t="s">
        <v>2662</v>
      </c>
      <c r="C5657" s="119">
        <v>7180</v>
      </c>
    </row>
    <row r="5658" spans="2:3">
      <c r="B5658" s="118" t="s">
        <v>3891</v>
      </c>
      <c r="C5658" s="119">
        <v>7187</v>
      </c>
    </row>
    <row r="5659" spans="2:3">
      <c r="B5659" s="118" t="s">
        <v>3892</v>
      </c>
      <c r="C5659" s="119">
        <v>7188</v>
      </c>
    </row>
    <row r="5660" spans="2:3">
      <c r="B5660" s="118" t="s">
        <v>3893</v>
      </c>
      <c r="C5660" s="119">
        <v>7189</v>
      </c>
    </row>
    <row r="5661" spans="2:3">
      <c r="B5661" s="118" t="s">
        <v>751</v>
      </c>
      <c r="C5661" s="119">
        <v>7166</v>
      </c>
    </row>
    <row r="5662" spans="2:3">
      <c r="B5662" s="118" t="s">
        <v>3894</v>
      </c>
      <c r="C5662" s="119">
        <v>7167</v>
      </c>
    </row>
    <row r="5663" spans="2:3">
      <c r="B5663" s="118" t="s">
        <v>3895</v>
      </c>
      <c r="C5663" s="119">
        <v>7168</v>
      </c>
    </row>
    <row r="5664" spans="2:3">
      <c r="B5664" s="118" t="s">
        <v>3887</v>
      </c>
      <c r="C5664" s="119">
        <v>7172</v>
      </c>
    </row>
    <row r="5665" spans="2:3">
      <c r="B5665" s="118" t="s">
        <v>3876</v>
      </c>
      <c r="C5665" s="119">
        <v>7134</v>
      </c>
    </row>
    <row r="5666" spans="2:3">
      <c r="B5666" s="118" t="s">
        <v>3896</v>
      </c>
      <c r="C5666" s="119">
        <v>7137</v>
      </c>
    </row>
    <row r="5667" spans="2:3">
      <c r="B5667" s="118" t="s">
        <v>3897</v>
      </c>
      <c r="C5667" s="119">
        <v>7138</v>
      </c>
    </row>
    <row r="5668" spans="2:3">
      <c r="B5668" s="118" t="s">
        <v>1615</v>
      </c>
      <c r="C5668" s="119">
        <v>5000</v>
      </c>
    </row>
    <row r="5669" spans="2:3">
      <c r="B5669" s="118" t="s">
        <v>1615</v>
      </c>
      <c r="C5669" s="119">
        <v>5004</v>
      </c>
    </row>
    <row r="5670" spans="2:3">
      <c r="B5670" s="118" t="s">
        <v>1614</v>
      </c>
      <c r="C5670" s="119">
        <v>5032</v>
      </c>
    </row>
    <row r="5671" spans="2:3">
      <c r="B5671" s="118" t="s">
        <v>600</v>
      </c>
      <c r="C5671" s="119">
        <v>5023</v>
      </c>
    </row>
    <row r="5672" spans="2:3">
      <c r="B5672" s="118" t="s">
        <v>3898</v>
      </c>
      <c r="C5672" s="119">
        <v>5033</v>
      </c>
    </row>
    <row r="5673" spans="2:3">
      <c r="B5673" s="118" t="s">
        <v>3899</v>
      </c>
      <c r="C5673" s="119">
        <v>5025</v>
      </c>
    </row>
    <row r="5674" spans="2:3">
      <c r="B5674" s="118" t="s">
        <v>669</v>
      </c>
      <c r="C5674" s="119">
        <v>5026</v>
      </c>
    </row>
    <row r="5675" spans="2:3">
      <c r="B5675" s="118" t="s">
        <v>3473</v>
      </c>
      <c r="C5675" s="119">
        <v>5017</v>
      </c>
    </row>
    <row r="5676" spans="2:3">
      <c r="B5676" s="118" t="s">
        <v>3900</v>
      </c>
      <c r="C5676" s="119">
        <v>5018</v>
      </c>
    </row>
    <row r="5677" spans="2:3">
      <c r="B5677" s="118" t="s">
        <v>506</v>
      </c>
      <c r="C5677" s="119">
        <v>5722</v>
      </c>
    </row>
    <row r="5678" spans="2:3">
      <c r="B5678" s="118" t="s">
        <v>3901</v>
      </c>
      <c r="C5678" s="119">
        <v>5723</v>
      </c>
    </row>
    <row r="5679" spans="2:3">
      <c r="B5679" s="118" t="s">
        <v>601</v>
      </c>
      <c r="C5679" s="119">
        <v>5042</v>
      </c>
    </row>
    <row r="5680" spans="2:3">
      <c r="B5680" s="118" t="s">
        <v>3902</v>
      </c>
      <c r="C5680" s="119">
        <v>5022</v>
      </c>
    </row>
    <row r="5681" spans="2:3">
      <c r="B5681" s="118" t="s">
        <v>512</v>
      </c>
      <c r="C5681" s="119">
        <v>5024</v>
      </c>
    </row>
    <row r="5682" spans="2:3">
      <c r="B5682" s="118" t="s">
        <v>544</v>
      </c>
      <c r="C5682" s="119">
        <v>5037</v>
      </c>
    </row>
    <row r="5683" spans="2:3">
      <c r="B5683" s="118" t="s">
        <v>501</v>
      </c>
      <c r="C5683" s="119">
        <v>5036</v>
      </c>
    </row>
    <row r="5684" spans="2:3">
      <c r="B5684" s="118" t="s">
        <v>1615</v>
      </c>
      <c r="C5684" s="119">
        <v>5000</v>
      </c>
    </row>
    <row r="5685" spans="2:3">
      <c r="B5685" s="118" t="s">
        <v>496</v>
      </c>
      <c r="C5685" s="119">
        <v>5034</v>
      </c>
    </row>
    <row r="5686" spans="2:3">
      <c r="B5686" s="118" t="s">
        <v>535</v>
      </c>
      <c r="C5686" s="119">
        <v>5035</v>
      </c>
    </row>
    <row r="5687" spans="2:3">
      <c r="B5687" s="118" t="s">
        <v>560</v>
      </c>
      <c r="C5687" s="119">
        <v>5300</v>
      </c>
    </row>
    <row r="5688" spans="2:3">
      <c r="B5688" s="118" t="s">
        <v>1616</v>
      </c>
      <c r="C5688" s="119">
        <v>5400</v>
      </c>
    </row>
    <row r="5689" spans="2:3">
      <c r="B5689" s="118" t="s">
        <v>1616</v>
      </c>
      <c r="C5689" s="119">
        <v>5404</v>
      </c>
    </row>
    <row r="5690" spans="2:3">
      <c r="B5690" s="118" t="s">
        <v>1617</v>
      </c>
      <c r="C5690" s="119">
        <v>5405</v>
      </c>
    </row>
    <row r="5691" spans="2:3">
      <c r="B5691" s="118" t="s">
        <v>1618</v>
      </c>
      <c r="C5691" s="119">
        <v>5406</v>
      </c>
    </row>
    <row r="5692" spans="2:3">
      <c r="B5692" s="118" t="s">
        <v>607</v>
      </c>
      <c r="C5692" s="119">
        <v>5454</v>
      </c>
    </row>
    <row r="5693" spans="2:3">
      <c r="B5693" s="118" t="s">
        <v>546</v>
      </c>
      <c r="C5693" s="119">
        <v>8967</v>
      </c>
    </row>
    <row r="5694" spans="2:3">
      <c r="B5694" s="118" t="s">
        <v>566</v>
      </c>
      <c r="C5694" s="119">
        <v>8962</v>
      </c>
    </row>
    <row r="5695" spans="2:3">
      <c r="B5695" s="118" t="s">
        <v>546</v>
      </c>
      <c r="C5695" s="119">
        <v>8967</v>
      </c>
    </row>
    <row r="5696" spans="2:3">
      <c r="B5696" s="118" t="s">
        <v>1618</v>
      </c>
      <c r="C5696" s="119">
        <v>5406</v>
      </c>
    </row>
    <row r="5697" spans="2:3">
      <c r="B5697" s="118" t="s">
        <v>3903</v>
      </c>
      <c r="C5697" s="119">
        <v>5413</v>
      </c>
    </row>
    <row r="5698" spans="2:3">
      <c r="B5698" s="118" t="s">
        <v>551</v>
      </c>
      <c r="C5698" s="119">
        <v>5408</v>
      </c>
    </row>
    <row r="5699" spans="2:3">
      <c r="B5699" s="118" t="s">
        <v>1617</v>
      </c>
      <c r="C5699" s="119">
        <v>5405</v>
      </c>
    </row>
    <row r="5700" spans="2:3">
      <c r="B5700" s="118" t="s">
        <v>515</v>
      </c>
      <c r="C5700" s="119">
        <v>5442</v>
      </c>
    </row>
    <row r="5701" spans="2:3">
      <c r="B5701" s="118" t="s">
        <v>642</v>
      </c>
      <c r="C5701" s="119">
        <v>5423</v>
      </c>
    </row>
    <row r="5702" spans="2:3">
      <c r="B5702" s="118" t="s">
        <v>518</v>
      </c>
      <c r="C5702" s="119">
        <v>5412</v>
      </c>
    </row>
    <row r="5703" spans="2:3">
      <c r="B5703" s="118" t="s">
        <v>3904</v>
      </c>
      <c r="C5703" s="119">
        <v>5412</v>
      </c>
    </row>
    <row r="5704" spans="2:3">
      <c r="B5704" s="118" t="s">
        <v>586</v>
      </c>
      <c r="C5704" s="119">
        <v>8956</v>
      </c>
    </row>
    <row r="5705" spans="2:3">
      <c r="B5705" s="118" t="s">
        <v>594</v>
      </c>
      <c r="C5705" s="119">
        <v>5444</v>
      </c>
    </row>
    <row r="5706" spans="2:3">
      <c r="B5706" s="118" t="s">
        <v>582</v>
      </c>
      <c r="C5706" s="119">
        <v>5506</v>
      </c>
    </row>
    <row r="5707" spans="2:3">
      <c r="B5707" s="118" t="s">
        <v>516</v>
      </c>
      <c r="C5707" s="119">
        <v>5507</v>
      </c>
    </row>
    <row r="5708" spans="2:3">
      <c r="B5708" s="118" t="s">
        <v>498</v>
      </c>
      <c r="C5708" s="119">
        <v>5432</v>
      </c>
    </row>
    <row r="5709" spans="2:3">
      <c r="B5709" s="118" t="s">
        <v>537</v>
      </c>
      <c r="C5709" s="119">
        <v>5443</v>
      </c>
    </row>
    <row r="5710" spans="2:3">
      <c r="B5710" s="118" t="s">
        <v>534</v>
      </c>
      <c r="C5710" s="119">
        <v>5452</v>
      </c>
    </row>
    <row r="5711" spans="2:3">
      <c r="B5711" s="118" t="s">
        <v>3905</v>
      </c>
      <c r="C5711" s="119">
        <v>5415</v>
      </c>
    </row>
    <row r="5712" spans="2:3">
      <c r="B5712" s="118" t="s">
        <v>3906</v>
      </c>
      <c r="C5712" s="119">
        <v>5415</v>
      </c>
    </row>
    <row r="5713" spans="2:3">
      <c r="B5713" s="118" t="s">
        <v>3907</v>
      </c>
      <c r="C5713" s="119">
        <v>5415</v>
      </c>
    </row>
    <row r="5714" spans="2:3">
      <c r="B5714" s="118" t="s">
        <v>3908</v>
      </c>
      <c r="C5714" s="119">
        <v>5416</v>
      </c>
    </row>
    <row r="5715" spans="2:3">
      <c r="B5715" s="118" t="s">
        <v>585</v>
      </c>
      <c r="C5715" s="119">
        <v>5453</v>
      </c>
    </row>
    <row r="5716" spans="2:3">
      <c r="B5716" s="118" t="s">
        <v>1679</v>
      </c>
      <c r="C5716" s="119">
        <v>8953</v>
      </c>
    </row>
    <row r="5717" spans="2:3">
      <c r="B5717" s="118" t="s">
        <v>2676</v>
      </c>
      <c r="C5717" s="119">
        <v>8957</v>
      </c>
    </row>
    <row r="5718" spans="2:3">
      <c r="B5718" s="118" t="s">
        <v>3909</v>
      </c>
      <c r="C5718" s="119">
        <v>5608</v>
      </c>
    </row>
    <row r="5719" spans="2:3">
      <c r="B5719" s="118" t="s">
        <v>560</v>
      </c>
      <c r="C5719" s="119">
        <v>5300</v>
      </c>
    </row>
    <row r="5720" spans="2:3">
      <c r="B5720" s="118" t="s">
        <v>3910</v>
      </c>
      <c r="C5720" s="119">
        <v>5301</v>
      </c>
    </row>
    <row r="5721" spans="2:3">
      <c r="B5721" s="118" t="s">
        <v>3908</v>
      </c>
      <c r="C5721" s="119">
        <v>5416</v>
      </c>
    </row>
    <row r="5722" spans="2:3">
      <c r="B5722" s="118" t="s">
        <v>509</v>
      </c>
      <c r="C5722" s="119">
        <v>5417</v>
      </c>
    </row>
    <row r="5723" spans="2:3">
      <c r="B5723" s="118" t="s">
        <v>2677</v>
      </c>
      <c r="C5723" s="119">
        <v>5430</v>
      </c>
    </row>
    <row r="5724" spans="2:3">
      <c r="B5724" s="118" t="s">
        <v>582</v>
      </c>
      <c r="C5724" s="119">
        <v>5506</v>
      </c>
    </row>
    <row r="5725" spans="2:3">
      <c r="B5725" s="118" t="s">
        <v>606</v>
      </c>
      <c r="C5725" s="119">
        <v>5512</v>
      </c>
    </row>
    <row r="5726" spans="2:3">
      <c r="B5726" s="118" t="s">
        <v>524</v>
      </c>
      <c r="C5726" s="119">
        <v>5303</v>
      </c>
    </row>
    <row r="5727" spans="2:3">
      <c r="B5727" s="118" t="s">
        <v>2677</v>
      </c>
      <c r="C5727" s="119">
        <v>5430</v>
      </c>
    </row>
    <row r="5728" spans="2:3">
      <c r="B5728" s="118" t="s">
        <v>510</v>
      </c>
      <c r="C5728" s="119">
        <v>5436</v>
      </c>
    </row>
    <row r="5729" spans="2:3">
      <c r="B5729" s="118" t="s">
        <v>3911</v>
      </c>
      <c r="C5729" s="119">
        <v>8109</v>
      </c>
    </row>
    <row r="5730" spans="2:3">
      <c r="B5730" s="118" t="s">
        <v>520</v>
      </c>
      <c r="C5730" s="119">
        <v>5420</v>
      </c>
    </row>
    <row r="5731" spans="2:3">
      <c r="B5731" s="118" t="s">
        <v>3912</v>
      </c>
      <c r="C5731" s="119">
        <v>8905</v>
      </c>
    </row>
    <row r="5732" spans="2:3">
      <c r="B5732" s="118" t="s">
        <v>3913</v>
      </c>
      <c r="C5732" s="119">
        <v>8964</v>
      </c>
    </row>
    <row r="5733" spans="2:3">
      <c r="B5733" s="118" t="s">
        <v>523</v>
      </c>
      <c r="C5733" s="119">
        <v>8965</v>
      </c>
    </row>
    <row r="5734" spans="2:3">
      <c r="B5734" s="118" t="s">
        <v>3914</v>
      </c>
      <c r="C5734" s="119">
        <v>5620</v>
      </c>
    </row>
    <row r="5735" spans="2:3">
      <c r="B5735" s="118" t="s">
        <v>3915</v>
      </c>
      <c r="C5735" s="119">
        <v>5626</v>
      </c>
    </row>
    <row r="5736" spans="2:3">
      <c r="B5736" s="118" t="s">
        <v>3916</v>
      </c>
      <c r="C5736" s="119">
        <v>5619</v>
      </c>
    </row>
    <row r="5737" spans="2:3">
      <c r="B5737" s="118" t="s">
        <v>627</v>
      </c>
      <c r="C5737" s="119">
        <v>5604</v>
      </c>
    </row>
    <row r="5738" spans="2:3">
      <c r="B5738" s="118" t="s">
        <v>543</v>
      </c>
      <c r="C5738" s="119">
        <v>5605</v>
      </c>
    </row>
    <row r="5739" spans="2:3">
      <c r="B5739" s="118" t="s">
        <v>646</v>
      </c>
      <c r="C5739" s="119">
        <v>5445</v>
      </c>
    </row>
    <row r="5740" spans="2:3">
      <c r="B5740" s="118" t="s">
        <v>597</v>
      </c>
      <c r="C5740" s="119">
        <v>5525</v>
      </c>
    </row>
    <row r="5741" spans="2:3">
      <c r="B5741" s="118" t="s">
        <v>608</v>
      </c>
      <c r="C5741" s="119">
        <v>5522</v>
      </c>
    </row>
    <row r="5742" spans="2:3">
      <c r="B5742" s="118" t="s">
        <v>573</v>
      </c>
      <c r="C5742" s="119">
        <v>5607</v>
      </c>
    </row>
    <row r="5743" spans="2:3">
      <c r="B5743" s="118" t="s">
        <v>587</v>
      </c>
      <c r="C5743" s="119">
        <v>8916</v>
      </c>
    </row>
    <row r="5744" spans="2:3">
      <c r="B5744" s="118" t="s">
        <v>3917</v>
      </c>
      <c r="C5744" s="119">
        <v>5524</v>
      </c>
    </row>
    <row r="5745" spans="2:3">
      <c r="B5745" s="118" t="s">
        <v>3918</v>
      </c>
      <c r="C5745" s="119">
        <v>5524</v>
      </c>
    </row>
    <row r="5746" spans="2:3">
      <c r="B5746" s="118" t="s">
        <v>589</v>
      </c>
      <c r="C5746" s="119">
        <v>8917</v>
      </c>
    </row>
    <row r="5747" spans="2:3">
      <c r="B5747" s="118" t="s">
        <v>574</v>
      </c>
      <c r="C5747" s="119">
        <v>8966</v>
      </c>
    </row>
    <row r="5748" spans="2:3">
      <c r="B5748" s="118" t="s">
        <v>3913</v>
      </c>
      <c r="C5748" s="119">
        <v>8964</v>
      </c>
    </row>
    <row r="5749" spans="2:3">
      <c r="B5749" s="118" t="s">
        <v>564</v>
      </c>
      <c r="C5749" s="119">
        <v>5614</v>
      </c>
    </row>
    <row r="5750" spans="2:3">
      <c r="B5750" s="118" t="s">
        <v>675</v>
      </c>
      <c r="C5750" s="119">
        <v>5618</v>
      </c>
    </row>
    <row r="5751" spans="2:3">
      <c r="B5751" s="118" t="s">
        <v>608</v>
      </c>
      <c r="C5751" s="119">
        <v>5522</v>
      </c>
    </row>
    <row r="5752" spans="2:3">
      <c r="B5752" s="118" t="s">
        <v>680</v>
      </c>
      <c r="C5752" s="119">
        <v>5619</v>
      </c>
    </row>
    <row r="5753" spans="2:3">
      <c r="B5753" s="118" t="s">
        <v>617</v>
      </c>
      <c r="C5753" s="119">
        <v>8918</v>
      </c>
    </row>
    <row r="5754" spans="2:3">
      <c r="B5754" s="118" t="s">
        <v>543</v>
      </c>
      <c r="C5754" s="119">
        <v>5605</v>
      </c>
    </row>
    <row r="5755" spans="2:3">
      <c r="B5755" s="118" t="s">
        <v>3919</v>
      </c>
      <c r="C5755" s="119">
        <v>5610</v>
      </c>
    </row>
    <row r="5756" spans="2:3">
      <c r="B5756" s="118" t="s">
        <v>3920</v>
      </c>
      <c r="C5756" s="119">
        <v>5611</v>
      </c>
    </row>
    <row r="5757" spans="2:3">
      <c r="B5757" s="118" t="s">
        <v>508</v>
      </c>
      <c r="C5757" s="119">
        <v>5612</v>
      </c>
    </row>
    <row r="5758" spans="2:3">
      <c r="B5758" s="118" t="s">
        <v>3921</v>
      </c>
      <c r="C5758" s="119">
        <v>5613</v>
      </c>
    </row>
    <row r="5759" spans="2:3">
      <c r="B5759" s="118" t="s">
        <v>546</v>
      </c>
      <c r="C5759" s="119">
        <v>8967</v>
      </c>
    </row>
    <row r="5760" spans="2:3">
      <c r="B5760" s="118" t="s">
        <v>3919</v>
      </c>
      <c r="C5760" s="119">
        <v>5610</v>
      </c>
    </row>
    <row r="5761" spans="2:3">
      <c r="B5761" s="118" t="s">
        <v>3920</v>
      </c>
      <c r="C5761" s="119">
        <v>5611</v>
      </c>
    </row>
    <row r="5762" spans="2:3">
      <c r="B5762" s="118" t="s">
        <v>508</v>
      </c>
      <c r="C5762" s="119">
        <v>5612</v>
      </c>
    </row>
    <row r="5763" spans="2:3">
      <c r="B5763" s="118" t="s">
        <v>527</v>
      </c>
      <c r="C5763" s="119">
        <v>5621</v>
      </c>
    </row>
    <row r="5764" spans="2:3">
      <c r="B5764" s="118" t="s">
        <v>676</v>
      </c>
      <c r="C5764" s="119">
        <v>8905</v>
      </c>
    </row>
    <row r="5765" spans="2:3">
      <c r="B5765" s="118" t="s">
        <v>603</v>
      </c>
      <c r="C5765" s="119">
        <v>5105</v>
      </c>
    </row>
    <row r="5766" spans="2:3">
      <c r="B5766" s="118" t="s">
        <v>525</v>
      </c>
      <c r="C5766" s="119">
        <v>5242</v>
      </c>
    </row>
    <row r="5767" spans="2:3">
      <c r="B5767" s="118" t="s">
        <v>670</v>
      </c>
      <c r="C5767" s="119">
        <v>5244</v>
      </c>
    </row>
    <row r="5768" spans="2:3">
      <c r="B5768" s="118" t="s">
        <v>3922</v>
      </c>
      <c r="C5768" s="119">
        <v>5116</v>
      </c>
    </row>
    <row r="5769" spans="2:3">
      <c r="B5769" s="118" t="s">
        <v>3923</v>
      </c>
      <c r="C5769" s="119">
        <v>5200</v>
      </c>
    </row>
    <row r="5770" spans="2:3">
      <c r="B5770" s="118" t="s">
        <v>507</v>
      </c>
      <c r="C5770" s="119">
        <v>5210</v>
      </c>
    </row>
    <row r="5771" spans="2:3">
      <c r="B5771" s="118" t="s">
        <v>3924</v>
      </c>
      <c r="C5771" s="119">
        <v>5222</v>
      </c>
    </row>
    <row r="5772" spans="2:3">
      <c r="B5772" s="118" t="s">
        <v>682</v>
      </c>
      <c r="C5772" s="119">
        <v>5245</v>
      </c>
    </row>
    <row r="5773" spans="2:3">
      <c r="B5773" s="118" t="s">
        <v>507</v>
      </c>
      <c r="C5773" s="119">
        <v>5210</v>
      </c>
    </row>
    <row r="5774" spans="2:3">
      <c r="B5774" s="118" t="s">
        <v>3925</v>
      </c>
      <c r="C5774" s="119">
        <v>5212</v>
      </c>
    </row>
    <row r="5775" spans="2:3">
      <c r="B5775" s="118" t="s">
        <v>3925</v>
      </c>
      <c r="C5775" s="119">
        <v>5212</v>
      </c>
    </row>
    <row r="5776" spans="2:3">
      <c r="B5776" s="118" t="s">
        <v>557</v>
      </c>
      <c r="C5776" s="119">
        <v>5242</v>
      </c>
    </row>
    <row r="5777" spans="2:3">
      <c r="B5777" s="118" t="s">
        <v>3926</v>
      </c>
      <c r="C5777" s="119">
        <v>5246</v>
      </c>
    </row>
    <row r="5778" spans="2:3">
      <c r="B5778" s="118" t="s">
        <v>688</v>
      </c>
      <c r="C5778" s="119">
        <v>5318</v>
      </c>
    </row>
    <row r="5779" spans="2:3">
      <c r="B5779" s="118" t="s">
        <v>678</v>
      </c>
      <c r="C5779" s="119">
        <v>5078</v>
      </c>
    </row>
    <row r="5780" spans="2:3">
      <c r="B5780" s="118" t="s">
        <v>684</v>
      </c>
      <c r="C5780" s="119">
        <v>5237</v>
      </c>
    </row>
    <row r="5781" spans="2:3">
      <c r="B5781" s="118" t="s">
        <v>637</v>
      </c>
      <c r="C5781" s="119">
        <v>5243</v>
      </c>
    </row>
    <row r="5782" spans="2:3">
      <c r="B5782" s="118" t="s">
        <v>639</v>
      </c>
      <c r="C5782" s="119">
        <v>5236</v>
      </c>
    </row>
    <row r="5783" spans="2:3">
      <c r="B5783" s="118" t="s">
        <v>610</v>
      </c>
      <c r="C5783" s="119">
        <v>5223</v>
      </c>
    </row>
    <row r="5784" spans="2:3">
      <c r="B5784" s="118" t="s">
        <v>3923</v>
      </c>
      <c r="C5784" s="119">
        <v>5200</v>
      </c>
    </row>
    <row r="5785" spans="2:3">
      <c r="B5785" s="118" t="s">
        <v>3927</v>
      </c>
      <c r="C5785" s="119">
        <v>5235</v>
      </c>
    </row>
    <row r="5786" spans="2:3">
      <c r="B5786" s="118" t="s">
        <v>3928</v>
      </c>
      <c r="C5786" s="119">
        <v>5112</v>
      </c>
    </row>
    <row r="5787" spans="2:3">
      <c r="B5787" s="118" t="s">
        <v>3929</v>
      </c>
      <c r="C5787" s="119">
        <v>5106</v>
      </c>
    </row>
    <row r="5788" spans="2:3">
      <c r="B5788" s="118" t="s">
        <v>3930</v>
      </c>
      <c r="C5788" s="119">
        <v>5233</v>
      </c>
    </row>
    <row r="5789" spans="2:3">
      <c r="B5789" s="118" t="s">
        <v>584</v>
      </c>
      <c r="C5789" s="119">
        <v>5234</v>
      </c>
    </row>
    <row r="5790" spans="2:3">
      <c r="B5790" s="118" t="s">
        <v>3931</v>
      </c>
      <c r="C5790" s="119">
        <v>5107</v>
      </c>
    </row>
    <row r="5791" spans="2:3">
      <c r="B5791" s="118" t="s">
        <v>596</v>
      </c>
      <c r="C5791" s="119">
        <v>5213</v>
      </c>
    </row>
    <row r="5792" spans="2:3">
      <c r="B5792" s="118" t="s">
        <v>3924</v>
      </c>
      <c r="C5792" s="119">
        <v>5222</v>
      </c>
    </row>
    <row r="5793" spans="2:3">
      <c r="B5793" s="118" t="s">
        <v>604</v>
      </c>
      <c r="C5793" s="119">
        <v>5225</v>
      </c>
    </row>
    <row r="5794" spans="2:3">
      <c r="B5794" s="118" t="s">
        <v>507</v>
      </c>
      <c r="C5794" s="119">
        <v>5210</v>
      </c>
    </row>
    <row r="5795" spans="2:3">
      <c r="B5795" s="118" t="s">
        <v>604</v>
      </c>
      <c r="C5795" s="119">
        <v>5225</v>
      </c>
    </row>
    <row r="5796" spans="2:3">
      <c r="B5796" s="118" t="s">
        <v>639</v>
      </c>
      <c r="C5796" s="119">
        <v>5236</v>
      </c>
    </row>
    <row r="5797" spans="2:3">
      <c r="B5797" s="118" t="s">
        <v>684</v>
      </c>
      <c r="C5797" s="119">
        <v>5237</v>
      </c>
    </row>
    <row r="5798" spans="2:3">
      <c r="B5798" s="118" t="s">
        <v>3931</v>
      </c>
      <c r="C5798" s="119">
        <v>5107</v>
      </c>
    </row>
    <row r="5799" spans="2:3">
      <c r="B5799" s="118" t="s">
        <v>3932</v>
      </c>
      <c r="C5799" s="119">
        <v>5108</v>
      </c>
    </row>
    <row r="5800" spans="2:3">
      <c r="B5800" s="118" t="s">
        <v>555</v>
      </c>
      <c r="C5800" s="119">
        <v>5712</v>
      </c>
    </row>
    <row r="5801" spans="2:3">
      <c r="B5801" s="118" t="s">
        <v>631</v>
      </c>
      <c r="C5801" s="119">
        <v>5708</v>
      </c>
    </row>
    <row r="5802" spans="2:3">
      <c r="B5802" s="118" t="s">
        <v>625</v>
      </c>
      <c r="C5802" s="119">
        <v>5724</v>
      </c>
    </row>
    <row r="5803" spans="2:3">
      <c r="B5803" s="118" t="s">
        <v>556</v>
      </c>
      <c r="C5803" s="119">
        <v>5726</v>
      </c>
    </row>
    <row r="5804" spans="2:3">
      <c r="B5804" s="118" t="s">
        <v>634</v>
      </c>
      <c r="C5804" s="119">
        <v>5046</v>
      </c>
    </row>
    <row r="5805" spans="2:3">
      <c r="B5805" s="118" t="s">
        <v>3933</v>
      </c>
      <c r="C5805" s="119">
        <v>5046</v>
      </c>
    </row>
    <row r="5806" spans="2:3">
      <c r="B5806" s="118" t="s">
        <v>581</v>
      </c>
      <c r="C5806" s="119">
        <v>5728</v>
      </c>
    </row>
    <row r="5807" spans="2:3">
      <c r="B5807" s="118" t="s">
        <v>619</v>
      </c>
      <c r="C5807" s="119">
        <v>5043</v>
      </c>
    </row>
    <row r="5808" spans="2:3">
      <c r="B5808" s="118" t="s">
        <v>3934</v>
      </c>
      <c r="C5808" s="119">
        <v>5733</v>
      </c>
    </row>
    <row r="5809" spans="2:3">
      <c r="B5809" s="118" t="s">
        <v>615</v>
      </c>
      <c r="C5809" s="119">
        <v>5706</v>
      </c>
    </row>
    <row r="5810" spans="2:3">
      <c r="B5810" s="118" t="s">
        <v>666</v>
      </c>
      <c r="C5810" s="119">
        <v>5725</v>
      </c>
    </row>
    <row r="5811" spans="2:3">
      <c r="B5811" s="118" t="s">
        <v>3935</v>
      </c>
      <c r="C5811" s="119">
        <v>5736</v>
      </c>
    </row>
    <row r="5812" spans="2:3">
      <c r="B5812" s="118" t="s">
        <v>511</v>
      </c>
      <c r="C5812" s="119">
        <v>5737</v>
      </c>
    </row>
    <row r="5813" spans="2:3">
      <c r="B5813" s="118" t="s">
        <v>570</v>
      </c>
      <c r="C5813" s="119">
        <v>5727</v>
      </c>
    </row>
    <row r="5814" spans="2:3">
      <c r="B5814" s="118" t="s">
        <v>3936</v>
      </c>
      <c r="C5814" s="119">
        <v>5734</v>
      </c>
    </row>
    <row r="5815" spans="2:3">
      <c r="B5815" s="118" t="s">
        <v>659</v>
      </c>
      <c r="C5815" s="119">
        <v>5044</v>
      </c>
    </row>
    <row r="5816" spans="2:3">
      <c r="B5816" s="118" t="s">
        <v>634</v>
      </c>
      <c r="C5816" s="119">
        <v>5046</v>
      </c>
    </row>
    <row r="5817" spans="2:3">
      <c r="B5817" s="118" t="s">
        <v>3933</v>
      </c>
      <c r="C5817" s="119">
        <v>5046</v>
      </c>
    </row>
    <row r="5818" spans="2:3">
      <c r="B5818" s="118" t="s">
        <v>531</v>
      </c>
      <c r="C5818" s="119">
        <v>5040</v>
      </c>
    </row>
    <row r="5819" spans="2:3">
      <c r="B5819" s="118" t="s">
        <v>3901</v>
      </c>
      <c r="C5819" s="119">
        <v>5723</v>
      </c>
    </row>
    <row r="5820" spans="2:3">
      <c r="B5820" s="118" t="s">
        <v>625</v>
      </c>
      <c r="C5820" s="119">
        <v>5724</v>
      </c>
    </row>
    <row r="5821" spans="2:3">
      <c r="B5821" s="118" t="s">
        <v>506</v>
      </c>
      <c r="C5821" s="119">
        <v>5722</v>
      </c>
    </row>
    <row r="5822" spans="2:3">
      <c r="B5822" s="118" t="s">
        <v>3901</v>
      </c>
      <c r="C5822" s="119">
        <v>5723</v>
      </c>
    </row>
    <row r="5823" spans="2:3">
      <c r="B5823" s="118" t="s">
        <v>556</v>
      </c>
      <c r="C5823" s="119">
        <v>5726</v>
      </c>
    </row>
    <row r="5824" spans="2:3">
      <c r="B5824" s="118" t="s">
        <v>622</v>
      </c>
      <c r="C5824" s="119">
        <v>5732</v>
      </c>
    </row>
    <row r="5825" spans="2:3">
      <c r="B5825" s="118" t="s">
        <v>576</v>
      </c>
      <c r="C5825" s="119">
        <v>5074</v>
      </c>
    </row>
    <row r="5826" spans="2:3">
      <c r="B5826" s="118" t="s">
        <v>514</v>
      </c>
      <c r="C5826" s="119">
        <v>5070</v>
      </c>
    </row>
    <row r="5827" spans="2:3">
      <c r="B5827" s="118" t="s">
        <v>643</v>
      </c>
      <c r="C5827" s="119">
        <v>5272</v>
      </c>
    </row>
    <row r="5828" spans="2:3">
      <c r="B5828" s="118" t="s">
        <v>641</v>
      </c>
      <c r="C5828" s="119">
        <v>5063</v>
      </c>
    </row>
    <row r="5829" spans="2:3">
      <c r="B5829" s="118" t="s">
        <v>550</v>
      </c>
      <c r="C5829" s="119">
        <v>5073</v>
      </c>
    </row>
    <row r="5830" spans="2:3">
      <c r="B5830" s="118" t="s">
        <v>547</v>
      </c>
      <c r="C5830" s="119">
        <v>5080</v>
      </c>
    </row>
    <row r="5831" spans="2:3">
      <c r="B5831" s="118" t="s">
        <v>571</v>
      </c>
      <c r="C5831" s="119">
        <v>5082</v>
      </c>
    </row>
    <row r="5832" spans="2:3">
      <c r="B5832" s="118" t="s">
        <v>3937</v>
      </c>
      <c r="C5832" s="119">
        <v>5083</v>
      </c>
    </row>
    <row r="5833" spans="2:3">
      <c r="B5833" s="118" t="s">
        <v>547</v>
      </c>
      <c r="C5833" s="119">
        <v>5080</v>
      </c>
    </row>
    <row r="5834" spans="2:3">
      <c r="B5834" s="118" t="s">
        <v>3938</v>
      </c>
      <c r="C5834" s="119">
        <v>5084</v>
      </c>
    </row>
    <row r="5835" spans="2:3">
      <c r="B5835" s="118" t="s">
        <v>3939</v>
      </c>
      <c r="C5835" s="119">
        <v>5085</v>
      </c>
    </row>
    <row r="5836" spans="2:3">
      <c r="B5836" s="118" t="s">
        <v>3940</v>
      </c>
      <c r="C5836" s="119">
        <v>4333</v>
      </c>
    </row>
    <row r="5837" spans="2:3">
      <c r="B5837" s="118" t="s">
        <v>677</v>
      </c>
      <c r="C5837" s="119">
        <v>5062</v>
      </c>
    </row>
    <row r="5838" spans="2:3">
      <c r="B5838" s="118" t="s">
        <v>645</v>
      </c>
      <c r="C5838" s="119">
        <v>5072</v>
      </c>
    </row>
    <row r="5839" spans="2:3">
      <c r="B5839" s="118" t="s">
        <v>672</v>
      </c>
      <c r="C5839" s="119">
        <v>5326</v>
      </c>
    </row>
    <row r="5840" spans="2:3">
      <c r="B5840" s="118" t="s">
        <v>3941</v>
      </c>
      <c r="C5840" s="119">
        <v>4334</v>
      </c>
    </row>
    <row r="5841" spans="2:3">
      <c r="B5841" s="118" t="s">
        <v>620</v>
      </c>
      <c r="C5841" s="119">
        <v>5064</v>
      </c>
    </row>
    <row r="5842" spans="2:3">
      <c r="B5842" s="118" t="s">
        <v>669</v>
      </c>
      <c r="C5842" s="119">
        <v>5026</v>
      </c>
    </row>
    <row r="5843" spans="2:3">
      <c r="B5843" s="118" t="s">
        <v>641</v>
      </c>
      <c r="C5843" s="119">
        <v>5063</v>
      </c>
    </row>
    <row r="5844" spans="2:3">
      <c r="B5844" s="118" t="s">
        <v>633</v>
      </c>
      <c r="C5844" s="119">
        <v>5079</v>
      </c>
    </row>
    <row r="5845" spans="2:3">
      <c r="B5845" s="118" t="s">
        <v>3942</v>
      </c>
      <c r="C5845" s="119">
        <v>5273</v>
      </c>
    </row>
    <row r="5846" spans="2:3">
      <c r="B5846" s="118" t="s">
        <v>3943</v>
      </c>
      <c r="C5846" s="119">
        <v>5274</v>
      </c>
    </row>
    <row r="5847" spans="2:3">
      <c r="B5847" s="118" t="s">
        <v>3944</v>
      </c>
      <c r="C5847" s="119">
        <v>5275</v>
      </c>
    </row>
    <row r="5848" spans="2:3">
      <c r="B5848" s="118" t="s">
        <v>3945</v>
      </c>
      <c r="C5848" s="119">
        <v>5276</v>
      </c>
    </row>
    <row r="5849" spans="2:3">
      <c r="B5849" s="118" t="s">
        <v>3946</v>
      </c>
      <c r="C5849" s="119">
        <v>5277</v>
      </c>
    </row>
    <row r="5850" spans="2:3">
      <c r="B5850" s="118" t="s">
        <v>650</v>
      </c>
      <c r="C5850" s="119">
        <v>5075</v>
      </c>
    </row>
    <row r="5851" spans="2:3">
      <c r="B5851" s="118" t="s">
        <v>668</v>
      </c>
      <c r="C5851" s="119">
        <v>5076</v>
      </c>
    </row>
    <row r="5852" spans="2:3">
      <c r="B5852" s="118" t="s">
        <v>690</v>
      </c>
      <c r="C5852" s="119">
        <v>5077</v>
      </c>
    </row>
    <row r="5853" spans="2:3">
      <c r="B5853" s="118" t="s">
        <v>678</v>
      </c>
      <c r="C5853" s="119">
        <v>5078</v>
      </c>
    </row>
    <row r="5854" spans="2:3">
      <c r="B5854" s="118" t="s">
        <v>609</v>
      </c>
      <c r="C5854" s="119">
        <v>5027</v>
      </c>
    </row>
    <row r="5855" spans="2:3">
      <c r="B5855" s="118" t="s">
        <v>653</v>
      </c>
      <c r="C5855" s="119">
        <v>5028</v>
      </c>
    </row>
    <row r="5856" spans="2:3">
      <c r="B5856" s="118" t="s">
        <v>3947</v>
      </c>
      <c r="C5856" s="119">
        <v>5600</v>
      </c>
    </row>
    <row r="5857" spans="2:3">
      <c r="B5857" s="118" t="s">
        <v>615</v>
      </c>
      <c r="C5857" s="119">
        <v>5706</v>
      </c>
    </row>
    <row r="5858" spans="2:3">
      <c r="B5858" s="118" t="s">
        <v>631</v>
      </c>
      <c r="C5858" s="119">
        <v>5708</v>
      </c>
    </row>
    <row r="5859" spans="2:3">
      <c r="B5859" s="118" t="s">
        <v>663</v>
      </c>
      <c r="C5859" s="119">
        <v>5505</v>
      </c>
    </row>
    <row r="5860" spans="2:3">
      <c r="B5860" s="118" t="s">
        <v>579</v>
      </c>
      <c r="C5860" s="119">
        <v>5606</v>
      </c>
    </row>
    <row r="5861" spans="2:3">
      <c r="B5861" s="118" t="s">
        <v>519</v>
      </c>
      <c r="C5861" s="119">
        <v>5703</v>
      </c>
    </row>
    <row r="5862" spans="2:3">
      <c r="B5862" s="118" t="s">
        <v>614</v>
      </c>
      <c r="C5862" s="119">
        <v>5704</v>
      </c>
    </row>
    <row r="5863" spans="2:3">
      <c r="B5863" s="118" t="s">
        <v>588</v>
      </c>
      <c r="C5863" s="119">
        <v>5615</v>
      </c>
    </row>
    <row r="5864" spans="2:3">
      <c r="B5864" s="118" t="s">
        <v>656</v>
      </c>
      <c r="C5864" s="119">
        <v>5705</v>
      </c>
    </row>
    <row r="5865" spans="2:3">
      <c r="B5865" s="118" t="s">
        <v>627</v>
      </c>
      <c r="C5865" s="119">
        <v>5604</v>
      </c>
    </row>
    <row r="5866" spans="2:3">
      <c r="B5866" s="118" t="s">
        <v>3948</v>
      </c>
      <c r="C5866" s="119">
        <v>5113</v>
      </c>
    </row>
    <row r="5867" spans="2:3">
      <c r="B5867" s="118" t="s">
        <v>536</v>
      </c>
      <c r="C5867" s="119">
        <v>5502</v>
      </c>
    </row>
    <row r="5868" spans="2:3">
      <c r="B5868" s="118" t="s">
        <v>495</v>
      </c>
      <c r="C5868" s="119">
        <v>5600</v>
      </c>
    </row>
    <row r="5869" spans="2:3">
      <c r="B5869" s="118" t="s">
        <v>588</v>
      </c>
      <c r="C5869" s="119">
        <v>5615</v>
      </c>
    </row>
    <row r="5870" spans="2:3">
      <c r="B5870" s="118" t="s">
        <v>561</v>
      </c>
      <c r="C5870" s="119">
        <v>5616</v>
      </c>
    </row>
    <row r="5871" spans="2:3">
      <c r="B5871" s="118" t="s">
        <v>3949</v>
      </c>
      <c r="C5871" s="119">
        <v>5617</v>
      </c>
    </row>
    <row r="5872" spans="2:3">
      <c r="B5872" s="118" t="s">
        <v>3950</v>
      </c>
      <c r="C5872" s="119">
        <v>5103</v>
      </c>
    </row>
    <row r="5873" spans="2:3">
      <c r="B5873" s="118" t="s">
        <v>3951</v>
      </c>
      <c r="C5873" s="119">
        <v>5103</v>
      </c>
    </row>
    <row r="5874" spans="2:3">
      <c r="B5874" s="118" t="s">
        <v>3950</v>
      </c>
      <c r="C5874" s="119">
        <v>5103</v>
      </c>
    </row>
    <row r="5875" spans="2:3">
      <c r="B5875" s="118" t="s">
        <v>522</v>
      </c>
      <c r="C5875" s="119">
        <v>5702</v>
      </c>
    </row>
    <row r="5876" spans="2:3">
      <c r="B5876" s="118" t="s">
        <v>567</v>
      </c>
      <c r="C5876" s="119">
        <v>5504</v>
      </c>
    </row>
    <row r="5877" spans="2:3">
      <c r="B5877" s="118" t="s">
        <v>627</v>
      </c>
      <c r="C5877" s="119">
        <v>5604</v>
      </c>
    </row>
    <row r="5878" spans="2:3">
      <c r="B5878" s="118" t="s">
        <v>517</v>
      </c>
      <c r="C5878" s="119">
        <v>5102</v>
      </c>
    </row>
    <row r="5879" spans="2:3">
      <c r="B5879" s="118" t="s">
        <v>3950</v>
      </c>
      <c r="C5879" s="119">
        <v>5103</v>
      </c>
    </row>
    <row r="5880" spans="2:3">
      <c r="B5880" s="118" t="s">
        <v>558</v>
      </c>
      <c r="C5880" s="119">
        <v>5503</v>
      </c>
    </row>
    <row r="5881" spans="2:3">
      <c r="B5881" s="118" t="s">
        <v>539</v>
      </c>
      <c r="C5881" s="119">
        <v>5707</v>
      </c>
    </row>
    <row r="5882" spans="2:3">
      <c r="B5882" s="118" t="s">
        <v>519</v>
      </c>
      <c r="C5882" s="119">
        <v>5703</v>
      </c>
    </row>
    <row r="5883" spans="2:3">
      <c r="B5883" s="118" t="s">
        <v>553</v>
      </c>
      <c r="C5883" s="119">
        <v>5603</v>
      </c>
    </row>
    <row r="5884" spans="2:3">
      <c r="B5884" s="118" t="s">
        <v>3952</v>
      </c>
      <c r="C5884" s="119">
        <v>5646</v>
      </c>
    </row>
    <row r="5885" spans="2:3">
      <c r="B5885" s="118" t="s">
        <v>611</v>
      </c>
      <c r="C5885" s="119">
        <v>5628</v>
      </c>
    </row>
    <row r="5886" spans="2:3">
      <c r="B5886" s="118" t="s">
        <v>3953</v>
      </c>
      <c r="C5886" s="119">
        <v>5630</v>
      </c>
    </row>
    <row r="5887" spans="2:3">
      <c r="B5887" s="118" t="s">
        <v>635</v>
      </c>
      <c r="C5887" s="119">
        <v>5637</v>
      </c>
    </row>
    <row r="5888" spans="2:3">
      <c r="B5888" s="118" t="s">
        <v>632</v>
      </c>
      <c r="C5888" s="119">
        <v>5642</v>
      </c>
    </row>
    <row r="5889" spans="2:3">
      <c r="B5889" s="118" t="s">
        <v>3954</v>
      </c>
      <c r="C5889" s="119">
        <v>5643</v>
      </c>
    </row>
    <row r="5890" spans="2:3">
      <c r="B5890" s="118" t="s">
        <v>583</v>
      </c>
      <c r="C5890" s="119">
        <v>5644</v>
      </c>
    </row>
    <row r="5891" spans="2:3">
      <c r="B5891" s="118" t="s">
        <v>3121</v>
      </c>
      <c r="C5891" s="119">
        <v>6277</v>
      </c>
    </row>
    <row r="5892" spans="2:3">
      <c r="B5892" s="118" t="s">
        <v>635</v>
      </c>
      <c r="C5892" s="119">
        <v>5637</v>
      </c>
    </row>
    <row r="5893" spans="2:3">
      <c r="B5893" s="118" t="s">
        <v>674</v>
      </c>
      <c r="C5893" s="119">
        <v>5627</v>
      </c>
    </row>
    <row r="5894" spans="2:3">
      <c r="B5894" s="118" t="s">
        <v>675</v>
      </c>
      <c r="C5894" s="119">
        <v>5618</v>
      </c>
    </row>
    <row r="5895" spans="2:3">
      <c r="B5895" s="118" t="s">
        <v>628</v>
      </c>
      <c r="C5895" s="119">
        <v>5632</v>
      </c>
    </row>
    <row r="5896" spans="2:3">
      <c r="B5896" s="118" t="s">
        <v>568</v>
      </c>
      <c r="C5896" s="119">
        <v>5623</v>
      </c>
    </row>
    <row r="5897" spans="2:3">
      <c r="B5897" s="118" t="s">
        <v>3953</v>
      </c>
      <c r="C5897" s="119">
        <v>5630</v>
      </c>
    </row>
    <row r="5898" spans="2:3">
      <c r="B5898" s="118" t="s">
        <v>628</v>
      </c>
      <c r="C5898" s="119">
        <v>5632</v>
      </c>
    </row>
    <row r="5899" spans="2:3">
      <c r="B5899" s="118" t="s">
        <v>636</v>
      </c>
      <c r="C5899" s="119">
        <v>5624</v>
      </c>
    </row>
    <row r="5900" spans="2:3">
      <c r="B5900" s="118" t="s">
        <v>3955</v>
      </c>
      <c r="C5900" s="119">
        <v>5624</v>
      </c>
    </row>
    <row r="5901" spans="2:3">
      <c r="B5901" s="118" t="s">
        <v>628</v>
      </c>
      <c r="C5901" s="119">
        <v>5632</v>
      </c>
    </row>
    <row r="5902" spans="2:3">
      <c r="B5902" s="118" t="s">
        <v>1303</v>
      </c>
      <c r="C5902" s="119">
        <v>6034</v>
      </c>
    </row>
    <row r="5903" spans="2:3">
      <c r="B5903" s="118" t="s">
        <v>621</v>
      </c>
      <c r="C5903" s="119">
        <v>6042</v>
      </c>
    </row>
    <row r="5904" spans="2:3">
      <c r="B5904" s="118" t="s">
        <v>693</v>
      </c>
      <c r="C5904" s="119">
        <v>5637</v>
      </c>
    </row>
    <row r="5905" spans="2:3">
      <c r="B5905" s="118" t="s">
        <v>685</v>
      </c>
      <c r="C5905" s="119">
        <v>5625</v>
      </c>
    </row>
    <row r="5906" spans="2:3">
      <c r="B5906" s="118" t="s">
        <v>549</v>
      </c>
      <c r="C5906" s="119">
        <v>5634</v>
      </c>
    </row>
    <row r="5907" spans="2:3">
      <c r="B5907" s="118" t="s">
        <v>3956</v>
      </c>
      <c r="C5907" s="119">
        <v>5636</v>
      </c>
    </row>
    <row r="5908" spans="2:3">
      <c r="B5908" s="118" t="s">
        <v>632</v>
      </c>
      <c r="C5908" s="119">
        <v>5642</v>
      </c>
    </row>
    <row r="5909" spans="2:3">
      <c r="B5909" s="118" t="s">
        <v>3953</v>
      </c>
      <c r="C5909" s="119">
        <v>5630</v>
      </c>
    </row>
    <row r="5910" spans="2:3">
      <c r="B5910" s="118" t="s">
        <v>602</v>
      </c>
      <c r="C5910" s="119">
        <v>5647</v>
      </c>
    </row>
    <row r="5911" spans="2:3">
      <c r="B5911" s="118" t="s">
        <v>662</v>
      </c>
      <c r="C5911" s="119">
        <v>8919</v>
      </c>
    </row>
    <row r="5912" spans="2:3">
      <c r="B5912" s="118" t="s">
        <v>530</v>
      </c>
      <c r="C5912" s="119">
        <v>5643</v>
      </c>
    </row>
    <row r="5913" spans="2:3">
      <c r="B5913" s="118" t="s">
        <v>530</v>
      </c>
      <c r="C5913" s="119">
        <v>5643</v>
      </c>
    </row>
    <row r="5914" spans="2:3">
      <c r="B5914" s="118" t="s">
        <v>3957</v>
      </c>
      <c r="C5914" s="119">
        <v>5643</v>
      </c>
    </row>
    <row r="5915" spans="2:3">
      <c r="B5915" s="118" t="s">
        <v>3954</v>
      </c>
      <c r="C5915" s="119">
        <v>5643</v>
      </c>
    </row>
    <row r="5916" spans="2:3">
      <c r="B5916" s="118" t="s">
        <v>3958</v>
      </c>
      <c r="C5916" s="119">
        <v>5645</v>
      </c>
    </row>
    <row r="5917" spans="2:3">
      <c r="B5917" s="118" t="s">
        <v>3959</v>
      </c>
      <c r="C5917" s="119">
        <v>5645</v>
      </c>
    </row>
    <row r="5918" spans="2:3">
      <c r="B5918" s="118" t="s">
        <v>1303</v>
      </c>
      <c r="C5918" s="119">
        <v>6034</v>
      </c>
    </row>
    <row r="5919" spans="2:3">
      <c r="B5919" s="118" t="s">
        <v>1298</v>
      </c>
      <c r="C5919" s="119">
        <v>6275</v>
      </c>
    </row>
    <row r="5920" spans="2:3">
      <c r="B5920" s="118" t="s">
        <v>563</v>
      </c>
      <c r="C5920" s="119">
        <v>5622</v>
      </c>
    </row>
    <row r="5921" spans="2:3">
      <c r="B5921" s="118" t="s">
        <v>665</v>
      </c>
      <c r="C5921" s="119">
        <v>4316</v>
      </c>
    </row>
    <row r="5922" spans="2:3">
      <c r="B5922" s="118" t="s">
        <v>1118</v>
      </c>
      <c r="C5922" s="119">
        <v>4465</v>
      </c>
    </row>
    <row r="5923" spans="2:3">
      <c r="B5923" s="118" t="s">
        <v>513</v>
      </c>
      <c r="C5923" s="119">
        <v>4303</v>
      </c>
    </row>
    <row r="5924" spans="2:3">
      <c r="B5924" s="118" t="s">
        <v>686</v>
      </c>
      <c r="C5924" s="119">
        <v>4305</v>
      </c>
    </row>
    <row r="5925" spans="2:3">
      <c r="B5925" s="118" t="s">
        <v>540</v>
      </c>
      <c r="C5925" s="119">
        <v>4312</v>
      </c>
    </row>
    <row r="5926" spans="2:3">
      <c r="B5926" s="118" t="s">
        <v>494</v>
      </c>
      <c r="C5926" s="119">
        <v>4313</v>
      </c>
    </row>
    <row r="5927" spans="2:3">
      <c r="B5927" s="118" t="s">
        <v>613</v>
      </c>
      <c r="C5927" s="119">
        <v>4322</v>
      </c>
    </row>
    <row r="5928" spans="2:3">
      <c r="B5928" s="118" t="s">
        <v>640</v>
      </c>
      <c r="C5928" s="119">
        <v>4324</v>
      </c>
    </row>
    <row r="5929" spans="2:3">
      <c r="B5929" s="118" t="s">
        <v>686</v>
      </c>
      <c r="C5929" s="119">
        <v>4305</v>
      </c>
    </row>
    <row r="5930" spans="2:3">
      <c r="B5930" s="118" t="s">
        <v>513</v>
      </c>
      <c r="C5930" s="119">
        <v>4303</v>
      </c>
    </row>
    <row r="5931" spans="2:3">
      <c r="B5931" s="118" t="s">
        <v>2675</v>
      </c>
      <c r="C5931" s="119">
        <v>4310</v>
      </c>
    </row>
    <row r="5932" spans="2:3">
      <c r="B5932" s="118" t="s">
        <v>494</v>
      </c>
      <c r="C5932" s="119">
        <v>4313</v>
      </c>
    </row>
    <row r="5933" spans="2:3">
      <c r="B5933" s="118" t="s">
        <v>661</v>
      </c>
      <c r="C5933" s="119">
        <v>4325</v>
      </c>
    </row>
    <row r="5934" spans="2:3">
      <c r="B5934" s="118" t="s">
        <v>3960</v>
      </c>
      <c r="C5934" s="119">
        <v>4332</v>
      </c>
    </row>
    <row r="5935" spans="2:3">
      <c r="B5935" s="118" t="s">
        <v>591</v>
      </c>
      <c r="C5935" s="119">
        <v>4323</v>
      </c>
    </row>
    <row r="5936" spans="2:3">
      <c r="B5936" s="118" t="s">
        <v>638</v>
      </c>
      <c r="C5936" s="119">
        <v>4317</v>
      </c>
    </row>
    <row r="5937" spans="2:3">
      <c r="B5937" s="118" t="s">
        <v>575</v>
      </c>
      <c r="C5937" s="119">
        <v>4314</v>
      </c>
    </row>
    <row r="5938" spans="2:3">
      <c r="B5938" s="118" t="s">
        <v>654</v>
      </c>
      <c r="C5938" s="119">
        <v>4315</v>
      </c>
    </row>
    <row r="5939" spans="2:3">
      <c r="B5939" s="118" t="s">
        <v>591</v>
      </c>
      <c r="C5939" s="119">
        <v>4323</v>
      </c>
    </row>
    <row r="5940" spans="2:3">
      <c r="B5940" s="118" t="s">
        <v>654</v>
      </c>
      <c r="C5940" s="119">
        <v>4315</v>
      </c>
    </row>
    <row r="5941" spans="2:3">
      <c r="B5941" s="118" t="s">
        <v>2024</v>
      </c>
      <c r="C5941" s="119">
        <v>4600</v>
      </c>
    </row>
    <row r="5942" spans="2:3">
      <c r="B5942" s="118" t="s">
        <v>502</v>
      </c>
      <c r="C5942" s="119">
        <v>4663</v>
      </c>
    </row>
    <row r="5943" spans="2:3">
      <c r="B5943" s="118" t="s">
        <v>2674</v>
      </c>
      <c r="C5943" s="119">
        <v>4665</v>
      </c>
    </row>
    <row r="5944" spans="2:3">
      <c r="B5944" s="118" t="s">
        <v>618</v>
      </c>
      <c r="C5944" s="119">
        <v>4813</v>
      </c>
    </row>
    <row r="5945" spans="2:3">
      <c r="B5945" s="118" t="s">
        <v>664</v>
      </c>
      <c r="C5945" s="119">
        <v>4814</v>
      </c>
    </row>
    <row r="5946" spans="2:3">
      <c r="B5946" s="118" t="s">
        <v>592</v>
      </c>
      <c r="C5946" s="119">
        <v>4803</v>
      </c>
    </row>
    <row r="5947" spans="2:3">
      <c r="B5947" s="118" t="s">
        <v>541</v>
      </c>
      <c r="C5947" s="119">
        <v>4805</v>
      </c>
    </row>
    <row r="5948" spans="2:3">
      <c r="B5948" s="118" t="s">
        <v>1301</v>
      </c>
      <c r="C5948" s="119">
        <v>6264</v>
      </c>
    </row>
    <row r="5949" spans="2:3">
      <c r="B5949" s="118" t="s">
        <v>658</v>
      </c>
      <c r="C5949" s="119">
        <v>5054</v>
      </c>
    </row>
    <row r="5950" spans="2:3">
      <c r="B5950" s="118" t="s">
        <v>618</v>
      </c>
      <c r="C5950" s="119">
        <v>4813</v>
      </c>
    </row>
    <row r="5951" spans="2:3">
      <c r="B5951" s="118" t="s">
        <v>529</v>
      </c>
      <c r="C5951" s="119">
        <v>5742</v>
      </c>
    </row>
    <row r="5952" spans="2:3">
      <c r="B5952" s="118" t="s">
        <v>652</v>
      </c>
      <c r="C5952" s="119">
        <v>5054</v>
      </c>
    </row>
    <row r="5953" spans="2:3">
      <c r="B5953" s="118" t="s">
        <v>562</v>
      </c>
      <c r="C5953" s="119">
        <v>4853</v>
      </c>
    </row>
    <row r="5954" spans="2:3">
      <c r="B5954" s="118" t="s">
        <v>3961</v>
      </c>
      <c r="C5954" s="119">
        <v>4853</v>
      </c>
    </row>
    <row r="5955" spans="2:3">
      <c r="B5955" s="118" t="s">
        <v>3962</v>
      </c>
      <c r="C5955" s="119">
        <v>4856</v>
      </c>
    </row>
    <row r="5956" spans="2:3">
      <c r="B5956" s="118" t="s">
        <v>2842</v>
      </c>
      <c r="C5956" s="119">
        <v>4914</v>
      </c>
    </row>
    <row r="5957" spans="2:3">
      <c r="B5957" s="118" t="s">
        <v>3160</v>
      </c>
      <c r="C5957" s="119">
        <v>4915</v>
      </c>
    </row>
    <row r="5958" spans="2:3">
      <c r="B5958" s="118" t="s">
        <v>2071</v>
      </c>
      <c r="C5958" s="119">
        <v>4656</v>
      </c>
    </row>
    <row r="5959" spans="2:3">
      <c r="B5959" s="118" t="s">
        <v>2674</v>
      </c>
      <c r="C5959" s="119">
        <v>4665</v>
      </c>
    </row>
    <row r="5960" spans="2:3">
      <c r="B5960" s="118" t="s">
        <v>1619</v>
      </c>
      <c r="C5960" s="119">
        <v>4800</v>
      </c>
    </row>
    <row r="5961" spans="2:3">
      <c r="B5961" s="118" t="s">
        <v>3963</v>
      </c>
      <c r="C5961" s="119">
        <v>5056</v>
      </c>
    </row>
    <row r="5962" spans="2:3">
      <c r="B5962" s="118" t="s">
        <v>605</v>
      </c>
      <c r="C5962" s="119">
        <v>5057</v>
      </c>
    </row>
    <row r="5963" spans="2:3">
      <c r="B5963" s="118" t="s">
        <v>521</v>
      </c>
      <c r="C5963" s="119">
        <v>4802</v>
      </c>
    </row>
    <row r="5964" spans="2:3">
      <c r="B5964" s="118" t="s">
        <v>497</v>
      </c>
      <c r="C5964" s="119">
        <v>4852</v>
      </c>
    </row>
    <row r="5965" spans="2:3">
      <c r="B5965" s="118" t="s">
        <v>545</v>
      </c>
      <c r="C5965" s="119">
        <v>5745</v>
      </c>
    </row>
    <row r="5966" spans="2:3">
      <c r="B5966" s="118" t="s">
        <v>626</v>
      </c>
      <c r="C5966" s="119">
        <v>5053</v>
      </c>
    </row>
    <row r="5967" spans="2:3">
      <c r="B5967" s="118" t="s">
        <v>3964</v>
      </c>
      <c r="C5967" s="119">
        <v>5053</v>
      </c>
    </row>
    <row r="5968" spans="2:3">
      <c r="B5968" s="118" t="s">
        <v>521</v>
      </c>
      <c r="C5968" s="119">
        <v>4802</v>
      </c>
    </row>
    <row r="5969" spans="2:3">
      <c r="B5969" s="118" t="s">
        <v>1620</v>
      </c>
      <c r="C5969" s="119">
        <v>4812</v>
      </c>
    </row>
    <row r="5970" spans="2:3">
      <c r="B5970" s="118" t="s">
        <v>618</v>
      </c>
      <c r="C5970" s="119">
        <v>4813</v>
      </c>
    </row>
    <row r="5971" spans="2:3">
      <c r="B5971" s="118" t="s">
        <v>592</v>
      </c>
      <c r="C5971" s="119">
        <v>4803</v>
      </c>
    </row>
    <row r="5972" spans="2:3">
      <c r="B5972" s="118" t="s">
        <v>497</v>
      </c>
      <c r="C5972" s="119">
        <v>4852</v>
      </c>
    </row>
    <row r="5973" spans="2:3">
      <c r="B5973" s="118" t="s">
        <v>695</v>
      </c>
      <c r="C5973" s="119">
        <v>5058</v>
      </c>
    </row>
    <row r="5974" spans="2:3">
      <c r="B5974" s="118" t="s">
        <v>1619</v>
      </c>
      <c r="C5974" s="119">
        <v>4800</v>
      </c>
    </row>
    <row r="5975" spans="2:3">
      <c r="B5975" s="118" t="s">
        <v>1620</v>
      </c>
      <c r="C5975" s="119">
        <v>4812</v>
      </c>
    </row>
    <row r="5976" spans="2:3">
      <c r="B5976" s="118" t="s">
        <v>664</v>
      </c>
      <c r="C5976" s="119">
        <v>4814</v>
      </c>
    </row>
    <row r="5977" spans="2:3">
      <c r="B5977" s="118" t="s">
        <v>3965</v>
      </c>
      <c r="C5977" s="119">
        <v>5314</v>
      </c>
    </row>
    <row r="5978" spans="2:3">
      <c r="B5978" s="118" t="s">
        <v>538</v>
      </c>
      <c r="C5978" s="119">
        <v>5315</v>
      </c>
    </row>
    <row r="5979" spans="2:3">
      <c r="B5979" s="118" t="s">
        <v>542</v>
      </c>
      <c r="C5979" s="119">
        <v>5312</v>
      </c>
    </row>
    <row r="5980" spans="2:3">
      <c r="B5980" s="118" t="s">
        <v>572</v>
      </c>
      <c r="C5980" s="119">
        <v>5304</v>
      </c>
    </row>
    <row r="5981" spans="2:3">
      <c r="B5981" s="118" t="s">
        <v>3966</v>
      </c>
      <c r="C5981" s="119">
        <v>5305</v>
      </c>
    </row>
    <row r="5982" spans="2:3">
      <c r="B5982" s="118" t="s">
        <v>679</v>
      </c>
      <c r="C5982" s="119">
        <v>5467</v>
      </c>
    </row>
    <row r="5983" spans="2:3">
      <c r="B5983" s="118" t="s">
        <v>655</v>
      </c>
      <c r="C5983" s="119">
        <v>5324</v>
      </c>
    </row>
    <row r="5984" spans="2:3">
      <c r="B5984" s="118" t="s">
        <v>552</v>
      </c>
      <c r="C5984" s="119">
        <v>5313</v>
      </c>
    </row>
    <row r="5985" spans="2:3">
      <c r="B5985" s="118" t="s">
        <v>595</v>
      </c>
      <c r="C5985" s="119">
        <v>5322</v>
      </c>
    </row>
    <row r="5986" spans="2:3">
      <c r="B5986" s="118" t="s">
        <v>595</v>
      </c>
      <c r="C5986" s="119">
        <v>5322</v>
      </c>
    </row>
    <row r="5987" spans="2:3">
      <c r="B5987" s="118" t="s">
        <v>624</v>
      </c>
      <c r="C5987" s="119">
        <v>5325</v>
      </c>
    </row>
    <row r="5988" spans="2:3">
      <c r="B5988" s="118" t="s">
        <v>3967</v>
      </c>
      <c r="C5988" s="119">
        <v>5426</v>
      </c>
    </row>
    <row r="5989" spans="2:3">
      <c r="B5989" s="118" t="s">
        <v>580</v>
      </c>
      <c r="C5989" s="119">
        <v>5316</v>
      </c>
    </row>
    <row r="5990" spans="2:3">
      <c r="B5990" s="118" t="s">
        <v>3968</v>
      </c>
      <c r="C5990" s="119">
        <v>5317</v>
      </c>
    </row>
    <row r="5991" spans="2:3">
      <c r="B5991" s="118" t="s">
        <v>692</v>
      </c>
      <c r="C5991" s="119">
        <v>5465</v>
      </c>
    </row>
    <row r="5992" spans="2:3">
      <c r="B5992" s="118" t="s">
        <v>616</v>
      </c>
      <c r="C5992" s="119">
        <v>5425</v>
      </c>
    </row>
    <row r="5993" spans="2:3">
      <c r="B5993" s="118" t="s">
        <v>673</v>
      </c>
      <c r="C5993" s="119">
        <v>5462</v>
      </c>
    </row>
    <row r="5994" spans="2:3">
      <c r="B5994" s="118" t="s">
        <v>630</v>
      </c>
      <c r="C5994" s="119">
        <v>5306</v>
      </c>
    </row>
    <row r="5995" spans="2:3">
      <c r="B5995" s="118" t="s">
        <v>667</v>
      </c>
      <c r="C5995" s="119">
        <v>5323</v>
      </c>
    </row>
    <row r="5996" spans="2:3">
      <c r="B5996" s="118" t="s">
        <v>532</v>
      </c>
      <c r="C5996" s="119">
        <v>5330</v>
      </c>
    </row>
    <row r="5997" spans="2:3">
      <c r="B5997" s="118" t="s">
        <v>3969</v>
      </c>
      <c r="C5997" s="119">
        <v>5332</v>
      </c>
    </row>
    <row r="5998" spans="2:3">
      <c r="B5998" s="118" t="s">
        <v>691</v>
      </c>
      <c r="C5998" s="119">
        <v>5333</v>
      </c>
    </row>
    <row r="5999" spans="2:3">
      <c r="B5999" s="118" t="s">
        <v>694</v>
      </c>
      <c r="C5999" s="119">
        <v>5334</v>
      </c>
    </row>
    <row r="6000" spans="2:3">
      <c r="B6000" s="118" t="s">
        <v>687</v>
      </c>
      <c r="C6000" s="119">
        <v>5463</v>
      </c>
    </row>
    <row r="6001" spans="2:3">
      <c r="B6001" s="118" t="s">
        <v>3970</v>
      </c>
      <c r="C6001" s="119">
        <v>5464</v>
      </c>
    </row>
    <row r="6002" spans="2:3">
      <c r="B6002" s="118" t="s">
        <v>3971</v>
      </c>
      <c r="C6002" s="119">
        <v>5466</v>
      </c>
    </row>
    <row r="6003" spans="2:3">
      <c r="B6003" s="118" t="s">
        <v>1907</v>
      </c>
      <c r="C6003" s="119">
        <v>9320</v>
      </c>
    </row>
    <row r="6004" spans="2:3">
      <c r="B6004" s="118" t="s">
        <v>3972</v>
      </c>
      <c r="C6004" s="119">
        <v>9320</v>
      </c>
    </row>
    <row r="6005" spans="2:3">
      <c r="B6005" s="118" t="s">
        <v>3973</v>
      </c>
      <c r="C6005" s="119">
        <v>9320</v>
      </c>
    </row>
    <row r="6006" spans="2:3">
      <c r="B6006" s="118" t="s">
        <v>1979</v>
      </c>
      <c r="C6006" s="119">
        <v>8582</v>
      </c>
    </row>
    <row r="6007" spans="2:3">
      <c r="B6007" s="118" t="s">
        <v>3974</v>
      </c>
      <c r="C6007" s="119">
        <v>9314</v>
      </c>
    </row>
    <row r="6008" spans="2:3">
      <c r="B6008" s="118" t="s">
        <v>3975</v>
      </c>
      <c r="C6008" s="119">
        <v>9315</v>
      </c>
    </row>
    <row r="6009" spans="2:3">
      <c r="B6009" s="118" t="s">
        <v>3546</v>
      </c>
      <c r="C6009" s="119">
        <v>9315</v>
      </c>
    </row>
    <row r="6010" spans="2:3">
      <c r="B6010" s="118" t="s">
        <v>1915</v>
      </c>
      <c r="C6010" s="119">
        <v>9322</v>
      </c>
    </row>
    <row r="6011" spans="2:3">
      <c r="B6011" s="118" t="s">
        <v>1968</v>
      </c>
      <c r="C6011" s="119">
        <v>8580</v>
      </c>
    </row>
    <row r="6012" spans="2:3">
      <c r="B6012" s="118" t="s">
        <v>1936</v>
      </c>
      <c r="C6012" s="119">
        <v>9326</v>
      </c>
    </row>
    <row r="6013" spans="2:3">
      <c r="B6013" s="118" t="s">
        <v>1974</v>
      </c>
      <c r="C6013" s="119">
        <v>8593</v>
      </c>
    </row>
    <row r="6014" spans="2:3">
      <c r="B6014" s="118" t="s">
        <v>3550</v>
      </c>
      <c r="C6014" s="119">
        <v>9306</v>
      </c>
    </row>
    <row r="6015" spans="2:3">
      <c r="B6015" s="118" t="s">
        <v>3545</v>
      </c>
      <c r="C6015" s="119">
        <v>9308</v>
      </c>
    </row>
    <row r="6016" spans="2:3">
      <c r="B6016" s="118" t="s">
        <v>3975</v>
      </c>
      <c r="C6016" s="119">
        <v>9315</v>
      </c>
    </row>
    <row r="6017" spans="2:3">
      <c r="B6017" s="118" t="s">
        <v>3972</v>
      </c>
      <c r="C6017" s="119">
        <v>9320</v>
      </c>
    </row>
    <row r="6018" spans="2:3">
      <c r="B6018" s="118" t="s">
        <v>3973</v>
      </c>
      <c r="C6018" s="119">
        <v>9320</v>
      </c>
    </row>
    <row r="6019" spans="2:3">
      <c r="B6019" s="118" t="s">
        <v>3976</v>
      </c>
      <c r="C6019" s="119">
        <v>9325</v>
      </c>
    </row>
    <row r="6020" spans="2:3">
      <c r="B6020" s="118" t="s">
        <v>1910</v>
      </c>
      <c r="C6020" s="119">
        <v>8590</v>
      </c>
    </row>
    <row r="6021" spans="2:3">
      <c r="B6021" s="118" t="s">
        <v>1908</v>
      </c>
      <c r="C6021" s="119">
        <v>8580</v>
      </c>
    </row>
    <row r="6022" spans="2:3">
      <c r="B6022" s="118" t="s">
        <v>1959</v>
      </c>
      <c r="C6022" s="119">
        <v>8599</v>
      </c>
    </row>
    <row r="6023" spans="2:3">
      <c r="B6023" s="118" t="s">
        <v>1915</v>
      </c>
      <c r="C6023" s="119">
        <v>9322</v>
      </c>
    </row>
    <row r="6024" spans="2:3">
      <c r="B6024" s="118" t="s">
        <v>1982</v>
      </c>
      <c r="C6024" s="119">
        <v>8580</v>
      </c>
    </row>
    <row r="6025" spans="2:3">
      <c r="B6025" s="118" t="s">
        <v>1910</v>
      </c>
      <c r="C6025" s="119">
        <v>8590</v>
      </c>
    </row>
    <row r="6026" spans="2:3">
      <c r="B6026" s="118" t="s">
        <v>1948</v>
      </c>
      <c r="C6026" s="119">
        <v>8592</v>
      </c>
    </row>
    <row r="6027" spans="2:3">
      <c r="B6027" s="118" t="s">
        <v>1908</v>
      </c>
      <c r="C6027" s="119">
        <v>8580</v>
      </c>
    </row>
    <row r="6028" spans="2:3">
      <c r="B6028" s="118" t="s">
        <v>3547</v>
      </c>
      <c r="C6028" s="119">
        <v>8580</v>
      </c>
    </row>
    <row r="6029" spans="2:3">
      <c r="B6029" s="118" t="s">
        <v>3977</v>
      </c>
      <c r="C6029" s="119">
        <v>8580</v>
      </c>
    </row>
    <row r="6030" spans="2:3">
      <c r="B6030" s="118" t="s">
        <v>3978</v>
      </c>
      <c r="C6030" s="119">
        <v>8581</v>
      </c>
    </row>
    <row r="6031" spans="2:3">
      <c r="B6031" s="118" t="s">
        <v>3979</v>
      </c>
      <c r="C6031" s="119">
        <v>8587</v>
      </c>
    </row>
    <row r="6032" spans="2:3">
      <c r="B6032" s="118" t="s">
        <v>1913</v>
      </c>
      <c r="C6032" s="119">
        <v>9220</v>
      </c>
    </row>
    <row r="6033" spans="2:3">
      <c r="B6033" s="118" t="s">
        <v>3661</v>
      </c>
      <c r="C6033" s="119">
        <v>9223</v>
      </c>
    </row>
    <row r="6034" spans="2:3">
      <c r="B6034" s="118" t="s">
        <v>3980</v>
      </c>
      <c r="C6034" s="119">
        <v>9223</v>
      </c>
    </row>
    <row r="6035" spans="2:3">
      <c r="B6035" s="118" t="s">
        <v>1924</v>
      </c>
      <c r="C6035" s="119">
        <v>8586</v>
      </c>
    </row>
    <row r="6036" spans="2:3">
      <c r="B6036" s="118" t="s">
        <v>3981</v>
      </c>
      <c r="C6036" s="119">
        <v>8586</v>
      </c>
    </row>
    <row r="6037" spans="2:3">
      <c r="B6037" s="118" t="s">
        <v>3982</v>
      </c>
      <c r="C6037" s="119">
        <v>8586</v>
      </c>
    </row>
    <row r="6038" spans="2:3">
      <c r="B6038" s="118" t="s">
        <v>3983</v>
      </c>
      <c r="C6038" s="119">
        <v>8586</v>
      </c>
    </row>
    <row r="6039" spans="2:3">
      <c r="B6039" s="118" t="s">
        <v>3984</v>
      </c>
      <c r="C6039" s="119">
        <v>8586</v>
      </c>
    </row>
    <row r="6040" spans="2:3">
      <c r="B6040" s="118" t="s">
        <v>3985</v>
      </c>
      <c r="C6040" s="119">
        <v>8586</v>
      </c>
    </row>
    <row r="6041" spans="2:3">
      <c r="B6041" s="118" t="s">
        <v>3986</v>
      </c>
      <c r="C6041" s="119">
        <v>9216</v>
      </c>
    </row>
    <row r="6042" spans="2:3">
      <c r="B6042" s="118" t="s">
        <v>3672</v>
      </c>
      <c r="C6042" s="119">
        <v>9213</v>
      </c>
    </row>
    <row r="6043" spans="2:3">
      <c r="B6043" s="118" t="s">
        <v>1913</v>
      </c>
      <c r="C6043" s="119">
        <v>9220</v>
      </c>
    </row>
    <row r="6044" spans="2:3">
      <c r="B6044" s="118" t="s">
        <v>3987</v>
      </c>
      <c r="C6044" s="119">
        <v>9225</v>
      </c>
    </row>
    <row r="6045" spans="2:3">
      <c r="B6045" s="118" t="s">
        <v>3988</v>
      </c>
      <c r="C6045" s="119">
        <v>9225</v>
      </c>
    </row>
    <row r="6046" spans="2:3">
      <c r="B6046" s="118" t="s">
        <v>3986</v>
      </c>
      <c r="C6046" s="119">
        <v>9216</v>
      </c>
    </row>
    <row r="6047" spans="2:3">
      <c r="B6047" s="118" t="s">
        <v>1981</v>
      </c>
      <c r="C6047" s="119">
        <v>9216</v>
      </c>
    </row>
    <row r="6048" spans="2:3">
      <c r="B6048" s="118" t="s">
        <v>3989</v>
      </c>
      <c r="C6048" s="119">
        <v>9214</v>
      </c>
    </row>
    <row r="6049" spans="2:3">
      <c r="B6049" s="118" t="s">
        <v>3990</v>
      </c>
      <c r="C6049" s="119">
        <v>9215</v>
      </c>
    </row>
    <row r="6050" spans="2:3">
      <c r="B6050" s="118" t="s">
        <v>3991</v>
      </c>
      <c r="C6050" s="119">
        <v>9215</v>
      </c>
    </row>
    <row r="6051" spans="2:3">
      <c r="B6051" s="118" t="s">
        <v>3992</v>
      </c>
      <c r="C6051" s="119">
        <v>9217</v>
      </c>
    </row>
    <row r="6052" spans="2:3">
      <c r="B6052" s="118" t="s">
        <v>1923</v>
      </c>
      <c r="C6052" s="119">
        <v>8583</v>
      </c>
    </row>
    <row r="6053" spans="2:3">
      <c r="B6053" s="118" t="s">
        <v>3993</v>
      </c>
      <c r="C6053" s="119">
        <v>8583</v>
      </c>
    </row>
    <row r="6054" spans="2:3">
      <c r="B6054" s="118" t="s">
        <v>3994</v>
      </c>
      <c r="C6054" s="119">
        <v>8583</v>
      </c>
    </row>
    <row r="6055" spans="2:3">
      <c r="B6055" s="118" t="s">
        <v>3989</v>
      </c>
      <c r="C6055" s="119">
        <v>9214</v>
      </c>
    </row>
    <row r="6056" spans="2:3">
      <c r="B6056" s="118" t="s">
        <v>3995</v>
      </c>
      <c r="C6056" s="119">
        <v>8588</v>
      </c>
    </row>
    <row r="6057" spans="2:3">
      <c r="B6057" s="118" t="s">
        <v>3996</v>
      </c>
      <c r="C6057" s="119">
        <v>8589</v>
      </c>
    </row>
    <row r="6058" spans="2:3">
      <c r="B6058" s="118" t="s">
        <v>1913</v>
      </c>
      <c r="C6058" s="119">
        <v>9220</v>
      </c>
    </row>
    <row r="6059" spans="2:3">
      <c r="B6059" s="118" t="s">
        <v>1873</v>
      </c>
      <c r="C6059" s="119">
        <v>9313</v>
      </c>
    </row>
    <row r="6060" spans="2:3">
      <c r="B6060" s="118" t="s">
        <v>3997</v>
      </c>
      <c r="C6060" s="119">
        <v>8254</v>
      </c>
    </row>
    <row r="6061" spans="2:3">
      <c r="B6061" s="118" t="s">
        <v>3998</v>
      </c>
      <c r="C6061" s="119">
        <v>8255</v>
      </c>
    </row>
    <row r="6062" spans="2:3">
      <c r="B6062" s="118" t="s">
        <v>2798</v>
      </c>
      <c r="C6062" s="119">
        <v>8476</v>
      </c>
    </row>
    <row r="6063" spans="2:3">
      <c r="B6063" s="118" t="s">
        <v>3999</v>
      </c>
      <c r="C6063" s="119">
        <v>8252</v>
      </c>
    </row>
    <row r="6064" spans="2:3">
      <c r="B6064" s="118" t="s">
        <v>1920</v>
      </c>
      <c r="C6064" s="119">
        <v>8253</v>
      </c>
    </row>
    <row r="6065" spans="2:3">
      <c r="B6065" s="118" t="s">
        <v>4000</v>
      </c>
      <c r="C6065" s="119">
        <v>8253</v>
      </c>
    </row>
    <row r="6066" spans="2:3">
      <c r="B6066" s="118" t="s">
        <v>3999</v>
      </c>
      <c r="C6066" s="119">
        <v>8252</v>
      </c>
    </row>
    <row r="6067" spans="2:3">
      <c r="B6067" s="118" t="s">
        <v>1911</v>
      </c>
      <c r="C6067" s="119">
        <v>8355</v>
      </c>
    </row>
    <row r="6068" spans="2:3">
      <c r="B6068" s="118" t="s">
        <v>4001</v>
      </c>
      <c r="C6068" s="119">
        <v>8356</v>
      </c>
    </row>
    <row r="6069" spans="2:3">
      <c r="B6069" s="118" t="s">
        <v>4002</v>
      </c>
      <c r="C6069" s="119">
        <v>8357</v>
      </c>
    </row>
    <row r="6070" spans="2:3">
      <c r="B6070" s="118" t="s">
        <v>4003</v>
      </c>
      <c r="C6070" s="119">
        <v>8522</v>
      </c>
    </row>
    <row r="6071" spans="2:3">
      <c r="B6071" s="118" t="s">
        <v>4004</v>
      </c>
      <c r="C6071" s="119">
        <v>8522</v>
      </c>
    </row>
    <row r="6072" spans="2:3">
      <c r="B6072" s="118" t="s">
        <v>4005</v>
      </c>
      <c r="C6072" s="119">
        <v>9547</v>
      </c>
    </row>
    <row r="6073" spans="2:3">
      <c r="B6073" s="118" t="s">
        <v>1905</v>
      </c>
      <c r="C6073" s="119">
        <v>8500</v>
      </c>
    </row>
    <row r="6074" spans="2:3">
      <c r="B6074" s="118" t="s">
        <v>1934</v>
      </c>
      <c r="C6074" s="119">
        <v>8552</v>
      </c>
    </row>
    <row r="6075" spans="2:3">
      <c r="B6075" s="118" t="s">
        <v>1905</v>
      </c>
      <c r="C6075" s="119">
        <v>8500</v>
      </c>
    </row>
    <row r="6076" spans="2:3">
      <c r="B6076" s="118" t="s">
        <v>2732</v>
      </c>
      <c r="C6076" s="119">
        <v>8500</v>
      </c>
    </row>
    <row r="6077" spans="2:3">
      <c r="B6077" s="118" t="s">
        <v>1931</v>
      </c>
      <c r="C6077" s="119">
        <v>9548</v>
      </c>
    </row>
    <row r="6078" spans="2:3">
      <c r="B6078" s="118" t="s">
        <v>1905</v>
      </c>
      <c r="C6078" s="119">
        <v>8500</v>
      </c>
    </row>
    <row r="6079" spans="2:3">
      <c r="B6079" s="118" t="s">
        <v>4006</v>
      </c>
      <c r="C6079" s="119">
        <v>8546</v>
      </c>
    </row>
    <row r="6080" spans="2:3">
      <c r="B6080" s="118" t="s">
        <v>4007</v>
      </c>
      <c r="C6080" s="119">
        <v>8546</v>
      </c>
    </row>
    <row r="6081" spans="2:3">
      <c r="B6081" s="118" t="s">
        <v>1919</v>
      </c>
      <c r="C6081" s="119">
        <v>8547</v>
      </c>
    </row>
    <row r="6082" spans="2:3">
      <c r="B6082" s="118" t="s">
        <v>4008</v>
      </c>
      <c r="C6082" s="119">
        <v>8553</v>
      </c>
    </row>
    <row r="6083" spans="2:3">
      <c r="B6083" s="118" t="s">
        <v>4009</v>
      </c>
      <c r="C6083" s="119">
        <v>8553</v>
      </c>
    </row>
    <row r="6084" spans="2:3">
      <c r="B6084" s="118" t="s">
        <v>1977</v>
      </c>
      <c r="C6084" s="119">
        <v>8553</v>
      </c>
    </row>
    <row r="6085" spans="2:3">
      <c r="B6085" s="118" t="s">
        <v>4010</v>
      </c>
      <c r="C6085" s="119">
        <v>8553</v>
      </c>
    </row>
    <row r="6086" spans="2:3">
      <c r="B6086" s="118" t="s">
        <v>1905</v>
      </c>
      <c r="C6086" s="119">
        <v>8500</v>
      </c>
    </row>
    <row r="6087" spans="2:3">
      <c r="B6087" s="118" t="s">
        <v>1931</v>
      </c>
      <c r="C6087" s="119">
        <v>9548</v>
      </c>
    </row>
    <row r="6088" spans="2:3">
      <c r="B6088" s="118" t="s">
        <v>4011</v>
      </c>
      <c r="C6088" s="119">
        <v>8525</v>
      </c>
    </row>
    <row r="6089" spans="2:3">
      <c r="B6089" s="118" t="s">
        <v>2808</v>
      </c>
      <c r="C6089" s="119">
        <v>8525</v>
      </c>
    </row>
    <row r="6090" spans="2:3">
      <c r="B6090" s="118" t="s">
        <v>4012</v>
      </c>
      <c r="C6090" s="119">
        <v>8526</v>
      </c>
    </row>
    <row r="6091" spans="2:3">
      <c r="B6091" s="118" t="s">
        <v>1967</v>
      </c>
      <c r="C6091" s="119">
        <v>9507</v>
      </c>
    </row>
    <row r="6092" spans="2:3">
      <c r="B6092" s="118" t="s">
        <v>1931</v>
      </c>
      <c r="C6092" s="119">
        <v>9548</v>
      </c>
    </row>
    <row r="6093" spans="2:3">
      <c r="B6093" s="118" t="s">
        <v>1905</v>
      </c>
      <c r="C6093" s="119">
        <v>8500</v>
      </c>
    </row>
    <row r="6094" spans="2:3">
      <c r="B6094" s="118" t="s">
        <v>1958</v>
      </c>
      <c r="C6094" s="119">
        <v>8512</v>
      </c>
    </row>
    <row r="6095" spans="2:3">
      <c r="B6095" s="118" t="s">
        <v>4013</v>
      </c>
      <c r="C6095" s="119">
        <v>8512</v>
      </c>
    </row>
    <row r="6096" spans="2:3">
      <c r="B6096" s="118" t="s">
        <v>4014</v>
      </c>
      <c r="C6096" s="119">
        <v>8512</v>
      </c>
    </row>
    <row r="6097" spans="2:3">
      <c r="B6097" s="118" t="s">
        <v>4015</v>
      </c>
      <c r="C6097" s="119">
        <v>8524</v>
      </c>
    </row>
    <row r="6098" spans="2:3">
      <c r="B6098" s="118" t="s">
        <v>4016</v>
      </c>
      <c r="C6098" s="119">
        <v>8524</v>
      </c>
    </row>
    <row r="6099" spans="2:3">
      <c r="B6099" s="118" t="s">
        <v>4017</v>
      </c>
      <c r="C6099" s="119">
        <v>8532</v>
      </c>
    </row>
    <row r="6100" spans="2:3">
      <c r="B6100" s="118" t="s">
        <v>4018</v>
      </c>
      <c r="C6100" s="119">
        <v>8532</v>
      </c>
    </row>
    <row r="6101" spans="2:3">
      <c r="B6101" s="118" t="s">
        <v>1952</v>
      </c>
      <c r="C6101" s="119">
        <v>8536</v>
      </c>
    </row>
    <row r="6102" spans="2:3">
      <c r="B6102" s="118" t="s">
        <v>1944</v>
      </c>
      <c r="C6102" s="119">
        <v>8595</v>
      </c>
    </row>
    <row r="6103" spans="2:3">
      <c r="B6103" s="118" t="s">
        <v>1906</v>
      </c>
      <c r="C6103" s="119">
        <v>8280</v>
      </c>
    </row>
    <row r="6104" spans="2:3">
      <c r="B6104" s="118" t="s">
        <v>1945</v>
      </c>
      <c r="C6104" s="119">
        <v>8598</v>
      </c>
    </row>
    <row r="6105" spans="2:3">
      <c r="B6105" s="118" t="s">
        <v>1927</v>
      </c>
      <c r="C6105" s="119">
        <v>8272</v>
      </c>
    </row>
    <row r="6106" spans="2:3">
      <c r="B6106" s="118" t="s">
        <v>4019</v>
      </c>
      <c r="C6106" s="119">
        <v>8273</v>
      </c>
    </row>
    <row r="6107" spans="2:3">
      <c r="B6107" s="118" t="s">
        <v>1984</v>
      </c>
      <c r="C6107" s="119">
        <v>8274</v>
      </c>
    </row>
    <row r="6108" spans="2:3">
      <c r="B6108" s="118" t="s">
        <v>1955</v>
      </c>
      <c r="C6108" s="119">
        <v>8594</v>
      </c>
    </row>
    <row r="6109" spans="2:3">
      <c r="B6109" s="118" t="s">
        <v>4020</v>
      </c>
      <c r="C6109" s="119">
        <v>8565</v>
      </c>
    </row>
    <row r="6110" spans="2:3">
      <c r="B6110" s="118" t="s">
        <v>4021</v>
      </c>
      <c r="C6110" s="119">
        <v>8566</v>
      </c>
    </row>
    <row r="6111" spans="2:3">
      <c r="B6111" s="118" t="s">
        <v>4022</v>
      </c>
      <c r="C6111" s="119">
        <v>8566</v>
      </c>
    </row>
    <row r="6112" spans="2:3">
      <c r="B6112" s="118" t="s">
        <v>4023</v>
      </c>
      <c r="C6112" s="119">
        <v>8566</v>
      </c>
    </row>
    <row r="6113" spans="2:3">
      <c r="B6113" s="118" t="s">
        <v>4024</v>
      </c>
      <c r="C6113" s="119">
        <v>8566</v>
      </c>
    </row>
    <row r="6114" spans="2:3">
      <c r="B6114" s="118" t="s">
        <v>4025</v>
      </c>
      <c r="C6114" s="119">
        <v>8573</v>
      </c>
    </row>
    <row r="6115" spans="2:3">
      <c r="B6115" s="118" t="s">
        <v>4026</v>
      </c>
      <c r="C6115" s="119">
        <v>8573</v>
      </c>
    </row>
    <row r="6116" spans="2:3">
      <c r="B6116" s="118" t="s">
        <v>4027</v>
      </c>
      <c r="C6116" s="119">
        <v>8573</v>
      </c>
    </row>
    <row r="6117" spans="2:3">
      <c r="B6117" s="118" t="s">
        <v>1906</v>
      </c>
      <c r="C6117" s="119">
        <v>8280</v>
      </c>
    </row>
    <row r="6118" spans="2:3">
      <c r="B6118" s="118" t="s">
        <v>1945</v>
      </c>
      <c r="C6118" s="119">
        <v>8598</v>
      </c>
    </row>
    <row r="6119" spans="2:3">
      <c r="B6119" s="118" t="s">
        <v>1963</v>
      </c>
      <c r="C6119" s="119">
        <v>8585</v>
      </c>
    </row>
    <row r="6120" spans="2:3">
      <c r="B6120" s="118" t="s">
        <v>4028</v>
      </c>
      <c r="C6120" s="119">
        <v>8585</v>
      </c>
    </row>
    <row r="6121" spans="2:3">
      <c r="B6121" s="118" t="s">
        <v>4029</v>
      </c>
      <c r="C6121" s="119">
        <v>8585</v>
      </c>
    </row>
    <row r="6122" spans="2:3">
      <c r="B6122" s="118" t="s">
        <v>4030</v>
      </c>
      <c r="C6122" s="119">
        <v>8585</v>
      </c>
    </row>
    <row r="6123" spans="2:3">
      <c r="B6123" s="118" t="s">
        <v>3981</v>
      </c>
      <c r="C6123" s="119">
        <v>8586</v>
      </c>
    </row>
    <row r="6124" spans="2:3">
      <c r="B6124" s="118" t="s">
        <v>4031</v>
      </c>
      <c r="C6124" s="119">
        <v>8574</v>
      </c>
    </row>
    <row r="6125" spans="2:3">
      <c r="B6125" s="118" t="s">
        <v>4032</v>
      </c>
      <c r="C6125" s="119">
        <v>8574</v>
      </c>
    </row>
    <row r="6126" spans="2:3">
      <c r="B6126" s="118" t="s">
        <v>1951</v>
      </c>
      <c r="C6126" s="119">
        <v>8574</v>
      </c>
    </row>
    <row r="6127" spans="2:3">
      <c r="B6127" s="118" t="s">
        <v>1951</v>
      </c>
      <c r="C6127" s="119">
        <v>8574</v>
      </c>
    </row>
    <row r="6128" spans="2:3">
      <c r="B6128" s="118" t="s">
        <v>4033</v>
      </c>
      <c r="C6128" s="119">
        <v>8574</v>
      </c>
    </row>
    <row r="6129" spans="2:3">
      <c r="B6129" s="118" t="s">
        <v>4034</v>
      </c>
      <c r="C6129" s="119">
        <v>8596</v>
      </c>
    </row>
    <row r="6130" spans="2:3">
      <c r="B6130" s="118" t="s">
        <v>1926</v>
      </c>
      <c r="C6130" s="119">
        <v>8596</v>
      </c>
    </row>
    <row r="6131" spans="2:3">
      <c r="B6131" s="118" t="s">
        <v>4035</v>
      </c>
      <c r="C6131" s="119">
        <v>8597</v>
      </c>
    </row>
    <row r="6132" spans="2:3">
      <c r="B6132" s="118" t="s">
        <v>1917</v>
      </c>
      <c r="C6132" s="119">
        <v>8274</v>
      </c>
    </row>
    <row r="6133" spans="2:3">
      <c r="B6133" s="118" t="s">
        <v>1906</v>
      </c>
      <c r="C6133" s="119">
        <v>8280</v>
      </c>
    </row>
    <row r="6134" spans="2:3">
      <c r="B6134" s="118" t="s">
        <v>1983</v>
      </c>
      <c r="C6134" s="119">
        <v>8558</v>
      </c>
    </row>
    <row r="6135" spans="2:3">
      <c r="B6135" s="118" t="s">
        <v>4036</v>
      </c>
      <c r="C6135" s="119">
        <v>8564</v>
      </c>
    </row>
    <row r="6136" spans="2:3">
      <c r="B6136" s="118" t="s">
        <v>4037</v>
      </c>
      <c r="C6136" s="119">
        <v>8564</v>
      </c>
    </row>
    <row r="6137" spans="2:3">
      <c r="B6137" s="118" t="s">
        <v>4038</v>
      </c>
      <c r="C6137" s="119">
        <v>8564</v>
      </c>
    </row>
    <row r="6138" spans="2:3">
      <c r="B6138" s="118" t="s">
        <v>1971</v>
      </c>
      <c r="C6138" s="119">
        <v>8564</v>
      </c>
    </row>
    <row r="6139" spans="2:3">
      <c r="B6139" s="118" t="s">
        <v>4039</v>
      </c>
      <c r="C6139" s="119">
        <v>8564</v>
      </c>
    </row>
    <row r="6140" spans="2:3">
      <c r="B6140" s="118" t="s">
        <v>4040</v>
      </c>
      <c r="C6140" s="119">
        <v>8564</v>
      </c>
    </row>
    <row r="6141" spans="2:3">
      <c r="B6141" s="118" t="s">
        <v>4041</v>
      </c>
      <c r="C6141" s="119">
        <v>8564</v>
      </c>
    </row>
    <row r="6142" spans="2:3">
      <c r="B6142" s="118" t="s">
        <v>1961</v>
      </c>
      <c r="C6142" s="119">
        <v>8514</v>
      </c>
    </row>
    <row r="6143" spans="2:3">
      <c r="B6143" s="118" t="s">
        <v>4042</v>
      </c>
      <c r="C6143" s="119">
        <v>9555</v>
      </c>
    </row>
    <row r="6144" spans="2:3">
      <c r="B6144" s="118" t="s">
        <v>1938</v>
      </c>
      <c r="C6144" s="119">
        <v>9556</v>
      </c>
    </row>
    <row r="6145" spans="2:3">
      <c r="B6145" s="118" t="s">
        <v>4043</v>
      </c>
      <c r="C6145" s="119">
        <v>9556</v>
      </c>
    </row>
    <row r="6146" spans="2:3">
      <c r="B6146" s="118" t="s">
        <v>4044</v>
      </c>
      <c r="C6146" s="119">
        <v>9562</v>
      </c>
    </row>
    <row r="6147" spans="2:3">
      <c r="B6147" s="118" t="s">
        <v>4045</v>
      </c>
      <c r="C6147" s="119">
        <v>9562</v>
      </c>
    </row>
    <row r="6148" spans="2:3">
      <c r="B6148" s="118" t="s">
        <v>1965</v>
      </c>
      <c r="C6148" s="119">
        <v>9553</v>
      </c>
    </row>
    <row r="6149" spans="2:3">
      <c r="B6149" s="118" t="s">
        <v>4046</v>
      </c>
      <c r="C6149" s="119">
        <v>8362</v>
      </c>
    </row>
    <row r="6150" spans="2:3">
      <c r="B6150" s="118" t="s">
        <v>2713</v>
      </c>
      <c r="C6150" s="119">
        <v>8363</v>
      </c>
    </row>
    <row r="6151" spans="2:3">
      <c r="B6151" s="118" t="s">
        <v>1978</v>
      </c>
      <c r="C6151" s="119">
        <v>9502</v>
      </c>
    </row>
    <row r="6152" spans="2:3">
      <c r="B6152" s="118" t="s">
        <v>4047</v>
      </c>
      <c r="C6152" s="119">
        <v>8360</v>
      </c>
    </row>
    <row r="6153" spans="2:3">
      <c r="B6153" s="118" t="s">
        <v>4048</v>
      </c>
      <c r="C6153" s="119">
        <v>8360</v>
      </c>
    </row>
    <row r="6154" spans="2:3">
      <c r="B6154" s="118" t="s">
        <v>1912</v>
      </c>
      <c r="C6154" s="119">
        <v>8370</v>
      </c>
    </row>
    <row r="6155" spans="2:3">
      <c r="B6155" s="118" t="s">
        <v>4049</v>
      </c>
      <c r="C6155" s="119">
        <v>8372</v>
      </c>
    </row>
    <row r="6156" spans="2:3">
      <c r="B6156" s="118" t="s">
        <v>4050</v>
      </c>
      <c r="C6156" s="119">
        <v>8374</v>
      </c>
    </row>
    <row r="6157" spans="2:3">
      <c r="B6157" s="118" t="s">
        <v>4051</v>
      </c>
      <c r="C6157" s="119">
        <v>8374</v>
      </c>
    </row>
    <row r="6158" spans="2:3">
      <c r="B6158" s="118" t="s">
        <v>1937</v>
      </c>
      <c r="C6158" s="119">
        <v>8376</v>
      </c>
    </row>
    <row r="6159" spans="2:3">
      <c r="B6159" s="118" t="s">
        <v>3638</v>
      </c>
      <c r="C6159" s="119">
        <v>8376</v>
      </c>
    </row>
    <row r="6160" spans="2:3">
      <c r="B6160" s="118" t="s">
        <v>2784</v>
      </c>
      <c r="C6160" s="119">
        <v>8495</v>
      </c>
    </row>
    <row r="6161" spans="2:3">
      <c r="B6161" s="118" t="s">
        <v>2788</v>
      </c>
      <c r="C6161" s="119">
        <v>8499</v>
      </c>
    </row>
    <row r="6162" spans="2:3">
      <c r="B6162" s="118" t="s">
        <v>1966</v>
      </c>
      <c r="C6162" s="119">
        <v>9506</v>
      </c>
    </row>
    <row r="6163" spans="2:3">
      <c r="B6163" s="118" t="s">
        <v>4052</v>
      </c>
      <c r="C6163" s="119">
        <v>9508</v>
      </c>
    </row>
    <row r="6164" spans="2:3">
      <c r="B6164" s="118" t="s">
        <v>4047</v>
      </c>
      <c r="C6164" s="119">
        <v>8360</v>
      </c>
    </row>
    <row r="6165" spans="2:3">
      <c r="B6165" s="118" t="s">
        <v>1626</v>
      </c>
      <c r="C6165" s="119">
        <v>9500</v>
      </c>
    </row>
    <row r="6166" spans="2:3">
      <c r="B6166" s="118" t="s">
        <v>4053</v>
      </c>
      <c r="C6166" s="119">
        <v>9542</v>
      </c>
    </row>
    <row r="6167" spans="2:3">
      <c r="B6167" s="118" t="s">
        <v>3668</v>
      </c>
      <c r="C6167" s="119">
        <v>9543</v>
      </c>
    </row>
    <row r="6168" spans="2:3">
      <c r="B6168" s="118" t="s">
        <v>3626</v>
      </c>
      <c r="C6168" s="119">
        <v>9532</v>
      </c>
    </row>
    <row r="6169" spans="2:3">
      <c r="B6169" s="118" t="s">
        <v>4054</v>
      </c>
      <c r="C6169" s="119">
        <v>9535</v>
      </c>
    </row>
    <row r="6170" spans="2:3">
      <c r="B6170" s="118" t="s">
        <v>3652</v>
      </c>
      <c r="C6170" s="119">
        <v>9536</v>
      </c>
    </row>
    <row r="6171" spans="2:3">
      <c r="B6171" s="118" t="s">
        <v>1976</v>
      </c>
      <c r="C6171" s="119">
        <v>8577</v>
      </c>
    </row>
    <row r="6172" spans="2:3">
      <c r="B6172" s="118" t="s">
        <v>1912</v>
      </c>
      <c r="C6172" s="119">
        <v>8370</v>
      </c>
    </row>
    <row r="6173" spans="2:3">
      <c r="B6173" s="118" t="s">
        <v>4055</v>
      </c>
      <c r="C6173" s="119">
        <v>8371</v>
      </c>
    </row>
    <row r="6174" spans="2:3">
      <c r="B6174" s="118" t="s">
        <v>4049</v>
      </c>
      <c r="C6174" s="119">
        <v>8372</v>
      </c>
    </row>
    <row r="6175" spans="2:3">
      <c r="B6175" s="118" t="s">
        <v>4056</v>
      </c>
      <c r="C6175" s="119">
        <v>9573</v>
      </c>
    </row>
    <row r="6176" spans="2:3">
      <c r="B6176" s="118" t="s">
        <v>4057</v>
      </c>
      <c r="C6176" s="119">
        <v>9554</v>
      </c>
    </row>
    <row r="6177" spans="2:3">
      <c r="B6177" s="118" t="s">
        <v>4042</v>
      </c>
      <c r="C6177" s="119">
        <v>9555</v>
      </c>
    </row>
    <row r="6178" spans="2:3">
      <c r="B6178" s="118" t="s">
        <v>1916</v>
      </c>
      <c r="C6178" s="119">
        <v>9545</v>
      </c>
    </row>
    <row r="6179" spans="2:3">
      <c r="B6179" s="118" t="s">
        <v>4058</v>
      </c>
      <c r="C6179" s="119">
        <v>9546</v>
      </c>
    </row>
    <row r="6180" spans="2:3">
      <c r="B6180" s="118" t="s">
        <v>4054</v>
      </c>
      <c r="C6180" s="119">
        <v>9535</v>
      </c>
    </row>
    <row r="6181" spans="2:3">
      <c r="B6181" s="118" t="s">
        <v>1969</v>
      </c>
      <c r="C6181" s="119">
        <v>9514</v>
      </c>
    </row>
    <row r="6182" spans="2:3">
      <c r="B6182" s="118" t="s">
        <v>3666</v>
      </c>
      <c r="C6182" s="119">
        <v>9515</v>
      </c>
    </row>
    <row r="6183" spans="2:3">
      <c r="B6183" s="118" t="s">
        <v>1975</v>
      </c>
      <c r="C6183" s="119">
        <v>8267</v>
      </c>
    </row>
    <row r="6184" spans="2:3">
      <c r="B6184" s="118" t="s">
        <v>1950</v>
      </c>
      <c r="C6184" s="119">
        <v>8264</v>
      </c>
    </row>
    <row r="6185" spans="2:3">
      <c r="B6185" s="118" t="s">
        <v>4059</v>
      </c>
      <c r="C6185" s="119">
        <v>8506</v>
      </c>
    </row>
    <row r="6186" spans="2:3">
      <c r="B6186" s="118" t="s">
        <v>4018</v>
      </c>
      <c r="C6186" s="119">
        <v>8532</v>
      </c>
    </row>
    <row r="6187" spans="2:3">
      <c r="B6187" s="118" t="s">
        <v>1972</v>
      </c>
      <c r="C6187" s="119">
        <v>8535</v>
      </c>
    </row>
    <row r="6188" spans="2:3">
      <c r="B6188" s="118" t="s">
        <v>1952</v>
      </c>
      <c r="C6188" s="119">
        <v>8536</v>
      </c>
    </row>
    <row r="6189" spans="2:3">
      <c r="B6189" s="118" t="s">
        <v>4060</v>
      </c>
      <c r="C6189" s="119">
        <v>8507</v>
      </c>
    </row>
    <row r="6190" spans="2:3">
      <c r="B6190" s="118" t="s">
        <v>1957</v>
      </c>
      <c r="C6190" s="119">
        <v>8508</v>
      </c>
    </row>
    <row r="6191" spans="2:3">
      <c r="B6191" s="118" t="s">
        <v>1972</v>
      </c>
      <c r="C6191" s="119">
        <v>8535</v>
      </c>
    </row>
    <row r="6192" spans="2:3">
      <c r="B6192" s="118" t="s">
        <v>1952</v>
      </c>
      <c r="C6192" s="119">
        <v>8536</v>
      </c>
    </row>
    <row r="6193" spans="2:3">
      <c r="B6193" s="118" t="s">
        <v>4061</v>
      </c>
      <c r="C6193" s="119">
        <v>8537</v>
      </c>
    </row>
    <row r="6194" spans="2:3">
      <c r="B6194" s="118" t="s">
        <v>4062</v>
      </c>
      <c r="C6194" s="119">
        <v>8537</v>
      </c>
    </row>
    <row r="6195" spans="2:3">
      <c r="B6195" s="118" t="s">
        <v>1950</v>
      </c>
      <c r="C6195" s="119">
        <v>8264</v>
      </c>
    </row>
    <row r="6196" spans="2:3">
      <c r="B6196" s="118" t="s">
        <v>1980</v>
      </c>
      <c r="C6196" s="119">
        <v>8265</v>
      </c>
    </row>
    <row r="6197" spans="2:3">
      <c r="B6197" s="118" t="s">
        <v>4060</v>
      </c>
      <c r="C6197" s="119">
        <v>8507</v>
      </c>
    </row>
    <row r="6198" spans="2:3">
      <c r="B6198" s="118" t="s">
        <v>4063</v>
      </c>
      <c r="C6198" s="119">
        <v>8555</v>
      </c>
    </row>
    <row r="6199" spans="2:3">
      <c r="B6199" s="118" t="s">
        <v>1946</v>
      </c>
      <c r="C6199" s="119">
        <v>8505</v>
      </c>
    </row>
    <row r="6200" spans="2:3">
      <c r="B6200" s="118" t="s">
        <v>4064</v>
      </c>
      <c r="C6200" s="119">
        <v>8505</v>
      </c>
    </row>
    <row r="6201" spans="2:3">
      <c r="B6201" s="118" t="s">
        <v>1957</v>
      </c>
      <c r="C6201" s="119">
        <v>8508</v>
      </c>
    </row>
    <row r="6202" spans="2:3">
      <c r="B6202" s="118" t="s">
        <v>1983</v>
      </c>
      <c r="C6202" s="119">
        <v>8558</v>
      </c>
    </row>
    <row r="6203" spans="2:3">
      <c r="B6203" s="118" t="s">
        <v>4065</v>
      </c>
      <c r="C6203" s="119">
        <v>8268</v>
      </c>
    </row>
    <row r="6204" spans="2:3">
      <c r="B6204" s="118" t="s">
        <v>1964</v>
      </c>
      <c r="C6204" s="119">
        <v>8268</v>
      </c>
    </row>
    <row r="6205" spans="2:3">
      <c r="B6205" s="118" t="s">
        <v>4066</v>
      </c>
      <c r="C6205" s="119">
        <v>8269</v>
      </c>
    </row>
    <row r="6206" spans="2:3">
      <c r="B6206" s="118" t="s">
        <v>1922</v>
      </c>
      <c r="C6206" s="119">
        <v>8266</v>
      </c>
    </row>
    <row r="6207" spans="2:3">
      <c r="B6207" s="118" t="s">
        <v>4067</v>
      </c>
      <c r="C6207" s="119">
        <v>8259</v>
      </c>
    </row>
    <row r="6208" spans="2:3">
      <c r="B6208" s="118" t="s">
        <v>4068</v>
      </c>
      <c r="C6208" s="119">
        <v>8259</v>
      </c>
    </row>
    <row r="6209" spans="2:3">
      <c r="B6209" s="118" t="s">
        <v>4069</v>
      </c>
      <c r="C6209" s="119">
        <v>8259</v>
      </c>
    </row>
    <row r="6210" spans="2:3">
      <c r="B6210" s="118" t="s">
        <v>1954</v>
      </c>
      <c r="C6210" s="119">
        <v>8259</v>
      </c>
    </row>
    <row r="6211" spans="2:3">
      <c r="B6211" s="118" t="s">
        <v>1961</v>
      </c>
      <c r="C6211" s="119">
        <v>8514</v>
      </c>
    </row>
    <row r="6212" spans="2:3">
      <c r="B6212" s="118" t="s">
        <v>4070</v>
      </c>
      <c r="C6212" s="119">
        <v>8554</v>
      </c>
    </row>
    <row r="6213" spans="2:3">
      <c r="B6213" s="118" t="s">
        <v>1909</v>
      </c>
      <c r="C6213" s="119">
        <v>8570</v>
      </c>
    </row>
    <row r="6214" spans="2:3">
      <c r="B6214" s="118" t="s">
        <v>4071</v>
      </c>
      <c r="C6214" s="119">
        <v>8572</v>
      </c>
    </row>
    <row r="6215" spans="2:3">
      <c r="B6215" s="118" t="s">
        <v>4071</v>
      </c>
      <c r="C6215" s="119">
        <v>8572</v>
      </c>
    </row>
    <row r="6216" spans="2:3">
      <c r="B6216" s="118" t="s">
        <v>4072</v>
      </c>
      <c r="C6216" s="119">
        <v>8572</v>
      </c>
    </row>
    <row r="6217" spans="2:3">
      <c r="B6217" s="118" t="s">
        <v>4073</v>
      </c>
      <c r="C6217" s="119">
        <v>8572</v>
      </c>
    </row>
    <row r="6218" spans="2:3">
      <c r="B6218" s="118" t="s">
        <v>4074</v>
      </c>
      <c r="C6218" s="119">
        <v>8572</v>
      </c>
    </row>
    <row r="6219" spans="2:3">
      <c r="B6219" s="118" t="s">
        <v>4075</v>
      </c>
      <c r="C6219" s="119">
        <v>8576</v>
      </c>
    </row>
    <row r="6220" spans="2:3">
      <c r="B6220" s="118" t="s">
        <v>4076</v>
      </c>
      <c r="C6220" s="119">
        <v>8584</v>
      </c>
    </row>
    <row r="6221" spans="2:3">
      <c r="B6221" s="118" t="s">
        <v>4077</v>
      </c>
      <c r="C6221" s="119">
        <v>8585</v>
      </c>
    </row>
    <row r="6222" spans="2:3">
      <c r="B6222" s="118" t="s">
        <v>4078</v>
      </c>
      <c r="C6222" s="119">
        <v>8585</v>
      </c>
    </row>
    <row r="6223" spans="2:3">
      <c r="B6223" s="118" t="s">
        <v>1960</v>
      </c>
      <c r="C6223" s="119">
        <v>8585</v>
      </c>
    </row>
    <row r="6224" spans="2:3">
      <c r="B6224" s="118" t="s">
        <v>4079</v>
      </c>
      <c r="C6224" s="119">
        <v>8585</v>
      </c>
    </row>
    <row r="6225" spans="2:3">
      <c r="B6225" s="118" t="s">
        <v>4080</v>
      </c>
      <c r="C6225" s="119">
        <v>8586</v>
      </c>
    </row>
    <row r="6226" spans="2:3">
      <c r="B6226" s="118" t="s">
        <v>4081</v>
      </c>
      <c r="C6226" s="119">
        <v>8586</v>
      </c>
    </row>
    <row r="6227" spans="2:3">
      <c r="B6227" s="118" t="s">
        <v>4082</v>
      </c>
      <c r="C6227" s="119">
        <v>8575</v>
      </c>
    </row>
    <row r="6228" spans="2:3">
      <c r="B6228" s="118" t="s">
        <v>4083</v>
      </c>
      <c r="C6228" s="119">
        <v>8575</v>
      </c>
    </row>
    <row r="6229" spans="2:3">
      <c r="B6229" s="118" t="s">
        <v>4084</v>
      </c>
      <c r="C6229" s="119">
        <v>8584</v>
      </c>
    </row>
    <row r="6230" spans="2:3">
      <c r="B6230" s="118" t="s">
        <v>4076</v>
      </c>
      <c r="C6230" s="119">
        <v>8584</v>
      </c>
    </row>
    <row r="6231" spans="2:3">
      <c r="B6231" s="118" t="s">
        <v>4082</v>
      </c>
      <c r="C6231" s="119">
        <v>8575</v>
      </c>
    </row>
    <row r="6232" spans="2:3">
      <c r="B6232" s="118" t="s">
        <v>4085</v>
      </c>
      <c r="C6232" s="119">
        <v>9503</v>
      </c>
    </row>
    <row r="6233" spans="2:3">
      <c r="B6233" s="118" t="s">
        <v>4086</v>
      </c>
      <c r="C6233" s="119">
        <v>9503</v>
      </c>
    </row>
    <row r="6234" spans="2:3">
      <c r="B6234" s="118" t="s">
        <v>4087</v>
      </c>
      <c r="C6234" s="119">
        <v>9504</v>
      </c>
    </row>
    <row r="6235" spans="2:3">
      <c r="B6235" s="118" t="s">
        <v>4088</v>
      </c>
      <c r="C6235" s="119">
        <v>9517</v>
      </c>
    </row>
    <row r="6236" spans="2:3">
      <c r="B6236" s="118" t="s">
        <v>4044</v>
      </c>
      <c r="C6236" s="119">
        <v>9562</v>
      </c>
    </row>
    <row r="6237" spans="2:3">
      <c r="B6237" s="118" t="s">
        <v>1943</v>
      </c>
      <c r="C6237" s="119">
        <v>9565</v>
      </c>
    </row>
    <row r="6238" spans="2:3">
      <c r="B6238" s="118" t="s">
        <v>4089</v>
      </c>
      <c r="C6238" s="119">
        <v>9565</v>
      </c>
    </row>
    <row r="6239" spans="2:3">
      <c r="B6239" s="118" t="s">
        <v>4090</v>
      </c>
      <c r="C6239" s="119">
        <v>9565</v>
      </c>
    </row>
    <row r="6240" spans="2:3">
      <c r="B6240" s="118" t="s">
        <v>4091</v>
      </c>
      <c r="C6240" s="119">
        <v>9565</v>
      </c>
    </row>
    <row r="6241" spans="2:3">
      <c r="B6241" s="118" t="s">
        <v>4092</v>
      </c>
      <c r="C6241" s="119">
        <v>9565</v>
      </c>
    </row>
    <row r="6242" spans="2:3">
      <c r="B6242" s="118" t="s">
        <v>1933</v>
      </c>
      <c r="C6242" s="119">
        <v>8560</v>
      </c>
    </row>
    <row r="6243" spans="2:3">
      <c r="B6243" s="118" t="s">
        <v>4093</v>
      </c>
      <c r="C6243" s="119">
        <v>8561</v>
      </c>
    </row>
    <row r="6244" spans="2:3">
      <c r="B6244" s="118" t="s">
        <v>1909</v>
      </c>
      <c r="C6244" s="119">
        <v>8570</v>
      </c>
    </row>
    <row r="6245" spans="2:3">
      <c r="B6245" s="118" t="s">
        <v>4082</v>
      </c>
      <c r="C6245" s="119">
        <v>8575</v>
      </c>
    </row>
    <row r="6246" spans="2:3">
      <c r="B6246" s="118" t="s">
        <v>4094</v>
      </c>
      <c r="C6246" s="119">
        <v>8554</v>
      </c>
    </row>
    <row r="6247" spans="2:3">
      <c r="B6247" s="118" t="s">
        <v>4070</v>
      </c>
      <c r="C6247" s="119">
        <v>8554</v>
      </c>
    </row>
    <row r="6248" spans="2:3">
      <c r="B6248" s="118" t="s">
        <v>1941</v>
      </c>
      <c r="C6248" s="119">
        <v>8556</v>
      </c>
    </row>
    <row r="6249" spans="2:3">
      <c r="B6249" s="118" t="s">
        <v>4095</v>
      </c>
      <c r="C6249" s="119">
        <v>8556</v>
      </c>
    </row>
    <row r="6250" spans="2:3">
      <c r="B6250" s="118" t="s">
        <v>4096</v>
      </c>
      <c r="C6250" s="119">
        <v>8556</v>
      </c>
    </row>
    <row r="6251" spans="2:3">
      <c r="B6251" s="118" t="s">
        <v>4097</v>
      </c>
      <c r="C6251" s="119">
        <v>8556</v>
      </c>
    </row>
    <row r="6252" spans="2:3">
      <c r="B6252" s="118" t="s">
        <v>1933</v>
      </c>
      <c r="C6252" s="119">
        <v>8560</v>
      </c>
    </row>
    <row r="6253" spans="2:3">
      <c r="B6253" s="118" t="s">
        <v>4037</v>
      </c>
      <c r="C6253" s="119">
        <v>8564</v>
      </c>
    </row>
    <row r="6254" spans="2:3">
      <c r="B6254" s="118" t="s">
        <v>4098</v>
      </c>
      <c r="C6254" s="119">
        <v>8564</v>
      </c>
    </row>
    <row r="6255" spans="2:3">
      <c r="B6255" s="118" t="s">
        <v>4099</v>
      </c>
      <c r="C6255" s="119">
        <v>6517</v>
      </c>
    </row>
    <row r="6256" spans="2:3">
      <c r="B6256" s="118" t="s">
        <v>4100</v>
      </c>
      <c r="C6256" s="119">
        <v>6532</v>
      </c>
    </row>
    <row r="6257" spans="2:3">
      <c r="B6257" s="118" t="s">
        <v>1430</v>
      </c>
      <c r="C6257" s="119">
        <v>6500</v>
      </c>
    </row>
    <row r="6258" spans="2:3">
      <c r="B6258" s="118" t="s">
        <v>1430</v>
      </c>
      <c r="C6258" s="119">
        <v>6503</v>
      </c>
    </row>
    <row r="6259" spans="2:3">
      <c r="B6259" s="118" t="s">
        <v>4101</v>
      </c>
      <c r="C6259" s="119">
        <v>6512</v>
      </c>
    </row>
    <row r="6260" spans="2:3">
      <c r="B6260" s="118" t="s">
        <v>1665</v>
      </c>
      <c r="C6260" s="119">
        <v>6513</v>
      </c>
    </row>
    <row r="6261" spans="2:3">
      <c r="B6261" s="118" t="s">
        <v>1662</v>
      </c>
      <c r="C6261" s="119">
        <v>6514</v>
      </c>
    </row>
    <row r="6262" spans="2:3">
      <c r="B6262" s="118" t="s">
        <v>1666</v>
      </c>
      <c r="C6262" s="119">
        <v>6515</v>
      </c>
    </row>
    <row r="6263" spans="2:3">
      <c r="B6263" s="118" t="s">
        <v>1668</v>
      </c>
      <c r="C6263" s="119">
        <v>6518</v>
      </c>
    </row>
    <row r="6264" spans="2:3">
      <c r="B6264" s="118" t="s">
        <v>4102</v>
      </c>
      <c r="C6264" s="119">
        <v>6523</v>
      </c>
    </row>
    <row r="6265" spans="2:3">
      <c r="B6265" s="118" t="s">
        <v>1670</v>
      </c>
      <c r="C6265" s="119">
        <v>6524</v>
      </c>
    </row>
    <row r="6266" spans="2:3">
      <c r="B6266" s="118" t="s">
        <v>1669</v>
      </c>
      <c r="C6266" s="119">
        <v>6525</v>
      </c>
    </row>
    <row r="6267" spans="2:3">
      <c r="B6267" s="118" t="s">
        <v>4103</v>
      </c>
      <c r="C6267" s="119">
        <v>6528</v>
      </c>
    </row>
    <row r="6268" spans="2:3">
      <c r="B6268" s="118" t="s">
        <v>4100</v>
      </c>
      <c r="C6268" s="119">
        <v>6532</v>
      </c>
    </row>
    <row r="6269" spans="2:3">
      <c r="B6269" s="118" t="s">
        <v>1667</v>
      </c>
      <c r="C6269" s="119">
        <v>6582</v>
      </c>
    </row>
    <row r="6270" spans="2:3">
      <c r="B6270" s="118" t="s">
        <v>1663</v>
      </c>
      <c r="C6270" s="119">
        <v>6583</v>
      </c>
    </row>
    <row r="6271" spans="2:3">
      <c r="B6271" s="118" t="s">
        <v>4104</v>
      </c>
      <c r="C6271" s="119">
        <v>6584</v>
      </c>
    </row>
    <row r="6272" spans="2:3">
      <c r="B6272" s="118" t="s">
        <v>4105</v>
      </c>
      <c r="C6272" s="119">
        <v>6592</v>
      </c>
    </row>
    <row r="6273" spans="2:3">
      <c r="B6273" s="118" t="s">
        <v>1664</v>
      </c>
      <c r="C6273" s="119">
        <v>6702</v>
      </c>
    </row>
    <row r="6274" spans="2:3">
      <c r="B6274" s="118" t="s">
        <v>4105</v>
      </c>
      <c r="C6274" s="119">
        <v>6592</v>
      </c>
    </row>
    <row r="6275" spans="2:3">
      <c r="B6275" s="118" t="s">
        <v>1456</v>
      </c>
      <c r="C6275" s="119">
        <v>6593</v>
      </c>
    </row>
    <row r="6276" spans="2:3">
      <c r="B6276" s="118" t="s">
        <v>4106</v>
      </c>
      <c r="C6276" s="119">
        <v>6599</v>
      </c>
    </row>
    <row r="6277" spans="2:3">
      <c r="B6277" s="118" t="s">
        <v>1526</v>
      </c>
      <c r="C6277" s="119">
        <v>6810</v>
      </c>
    </row>
    <row r="6278" spans="2:3">
      <c r="B6278" s="118" t="s">
        <v>4100</v>
      </c>
      <c r="C6278" s="119">
        <v>6532</v>
      </c>
    </row>
    <row r="6279" spans="2:3">
      <c r="B6279" s="118" t="s">
        <v>1487</v>
      </c>
      <c r="C6279" s="119">
        <v>6533</v>
      </c>
    </row>
    <row r="6280" spans="2:3">
      <c r="B6280" s="118" t="s">
        <v>1666</v>
      </c>
      <c r="C6280" s="119">
        <v>6515</v>
      </c>
    </row>
    <row r="6281" spans="2:3">
      <c r="B6281" s="118" t="s">
        <v>4103</v>
      </c>
      <c r="C6281" s="119">
        <v>6528</v>
      </c>
    </row>
    <row r="6282" spans="2:3">
      <c r="B6282" s="118" t="s">
        <v>4105</v>
      </c>
      <c r="C6282" s="119">
        <v>6592</v>
      </c>
    </row>
    <row r="6283" spans="2:3">
      <c r="B6283" s="118" t="s">
        <v>1456</v>
      </c>
      <c r="C6283" s="119">
        <v>6593</v>
      </c>
    </row>
    <row r="6284" spans="2:3">
      <c r="B6284" s="118" t="s">
        <v>4107</v>
      </c>
      <c r="C6284" s="119">
        <v>6715</v>
      </c>
    </row>
    <row r="6285" spans="2:3">
      <c r="B6285" s="118" t="s">
        <v>1474</v>
      </c>
      <c r="C6285" s="119">
        <v>6716</v>
      </c>
    </row>
    <row r="6286" spans="2:3">
      <c r="B6286" s="118" t="s">
        <v>4108</v>
      </c>
      <c r="C6286" s="119">
        <v>6716</v>
      </c>
    </row>
    <row r="6287" spans="2:3">
      <c r="B6287" s="118" t="s">
        <v>4109</v>
      </c>
      <c r="C6287" s="119">
        <v>6716</v>
      </c>
    </row>
    <row r="6288" spans="2:3">
      <c r="B6288" s="118" t="s">
        <v>4110</v>
      </c>
      <c r="C6288" s="119">
        <v>6721</v>
      </c>
    </row>
    <row r="6289" spans="2:3">
      <c r="B6289" s="118" t="s">
        <v>4111</v>
      </c>
      <c r="C6289" s="119">
        <v>6722</v>
      </c>
    </row>
    <row r="6290" spans="2:3">
      <c r="B6290" s="118" t="s">
        <v>4112</v>
      </c>
      <c r="C6290" s="119">
        <v>6723</v>
      </c>
    </row>
    <row r="6291" spans="2:3">
      <c r="B6291" s="118" t="s">
        <v>4113</v>
      </c>
      <c r="C6291" s="119">
        <v>6723</v>
      </c>
    </row>
    <row r="6292" spans="2:3">
      <c r="B6292" s="118" t="s">
        <v>4114</v>
      </c>
      <c r="C6292" s="119">
        <v>6723</v>
      </c>
    </row>
    <row r="6293" spans="2:3">
      <c r="B6293" s="118" t="s">
        <v>4115</v>
      </c>
      <c r="C6293" s="119">
        <v>6724</v>
      </c>
    </row>
    <row r="6294" spans="2:3">
      <c r="B6294" s="118" t="s">
        <v>4116</v>
      </c>
      <c r="C6294" s="119">
        <v>6724</v>
      </c>
    </row>
    <row r="6295" spans="2:3">
      <c r="B6295" s="118" t="s">
        <v>4117</v>
      </c>
      <c r="C6295" s="119">
        <v>6717</v>
      </c>
    </row>
    <row r="6296" spans="2:3">
      <c r="B6296" s="118" t="s">
        <v>4118</v>
      </c>
      <c r="C6296" s="119">
        <v>6717</v>
      </c>
    </row>
    <row r="6297" spans="2:3">
      <c r="B6297" s="118" t="s">
        <v>4119</v>
      </c>
      <c r="C6297" s="119">
        <v>6718</v>
      </c>
    </row>
    <row r="6298" spans="2:3">
      <c r="B6298" s="118" t="s">
        <v>4120</v>
      </c>
      <c r="C6298" s="119">
        <v>6718</v>
      </c>
    </row>
    <row r="6299" spans="2:3">
      <c r="B6299" s="118" t="s">
        <v>4121</v>
      </c>
      <c r="C6299" s="119">
        <v>6719</v>
      </c>
    </row>
    <row r="6300" spans="2:3">
      <c r="B6300" s="118" t="s">
        <v>4121</v>
      </c>
      <c r="C6300" s="119">
        <v>6719</v>
      </c>
    </row>
    <row r="6301" spans="2:3">
      <c r="B6301" s="118" t="s">
        <v>4122</v>
      </c>
      <c r="C6301" s="119">
        <v>6720</v>
      </c>
    </row>
    <row r="6302" spans="2:3">
      <c r="B6302" s="118" t="s">
        <v>4123</v>
      </c>
      <c r="C6302" s="119">
        <v>6720</v>
      </c>
    </row>
    <row r="6303" spans="2:3">
      <c r="B6303" s="118" t="s">
        <v>4124</v>
      </c>
      <c r="C6303" s="119">
        <v>6713</v>
      </c>
    </row>
    <row r="6304" spans="2:3">
      <c r="B6304" s="118" t="s">
        <v>4125</v>
      </c>
      <c r="C6304" s="119">
        <v>6714</v>
      </c>
    </row>
    <row r="6305" spans="2:3">
      <c r="B6305" s="118" t="s">
        <v>4126</v>
      </c>
      <c r="C6305" s="119">
        <v>6721</v>
      </c>
    </row>
    <row r="6306" spans="2:3">
      <c r="B6306" s="118" t="s">
        <v>1483</v>
      </c>
      <c r="C6306" s="119">
        <v>6780</v>
      </c>
    </row>
    <row r="6307" spans="2:3">
      <c r="B6307" s="118" t="s">
        <v>4127</v>
      </c>
      <c r="C6307" s="119">
        <v>6781</v>
      </c>
    </row>
    <row r="6308" spans="2:3">
      <c r="B6308" s="118" t="s">
        <v>1536</v>
      </c>
      <c r="C6308" s="119">
        <v>6781</v>
      </c>
    </row>
    <row r="6309" spans="2:3">
      <c r="B6309" s="118" t="s">
        <v>4128</v>
      </c>
      <c r="C6309" s="119">
        <v>6743</v>
      </c>
    </row>
    <row r="6310" spans="2:3">
      <c r="B6310" s="118" t="s">
        <v>1535</v>
      </c>
      <c r="C6310" s="119">
        <v>6774</v>
      </c>
    </row>
    <row r="6311" spans="2:3">
      <c r="B6311" s="118" t="s">
        <v>4129</v>
      </c>
      <c r="C6311" s="119">
        <v>6746</v>
      </c>
    </row>
    <row r="6312" spans="2:3">
      <c r="B6312" s="118" t="s">
        <v>4130</v>
      </c>
      <c r="C6312" s="119">
        <v>6746</v>
      </c>
    </row>
    <row r="6313" spans="2:3">
      <c r="B6313" s="118" t="s">
        <v>4131</v>
      </c>
      <c r="C6313" s="119">
        <v>6746</v>
      </c>
    </row>
    <row r="6314" spans="2:3">
      <c r="B6314" s="118" t="s">
        <v>4132</v>
      </c>
      <c r="C6314" s="119">
        <v>6747</v>
      </c>
    </row>
    <row r="6315" spans="2:3">
      <c r="B6315" s="118" t="s">
        <v>4133</v>
      </c>
      <c r="C6315" s="119">
        <v>6748</v>
      </c>
    </row>
    <row r="6316" spans="2:3">
      <c r="B6316" s="118" t="s">
        <v>4134</v>
      </c>
      <c r="C6316" s="119">
        <v>6749</v>
      </c>
    </row>
    <row r="6317" spans="2:3">
      <c r="B6317" s="118" t="s">
        <v>4135</v>
      </c>
      <c r="C6317" s="119">
        <v>6749</v>
      </c>
    </row>
    <row r="6318" spans="2:3">
      <c r="B6318" s="118" t="s">
        <v>1455</v>
      </c>
      <c r="C6318" s="119">
        <v>6760</v>
      </c>
    </row>
    <row r="6319" spans="2:3">
      <c r="B6319" s="118" t="s">
        <v>4136</v>
      </c>
      <c r="C6319" s="119">
        <v>6760</v>
      </c>
    </row>
    <row r="6320" spans="2:3">
      <c r="B6320" s="118" t="s">
        <v>4137</v>
      </c>
      <c r="C6320" s="119">
        <v>6760</v>
      </c>
    </row>
    <row r="6321" spans="2:3">
      <c r="B6321" s="118" t="s">
        <v>4138</v>
      </c>
      <c r="C6321" s="119">
        <v>6760</v>
      </c>
    </row>
    <row r="6322" spans="2:3">
      <c r="B6322" s="118" t="s">
        <v>4139</v>
      </c>
      <c r="C6322" s="119">
        <v>6760</v>
      </c>
    </row>
    <row r="6323" spans="2:3">
      <c r="B6323" s="118" t="s">
        <v>4140</v>
      </c>
      <c r="C6323" s="119">
        <v>6760</v>
      </c>
    </row>
    <row r="6324" spans="2:3">
      <c r="B6324" s="118" t="s">
        <v>4141</v>
      </c>
      <c r="C6324" s="119">
        <v>6763</v>
      </c>
    </row>
    <row r="6325" spans="2:3">
      <c r="B6325" s="118" t="s">
        <v>4142</v>
      </c>
      <c r="C6325" s="119">
        <v>6763</v>
      </c>
    </row>
    <row r="6326" spans="2:3">
      <c r="B6326" s="118" t="s">
        <v>4143</v>
      </c>
      <c r="C6326" s="119">
        <v>6764</v>
      </c>
    </row>
    <row r="6327" spans="2:3">
      <c r="B6327" s="118" t="s">
        <v>1503</v>
      </c>
      <c r="C6327" s="119">
        <v>6745</v>
      </c>
    </row>
    <row r="6328" spans="2:3">
      <c r="B6328" s="118" t="s">
        <v>1528</v>
      </c>
      <c r="C6328" s="119">
        <v>6744</v>
      </c>
    </row>
    <row r="6329" spans="2:3">
      <c r="B6329" s="118" t="s">
        <v>1510</v>
      </c>
      <c r="C6329" s="119">
        <v>6742</v>
      </c>
    </row>
    <row r="6330" spans="2:3">
      <c r="B6330" s="118" t="s">
        <v>4144</v>
      </c>
      <c r="C6330" s="119">
        <v>6772</v>
      </c>
    </row>
    <row r="6331" spans="2:3">
      <c r="B6331" s="118" t="s">
        <v>1524</v>
      </c>
      <c r="C6331" s="119">
        <v>6773</v>
      </c>
    </row>
    <row r="6332" spans="2:3">
      <c r="B6332" s="118" t="s">
        <v>4145</v>
      </c>
      <c r="C6332" s="119">
        <v>6775</v>
      </c>
    </row>
    <row r="6333" spans="2:3">
      <c r="B6333" s="118" t="s">
        <v>4146</v>
      </c>
      <c r="C6333" s="119">
        <v>6776</v>
      </c>
    </row>
    <row r="6334" spans="2:3">
      <c r="B6334" s="118" t="s">
        <v>1498</v>
      </c>
      <c r="C6334" s="119">
        <v>6777</v>
      </c>
    </row>
    <row r="6335" spans="2:3">
      <c r="B6335" s="118" t="s">
        <v>1439</v>
      </c>
      <c r="C6335" s="119">
        <v>6612</v>
      </c>
    </row>
    <row r="6336" spans="2:3">
      <c r="B6336" s="118" t="s">
        <v>4147</v>
      </c>
      <c r="C6336" s="119">
        <v>6618</v>
      </c>
    </row>
    <row r="6337" spans="2:3">
      <c r="B6337" s="118" t="s">
        <v>1522</v>
      </c>
      <c r="C6337" s="119">
        <v>6645</v>
      </c>
    </row>
    <row r="6338" spans="2:3">
      <c r="B6338" s="118" t="s">
        <v>4148</v>
      </c>
      <c r="C6338" s="119">
        <v>6646</v>
      </c>
    </row>
    <row r="6339" spans="2:3">
      <c r="B6339" s="118" t="s">
        <v>1479</v>
      </c>
      <c r="C6339" s="119">
        <v>6614</v>
      </c>
    </row>
    <row r="6340" spans="2:3">
      <c r="B6340" s="118" t="s">
        <v>4149</v>
      </c>
      <c r="C6340" s="119">
        <v>6614</v>
      </c>
    </row>
    <row r="6341" spans="2:3">
      <c r="B6341" s="118" t="s">
        <v>1443</v>
      </c>
      <c r="C6341" s="119">
        <v>6596</v>
      </c>
    </row>
    <row r="6342" spans="2:3">
      <c r="B6342" s="118" t="s">
        <v>4150</v>
      </c>
      <c r="C6342" s="119">
        <v>6595</v>
      </c>
    </row>
    <row r="6343" spans="2:3">
      <c r="B6343" s="118" t="s">
        <v>4151</v>
      </c>
      <c r="C6343" s="119">
        <v>6516</v>
      </c>
    </row>
    <row r="6344" spans="2:3">
      <c r="B6344" s="118" t="s">
        <v>4152</v>
      </c>
      <c r="C6344" s="119">
        <v>6572</v>
      </c>
    </row>
    <row r="6345" spans="2:3">
      <c r="B6345" s="118" t="s">
        <v>4153</v>
      </c>
      <c r="C6345" s="119">
        <v>6594</v>
      </c>
    </row>
    <row r="6346" spans="2:3">
      <c r="B6346" s="118" t="s">
        <v>4150</v>
      </c>
      <c r="C6346" s="119">
        <v>6595</v>
      </c>
    </row>
    <row r="6347" spans="2:3">
      <c r="B6347" s="118" t="s">
        <v>1443</v>
      </c>
      <c r="C6347" s="119">
        <v>6596</v>
      </c>
    </row>
    <row r="6348" spans="2:3">
      <c r="B6348" s="118" t="s">
        <v>1431</v>
      </c>
      <c r="C6348" s="119">
        <v>6600</v>
      </c>
    </row>
    <row r="6349" spans="2:3">
      <c r="B6349" s="118" t="s">
        <v>1431</v>
      </c>
      <c r="C6349" s="119">
        <v>6600</v>
      </c>
    </row>
    <row r="6350" spans="2:3">
      <c r="B6350" s="118" t="s">
        <v>4154</v>
      </c>
      <c r="C6350" s="119">
        <v>6600</v>
      </c>
    </row>
    <row r="6351" spans="2:3">
      <c r="B6351" s="118" t="s">
        <v>1431</v>
      </c>
      <c r="C6351" s="119">
        <v>6605</v>
      </c>
    </row>
    <row r="6352" spans="2:3">
      <c r="B6352" s="118" t="s">
        <v>1439</v>
      </c>
      <c r="C6352" s="119">
        <v>6612</v>
      </c>
    </row>
    <row r="6353" spans="2:3">
      <c r="B6353" s="118" t="s">
        <v>1511</v>
      </c>
      <c r="C6353" s="119">
        <v>6644</v>
      </c>
    </row>
    <row r="6354" spans="2:3">
      <c r="B6354" s="118" t="s">
        <v>4155</v>
      </c>
      <c r="C6354" s="119">
        <v>6652</v>
      </c>
    </row>
    <row r="6355" spans="2:3">
      <c r="B6355" s="118" t="s">
        <v>1436</v>
      </c>
      <c r="C6355" s="119">
        <v>6616</v>
      </c>
    </row>
    <row r="6356" spans="2:3">
      <c r="B6356" s="118" t="s">
        <v>4147</v>
      </c>
      <c r="C6356" s="119">
        <v>6618</v>
      </c>
    </row>
    <row r="6357" spans="2:3">
      <c r="B6357" s="118" t="s">
        <v>1533</v>
      </c>
      <c r="C6357" s="119">
        <v>6647</v>
      </c>
    </row>
    <row r="6358" spans="2:3">
      <c r="B6358" s="118" t="s">
        <v>1459</v>
      </c>
      <c r="C6358" s="119">
        <v>6600</v>
      </c>
    </row>
    <row r="6359" spans="2:3">
      <c r="B6359" s="118" t="s">
        <v>1522</v>
      </c>
      <c r="C6359" s="119">
        <v>6645</v>
      </c>
    </row>
    <row r="6360" spans="2:3">
      <c r="B6360" s="118" t="s">
        <v>4148</v>
      </c>
      <c r="C6360" s="119">
        <v>6646</v>
      </c>
    </row>
    <row r="6361" spans="2:3">
      <c r="B6361" s="118" t="s">
        <v>1434</v>
      </c>
      <c r="C6361" s="119">
        <v>6648</v>
      </c>
    </row>
    <row r="6362" spans="2:3">
      <c r="B6362" s="118" t="s">
        <v>1431</v>
      </c>
      <c r="C6362" s="119">
        <v>6600</v>
      </c>
    </row>
    <row r="6363" spans="2:3">
      <c r="B6363" s="118" t="s">
        <v>1459</v>
      </c>
      <c r="C6363" s="119">
        <v>6600</v>
      </c>
    </row>
    <row r="6364" spans="2:3">
      <c r="B6364" s="118" t="s">
        <v>1459</v>
      </c>
      <c r="C6364" s="119">
        <v>6600</v>
      </c>
    </row>
    <row r="6365" spans="2:3">
      <c r="B6365" s="118" t="s">
        <v>1431</v>
      </c>
      <c r="C6365" s="119">
        <v>6605</v>
      </c>
    </row>
    <row r="6366" spans="2:3">
      <c r="B6366" s="118" t="s">
        <v>1511</v>
      </c>
      <c r="C6366" s="119">
        <v>6644</v>
      </c>
    </row>
    <row r="6367" spans="2:3">
      <c r="B6367" s="118" t="s">
        <v>4156</v>
      </c>
      <c r="C6367" s="119">
        <v>6613</v>
      </c>
    </row>
    <row r="6368" spans="2:3">
      <c r="B6368" s="118" t="s">
        <v>1517</v>
      </c>
      <c r="C6368" s="119">
        <v>6622</v>
      </c>
    </row>
    <row r="6369" spans="2:3">
      <c r="B6369" s="118" t="s">
        <v>4157</v>
      </c>
      <c r="C6369" s="119">
        <v>6598</v>
      </c>
    </row>
    <row r="6370" spans="2:3">
      <c r="B6370" s="118" t="s">
        <v>4148</v>
      </c>
      <c r="C6370" s="119">
        <v>6646</v>
      </c>
    </row>
    <row r="6371" spans="2:3">
      <c r="B6371" s="118" t="s">
        <v>4158</v>
      </c>
      <c r="C6371" s="119">
        <v>6611</v>
      </c>
    </row>
    <row r="6372" spans="2:3">
      <c r="B6372" s="118" t="s">
        <v>4159</v>
      </c>
      <c r="C6372" s="119">
        <v>6611</v>
      </c>
    </row>
    <row r="6373" spans="2:3">
      <c r="B6373" s="118" t="s">
        <v>4160</v>
      </c>
      <c r="C6373" s="119">
        <v>6611</v>
      </c>
    </row>
    <row r="6374" spans="2:3">
      <c r="B6374" s="118" t="s">
        <v>4161</v>
      </c>
      <c r="C6374" s="119">
        <v>6655</v>
      </c>
    </row>
    <row r="6375" spans="2:3">
      <c r="B6375" s="118" t="s">
        <v>4162</v>
      </c>
      <c r="C6375" s="119">
        <v>6661</v>
      </c>
    </row>
    <row r="6376" spans="2:3">
      <c r="B6376" s="118" t="s">
        <v>4163</v>
      </c>
      <c r="C6376" s="119">
        <v>6661</v>
      </c>
    </row>
    <row r="6377" spans="2:3">
      <c r="B6377" s="118" t="s">
        <v>4164</v>
      </c>
      <c r="C6377" s="119">
        <v>6661</v>
      </c>
    </row>
    <row r="6378" spans="2:3">
      <c r="B6378" s="118" t="s">
        <v>4165</v>
      </c>
      <c r="C6378" s="119">
        <v>6662</v>
      </c>
    </row>
    <row r="6379" spans="2:3">
      <c r="B6379" s="118" t="s">
        <v>4166</v>
      </c>
      <c r="C6379" s="119">
        <v>6663</v>
      </c>
    </row>
    <row r="6380" spans="2:3">
      <c r="B6380" s="118" t="s">
        <v>4167</v>
      </c>
      <c r="C6380" s="119">
        <v>6663</v>
      </c>
    </row>
    <row r="6381" spans="2:3">
      <c r="B6381" s="118" t="s">
        <v>4168</v>
      </c>
      <c r="C6381" s="119">
        <v>6664</v>
      </c>
    </row>
    <row r="6382" spans="2:3">
      <c r="B6382" s="118" t="s">
        <v>4151</v>
      </c>
      <c r="C6382" s="119">
        <v>6516</v>
      </c>
    </row>
    <row r="6383" spans="2:3">
      <c r="B6383" s="118" t="s">
        <v>4153</v>
      </c>
      <c r="C6383" s="119">
        <v>6594</v>
      </c>
    </row>
    <row r="6384" spans="2:3">
      <c r="B6384" s="118" t="s">
        <v>4150</v>
      </c>
      <c r="C6384" s="119">
        <v>6595</v>
      </c>
    </row>
    <row r="6385" spans="2:3">
      <c r="B6385" s="118" t="s">
        <v>4169</v>
      </c>
      <c r="C6385" s="119">
        <v>6597</v>
      </c>
    </row>
    <row r="6386" spans="2:3">
      <c r="B6386" s="118" t="s">
        <v>1460</v>
      </c>
      <c r="C6386" s="119">
        <v>6934</v>
      </c>
    </row>
    <row r="6387" spans="2:3">
      <c r="B6387" s="118" t="s">
        <v>1447</v>
      </c>
      <c r="C6387" s="119">
        <v>6982</v>
      </c>
    </row>
    <row r="6388" spans="2:3">
      <c r="B6388" s="118" t="s">
        <v>4170</v>
      </c>
      <c r="C6388" s="119">
        <v>6990</v>
      </c>
    </row>
    <row r="6389" spans="2:3">
      <c r="B6389" s="118" t="s">
        <v>4171</v>
      </c>
      <c r="C6389" s="119">
        <v>6992</v>
      </c>
    </row>
    <row r="6390" spans="2:3">
      <c r="B6390" s="118" t="s">
        <v>1527</v>
      </c>
      <c r="C6390" s="119">
        <v>6994</v>
      </c>
    </row>
    <row r="6391" spans="2:3">
      <c r="B6391" s="118" t="s">
        <v>1500</v>
      </c>
      <c r="C6391" s="119">
        <v>6822</v>
      </c>
    </row>
    <row r="6392" spans="2:3">
      <c r="B6392" s="118" t="s">
        <v>4172</v>
      </c>
      <c r="C6392" s="119">
        <v>6823</v>
      </c>
    </row>
    <row r="6393" spans="2:3">
      <c r="B6393" s="118" t="s">
        <v>1531</v>
      </c>
      <c r="C6393" s="119">
        <v>6999</v>
      </c>
    </row>
    <row r="6394" spans="2:3">
      <c r="B6394" s="118" t="s">
        <v>1482</v>
      </c>
      <c r="C6394" s="119">
        <v>6930</v>
      </c>
    </row>
    <row r="6395" spans="2:3">
      <c r="B6395" s="118" t="s">
        <v>1516</v>
      </c>
      <c r="C6395" s="119">
        <v>6981</v>
      </c>
    </row>
    <row r="6396" spans="2:3">
      <c r="B6396" s="118" t="s">
        <v>1516</v>
      </c>
      <c r="C6396" s="119">
        <v>6981</v>
      </c>
    </row>
    <row r="6397" spans="2:3">
      <c r="B6397" s="118" t="s">
        <v>4173</v>
      </c>
      <c r="C6397" s="119">
        <v>6981</v>
      </c>
    </row>
    <row r="6398" spans="2:3">
      <c r="B6398" s="118" t="s">
        <v>4174</v>
      </c>
      <c r="C6398" s="119">
        <v>6981</v>
      </c>
    </row>
    <row r="6399" spans="2:3">
      <c r="B6399" s="118" t="s">
        <v>1519</v>
      </c>
      <c r="C6399" s="119">
        <v>6986</v>
      </c>
    </row>
    <row r="6400" spans="2:3">
      <c r="B6400" s="118" t="s">
        <v>1460</v>
      </c>
      <c r="C6400" s="119">
        <v>6934</v>
      </c>
    </row>
    <row r="6401" spans="2:3">
      <c r="B6401" s="118" t="s">
        <v>4175</v>
      </c>
      <c r="C6401" s="119">
        <v>6935</v>
      </c>
    </row>
    <row r="6402" spans="2:3">
      <c r="B6402" s="118" t="s">
        <v>1447</v>
      </c>
      <c r="C6402" s="119">
        <v>6982</v>
      </c>
    </row>
    <row r="6403" spans="2:3">
      <c r="B6403" s="118" t="s">
        <v>4171</v>
      </c>
      <c r="C6403" s="119">
        <v>6992</v>
      </c>
    </row>
    <row r="6404" spans="2:3">
      <c r="B6404" s="118" t="s">
        <v>4176</v>
      </c>
      <c r="C6404" s="119">
        <v>6993</v>
      </c>
    </row>
    <row r="6405" spans="2:3">
      <c r="B6405" s="118" t="s">
        <v>1501</v>
      </c>
      <c r="C6405" s="119">
        <v>6816</v>
      </c>
    </row>
    <row r="6406" spans="2:3">
      <c r="B6406" s="118" t="s">
        <v>1523</v>
      </c>
      <c r="C6406" s="119">
        <v>6827</v>
      </c>
    </row>
    <row r="6407" spans="2:3">
      <c r="B6407" s="118" t="s">
        <v>4177</v>
      </c>
      <c r="C6407" s="119">
        <v>6867</v>
      </c>
    </row>
    <row r="6408" spans="2:3">
      <c r="B6408" s="118" t="s">
        <v>1460</v>
      </c>
      <c r="C6408" s="119">
        <v>6934</v>
      </c>
    </row>
    <row r="6409" spans="2:3">
      <c r="B6409" s="118" t="s">
        <v>1508</v>
      </c>
      <c r="C6409" s="119">
        <v>6936</v>
      </c>
    </row>
    <row r="6410" spans="2:3">
      <c r="B6410" s="118" t="s">
        <v>4171</v>
      </c>
      <c r="C6410" s="119">
        <v>6992</v>
      </c>
    </row>
    <row r="6411" spans="2:3">
      <c r="B6411" s="118" t="s">
        <v>1477</v>
      </c>
      <c r="C6411" s="119">
        <v>6814</v>
      </c>
    </row>
    <row r="6412" spans="2:3">
      <c r="B6412" s="118" t="s">
        <v>1484</v>
      </c>
      <c r="C6412" s="119">
        <v>6814</v>
      </c>
    </row>
    <row r="6413" spans="2:3">
      <c r="B6413" s="118" t="s">
        <v>1468</v>
      </c>
      <c r="C6413" s="119">
        <v>6952</v>
      </c>
    </row>
    <row r="6414" spans="2:3">
      <c r="B6414" s="118" t="s">
        <v>1448</v>
      </c>
      <c r="C6414" s="119">
        <v>6987</v>
      </c>
    </row>
    <row r="6415" spans="2:3">
      <c r="B6415" s="118" t="s">
        <v>1490</v>
      </c>
      <c r="C6415" s="119">
        <v>6944</v>
      </c>
    </row>
    <row r="6416" spans="2:3">
      <c r="B6416" s="118" t="s">
        <v>1471</v>
      </c>
      <c r="C6416" s="119">
        <v>6949</v>
      </c>
    </row>
    <row r="6417" spans="2:3">
      <c r="B6417" s="118" t="s">
        <v>1490</v>
      </c>
      <c r="C6417" s="119">
        <v>6944</v>
      </c>
    </row>
    <row r="6418" spans="2:3">
      <c r="B6418" s="118" t="s">
        <v>4178</v>
      </c>
      <c r="C6418" s="119">
        <v>6981</v>
      </c>
    </row>
    <row r="6419" spans="2:3">
      <c r="B6419" s="118" t="s">
        <v>1519</v>
      </c>
      <c r="C6419" s="119">
        <v>6986</v>
      </c>
    </row>
    <row r="6420" spans="2:3">
      <c r="B6420" s="118" t="s">
        <v>1521</v>
      </c>
      <c r="C6420" s="119">
        <v>6916</v>
      </c>
    </row>
    <row r="6421" spans="2:3">
      <c r="B6421" s="118" t="s">
        <v>1495</v>
      </c>
      <c r="C6421" s="119">
        <v>6929</v>
      </c>
    </row>
    <row r="6422" spans="2:3">
      <c r="B6422" s="118" t="s">
        <v>4179</v>
      </c>
      <c r="C6422" s="119">
        <v>6807</v>
      </c>
    </row>
    <row r="6423" spans="2:3">
      <c r="B6423" s="118" t="s">
        <v>1477</v>
      </c>
      <c r="C6423" s="119">
        <v>6814</v>
      </c>
    </row>
    <row r="6424" spans="2:3">
      <c r="B6424" s="118" t="s">
        <v>1484</v>
      </c>
      <c r="C6424" s="119">
        <v>6814</v>
      </c>
    </row>
    <row r="6425" spans="2:3">
      <c r="B6425" s="118" t="s">
        <v>1482</v>
      </c>
      <c r="C6425" s="119">
        <v>6930</v>
      </c>
    </row>
    <row r="6426" spans="2:3">
      <c r="B6426" s="118" t="s">
        <v>1490</v>
      </c>
      <c r="C6426" s="119">
        <v>6944</v>
      </c>
    </row>
    <row r="6427" spans="2:3">
      <c r="B6427" s="118" t="s">
        <v>1486</v>
      </c>
      <c r="C6427" s="119">
        <v>6945</v>
      </c>
    </row>
    <row r="6428" spans="2:3">
      <c r="B6428" s="118" t="s">
        <v>4172</v>
      </c>
      <c r="C6428" s="119">
        <v>6823</v>
      </c>
    </row>
    <row r="6429" spans="2:3">
      <c r="B6429" s="118" t="s">
        <v>1429</v>
      </c>
      <c r="C6429" s="119">
        <v>6900</v>
      </c>
    </row>
    <row r="6430" spans="2:3">
      <c r="B6430" s="118" t="s">
        <v>1450</v>
      </c>
      <c r="C6430" s="119">
        <v>6900</v>
      </c>
    </row>
    <row r="6431" spans="2:3">
      <c r="B6431" s="118" t="s">
        <v>1637</v>
      </c>
      <c r="C6431" s="119">
        <v>6912</v>
      </c>
    </row>
    <row r="6432" spans="2:3">
      <c r="B6432" s="118" t="s">
        <v>1644</v>
      </c>
      <c r="C6432" s="119">
        <v>6913</v>
      </c>
    </row>
    <row r="6433" spans="2:3">
      <c r="B6433" s="118" t="s">
        <v>1661</v>
      </c>
      <c r="C6433" s="119">
        <v>6914</v>
      </c>
    </row>
    <row r="6434" spans="2:3">
      <c r="B6434" s="118" t="s">
        <v>1634</v>
      </c>
      <c r="C6434" s="119">
        <v>6915</v>
      </c>
    </row>
    <row r="6435" spans="2:3">
      <c r="B6435" s="118" t="s">
        <v>1648</v>
      </c>
      <c r="C6435" s="119">
        <v>6917</v>
      </c>
    </row>
    <row r="6436" spans="2:3">
      <c r="B6436" s="118" t="s">
        <v>1646</v>
      </c>
      <c r="C6436" s="119">
        <v>6918</v>
      </c>
    </row>
    <row r="6437" spans="2:3">
      <c r="B6437" s="118" t="s">
        <v>1478</v>
      </c>
      <c r="C6437" s="119">
        <v>6924</v>
      </c>
    </row>
    <row r="6438" spans="2:3">
      <c r="B6438" s="118" t="s">
        <v>1641</v>
      </c>
      <c r="C6438" s="119">
        <v>6932</v>
      </c>
    </row>
    <row r="6439" spans="2:3">
      <c r="B6439" s="118" t="s">
        <v>1472</v>
      </c>
      <c r="C6439" s="119">
        <v>6943</v>
      </c>
    </row>
    <row r="6440" spans="2:3">
      <c r="B6440" s="118" t="s">
        <v>1640</v>
      </c>
      <c r="C6440" s="119">
        <v>6951</v>
      </c>
    </row>
    <row r="6441" spans="2:3">
      <c r="B6441" s="118" t="s">
        <v>1655</v>
      </c>
      <c r="C6441" s="119">
        <v>6951</v>
      </c>
    </row>
    <row r="6442" spans="2:3">
      <c r="B6442" s="118" t="s">
        <v>1653</v>
      </c>
      <c r="C6442" s="119">
        <v>6951</v>
      </c>
    </row>
    <row r="6443" spans="2:3">
      <c r="B6443" s="118" t="s">
        <v>1649</v>
      </c>
      <c r="C6443" s="119">
        <v>6951</v>
      </c>
    </row>
    <row r="6444" spans="2:3">
      <c r="B6444" s="118" t="s">
        <v>1642</v>
      </c>
      <c r="C6444" s="119">
        <v>6951</v>
      </c>
    </row>
    <row r="6445" spans="2:3">
      <c r="B6445" s="118" t="s">
        <v>1657</v>
      </c>
      <c r="C6445" s="119">
        <v>6951</v>
      </c>
    </row>
    <row r="6446" spans="2:3">
      <c r="B6446" s="118" t="s">
        <v>1658</v>
      </c>
      <c r="C6446" s="119">
        <v>6959</v>
      </c>
    </row>
    <row r="6447" spans="2:3">
      <c r="B6447" s="118" t="s">
        <v>1651</v>
      </c>
      <c r="C6447" s="119">
        <v>6959</v>
      </c>
    </row>
    <row r="6448" spans="2:3">
      <c r="B6448" s="118" t="s">
        <v>1647</v>
      </c>
      <c r="C6448" s="119">
        <v>6959</v>
      </c>
    </row>
    <row r="6449" spans="2:3">
      <c r="B6449" s="118" t="s">
        <v>1659</v>
      </c>
      <c r="C6449" s="119">
        <v>6959</v>
      </c>
    </row>
    <row r="6450" spans="2:3">
      <c r="B6450" s="118" t="s">
        <v>1633</v>
      </c>
      <c r="C6450" s="119">
        <v>6959</v>
      </c>
    </row>
    <row r="6451" spans="2:3">
      <c r="B6451" s="118" t="s">
        <v>1633</v>
      </c>
      <c r="C6451" s="119">
        <v>6959</v>
      </c>
    </row>
    <row r="6452" spans="2:3">
      <c r="B6452" s="118" t="s">
        <v>1650</v>
      </c>
      <c r="C6452" s="119">
        <v>6962</v>
      </c>
    </row>
    <row r="6453" spans="2:3">
      <c r="B6453" s="118" t="s">
        <v>1656</v>
      </c>
      <c r="C6453" s="119">
        <v>6963</v>
      </c>
    </row>
    <row r="6454" spans="2:3">
      <c r="B6454" s="118" t="s">
        <v>1636</v>
      </c>
      <c r="C6454" s="119">
        <v>6963</v>
      </c>
    </row>
    <row r="6455" spans="2:3">
      <c r="B6455" s="118" t="s">
        <v>1654</v>
      </c>
      <c r="C6455" s="119">
        <v>6964</v>
      </c>
    </row>
    <row r="6456" spans="2:3">
      <c r="B6456" s="118" t="s">
        <v>1660</v>
      </c>
      <c r="C6456" s="119">
        <v>6965</v>
      </c>
    </row>
    <row r="6457" spans="2:3">
      <c r="B6457" s="118" t="s">
        <v>1645</v>
      </c>
      <c r="C6457" s="119">
        <v>6966</v>
      </c>
    </row>
    <row r="6458" spans="2:3">
      <c r="B6458" s="118" t="s">
        <v>1632</v>
      </c>
      <c r="C6458" s="119">
        <v>6967</v>
      </c>
    </row>
    <row r="6459" spans="2:3">
      <c r="B6459" s="118" t="s">
        <v>1635</v>
      </c>
      <c r="C6459" s="119">
        <v>6968</v>
      </c>
    </row>
    <row r="6460" spans="2:3">
      <c r="B6460" s="118" t="s">
        <v>1639</v>
      </c>
      <c r="C6460" s="119">
        <v>6974</v>
      </c>
    </row>
    <row r="6461" spans="2:3">
      <c r="B6461" s="118" t="s">
        <v>1638</v>
      </c>
      <c r="C6461" s="119">
        <v>6976</v>
      </c>
    </row>
    <row r="6462" spans="2:3">
      <c r="B6462" s="118" t="s">
        <v>1652</v>
      </c>
      <c r="C6462" s="119">
        <v>6977</v>
      </c>
    </row>
    <row r="6463" spans="2:3">
      <c r="B6463" s="118" t="s">
        <v>1630</v>
      </c>
      <c r="C6463" s="119">
        <v>6978</v>
      </c>
    </row>
    <row r="6464" spans="2:3">
      <c r="B6464" s="118" t="s">
        <v>1631</v>
      </c>
      <c r="C6464" s="119">
        <v>6979</v>
      </c>
    </row>
    <row r="6465" spans="2:3">
      <c r="B6465" s="118" t="s">
        <v>1480</v>
      </c>
      <c r="C6465" s="119">
        <v>6983</v>
      </c>
    </row>
    <row r="6466" spans="2:3">
      <c r="B6466" s="118" t="s">
        <v>1493</v>
      </c>
      <c r="C6466" s="119">
        <v>6928</v>
      </c>
    </row>
    <row r="6467" spans="2:3">
      <c r="B6467" s="118" t="s">
        <v>1460</v>
      </c>
      <c r="C6467" s="119">
        <v>6934</v>
      </c>
    </row>
    <row r="6468" spans="2:3">
      <c r="B6468" s="118" t="s">
        <v>1429</v>
      </c>
      <c r="C6468" s="119">
        <v>6900</v>
      </c>
    </row>
    <row r="6469" spans="2:3">
      <c r="B6469" s="118" t="s">
        <v>1437</v>
      </c>
      <c r="C6469" s="119">
        <v>6900</v>
      </c>
    </row>
    <row r="6470" spans="2:3">
      <c r="B6470" s="118" t="s">
        <v>1476</v>
      </c>
      <c r="C6470" s="119">
        <v>6815</v>
      </c>
    </row>
    <row r="6471" spans="2:3">
      <c r="B6471" s="118" t="s">
        <v>4180</v>
      </c>
      <c r="C6471" s="119">
        <v>6805</v>
      </c>
    </row>
    <row r="6472" spans="2:3">
      <c r="B6472" s="118" t="s">
        <v>4180</v>
      </c>
      <c r="C6472" s="119">
        <v>6805</v>
      </c>
    </row>
    <row r="6473" spans="2:3">
      <c r="B6473" s="118" t="s">
        <v>1530</v>
      </c>
      <c r="C6473" s="119">
        <v>6986</v>
      </c>
    </row>
    <row r="6474" spans="2:3">
      <c r="B6474" s="118" t="s">
        <v>1512</v>
      </c>
      <c r="C6474" s="119">
        <v>6922</v>
      </c>
    </row>
    <row r="6475" spans="2:3">
      <c r="B6475" s="118" t="s">
        <v>1507</v>
      </c>
      <c r="C6475" s="119">
        <v>6933</v>
      </c>
    </row>
    <row r="6476" spans="2:3">
      <c r="B6476" s="118" t="s">
        <v>1447</v>
      </c>
      <c r="C6476" s="119">
        <v>6982</v>
      </c>
    </row>
    <row r="6477" spans="2:3">
      <c r="B6477" s="118" t="s">
        <v>1480</v>
      </c>
      <c r="C6477" s="119">
        <v>6983</v>
      </c>
    </row>
    <row r="6478" spans="2:3">
      <c r="B6478" s="118" t="s">
        <v>1529</v>
      </c>
      <c r="C6478" s="119">
        <v>6991</v>
      </c>
    </row>
    <row r="6479" spans="2:3">
      <c r="B6479" s="118" t="s">
        <v>4173</v>
      </c>
      <c r="C6479" s="119">
        <v>6981</v>
      </c>
    </row>
    <row r="6480" spans="2:3">
      <c r="B6480" s="118" t="s">
        <v>1506</v>
      </c>
      <c r="C6480" s="119">
        <v>6986</v>
      </c>
    </row>
    <row r="6481" spans="2:3">
      <c r="B6481" s="118" t="s">
        <v>1486</v>
      </c>
      <c r="C6481" s="119">
        <v>6945</v>
      </c>
    </row>
    <row r="6482" spans="2:3">
      <c r="B6482" s="118" t="s">
        <v>1450</v>
      </c>
      <c r="C6482" s="119">
        <v>6900</v>
      </c>
    </row>
    <row r="6483" spans="2:3">
      <c r="B6483" s="118" t="s">
        <v>1486</v>
      </c>
      <c r="C6483" s="119">
        <v>6945</v>
      </c>
    </row>
    <row r="6484" spans="2:3">
      <c r="B6484" s="118" t="s">
        <v>1473</v>
      </c>
      <c r="C6484" s="119">
        <v>6946</v>
      </c>
    </row>
    <row r="6485" spans="2:3">
      <c r="B6485" s="118" t="s">
        <v>1473</v>
      </c>
      <c r="C6485" s="119">
        <v>6946</v>
      </c>
    </row>
    <row r="6486" spans="2:3">
      <c r="B6486" s="118" t="s">
        <v>1466</v>
      </c>
      <c r="C6486" s="119">
        <v>6942</v>
      </c>
    </row>
    <row r="6487" spans="2:3">
      <c r="B6487" s="118" t="s">
        <v>1481</v>
      </c>
      <c r="C6487" s="119">
        <v>6948</v>
      </c>
    </row>
    <row r="6488" spans="2:3">
      <c r="B6488" s="118" t="s">
        <v>1491</v>
      </c>
      <c r="C6488" s="119">
        <v>6984</v>
      </c>
    </row>
    <row r="6489" spans="2:3">
      <c r="B6489" s="118" t="s">
        <v>1466</v>
      </c>
      <c r="C6489" s="119">
        <v>6942</v>
      </c>
    </row>
    <row r="6490" spans="2:3">
      <c r="B6490" s="118" t="s">
        <v>1481</v>
      </c>
      <c r="C6490" s="119">
        <v>6948</v>
      </c>
    </row>
    <row r="6491" spans="2:3">
      <c r="B6491" s="118" t="s">
        <v>1478</v>
      </c>
      <c r="C6491" s="119">
        <v>6924</v>
      </c>
    </row>
    <row r="6492" spans="2:3">
      <c r="B6492" s="118" t="s">
        <v>4179</v>
      </c>
      <c r="C6492" s="119">
        <v>6807</v>
      </c>
    </row>
    <row r="6493" spans="2:3">
      <c r="B6493" s="118" t="s">
        <v>4181</v>
      </c>
      <c r="C6493" s="119">
        <v>6947</v>
      </c>
    </row>
    <row r="6494" spans="2:3">
      <c r="B6494" s="118" t="s">
        <v>4182</v>
      </c>
      <c r="C6494" s="119">
        <v>6950</v>
      </c>
    </row>
    <row r="6495" spans="2:3">
      <c r="B6495" s="118" t="s">
        <v>4183</v>
      </c>
      <c r="C6495" s="119">
        <v>6953</v>
      </c>
    </row>
    <row r="6496" spans="2:3">
      <c r="B6496" s="118" t="s">
        <v>4184</v>
      </c>
      <c r="C6496" s="119">
        <v>6954</v>
      </c>
    </row>
    <row r="6497" spans="2:3">
      <c r="B6497" s="118" t="s">
        <v>4185</v>
      </c>
      <c r="C6497" s="119">
        <v>6954</v>
      </c>
    </row>
    <row r="6498" spans="2:3">
      <c r="B6498" s="118" t="s">
        <v>4186</v>
      </c>
      <c r="C6498" s="119">
        <v>6955</v>
      </c>
    </row>
    <row r="6499" spans="2:3">
      <c r="B6499" s="118" t="s">
        <v>4187</v>
      </c>
      <c r="C6499" s="119">
        <v>6955</v>
      </c>
    </row>
    <row r="6500" spans="2:3">
      <c r="B6500" s="118" t="s">
        <v>4188</v>
      </c>
      <c r="C6500" s="119">
        <v>6956</v>
      </c>
    </row>
    <row r="6501" spans="2:3">
      <c r="B6501" s="118" t="s">
        <v>4189</v>
      </c>
      <c r="C6501" s="119">
        <v>6957</v>
      </c>
    </row>
    <row r="6502" spans="2:3">
      <c r="B6502" s="118" t="s">
        <v>4190</v>
      </c>
      <c r="C6502" s="119">
        <v>6958</v>
      </c>
    </row>
    <row r="6503" spans="2:3">
      <c r="B6503" s="118" t="s">
        <v>4191</v>
      </c>
      <c r="C6503" s="119">
        <v>6958</v>
      </c>
    </row>
    <row r="6504" spans="2:3">
      <c r="B6504" s="118" t="s">
        <v>4191</v>
      </c>
      <c r="C6504" s="119">
        <v>6958</v>
      </c>
    </row>
    <row r="6505" spans="2:3">
      <c r="B6505" s="118" t="s">
        <v>1647</v>
      </c>
      <c r="C6505" s="119">
        <v>6959</v>
      </c>
    </row>
    <row r="6506" spans="2:3">
      <c r="B6506" s="118" t="s">
        <v>4192</v>
      </c>
      <c r="C6506" s="119">
        <v>6960</v>
      </c>
    </row>
    <row r="6507" spans="2:3">
      <c r="B6507" s="118" t="s">
        <v>4179</v>
      </c>
      <c r="C6507" s="119">
        <v>6807</v>
      </c>
    </row>
    <row r="6508" spans="2:3">
      <c r="B6508" s="118" t="s">
        <v>4193</v>
      </c>
      <c r="C6508" s="119">
        <v>6808</v>
      </c>
    </row>
    <row r="6509" spans="2:3">
      <c r="B6509" s="118" t="s">
        <v>1518</v>
      </c>
      <c r="C6509" s="119">
        <v>6992</v>
      </c>
    </row>
    <row r="6510" spans="2:3">
      <c r="B6510" s="118" t="s">
        <v>1472</v>
      </c>
      <c r="C6510" s="119">
        <v>6943</v>
      </c>
    </row>
    <row r="6511" spans="2:3">
      <c r="B6511" s="118" t="s">
        <v>1525</v>
      </c>
      <c r="C6511" s="119">
        <v>6921</v>
      </c>
    </row>
    <row r="6512" spans="2:3">
      <c r="B6512" s="118" t="s">
        <v>1521</v>
      </c>
      <c r="C6512" s="119">
        <v>6916</v>
      </c>
    </row>
    <row r="6513" spans="2:3">
      <c r="B6513" s="118" t="s">
        <v>4194</v>
      </c>
      <c r="C6513" s="119">
        <v>6919</v>
      </c>
    </row>
    <row r="6514" spans="2:3">
      <c r="B6514" s="118" t="s">
        <v>4195</v>
      </c>
      <c r="C6514" s="119">
        <v>6925</v>
      </c>
    </row>
    <row r="6515" spans="2:3">
      <c r="B6515" s="118" t="s">
        <v>4196</v>
      </c>
      <c r="C6515" s="119">
        <v>6926</v>
      </c>
    </row>
    <row r="6516" spans="2:3">
      <c r="B6516" s="118" t="s">
        <v>4197</v>
      </c>
      <c r="C6516" s="119">
        <v>6927</v>
      </c>
    </row>
    <row r="6517" spans="2:3">
      <c r="B6517" s="118" t="s">
        <v>4198</v>
      </c>
      <c r="C6517" s="119">
        <v>6937</v>
      </c>
    </row>
    <row r="6518" spans="2:3">
      <c r="B6518" s="118" t="s">
        <v>4199</v>
      </c>
      <c r="C6518" s="119">
        <v>6938</v>
      </c>
    </row>
    <row r="6519" spans="2:3">
      <c r="B6519" s="118" t="s">
        <v>4200</v>
      </c>
      <c r="C6519" s="119">
        <v>6938</v>
      </c>
    </row>
    <row r="6520" spans="2:3">
      <c r="B6520" s="118" t="s">
        <v>4201</v>
      </c>
      <c r="C6520" s="119">
        <v>6939</v>
      </c>
    </row>
    <row r="6521" spans="2:3">
      <c r="B6521" s="118" t="s">
        <v>4202</v>
      </c>
      <c r="C6521" s="119">
        <v>6939</v>
      </c>
    </row>
    <row r="6522" spans="2:3">
      <c r="B6522" s="118" t="s">
        <v>4203</v>
      </c>
      <c r="C6522" s="119">
        <v>6802</v>
      </c>
    </row>
    <row r="6523" spans="2:3">
      <c r="B6523" s="118" t="s">
        <v>4204</v>
      </c>
      <c r="C6523" s="119">
        <v>6803</v>
      </c>
    </row>
    <row r="6524" spans="2:3">
      <c r="B6524" s="118" t="s">
        <v>4205</v>
      </c>
      <c r="C6524" s="119">
        <v>6804</v>
      </c>
    </row>
    <row r="6525" spans="2:3">
      <c r="B6525" s="118" t="s">
        <v>4206</v>
      </c>
      <c r="C6525" s="119">
        <v>6806</v>
      </c>
    </row>
    <row r="6526" spans="2:3">
      <c r="B6526" s="118" t="s">
        <v>4207</v>
      </c>
      <c r="C6526" s="119">
        <v>6809</v>
      </c>
    </row>
    <row r="6527" spans="2:3">
      <c r="B6527" s="118" t="s">
        <v>4208</v>
      </c>
      <c r="C6527" s="119">
        <v>6980</v>
      </c>
    </row>
    <row r="6528" spans="2:3">
      <c r="B6528" s="118" t="s">
        <v>1509</v>
      </c>
      <c r="C6528" s="119">
        <v>6988</v>
      </c>
    </row>
    <row r="6529" spans="2:3">
      <c r="B6529" s="118" t="s">
        <v>4209</v>
      </c>
      <c r="C6529" s="119">
        <v>6989</v>
      </c>
    </row>
    <row r="6530" spans="2:3">
      <c r="B6530" s="118" t="s">
        <v>4210</v>
      </c>
      <c r="C6530" s="119">
        <v>6995</v>
      </c>
    </row>
    <row r="6531" spans="2:3">
      <c r="B6531" s="118" t="s">
        <v>1515</v>
      </c>
      <c r="C6531" s="119">
        <v>6997</v>
      </c>
    </row>
    <row r="6532" spans="2:3">
      <c r="B6532" s="118" t="s">
        <v>1502</v>
      </c>
      <c r="C6532" s="119">
        <v>6998</v>
      </c>
    </row>
    <row r="6533" spans="2:3">
      <c r="B6533" s="118" t="s">
        <v>1514</v>
      </c>
      <c r="C6533" s="119">
        <v>6817</v>
      </c>
    </row>
    <row r="6534" spans="2:3">
      <c r="B6534" s="118" t="s">
        <v>1488</v>
      </c>
      <c r="C6534" s="119">
        <v>6818</v>
      </c>
    </row>
    <row r="6535" spans="2:3">
      <c r="B6535" s="118" t="s">
        <v>1505</v>
      </c>
      <c r="C6535" s="119">
        <v>6821</v>
      </c>
    </row>
    <row r="6536" spans="2:3">
      <c r="B6536" s="118" t="s">
        <v>4211</v>
      </c>
      <c r="C6536" s="119">
        <v>6825</v>
      </c>
    </row>
    <row r="6537" spans="2:3">
      <c r="B6537" s="118" t="s">
        <v>1452</v>
      </c>
      <c r="C6537" s="119">
        <v>6828</v>
      </c>
    </row>
    <row r="6538" spans="2:3">
      <c r="B6538" s="118" t="s">
        <v>1433</v>
      </c>
      <c r="C6538" s="119">
        <v>6830</v>
      </c>
    </row>
    <row r="6539" spans="2:3">
      <c r="B6539" s="118" t="s">
        <v>4211</v>
      </c>
      <c r="C6539" s="119">
        <v>6825</v>
      </c>
    </row>
    <row r="6540" spans="2:3">
      <c r="B6540" s="118" t="s">
        <v>1432</v>
      </c>
      <c r="C6540" s="119">
        <v>6850</v>
      </c>
    </row>
    <row r="6541" spans="2:3">
      <c r="B6541" s="118" t="s">
        <v>4212</v>
      </c>
      <c r="C6541" s="119">
        <v>6872</v>
      </c>
    </row>
    <row r="6542" spans="2:3">
      <c r="B6542" s="118" t="s">
        <v>4213</v>
      </c>
      <c r="C6542" s="119">
        <v>6873</v>
      </c>
    </row>
    <row r="6543" spans="2:3">
      <c r="B6543" s="118" t="s">
        <v>1467</v>
      </c>
      <c r="C6543" s="119">
        <v>6874</v>
      </c>
    </row>
    <row r="6544" spans="2:3">
      <c r="B6544" s="118" t="s">
        <v>4214</v>
      </c>
      <c r="C6544" s="119">
        <v>6875</v>
      </c>
    </row>
    <row r="6545" spans="2:3">
      <c r="B6545" s="118" t="s">
        <v>4215</v>
      </c>
      <c r="C6545" s="119">
        <v>6875</v>
      </c>
    </row>
    <row r="6546" spans="2:3">
      <c r="B6546" s="118" t="s">
        <v>4216</v>
      </c>
      <c r="C6546" s="119">
        <v>6875</v>
      </c>
    </row>
    <row r="6547" spans="2:3">
      <c r="B6547" s="118" t="s">
        <v>1457</v>
      </c>
      <c r="C6547" s="119">
        <v>6877</v>
      </c>
    </row>
    <row r="6548" spans="2:3">
      <c r="B6548" s="118" t="s">
        <v>1433</v>
      </c>
      <c r="C6548" s="119">
        <v>6830</v>
      </c>
    </row>
    <row r="6549" spans="2:3">
      <c r="B6549" s="118" t="s">
        <v>4217</v>
      </c>
      <c r="C6549" s="119">
        <v>6832</v>
      </c>
    </row>
    <row r="6550" spans="2:3">
      <c r="B6550" s="118" t="s">
        <v>4218</v>
      </c>
      <c r="C6550" s="119">
        <v>6832</v>
      </c>
    </row>
    <row r="6551" spans="2:3">
      <c r="B6551" s="118" t="s">
        <v>1457</v>
      </c>
      <c r="C6551" s="119">
        <v>6877</v>
      </c>
    </row>
    <row r="6552" spans="2:3">
      <c r="B6552" s="118" t="s">
        <v>4211</v>
      </c>
      <c r="C6552" s="119">
        <v>6825</v>
      </c>
    </row>
    <row r="6553" spans="2:3">
      <c r="B6553" s="118" t="s">
        <v>1432</v>
      </c>
      <c r="C6553" s="119">
        <v>6850</v>
      </c>
    </row>
    <row r="6554" spans="2:3">
      <c r="B6554" s="118" t="s">
        <v>4219</v>
      </c>
      <c r="C6554" s="119">
        <v>6852</v>
      </c>
    </row>
    <row r="6555" spans="2:3">
      <c r="B6555" s="118" t="s">
        <v>4220</v>
      </c>
      <c r="C6555" s="119">
        <v>6853</v>
      </c>
    </row>
    <row r="6556" spans="2:3">
      <c r="B6556" s="118" t="s">
        <v>1444</v>
      </c>
      <c r="C6556" s="119">
        <v>6855</v>
      </c>
    </row>
    <row r="6557" spans="2:3">
      <c r="B6557" s="118" t="s">
        <v>4221</v>
      </c>
      <c r="C6557" s="119">
        <v>6862</v>
      </c>
    </row>
    <row r="6558" spans="2:3">
      <c r="B6558" s="118" t="s">
        <v>4222</v>
      </c>
      <c r="C6558" s="119">
        <v>6863</v>
      </c>
    </row>
    <row r="6559" spans="2:3">
      <c r="B6559" s="118" t="s">
        <v>4223</v>
      </c>
      <c r="C6559" s="119">
        <v>6864</v>
      </c>
    </row>
    <row r="6560" spans="2:3">
      <c r="B6560" s="118" t="s">
        <v>4224</v>
      </c>
      <c r="C6560" s="119">
        <v>6865</v>
      </c>
    </row>
    <row r="6561" spans="2:3">
      <c r="B6561" s="118" t="s">
        <v>4225</v>
      </c>
      <c r="C6561" s="119">
        <v>6866</v>
      </c>
    </row>
    <row r="6562" spans="2:3">
      <c r="B6562" s="118" t="s">
        <v>4226</v>
      </c>
      <c r="C6562" s="119">
        <v>6872</v>
      </c>
    </row>
    <row r="6563" spans="2:3">
      <c r="B6563" s="118" t="s">
        <v>4212</v>
      </c>
      <c r="C6563" s="119">
        <v>6872</v>
      </c>
    </row>
    <row r="6564" spans="2:3">
      <c r="B6564" s="118" t="s">
        <v>1467</v>
      </c>
      <c r="C6564" s="119">
        <v>6874</v>
      </c>
    </row>
    <row r="6565" spans="2:3">
      <c r="B6565" s="118" t="s">
        <v>1445</v>
      </c>
      <c r="C6565" s="119">
        <v>6834</v>
      </c>
    </row>
    <row r="6566" spans="2:3">
      <c r="B6566" s="118" t="s">
        <v>1452</v>
      </c>
      <c r="C6566" s="119">
        <v>6828</v>
      </c>
    </row>
    <row r="6567" spans="2:3">
      <c r="B6567" s="118" t="s">
        <v>1465</v>
      </c>
      <c r="C6567" s="119">
        <v>6883</v>
      </c>
    </row>
    <row r="6568" spans="2:3">
      <c r="B6568" s="118" t="s">
        <v>1461</v>
      </c>
      <c r="C6568" s="119">
        <v>6826</v>
      </c>
    </row>
    <row r="6569" spans="2:3">
      <c r="B6569" s="118" t="s">
        <v>4220</v>
      </c>
      <c r="C6569" s="119">
        <v>6853</v>
      </c>
    </row>
    <row r="6570" spans="2:3">
      <c r="B6570" s="118" t="s">
        <v>4227</v>
      </c>
      <c r="C6570" s="119">
        <v>6854</v>
      </c>
    </row>
    <row r="6571" spans="2:3">
      <c r="B6571" s="118" t="s">
        <v>1444</v>
      </c>
      <c r="C6571" s="119">
        <v>6855</v>
      </c>
    </row>
    <row r="6572" spans="2:3">
      <c r="B6572" s="118" t="s">
        <v>1451</v>
      </c>
      <c r="C6572" s="119">
        <v>6833</v>
      </c>
    </row>
    <row r="6573" spans="2:3">
      <c r="B6573" s="118" t="s">
        <v>4228</v>
      </c>
      <c r="C6573" s="119">
        <v>6835</v>
      </c>
    </row>
    <row r="6574" spans="2:3">
      <c r="B6574" s="118" t="s">
        <v>4229</v>
      </c>
      <c r="C6574" s="119">
        <v>6837</v>
      </c>
    </row>
    <row r="6575" spans="2:3">
      <c r="B6575" s="118" t="s">
        <v>4230</v>
      </c>
      <c r="C6575" s="119">
        <v>6837</v>
      </c>
    </row>
    <row r="6576" spans="2:3">
      <c r="B6576" s="118" t="s">
        <v>4231</v>
      </c>
      <c r="C6576" s="119">
        <v>6838</v>
      </c>
    </row>
    <row r="6577" spans="2:3">
      <c r="B6577" s="118" t="s">
        <v>4232</v>
      </c>
      <c r="C6577" s="119">
        <v>6838</v>
      </c>
    </row>
    <row r="6578" spans="2:3">
      <c r="B6578" s="118" t="s">
        <v>4233</v>
      </c>
      <c r="C6578" s="119">
        <v>6839</v>
      </c>
    </row>
    <row r="6579" spans="2:3">
      <c r="B6579" s="118" t="s">
        <v>1438</v>
      </c>
      <c r="C6579" s="119">
        <v>6710</v>
      </c>
    </row>
    <row r="6580" spans="2:3">
      <c r="B6580" s="118" t="s">
        <v>1510</v>
      </c>
      <c r="C6580" s="119">
        <v>6742</v>
      </c>
    </row>
    <row r="6581" spans="2:3">
      <c r="B6581" s="118" t="s">
        <v>4234</v>
      </c>
      <c r="C6581" s="119">
        <v>6526</v>
      </c>
    </row>
    <row r="6582" spans="2:3">
      <c r="B6582" s="118" t="s">
        <v>4235</v>
      </c>
      <c r="C6582" s="119">
        <v>6527</v>
      </c>
    </row>
    <row r="6583" spans="2:3">
      <c r="B6583" s="118" t="s">
        <v>4236</v>
      </c>
      <c r="C6583" s="119">
        <v>6703</v>
      </c>
    </row>
    <row r="6584" spans="2:3">
      <c r="B6584" s="118" t="s">
        <v>4237</v>
      </c>
      <c r="C6584" s="119">
        <v>6705</v>
      </c>
    </row>
    <row r="6585" spans="2:3">
      <c r="B6585" s="118" t="s">
        <v>4238</v>
      </c>
      <c r="C6585" s="119">
        <v>6707</v>
      </c>
    </row>
    <row r="6586" spans="2:3">
      <c r="B6586" s="118" t="s">
        <v>2680</v>
      </c>
      <c r="C6586" s="119">
        <v>6685</v>
      </c>
    </row>
    <row r="6587" spans="2:3">
      <c r="B6587" s="118" t="s">
        <v>4239</v>
      </c>
      <c r="C6587" s="119">
        <v>6683</v>
      </c>
    </row>
    <row r="6588" spans="2:3">
      <c r="B6588" s="118" t="s">
        <v>1539</v>
      </c>
      <c r="C6588" s="119">
        <v>6684</v>
      </c>
    </row>
    <row r="6589" spans="2:3">
      <c r="B6589" s="118" t="s">
        <v>4240</v>
      </c>
      <c r="C6589" s="119">
        <v>6684</v>
      </c>
    </row>
    <row r="6590" spans="2:3">
      <c r="B6590" s="118" t="s">
        <v>1543</v>
      </c>
      <c r="C6590" s="119">
        <v>6682</v>
      </c>
    </row>
    <row r="6591" spans="2:3">
      <c r="B6591" s="118" t="s">
        <v>1542</v>
      </c>
      <c r="C6591" s="119">
        <v>6683</v>
      </c>
    </row>
    <row r="6592" spans="2:3">
      <c r="B6592" s="118" t="s">
        <v>1496</v>
      </c>
      <c r="C6592" s="119">
        <v>6675</v>
      </c>
    </row>
    <row r="6593" spans="2:3">
      <c r="B6593" s="118" t="s">
        <v>4241</v>
      </c>
      <c r="C6593" s="119">
        <v>6676</v>
      </c>
    </row>
    <row r="6594" spans="2:3">
      <c r="B6594" s="118" t="s">
        <v>4242</v>
      </c>
      <c r="C6594" s="119">
        <v>6690</v>
      </c>
    </row>
    <row r="6595" spans="2:3">
      <c r="B6595" s="118" t="s">
        <v>4243</v>
      </c>
      <c r="C6595" s="119">
        <v>6690</v>
      </c>
    </row>
    <row r="6596" spans="2:3">
      <c r="B6596" s="118" t="s">
        <v>1543</v>
      </c>
      <c r="C6596" s="119">
        <v>6682</v>
      </c>
    </row>
    <row r="6597" spans="2:3">
      <c r="B6597" s="118" t="s">
        <v>4244</v>
      </c>
      <c r="C6597" s="119">
        <v>6670</v>
      </c>
    </row>
    <row r="6598" spans="2:3">
      <c r="B6598" s="118" t="s">
        <v>1463</v>
      </c>
      <c r="C6598" s="119">
        <v>6673</v>
      </c>
    </row>
    <row r="6599" spans="2:3">
      <c r="B6599" s="118" t="s">
        <v>4245</v>
      </c>
      <c r="C6599" s="119">
        <v>6674</v>
      </c>
    </row>
    <row r="6600" spans="2:3">
      <c r="B6600" s="118" t="s">
        <v>4246</v>
      </c>
      <c r="C6600" s="119">
        <v>6674</v>
      </c>
    </row>
    <row r="6601" spans="2:3">
      <c r="B6601" s="118" t="s">
        <v>4247</v>
      </c>
      <c r="C6601" s="119">
        <v>6677</v>
      </c>
    </row>
    <row r="6602" spans="2:3">
      <c r="B6602" s="118" t="s">
        <v>4248</v>
      </c>
      <c r="C6602" s="119">
        <v>6677</v>
      </c>
    </row>
    <row r="6603" spans="2:3">
      <c r="B6603" s="118" t="s">
        <v>4249</v>
      </c>
      <c r="C6603" s="119">
        <v>6678</v>
      </c>
    </row>
    <row r="6604" spans="2:3">
      <c r="B6604" s="118" t="s">
        <v>4250</v>
      </c>
      <c r="C6604" s="119">
        <v>6678</v>
      </c>
    </row>
    <row r="6605" spans="2:3">
      <c r="B6605" s="118" t="s">
        <v>4251</v>
      </c>
      <c r="C6605" s="119">
        <v>6678</v>
      </c>
    </row>
    <row r="6606" spans="2:3">
      <c r="B6606" s="118" t="s">
        <v>4252</v>
      </c>
      <c r="C6606" s="119">
        <v>6692</v>
      </c>
    </row>
    <row r="6607" spans="2:3">
      <c r="B6607" s="118" t="s">
        <v>4253</v>
      </c>
      <c r="C6607" s="119">
        <v>6692</v>
      </c>
    </row>
    <row r="6608" spans="2:3">
      <c r="B6608" s="118" t="s">
        <v>4254</v>
      </c>
      <c r="C6608" s="119">
        <v>6693</v>
      </c>
    </row>
    <row r="6609" spans="2:3">
      <c r="B6609" s="118" t="s">
        <v>4255</v>
      </c>
      <c r="C6609" s="119">
        <v>6694</v>
      </c>
    </row>
    <row r="6610" spans="2:3">
      <c r="B6610" s="118" t="s">
        <v>4256</v>
      </c>
      <c r="C6610" s="119">
        <v>6695</v>
      </c>
    </row>
    <row r="6611" spans="2:3">
      <c r="B6611" s="118" t="s">
        <v>4257</v>
      </c>
      <c r="C6611" s="119">
        <v>6695</v>
      </c>
    </row>
    <row r="6612" spans="2:3">
      <c r="B6612" s="118" t="s">
        <v>4258</v>
      </c>
      <c r="C6612" s="119">
        <v>6696</v>
      </c>
    </row>
    <row r="6613" spans="2:3">
      <c r="B6613" s="118" t="s">
        <v>4244</v>
      </c>
      <c r="C6613" s="119">
        <v>6670</v>
      </c>
    </row>
    <row r="6614" spans="2:3">
      <c r="B6614" s="118" t="s">
        <v>4259</v>
      </c>
      <c r="C6614" s="119">
        <v>6672</v>
      </c>
    </row>
    <row r="6615" spans="2:3">
      <c r="B6615" s="118" t="s">
        <v>4207</v>
      </c>
      <c r="C6615" s="119">
        <v>6809</v>
      </c>
    </row>
    <row r="6616" spans="2:3">
      <c r="B6616" s="118" t="s">
        <v>4155</v>
      </c>
      <c r="C6616" s="119">
        <v>6652</v>
      </c>
    </row>
    <row r="6617" spans="2:3">
      <c r="B6617" s="118" t="s">
        <v>4260</v>
      </c>
      <c r="C6617" s="119">
        <v>6653</v>
      </c>
    </row>
    <row r="6618" spans="2:3">
      <c r="B6618" s="118" t="s">
        <v>4261</v>
      </c>
      <c r="C6618" s="119">
        <v>6654</v>
      </c>
    </row>
    <row r="6619" spans="2:3">
      <c r="B6619" s="118" t="s">
        <v>4161</v>
      </c>
      <c r="C6619" s="119">
        <v>6655</v>
      </c>
    </row>
    <row r="6620" spans="2:3">
      <c r="B6620" s="118" t="s">
        <v>4262</v>
      </c>
      <c r="C6620" s="119">
        <v>6655</v>
      </c>
    </row>
    <row r="6621" spans="2:3">
      <c r="B6621" s="118" t="s">
        <v>4263</v>
      </c>
      <c r="C6621" s="119">
        <v>6655</v>
      </c>
    </row>
    <row r="6622" spans="2:3">
      <c r="B6622" s="118" t="s">
        <v>4264</v>
      </c>
      <c r="C6622" s="119">
        <v>6656</v>
      </c>
    </row>
    <row r="6623" spans="2:3">
      <c r="B6623" s="118" t="s">
        <v>4265</v>
      </c>
      <c r="C6623" s="119">
        <v>6657</v>
      </c>
    </row>
    <row r="6624" spans="2:3">
      <c r="B6624" s="118" t="s">
        <v>4266</v>
      </c>
      <c r="C6624" s="119">
        <v>6658</v>
      </c>
    </row>
    <row r="6625" spans="2:3">
      <c r="B6625" s="118" t="s">
        <v>4267</v>
      </c>
      <c r="C6625" s="119">
        <v>6659</v>
      </c>
    </row>
    <row r="6626" spans="2:3">
      <c r="B6626" s="118" t="s">
        <v>4268</v>
      </c>
      <c r="C6626" s="119">
        <v>6659</v>
      </c>
    </row>
    <row r="6627" spans="2:3">
      <c r="B6627" s="118" t="s">
        <v>4269</v>
      </c>
      <c r="C6627" s="119">
        <v>6571</v>
      </c>
    </row>
    <row r="6628" spans="2:3">
      <c r="B6628" s="118" t="s">
        <v>4152</v>
      </c>
      <c r="C6628" s="119">
        <v>6572</v>
      </c>
    </row>
    <row r="6629" spans="2:3">
      <c r="B6629" s="118" t="s">
        <v>4270</v>
      </c>
      <c r="C6629" s="119">
        <v>6573</v>
      </c>
    </row>
    <row r="6630" spans="2:3">
      <c r="B6630" s="118" t="s">
        <v>4271</v>
      </c>
      <c r="C6630" s="119">
        <v>6574</v>
      </c>
    </row>
    <row r="6631" spans="2:3">
      <c r="B6631" s="118" t="s">
        <v>4272</v>
      </c>
      <c r="C6631" s="119">
        <v>6575</v>
      </c>
    </row>
    <row r="6632" spans="2:3">
      <c r="B6632" s="118" t="s">
        <v>4273</v>
      </c>
      <c r="C6632" s="119">
        <v>6575</v>
      </c>
    </row>
    <row r="6633" spans="2:3">
      <c r="B6633" s="118" t="s">
        <v>4274</v>
      </c>
      <c r="C6633" s="119">
        <v>6576</v>
      </c>
    </row>
    <row r="6634" spans="2:3">
      <c r="B6634" s="118" t="s">
        <v>4275</v>
      </c>
      <c r="C6634" s="119">
        <v>6577</v>
      </c>
    </row>
    <row r="6635" spans="2:3">
      <c r="B6635" s="118" t="s">
        <v>4276</v>
      </c>
      <c r="C6635" s="119">
        <v>6578</v>
      </c>
    </row>
    <row r="6636" spans="2:3">
      <c r="B6636" s="118" t="s">
        <v>4277</v>
      </c>
      <c r="C6636" s="119">
        <v>6579</v>
      </c>
    </row>
    <row r="6637" spans="2:3">
      <c r="B6637" s="118" t="s">
        <v>1456</v>
      </c>
      <c r="C6637" s="119">
        <v>6593</v>
      </c>
    </row>
    <row r="6638" spans="2:3">
      <c r="B6638" s="118" t="s">
        <v>4153</v>
      </c>
      <c r="C6638" s="119">
        <v>6594</v>
      </c>
    </row>
    <row r="6639" spans="2:3">
      <c r="B6639" s="118" t="s">
        <v>1544</v>
      </c>
      <c r="C6639" s="119">
        <v>6631</v>
      </c>
    </row>
    <row r="6640" spans="2:3">
      <c r="B6640" s="118" t="s">
        <v>1532</v>
      </c>
      <c r="C6640" s="119">
        <v>6632</v>
      </c>
    </row>
    <row r="6641" spans="2:3">
      <c r="B6641" s="118" t="s">
        <v>1494</v>
      </c>
      <c r="C6641" s="119">
        <v>6633</v>
      </c>
    </row>
    <row r="6642" spans="2:3">
      <c r="B6642" s="118" t="s">
        <v>1534</v>
      </c>
      <c r="C6642" s="119">
        <v>6634</v>
      </c>
    </row>
    <row r="6643" spans="2:3">
      <c r="B6643" s="118" t="s">
        <v>4278</v>
      </c>
      <c r="C6643" s="119">
        <v>6635</v>
      </c>
    </row>
    <row r="6644" spans="2:3">
      <c r="B6644" s="118" t="s">
        <v>1537</v>
      </c>
      <c r="C6644" s="119">
        <v>6636</v>
      </c>
    </row>
    <row r="6645" spans="2:3">
      <c r="B6645" s="118" t="s">
        <v>1538</v>
      </c>
      <c r="C6645" s="119">
        <v>6637</v>
      </c>
    </row>
    <row r="6646" spans="2:3">
      <c r="B6646" s="118" t="s">
        <v>197</v>
      </c>
      <c r="C6646" s="119">
        <v>1860</v>
      </c>
    </row>
    <row r="6647" spans="2:3">
      <c r="B6647" s="118" t="s">
        <v>4279</v>
      </c>
      <c r="C6647" s="119">
        <v>1863</v>
      </c>
    </row>
    <row r="6648" spans="2:3">
      <c r="B6648" s="118" t="s">
        <v>204</v>
      </c>
      <c r="C6648" s="119">
        <v>1880</v>
      </c>
    </row>
    <row r="6649" spans="2:3">
      <c r="B6649" s="118" t="s">
        <v>4280</v>
      </c>
      <c r="C6649" s="119">
        <v>1880</v>
      </c>
    </row>
    <row r="6650" spans="2:3">
      <c r="B6650" s="118" t="s">
        <v>4281</v>
      </c>
      <c r="C6650" s="119">
        <v>1880</v>
      </c>
    </row>
    <row r="6651" spans="2:3">
      <c r="B6651" s="118" t="s">
        <v>4282</v>
      </c>
      <c r="C6651" s="119">
        <v>1880</v>
      </c>
    </row>
    <row r="6652" spans="2:3">
      <c r="B6652" s="118" t="s">
        <v>4283</v>
      </c>
      <c r="C6652" s="119">
        <v>1880</v>
      </c>
    </row>
    <row r="6653" spans="2:3">
      <c r="B6653" s="118" t="s">
        <v>286</v>
      </c>
      <c r="C6653" s="119">
        <v>1882</v>
      </c>
    </row>
    <row r="6654" spans="2:3">
      <c r="B6654" s="118" t="s">
        <v>416</v>
      </c>
      <c r="C6654" s="119">
        <v>1846</v>
      </c>
    </row>
    <row r="6655" spans="2:3">
      <c r="B6655" s="118" t="s">
        <v>405</v>
      </c>
      <c r="C6655" s="119">
        <v>1856</v>
      </c>
    </row>
    <row r="6656" spans="2:3">
      <c r="B6656" s="118" t="s">
        <v>4280</v>
      </c>
      <c r="C6656" s="119">
        <v>1880</v>
      </c>
    </row>
    <row r="6657" spans="2:3">
      <c r="B6657" s="118" t="s">
        <v>4283</v>
      </c>
      <c r="C6657" s="119">
        <v>1880</v>
      </c>
    </row>
    <row r="6658" spans="2:3">
      <c r="B6658" s="118" t="s">
        <v>286</v>
      </c>
      <c r="C6658" s="119">
        <v>1882</v>
      </c>
    </row>
    <row r="6659" spans="2:3">
      <c r="B6659" s="118" t="s">
        <v>4284</v>
      </c>
      <c r="C6659" s="119">
        <v>1892</v>
      </c>
    </row>
    <row r="6660" spans="2:3">
      <c r="B6660" s="118" t="s">
        <v>4285</v>
      </c>
      <c r="C6660" s="119">
        <v>1892</v>
      </c>
    </row>
    <row r="6661" spans="2:3">
      <c r="B6661" s="118" t="s">
        <v>4286</v>
      </c>
      <c r="C6661" s="119">
        <v>1892</v>
      </c>
    </row>
    <row r="6662" spans="2:3">
      <c r="B6662" s="118" t="s">
        <v>226</v>
      </c>
      <c r="C6662" s="119">
        <v>1854</v>
      </c>
    </row>
    <row r="6663" spans="2:3">
      <c r="B6663" s="118" t="s">
        <v>310</v>
      </c>
      <c r="C6663" s="119">
        <v>1845</v>
      </c>
    </row>
    <row r="6664" spans="2:3">
      <c r="B6664" s="118" t="s">
        <v>197</v>
      </c>
      <c r="C6664" s="119">
        <v>1860</v>
      </c>
    </row>
    <row r="6665" spans="2:3">
      <c r="B6665" s="118" t="s">
        <v>4287</v>
      </c>
      <c r="C6665" s="119">
        <v>1866</v>
      </c>
    </row>
    <row r="6666" spans="2:3">
      <c r="B6666" s="118" t="s">
        <v>4288</v>
      </c>
      <c r="C6666" s="119">
        <v>1867</v>
      </c>
    </row>
    <row r="6667" spans="2:3">
      <c r="B6667" s="118" t="s">
        <v>4289</v>
      </c>
      <c r="C6667" s="119">
        <v>1867</v>
      </c>
    </row>
    <row r="6668" spans="2:3">
      <c r="B6668" s="118" t="s">
        <v>4290</v>
      </c>
      <c r="C6668" s="119">
        <v>1867</v>
      </c>
    </row>
    <row r="6669" spans="2:3">
      <c r="B6669" s="118" t="s">
        <v>4291</v>
      </c>
      <c r="C6669" s="119">
        <v>1884</v>
      </c>
    </row>
    <row r="6670" spans="2:3">
      <c r="B6670" s="118" t="s">
        <v>4292</v>
      </c>
      <c r="C6670" s="119">
        <v>1884</v>
      </c>
    </row>
    <row r="6671" spans="2:3">
      <c r="B6671" s="118" t="s">
        <v>4293</v>
      </c>
      <c r="C6671" s="119">
        <v>1884</v>
      </c>
    </row>
    <row r="6672" spans="2:3">
      <c r="B6672" s="118" t="s">
        <v>4294</v>
      </c>
      <c r="C6672" s="119">
        <v>1885</v>
      </c>
    </row>
    <row r="6673" spans="2:3">
      <c r="B6673" s="118" t="s">
        <v>4295</v>
      </c>
      <c r="C6673" s="119">
        <v>1660</v>
      </c>
    </row>
    <row r="6674" spans="2:3">
      <c r="B6674" s="118" t="s">
        <v>405</v>
      </c>
      <c r="C6674" s="119">
        <v>1856</v>
      </c>
    </row>
    <row r="6675" spans="2:3">
      <c r="B6675" s="118" t="s">
        <v>4296</v>
      </c>
      <c r="C6675" s="119">
        <v>1862</v>
      </c>
    </row>
    <row r="6676" spans="2:3">
      <c r="B6676" s="118" t="s">
        <v>4297</v>
      </c>
      <c r="C6676" s="119">
        <v>1862</v>
      </c>
    </row>
    <row r="6677" spans="2:3">
      <c r="B6677" s="118" t="s">
        <v>4279</v>
      </c>
      <c r="C6677" s="119">
        <v>1863</v>
      </c>
    </row>
    <row r="6678" spans="2:3">
      <c r="B6678" s="118" t="s">
        <v>4287</v>
      </c>
      <c r="C6678" s="119">
        <v>1866</v>
      </c>
    </row>
    <row r="6679" spans="2:3">
      <c r="B6679" s="118" t="s">
        <v>4298</v>
      </c>
      <c r="C6679" s="119">
        <v>1864</v>
      </c>
    </row>
    <row r="6680" spans="2:3">
      <c r="B6680" s="118" t="s">
        <v>4299</v>
      </c>
      <c r="C6680" s="119">
        <v>1865</v>
      </c>
    </row>
    <row r="6681" spans="2:3">
      <c r="B6681" s="118" t="s">
        <v>4287</v>
      </c>
      <c r="C6681" s="119">
        <v>1866</v>
      </c>
    </row>
    <row r="6682" spans="2:3">
      <c r="B6682" s="118" t="s">
        <v>341</v>
      </c>
      <c r="C6682" s="119">
        <v>1847</v>
      </c>
    </row>
    <row r="6683" spans="2:3">
      <c r="B6683" s="118" t="s">
        <v>4300</v>
      </c>
      <c r="C6683" s="119">
        <v>1852</v>
      </c>
    </row>
    <row r="6684" spans="2:3">
      <c r="B6684" s="118" t="s">
        <v>4301</v>
      </c>
      <c r="C6684" s="119">
        <v>1844</v>
      </c>
    </row>
    <row r="6685" spans="2:3">
      <c r="B6685" s="118" t="s">
        <v>311</v>
      </c>
      <c r="C6685" s="119">
        <v>1853</v>
      </c>
    </row>
    <row r="6686" spans="2:3">
      <c r="B6686" s="118" t="s">
        <v>238</v>
      </c>
      <c r="C6686" s="119">
        <v>1170</v>
      </c>
    </row>
    <row r="6687" spans="2:3">
      <c r="B6687" s="118" t="s">
        <v>391</v>
      </c>
      <c r="C6687" s="119">
        <v>1172</v>
      </c>
    </row>
    <row r="6688" spans="2:3">
      <c r="B6688" s="118" t="s">
        <v>379</v>
      </c>
      <c r="C6688" s="119">
        <v>1174</v>
      </c>
    </row>
    <row r="6689" spans="2:3">
      <c r="B6689" s="118" t="s">
        <v>4302</v>
      </c>
      <c r="C6689" s="119">
        <v>1174</v>
      </c>
    </row>
    <row r="6690" spans="2:3">
      <c r="B6690" s="118" t="s">
        <v>380</v>
      </c>
      <c r="C6690" s="119">
        <v>1144</v>
      </c>
    </row>
    <row r="6691" spans="2:3">
      <c r="B6691" s="118" t="s">
        <v>445</v>
      </c>
      <c r="C6691" s="119">
        <v>1149</v>
      </c>
    </row>
    <row r="6692" spans="2:3">
      <c r="B6692" s="118" t="s">
        <v>275</v>
      </c>
      <c r="C6692" s="119">
        <v>1145</v>
      </c>
    </row>
    <row r="6693" spans="2:3">
      <c r="B6693" s="118" t="s">
        <v>445</v>
      </c>
      <c r="C6693" s="119">
        <v>1149</v>
      </c>
    </row>
    <row r="6694" spans="2:3">
      <c r="B6694" s="118" t="s">
        <v>391</v>
      </c>
      <c r="C6694" s="119">
        <v>1172</v>
      </c>
    </row>
    <row r="6695" spans="2:3">
      <c r="B6695" s="118" t="s">
        <v>278</v>
      </c>
      <c r="C6695" s="119">
        <v>1166</v>
      </c>
    </row>
    <row r="6696" spans="2:3">
      <c r="B6696" s="118" t="s">
        <v>331</v>
      </c>
      <c r="C6696" s="119">
        <v>1173</v>
      </c>
    </row>
    <row r="6697" spans="2:3">
      <c r="B6697" s="118" t="s">
        <v>263</v>
      </c>
      <c r="C6697" s="119">
        <v>1188</v>
      </c>
    </row>
    <row r="6698" spans="2:3">
      <c r="B6698" s="118" t="s">
        <v>396</v>
      </c>
      <c r="C6698" s="119">
        <v>1261</v>
      </c>
    </row>
    <row r="6699" spans="2:3">
      <c r="B6699" s="118" t="s">
        <v>402</v>
      </c>
      <c r="C6699" s="119">
        <v>1261</v>
      </c>
    </row>
    <row r="6700" spans="2:3">
      <c r="B6700" s="118" t="s">
        <v>4303</v>
      </c>
      <c r="C6700" s="119">
        <v>1146</v>
      </c>
    </row>
    <row r="6701" spans="2:3">
      <c r="B6701" s="118" t="s">
        <v>4304</v>
      </c>
      <c r="C6701" s="119">
        <v>1188</v>
      </c>
    </row>
    <row r="6702" spans="2:3">
      <c r="B6702" s="118" t="s">
        <v>275</v>
      </c>
      <c r="C6702" s="119">
        <v>1145</v>
      </c>
    </row>
    <row r="6703" spans="2:3">
      <c r="B6703" s="118" t="s">
        <v>4305</v>
      </c>
      <c r="C6703" s="119">
        <v>1176</v>
      </c>
    </row>
    <row r="6704" spans="2:3">
      <c r="B6704" s="118" t="s">
        <v>4306</v>
      </c>
      <c r="C6704" s="119">
        <v>1187</v>
      </c>
    </row>
    <row r="6705" spans="2:3">
      <c r="B6705" s="118" t="s">
        <v>407</v>
      </c>
      <c r="C6705" s="119">
        <v>1189</v>
      </c>
    </row>
    <row r="6706" spans="2:3">
      <c r="B6706" s="118" t="s">
        <v>3271</v>
      </c>
      <c r="C6706" s="119">
        <v>1564</v>
      </c>
    </row>
    <row r="6707" spans="2:3">
      <c r="B6707" s="118" t="s">
        <v>223</v>
      </c>
      <c r="C6707" s="119">
        <v>1580</v>
      </c>
    </row>
    <row r="6708" spans="2:3">
      <c r="B6708" s="118" t="s">
        <v>3272</v>
      </c>
      <c r="C6708" s="119">
        <v>1580</v>
      </c>
    </row>
    <row r="6709" spans="2:3">
      <c r="B6709" s="118" t="s">
        <v>4307</v>
      </c>
      <c r="C6709" s="119">
        <v>1580</v>
      </c>
    </row>
    <row r="6710" spans="2:3">
      <c r="B6710" s="118" t="s">
        <v>3401</v>
      </c>
      <c r="C6710" s="119">
        <v>1721</v>
      </c>
    </row>
    <row r="6711" spans="2:3">
      <c r="B6711" s="118" t="s">
        <v>274</v>
      </c>
      <c r="C6711" s="119">
        <v>1588</v>
      </c>
    </row>
    <row r="6712" spans="2:3">
      <c r="B6712" s="118" t="s">
        <v>332</v>
      </c>
      <c r="C6712" s="119">
        <v>1595</v>
      </c>
    </row>
    <row r="6713" spans="2:3">
      <c r="B6713" s="118" t="s">
        <v>4308</v>
      </c>
      <c r="C6713" s="119">
        <v>1584</v>
      </c>
    </row>
    <row r="6714" spans="2:3">
      <c r="B6714" s="118" t="s">
        <v>4309</v>
      </c>
      <c r="C6714" s="119">
        <v>1585</v>
      </c>
    </row>
    <row r="6715" spans="2:3">
      <c r="B6715" s="118" t="s">
        <v>4310</v>
      </c>
      <c r="C6715" s="119">
        <v>1585</v>
      </c>
    </row>
    <row r="6716" spans="2:3">
      <c r="B6716" s="118" t="s">
        <v>4311</v>
      </c>
      <c r="C6716" s="119">
        <v>1585</v>
      </c>
    </row>
    <row r="6717" spans="2:3">
      <c r="B6717" s="118" t="s">
        <v>4312</v>
      </c>
      <c r="C6717" s="119">
        <v>1586</v>
      </c>
    </row>
    <row r="6718" spans="2:3">
      <c r="B6718" s="118" t="s">
        <v>4313</v>
      </c>
      <c r="C6718" s="119">
        <v>1587</v>
      </c>
    </row>
    <row r="6719" spans="2:3">
      <c r="B6719" s="118" t="s">
        <v>4314</v>
      </c>
      <c r="C6719" s="119">
        <v>1587</v>
      </c>
    </row>
    <row r="6720" spans="2:3">
      <c r="B6720" s="118" t="s">
        <v>4315</v>
      </c>
      <c r="C6720" s="119">
        <v>1589</v>
      </c>
    </row>
    <row r="6721" spans="2:3">
      <c r="B6721" s="118" t="s">
        <v>4316</v>
      </c>
      <c r="C6721" s="119">
        <v>1787</v>
      </c>
    </row>
    <row r="6722" spans="2:3">
      <c r="B6722" s="118" t="s">
        <v>371</v>
      </c>
      <c r="C6722" s="119">
        <v>1042</v>
      </c>
    </row>
    <row r="6723" spans="2:3">
      <c r="B6723" s="118" t="s">
        <v>319</v>
      </c>
      <c r="C6723" s="119">
        <v>1306</v>
      </c>
    </row>
    <row r="6724" spans="2:3">
      <c r="B6724" s="118" t="s">
        <v>412</v>
      </c>
      <c r="C6724" s="119">
        <v>1035</v>
      </c>
    </row>
    <row r="6725" spans="2:3">
      <c r="B6725" s="118" t="s">
        <v>322</v>
      </c>
      <c r="C6725" s="119">
        <v>1034</v>
      </c>
    </row>
    <row r="6726" spans="2:3">
      <c r="B6726" s="118" t="s">
        <v>482</v>
      </c>
      <c r="C6726" s="119">
        <v>1148</v>
      </c>
    </row>
    <row r="6727" spans="2:3">
      <c r="B6727" s="118" t="s">
        <v>408</v>
      </c>
      <c r="C6727" s="119">
        <v>1308</v>
      </c>
    </row>
    <row r="6728" spans="2:3">
      <c r="B6728" s="118" t="s">
        <v>448</v>
      </c>
      <c r="C6728" s="119">
        <v>1316</v>
      </c>
    </row>
    <row r="6729" spans="2:3">
      <c r="B6729" s="118" t="s">
        <v>482</v>
      </c>
      <c r="C6729" s="119">
        <v>1148</v>
      </c>
    </row>
    <row r="6730" spans="2:3">
      <c r="B6730" s="118" t="s">
        <v>448</v>
      </c>
      <c r="C6730" s="119">
        <v>1316</v>
      </c>
    </row>
    <row r="6731" spans="2:3">
      <c r="B6731" s="118" t="s">
        <v>4317</v>
      </c>
      <c r="C6731" s="119">
        <v>1304</v>
      </c>
    </row>
    <row r="6732" spans="2:3">
      <c r="B6732" s="118" t="s">
        <v>4318</v>
      </c>
      <c r="C6732" s="119">
        <v>1304</v>
      </c>
    </row>
    <row r="6733" spans="2:3">
      <c r="B6733" s="118" t="s">
        <v>392</v>
      </c>
      <c r="C6733" s="119">
        <v>1148</v>
      </c>
    </row>
    <row r="6734" spans="2:3">
      <c r="B6734" s="118" t="s">
        <v>319</v>
      </c>
      <c r="C6734" s="119">
        <v>1306</v>
      </c>
    </row>
    <row r="6735" spans="2:3">
      <c r="B6735" s="118" t="s">
        <v>459</v>
      </c>
      <c r="C6735" s="119">
        <v>1304</v>
      </c>
    </row>
    <row r="6736" spans="2:3">
      <c r="B6736" s="118" t="s">
        <v>304</v>
      </c>
      <c r="C6736" s="119">
        <v>1312</v>
      </c>
    </row>
    <row r="6737" spans="2:3">
      <c r="B6737" s="118" t="s">
        <v>439</v>
      </c>
      <c r="C6737" s="119">
        <v>1313</v>
      </c>
    </row>
    <row r="6738" spans="2:3">
      <c r="B6738" s="118" t="s">
        <v>329</v>
      </c>
      <c r="C6738" s="119">
        <v>1124</v>
      </c>
    </row>
    <row r="6739" spans="2:3">
      <c r="B6739" s="118" t="s">
        <v>415</v>
      </c>
      <c r="C6739" s="119">
        <v>1117</v>
      </c>
    </row>
    <row r="6740" spans="2:3">
      <c r="B6740" s="118" t="s">
        <v>318</v>
      </c>
      <c r="C6740" s="119">
        <v>1148</v>
      </c>
    </row>
    <row r="6741" spans="2:3">
      <c r="B6741" s="118" t="s">
        <v>4319</v>
      </c>
      <c r="C6741" s="119">
        <v>1148</v>
      </c>
    </row>
    <row r="6742" spans="2:3">
      <c r="B6742" s="118" t="s">
        <v>4320</v>
      </c>
      <c r="C6742" s="119">
        <v>1148</v>
      </c>
    </row>
    <row r="6743" spans="2:3">
      <c r="B6743" s="118" t="s">
        <v>399</v>
      </c>
      <c r="C6743" s="119">
        <v>1307</v>
      </c>
    </row>
    <row r="6744" spans="2:3">
      <c r="B6744" s="118" t="s">
        <v>493</v>
      </c>
      <c r="C6744" s="119">
        <v>1148</v>
      </c>
    </row>
    <row r="6745" spans="2:3">
      <c r="B6745" s="118" t="s">
        <v>4321</v>
      </c>
      <c r="C6745" s="119">
        <v>1031</v>
      </c>
    </row>
    <row r="6746" spans="2:3">
      <c r="B6746" s="118" t="s">
        <v>4322</v>
      </c>
      <c r="C6746" s="119">
        <v>1148</v>
      </c>
    </row>
    <row r="6747" spans="2:3">
      <c r="B6747" s="118" t="s">
        <v>410</v>
      </c>
      <c r="C6747" s="119">
        <v>1148</v>
      </c>
    </row>
    <row r="6748" spans="2:3">
      <c r="B6748" s="118" t="s">
        <v>387</v>
      </c>
      <c r="C6748" s="119">
        <v>1325</v>
      </c>
    </row>
    <row r="6749" spans="2:3">
      <c r="B6749" s="118" t="s">
        <v>321</v>
      </c>
      <c r="C6749" s="119">
        <v>1147</v>
      </c>
    </row>
    <row r="6750" spans="2:3">
      <c r="B6750" s="118" t="s">
        <v>433</v>
      </c>
      <c r="C6750" s="119">
        <v>1317</v>
      </c>
    </row>
    <row r="6751" spans="2:3">
      <c r="B6751" s="118" t="s">
        <v>327</v>
      </c>
      <c r="C6751" s="119">
        <v>1372</v>
      </c>
    </row>
    <row r="6752" spans="2:3">
      <c r="B6752" s="118" t="s">
        <v>237</v>
      </c>
      <c r="C6752" s="119">
        <v>1305</v>
      </c>
    </row>
    <row r="6753" spans="2:3">
      <c r="B6753" s="118" t="s">
        <v>269</v>
      </c>
      <c r="C6753" s="119">
        <v>1303</v>
      </c>
    </row>
    <row r="6754" spans="2:3">
      <c r="B6754" s="118" t="s">
        <v>338</v>
      </c>
      <c r="C6754" s="119">
        <v>1318</v>
      </c>
    </row>
    <row r="6755" spans="2:3">
      <c r="B6755" s="118" t="s">
        <v>253</v>
      </c>
      <c r="C6755" s="119">
        <v>1315</v>
      </c>
    </row>
    <row r="6756" spans="2:3">
      <c r="B6756" s="118" t="s">
        <v>382</v>
      </c>
      <c r="C6756" s="119">
        <v>1304</v>
      </c>
    </row>
    <row r="6757" spans="2:3">
      <c r="B6757" s="118" t="s">
        <v>316</v>
      </c>
      <c r="C6757" s="119">
        <v>1036</v>
      </c>
    </row>
    <row r="6758" spans="2:3">
      <c r="B6758" s="118" t="s">
        <v>4321</v>
      </c>
      <c r="C6758" s="119">
        <v>1031</v>
      </c>
    </row>
    <row r="6759" spans="2:3">
      <c r="B6759" s="118" t="s">
        <v>290</v>
      </c>
      <c r="C6759" s="119">
        <v>1302</v>
      </c>
    </row>
    <row r="6760" spans="2:3">
      <c r="B6760" s="118" t="s">
        <v>308</v>
      </c>
      <c r="C6760" s="119">
        <v>1042</v>
      </c>
    </row>
    <row r="6761" spans="2:3">
      <c r="B6761" s="118" t="s">
        <v>385</v>
      </c>
      <c r="C6761" s="119">
        <v>1042</v>
      </c>
    </row>
    <row r="6762" spans="2:3">
      <c r="B6762" s="118" t="s">
        <v>294</v>
      </c>
      <c r="C6762" s="119">
        <v>1038</v>
      </c>
    </row>
    <row r="6763" spans="2:3">
      <c r="B6763" s="118" t="s">
        <v>292</v>
      </c>
      <c r="C6763" s="119">
        <v>1041</v>
      </c>
    </row>
    <row r="6764" spans="2:3">
      <c r="B6764" s="118" t="s">
        <v>342</v>
      </c>
      <c r="C6764" s="119">
        <v>1053</v>
      </c>
    </row>
    <row r="6765" spans="2:3">
      <c r="B6765" s="118" t="s">
        <v>4323</v>
      </c>
      <c r="C6765" s="119">
        <v>1053</v>
      </c>
    </row>
    <row r="6766" spans="2:3">
      <c r="B6766" s="118" t="s">
        <v>211</v>
      </c>
      <c r="C6766" s="119">
        <v>1040</v>
      </c>
    </row>
    <row r="6767" spans="2:3">
      <c r="B6767" s="118" t="s">
        <v>323</v>
      </c>
      <c r="C6767" s="119">
        <v>1417</v>
      </c>
    </row>
    <row r="6768" spans="2:3">
      <c r="B6768" s="118" t="s">
        <v>4324</v>
      </c>
      <c r="C6768" s="119">
        <v>1417</v>
      </c>
    </row>
    <row r="6769" spans="2:3">
      <c r="B6769" s="118" t="s">
        <v>301</v>
      </c>
      <c r="C6769" s="119">
        <v>1037</v>
      </c>
    </row>
    <row r="6770" spans="2:3">
      <c r="B6770" s="118" t="s">
        <v>353</v>
      </c>
      <c r="C6770" s="119">
        <v>1044</v>
      </c>
    </row>
    <row r="6771" spans="2:3">
      <c r="B6771" s="118" t="s">
        <v>254</v>
      </c>
      <c r="C6771" s="119">
        <v>1055</v>
      </c>
    </row>
    <row r="6772" spans="2:3">
      <c r="B6772" s="118" t="s">
        <v>4325</v>
      </c>
      <c r="C6772" s="119">
        <v>1054</v>
      </c>
    </row>
    <row r="6773" spans="2:3">
      <c r="B6773" s="118" t="s">
        <v>370</v>
      </c>
      <c r="C6773" s="119">
        <v>1377</v>
      </c>
    </row>
    <row r="6774" spans="2:3">
      <c r="B6774" s="118" t="s">
        <v>377</v>
      </c>
      <c r="C6774" s="119">
        <v>1416</v>
      </c>
    </row>
    <row r="6775" spans="2:3">
      <c r="B6775" s="118" t="s">
        <v>411</v>
      </c>
      <c r="C6775" s="119">
        <v>1375</v>
      </c>
    </row>
    <row r="6776" spans="2:3">
      <c r="B6776" s="118" t="s">
        <v>339</v>
      </c>
      <c r="C6776" s="119">
        <v>1041</v>
      </c>
    </row>
    <row r="6777" spans="2:3">
      <c r="B6777" s="118" t="s">
        <v>452</v>
      </c>
      <c r="C6777" s="119">
        <v>1046</v>
      </c>
    </row>
    <row r="6778" spans="2:3">
      <c r="B6778" s="118" t="s">
        <v>4326</v>
      </c>
      <c r="C6778" s="119">
        <v>1040</v>
      </c>
    </row>
    <row r="6779" spans="2:3">
      <c r="B6779" s="118" t="s">
        <v>298</v>
      </c>
      <c r="C6779" s="119">
        <v>1040</v>
      </c>
    </row>
    <row r="6780" spans="2:3">
      <c r="B6780" s="118" t="s">
        <v>317</v>
      </c>
      <c r="C6780" s="119">
        <v>1418</v>
      </c>
    </row>
    <row r="6781" spans="2:3">
      <c r="B6781" s="118" t="s">
        <v>4327</v>
      </c>
      <c r="C6781" s="119">
        <v>1041</v>
      </c>
    </row>
    <row r="6782" spans="2:3">
      <c r="B6782" s="118" t="s">
        <v>4328</v>
      </c>
      <c r="C6782" s="119">
        <v>1041</v>
      </c>
    </row>
    <row r="6783" spans="2:3">
      <c r="B6783" s="118" t="s">
        <v>4329</v>
      </c>
      <c r="C6783" s="119">
        <v>1041</v>
      </c>
    </row>
    <row r="6784" spans="2:3">
      <c r="B6784" s="118" t="s">
        <v>4330</v>
      </c>
      <c r="C6784" s="119">
        <v>1043</v>
      </c>
    </row>
    <row r="6785" spans="2:3">
      <c r="B6785" s="118" t="s">
        <v>4331</v>
      </c>
      <c r="C6785" s="119">
        <v>1376</v>
      </c>
    </row>
    <row r="6786" spans="2:3">
      <c r="B6786" s="118" t="s">
        <v>4332</v>
      </c>
      <c r="C6786" s="119">
        <v>1376</v>
      </c>
    </row>
    <row r="6787" spans="2:3">
      <c r="B6787" s="118" t="s">
        <v>4333</v>
      </c>
      <c r="C6787" s="119">
        <v>1376</v>
      </c>
    </row>
    <row r="6788" spans="2:3">
      <c r="B6788" s="118" t="s">
        <v>4334</v>
      </c>
      <c r="C6788" s="119">
        <v>1423</v>
      </c>
    </row>
    <row r="6789" spans="2:3">
      <c r="B6789" s="118" t="s">
        <v>384</v>
      </c>
      <c r="C6789" s="119">
        <v>1427</v>
      </c>
    </row>
    <row r="6790" spans="2:3">
      <c r="B6790" s="118" t="s">
        <v>4335</v>
      </c>
      <c r="C6790" s="119">
        <v>1452</v>
      </c>
    </row>
    <row r="6791" spans="2:3">
      <c r="B6791" s="118" t="s">
        <v>359</v>
      </c>
      <c r="C6791" s="119">
        <v>1453</v>
      </c>
    </row>
    <row r="6792" spans="2:3">
      <c r="B6792" s="118" t="s">
        <v>313</v>
      </c>
      <c r="C6792" s="119">
        <v>1424</v>
      </c>
    </row>
    <row r="6793" spans="2:3">
      <c r="B6793" s="118" t="s">
        <v>324</v>
      </c>
      <c r="C6793" s="119">
        <v>1426</v>
      </c>
    </row>
    <row r="6794" spans="2:3">
      <c r="B6794" s="118" t="s">
        <v>4336</v>
      </c>
      <c r="C6794" s="119">
        <v>2028</v>
      </c>
    </row>
    <row r="6795" spans="2:3">
      <c r="B6795" s="118" t="s">
        <v>426</v>
      </c>
      <c r="C6795" s="119">
        <v>1426</v>
      </c>
    </row>
    <row r="6796" spans="2:3">
      <c r="B6796" s="118" t="s">
        <v>406</v>
      </c>
      <c r="C6796" s="119">
        <v>1420</v>
      </c>
    </row>
    <row r="6797" spans="2:3">
      <c r="B6797" s="118" t="s">
        <v>359</v>
      </c>
      <c r="C6797" s="119">
        <v>1453</v>
      </c>
    </row>
    <row r="6798" spans="2:3">
      <c r="B6798" s="118" t="s">
        <v>466</v>
      </c>
      <c r="C6798" s="119">
        <v>1421</v>
      </c>
    </row>
    <row r="6799" spans="2:3">
      <c r="B6799" s="118" t="s">
        <v>489</v>
      </c>
      <c r="C6799" s="119">
        <v>1453</v>
      </c>
    </row>
    <row r="6800" spans="2:3">
      <c r="B6800" s="118" t="s">
        <v>409</v>
      </c>
      <c r="C6800" s="119">
        <v>1429</v>
      </c>
    </row>
    <row r="6801" spans="2:3">
      <c r="B6801" s="118" t="s">
        <v>460</v>
      </c>
      <c r="C6801" s="119">
        <v>1421</v>
      </c>
    </row>
    <row r="6802" spans="2:3">
      <c r="B6802" s="118" t="s">
        <v>359</v>
      </c>
      <c r="C6802" s="119">
        <v>1453</v>
      </c>
    </row>
    <row r="6803" spans="2:3">
      <c r="B6803" s="118" t="s">
        <v>489</v>
      </c>
      <c r="C6803" s="119">
        <v>1453</v>
      </c>
    </row>
    <row r="6804" spans="2:3">
      <c r="B6804" s="118" t="s">
        <v>236</v>
      </c>
      <c r="C6804" s="119">
        <v>1422</v>
      </c>
    </row>
    <row r="6805" spans="2:3">
      <c r="B6805" s="118" t="s">
        <v>489</v>
      </c>
      <c r="C6805" s="119">
        <v>1453</v>
      </c>
    </row>
    <row r="6806" spans="2:3">
      <c r="B6806" s="118" t="s">
        <v>476</v>
      </c>
      <c r="C6806" s="119">
        <v>1428</v>
      </c>
    </row>
    <row r="6807" spans="2:3">
      <c r="B6807" s="118" t="s">
        <v>491</v>
      </c>
      <c r="C6807" s="119">
        <v>1431</v>
      </c>
    </row>
    <row r="6808" spans="2:3">
      <c r="B6808" s="118" t="s">
        <v>4337</v>
      </c>
      <c r="C6808" s="119">
        <v>1425</v>
      </c>
    </row>
    <row r="6809" spans="2:3">
      <c r="B6809" s="118" t="s">
        <v>418</v>
      </c>
      <c r="C6809" s="119">
        <v>1428</v>
      </c>
    </row>
    <row r="6810" spans="2:3">
      <c r="B6810" s="118" t="s">
        <v>4338</v>
      </c>
      <c r="C6810" s="119">
        <v>2108</v>
      </c>
    </row>
    <row r="6811" spans="2:3">
      <c r="B6811" s="118" t="s">
        <v>368</v>
      </c>
      <c r="C6811" s="119">
        <v>1445</v>
      </c>
    </row>
    <row r="6812" spans="2:3">
      <c r="B6812" s="118" t="s">
        <v>4339</v>
      </c>
      <c r="C6812" s="119">
        <v>1450</v>
      </c>
    </row>
    <row r="6813" spans="2:3">
      <c r="B6813" s="118" t="s">
        <v>4340</v>
      </c>
      <c r="C6813" s="119">
        <v>1450</v>
      </c>
    </row>
    <row r="6814" spans="2:3">
      <c r="B6814" s="118" t="s">
        <v>4341</v>
      </c>
      <c r="C6814" s="119">
        <v>1450</v>
      </c>
    </row>
    <row r="6815" spans="2:3">
      <c r="B6815" s="118" t="s">
        <v>4335</v>
      </c>
      <c r="C6815" s="119">
        <v>1452</v>
      </c>
    </row>
    <row r="6816" spans="2:3">
      <c r="B6816" s="118" t="s">
        <v>4342</v>
      </c>
      <c r="C6816" s="119">
        <v>1454</v>
      </c>
    </row>
    <row r="6817" spans="2:3">
      <c r="B6817" s="118" t="s">
        <v>4343</v>
      </c>
      <c r="C6817" s="119">
        <v>1454</v>
      </c>
    </row>
    <row r="6818" spans="2:3">
      <c r="B6818" s="118" t="s">
        <v>4344</v>
      </c>
      <c r="C6818" s="119">
        <v>1423</v>
      </c>
    </row>
    <row r="6819" spans="2:3">
      <c r="B6819" s="118" t="s">
        <v>4334</v>
      </c>
      <c r="C6819" s="119">
        <v>1423</v>
      </c>
    </row>
    <row r="6820" spans="2:3">
      <c r="B6820" s="118" t="s">
        <v>4345</v>
      </c>
      <c r="C6820" s="119">
        <v>1423</v>
      </c>
    </row>
    <row r="6821" spans="2:3">
      <c r="B6821" s="118" t="s">
        <v>4346</v>
      </c>
      <c r="C6821" s="119">
        <v>1423</v>
      </c>
    </row>
    <row r="6822" spans="2:3">
      <c r="B6822" s="118" t="s">
        <v>489</v>
      </c>
      <c r="C6822" s="119">
        <v>1453</v>
      </c>
    </row>
    <row r="6823" spans="2:3">
      <c r="B6823" s="118" t="s">
        <v>230</v>
      </c>
      <c r="C6823" s="119">
        <v>1092</v>
      </c>
    </row>
    <row r="6824" spans="2:3">
      <c r="B6824" s="118" t="s">
        <v>222</v>
      </c>
      <c r="C6824" s="119">
        <v>1033</v>
      </c>
    </row>
    <row r="6825" spans="2:3">
      <c r="B6825" s="118" t="s">
        <v>203</v>
      </c>
      <c r="C6825" s="119">
        <v>1023</v>
      </c>
    </row>
    <row r="6826" spans="2:3">
      <c r="B6826" s="118" t="s">
        <v>222</v>
      </c>
      <c r="C6826" s="119">
        <v>1033</v>
      </c>
    </row>
    <row r="6827" spans="2:3">
      <c r="B6827" s="118" t="s">
        <v>200</v>
      </c>
      <c r="C6827" s="119">
        <v>1066</v>
      </c>
    </row>
    <row r="6828" spans="2:3">
      <c r="B6828" s="118" t="s">
        <v>281</v>
      </c>
      <c r="C6828" s="119">
        <v>1008</v>
      </c>
    </row>
    <row r="6829" spans="2:3">
      <c r="B6829" s="118" t="s">
        <v>4347</v>
      </c>
      <c r="C6829" s="119">
        <v>1000</v>
      </c>
    </row>
    <row r="6830" spans="2:3">
      <c r="B6830" s="118" t="s">
        <v>4348</v>
      </c>
      <c r="C6830" s="119">
        <v>1000</v>
      </c>
    </row>
    <row r="6831" spans="2:3">
      <c r="B6831" s="118" t="s">
        <v>4349</v>
      </c>
      <c r="C6831" s="119">
        <v>1000</v>
      </c>
    </row>
    <row r="6832" spans="2:3">
      <c r="B6832" s="118" t="s">
        <v>182</v>
      </c>
      <c r="C6832" s="119">
        <v>1003</v>
      </c>
    </row>
    <row r="6833" spans="2:3">
      <c r="B6833" s="118" t="s">
        <v>182</v>
      </c>
      <c r="C6833" s="119">
        <v>1004</v>
      </c>
    </row>
    <row r="6834" spans="2:3">
      <c r="B6834" s="118" t="s">
        <v>182</v>
      </c>
      <c r="C6834" s="119">
        <v>1005</v>
      </c>
    </row>
    <row r="6835" spans="2:3">
      <c r="B6835" s="118" t="s">
        <v>182</v>
      </c>
      <c r="C6835" s="119">
        <v>1006</v>
      </c>
    </row>
    <row r="6836" spans="2:3">
      <c r="B6836" s="118" t="s">
        <v>182</v>
      </c>
      <c r="C6836" s="119">
        <v>1007</v>
      </c>
    </row>
    <row r="6837" spans="2:3">
      <c r="B6837" s="118" t="s">
        <v>182</v>
      </c>
      <c r="C6837" s="119">
        <v>1010</v>
      </c>
    </row>
    <row r="6838" spans="2:3">
      <c r="B6838" s="118" t="s">
        <v>182</v>
      </c>
      <c r="C6838" s="119">
        <v>1011</v>
      </c>
    </row>
    <row r="6839" spans="2:3">
      <c r="B6839" s="118" t="s">
        <v>182</v>
      </c>
      <c r="C6839" s="119">
        <v>1012</v>
      </c>
    </row>
    <row r="6840" spans="2:3">
      <c r="B6840" s="118" t="s">
        <v>182</v>
      </c>
      <c r="C6840" s="119">
        <v>1018</v>
      </c>
    </row>
    <row r="6841" spans="2:3">
      <c r="B6841" s="118" t="s">
        <v>203</v>
      </c>
      <c r="C6841" s="119">
        <v>1023</v>
      </c>
    </row>
    <row r="6842" spans="2:3">
      <c r="B6842" s="118" t="s">
        <v>235</v>
      </c>
      <c r="C6842" s="119">
        <v>1032</v>
      </c>
    </row>
    <row r="6843" spans="2:3">
      <c r="B6843" s="118" t="s">
        <v>222</v>
      </c>
      <c r="C6843" s="119">
        <v>1033</v>
      </c>
    </row>
    <row r="6844" spans="2:3">
      <c r="B6844" s="118" t="s">
        <v>202</v>
      </c>
      <c r="C6844" s="119">
        <v>1052</v>
      </c>
    </row>
    <row r="6845" spans="2:3">
      <c r="B6845" s="118" t="s">
        <v>4323</v>
      </c>
      <c r="C6845" s="119">
        <v>1053</v>
      </c>
    </row>
    <row r="6846" spans="2:3">
      <c r="B6846" s="118" t="s">
        <v>202</v>
      </c>
      <c r="C6846" s="119">
        <v>1052</v>
      </c>
    </row>
    <row r="6847" spans="2:3">
      <c r="B6847" s="118" t="s">
        <v>280</v>
      </c>
      <c r="C6847" s="119">
        <v>1094</v>
      </c>
    </row>
    <row r="6848" spans="2:3">
      <c r="B6848" s="118" t="s">
        <v>198</v>
      </c>
      <c r="C6848" s="119">
        <v>1095</v>
      </c>
    </row>
    <row r="6849" spans="2:3">
      <c r="B6849" s="118" t="s">
        <v>195</v>
      </c>
      <c r="C6849" s="119">
        <v>1008</v>
      </c>
    </row>
    <row r="6850" spans="2:3">
      <c r="B6850" s="118" t="s">
        <v>191</v>
      </c>
      <c r="C6850" s="119">
        <v>1009</v>
      </c>
    </row>
    <row r="6851" spans="2:3">
      <c r="B6851" s="118" t="s">
        <v>4350</v>
      </c>
      <c r="C6851" s="119">
        <v>1068</v>
      </c>
    </row>
    <row r="6852" spans="2:3">
      <c r="B6852" s="118" t="s">
        <v>195</v>
      </c>
      <c r="C6852" s="119">
        <v>1008</v>
      </c>
    </row>
    <row r="6853" spans="2:3">
      <c r="B6853" s="118" t="s">
        <v>4351</v>
      </c>
      <c r="C6853" s="119">
        <v>1020</v>
      </c>
    </row>
    <row r="6854" spans="2:3">
      <c r="B6854" s="118" t="s">
        <v>235</v>
      </c>
      <c r="C6854" s="119">
        <v>1032</v>
      </c>
    </row>
    <row r="6855" spans="2:3">
      <c r="B6855" s="118" t="s">
        <v>259</v>
      </c>
      <c r="C6855" s="119">
        <v>1071</v>
      </c>
    </row>
    <row r="6856" spans="2:3">
      <c r="B6856" s="118" t="s">
        <v>261</v>
      </c>
      <c r="C6856" s="119">
        <v>1072</v>
      </c>
    </row>
    <row r="6857" spans="2:3">
      <c r="B6857" s="118" t="s">
        <v>4352</v>
      </c>
      <c r="C6857" s="119">
        <v>1080</v>
      </c>
    </row>
    <row r="6858" spans="2:3">
      <c r="B6858" s="118" t="s">
        <v>4353</v>
      </c>
      <c r="C6858" s="119">
        <v>1091</v>
      </c>
    </row>
    <row r="6859" spans="2:3">
      <c r="B6859" s="118" t="s">
        <v>4354</v>
      </c>
      <c r="C6859" s="119">
        <v>1090</v>
      </c>
    </row>
    <row r="6860" spans="2:3">
      <c r="B6860" s="118" t="s">
        <v>230</v>
      </c>
      <c r="C6860" s="119">
        <v>1092</v>
      </c>
    </row>
    <row r="6861" spans="2:3">
      <c r="B6861" s="118" t="s">
        <v>4355</v>
      </c>
      <c r="C6861" s="119">
        <v>1093</v>
      </c>
    </row>
    <row r="6862" spans="2:3">
      <c r="B6862" s="118" t="s">
        <v>198</v>
      </c>
      <c r="C6862" s="119">
        <v>1095</v>
      </c>
    </row>
    <row r="6863" spans="2:3">
      <c r="B6863" s="118" t="s">
        <v>244</v>
      </c>
      <c r="C6863" s="119">
        <v>1070</v>
      </c>
    </row>
    <row r="6864" spans="2:3">
      <c r="B6864" s="118" t="s">
        <v>434</v>
      </c>
      <c r="C6864" s="119">
        <v>1071</v>
      </c>
    </row>
    <row r="6865" spans="2:3">
      <c r="B6865" s="118" t="s">
        <v>4356</v>
      </c>
      <c r="C6865" s="119">
        <v>1096</v>
      </c>
    </row>
    <row r="6866" spans="2:3">
      <c r="B6866" s="118" t="s">
        <v>4357</v>
      </c>
      <c r="C6866" s="119">
        <v>1098</v>
      </c>
    </row>
    <row r="6867" spans="2:3">
      <c r="B6867" s="118" t="s">
        <v>4358</v>
      </c>
      <c r="C6867" s="119">
        <v>1607</v>
      </c>
    </row>
    <row r="6868" spans="2:3">
      <c r="B6868" s="118" t="s">
        <v>259</v>
      </c>
      <c r="C6868" s="119">
        <v>1071</v>
      </c>
    </row>
    <row r="6869" spans="2:3">
      <c r="B6869" s="118" t="s">
        <v>434</v>
      </c>
      <c r="C6869" s="119">
        <v>1071</v>
      </c>
    </row>
    <row r="6870" spans="2:3">
      <c r="B6870" s="118" t="s">
        <v>4359</v>
      </c>
      <c r="C6870" s="119">
        <v>1071</v>
      </c>
    </row>
    <row r="6871" spans="2:3">
      <c r="B6871" s="118" t="s">
        <v>234</v>
      </c>
      <c r="C6871" s="119">
        <v>1073</v>
      </c>
    </row>
    <row r="6872" spans="2:3">
      <c r="B6872" s="118" t="s">
        <v>4360</v>
      </c>
      <c r="C6872" s="119">
        <v>1073</v>
      </c>
    </row>
    <row r="6873" spans="2:3">
      <c r="B6873" s="118" t="s">
        <v>4354</v>
      </c>
      <c r="C6873" s="119">
        <v>1090</v>
      </c>
    </row>
    <row r="6874" spans="2:3">
      <c r="B6874" s="118" t="s">
        <v>4361</v>
      </c>
      <c r="C6874" s="119">
        <v>1091</v>
      </c>
    </row>
    <row r="6875" spans="2:3">
      <c r="B6875" s="118" t="s">
        <v>244</v>
      </c>
      <c r="C6875" s="119">
        <v>1070</v>
      </c>
    </row>
    <row r="6876" spans="2:3">
      <c r="B6876" s="118" t="s">
        <v>4353</v>
      </c>
      <c r="C6876" s="119">
        <v>1091</v>
      </c>
    </row>
    <row r="6877" spans="2:3">
      <c r="B6877" s="118" t="s">
        <v>4361</v>
      </c>
      <c r="C6877" s="119">
        <v>1091</v>
      </c>
    </row>
    <row r="6878" spans="2:3">
      <c r="B6878" s="118" t="s">
        <v>4362</v>
      </c>
      <c r="C6878" s="119">
        <v>1091</v>
      </c>
    </row>
    <row r="6879" spans="2:3">
      <c r="B6879" s="118" t="s">
        <v>198</v>
      </c>
      <c r="C6879" s="119">
        <v>1095</v>
      </c>
    </row>
    <row r="6880" spans="2:3">
      <c r="B6880" s="118" t="s">
        <v>4356</v>
      </c>
      <c r="C6880" s="119">
        <v>1096</v>
      </c>
    </row>
    <row r="6881" spans="2:3">
      <c r="B6881" s="118" t="s">
        <v>4363</v>
      </c>
      <c r="C6881" s="119">
        <v>1096</v>
      </c>
    </row>
    <row r="6882" spans="2:3">
      <c r="B6882" s="118" t="s">
        <v>4364</v>
      </c>
      <c r="C6882" s="119">
        <v>1097</v>
      </c>
    </row>
    <row r="6883" spans="2:3">
      <c r="B6883" s="118" t="s">
        <v>4357</v>
      </c>
      <c r="C6883" s="119">
        <v>1098</v>
      </c>
    </row>
    <row r="6884" spans="2:3">
      <c r="B6884" s="118" t="s">
        <v>375</v>
      </c>
      <c r="C6884" s="119">
        <v>1123</v>
      </c>
    </row>
    <row r="6885" spans="2:3">
      <c r="B6885" s="118" t="s">
        <v>374</v>
      </c>
      <c r="C6885" s="119">
        <v>1121</v>
      </c>
    </row>
    <row r="6886" spans="2:3">
      <c r="B6886" s="118" t="s">
        <v>361</v>
      </c>
      <c r="C6886" s="119">
        <v>1164</v>
      </c>
    </row>
    <row r="6887" spans="2:3">
      <c r="B6887" s="118" t="s">
        <v>201</v>
      </c>
      <c r="C6887" s="119">
        <v>1030</v>
      </c>
    </row>
    <row r="6888" spans="2:3">
      <c r="B6888" s="118" t="s">
        <v>182</v>
      </c>
      <c r="C6888" s="119">
        <v>1015</v>
      </c>
    </row>
    <row r="6889" spans="2:3">
      <c r="B6889" s="118" t="s">
        <v>205</v>
      </c>
      <c r="C6889" s="119">
        <v>1022</v>
      </c>
    </row>
    <row r="6890" spans="2:3">
      <c r="B6890" s="118" t="s">
        <v>437</v>
      </c>
      <c r="C6890" s="119">
        <v>1134</v>
      </c>
    </row>
    <row r="6891" spans="2:3">
      <c r="B6891" s="118" t="s">
        <v>473</v>
      </c>
      <c r="C6891" s="119">
        <v>1127</v>
      </c>
    </row>
    <row r="6892" spans="2:3">
      <c r="B6892" s="118" t="s">
        <v>346</v>
      </c>
      <c r="C6892" s="119">
        <v>1135</v>
      </c>
    </row>
    <row r="6893" spans="2:3">
      <c r="B6893" s="118" t="s">
        <v>271</v>
      </c>
      <c r="C6893" s="119">
        <v>1026</v>
      </c>
    </row>
    <row r="6894" spans="2:3">
      <c r="B6894" s="118" t="s">
        <v>247</v>
      </c>
      <c r="C6894" s="119">
        <v>1026</v>
      </c>
    </row>
    <row r="6895" spans="2:3">
      <c r="B6895" s="118" t="s">
        <v>250</v>
      </c>
      <c r="C6895" s="119">
        <v>1112</v>
      </c>
    </row>
    <row r="6896" spans="2:3">
      <c r="B6896" s="118" t="s">
        <v>4365</v>
      </c>
      <c r="C6896" s="119">
        <v>1113</v>
      </c>
    </row>
    <row r="6897" spans="2:3">
      <c r="B6897" s="118" t="s">
        <v>4366</v>
      </c>
      <c r="C6897" s="119">
        <v>1114</v>
      </c>
    </row>
    <row r="6898" spans="2:3">
      <c r="B6898" s="118" t="s">
        <v>4367</v>
      </c>
      <c r="C6898" s="119">
        <v>1125</v>
      </c>
    </row>
    <row r="6899" spans="2:3">
      <c r="B6899" s="118" t="s">
        <v>182</v>
      </c>
      <c r="C6899" s="119">
        <v>1015</v>
      </c>
    </row>
    <row r="6900" spans="2:3">
      <c r="B6900" s="118" t="s">
        <v>4368</v>
      </c>
      <c r="C6900" s="119">
        <v>1024</v>
      </c>
    </row>
    <row r="6901" spans="2:3">
      <c r="B6901" s="118" t="s">
        <v>242</v>
      </c>
      <c r="C6901" s="119">
        <v>1163</v>
      </c>
    </row>
    <row r="6902" spans="2:3">
      <c r="B6902" s="118" t="s">
        <v>238</v>
      </c>
      <c r="C6902" s="119">
        <v>1170</v>
      </c>
    </row>
    <row r="6903" spans="2:3">
      <c r="B6903" s="118" t="s">
        <v>315</v>
      </c>
      <c r="C6903" s="119">
        <v>1175</v>
      </c>
    </row>
    <row r="6904" spans="2:3">
      <c r="B6904" s="118" t="s">
        <v>256</v>
      </c>
      <c r="C6904" s="119">
        <v>1027</v>
      </c>
    </row>
    <row r="6905" spans="2:3">
      <c r="B6905" s="118" t="s">
        <v>4369</v>
      </c>
      <c r="C6905" s="119">
        <v>1132</v>
      </c>
    </row>
    <row r="6906" spans="2:3">
      <c r="B6906" s="118" t="s">
        <v>4370</v>
      </c>
      <c r="C6906" s="119">
        <v>1162</v>
      </c>
    </row>
    <row r="6907" spans="2:3">
      <c r="B6907" s="118" t="s">
        <v>357</v>
      </c>
      <c r="C6907" s="119">
        <v>1167</v>
      </c>
    </row>
    <row r="6908" spans="2:3">
      <c r="B6908" s="118" t="s">
        <v>192</v>
      </c>
      <c r="C6908" s="119">
        <v>1110</v>
      </c>
    </row>
    <row r="6909" spans="2:3">
      <c r="B6909" s="118" t="s">
        <v>215</v>
      </c>
      <c r="C6909" s="119">
        <v>1028</v>
      </c>
    </row>
    <row r="6910" spans="2:3">
      <c r="B6910" s="118" t="s">
        <v>397</v>
      </c>
      <c r="C6910" s="119">
        <v>1122</v>
      </c>
    </row>
    <row r="6911" spans="2:3">
      <c r="B6911" s="118" t="s">
        <v>4370</v>
      </c>
      <c r="C6911" s="119">
        <v>1162</v>
      </c>
    </row>
    <row r="6912" spans="2:3">
      <c r="B6912" s="118" t="s">
        <v>182</v>
      </c>
      <c r="C6912" s="119">
        <v>1015</v>
      </c>
    </row>
    <row r="6913" spans="2:3">
      <c r="B6913" s="118" t="s">
        <v>4371</v>
      </c>
      <c r="C6913" s="119">
        <v>1025</v>
      </c>
    </row>
    <row r="6914" spans="2:3">
      <c r="B6914" s="118" t="s">
        <v>267</v>
      </c>
      <c r="C6914" s="119">
        <v>1131</v>
      </c>
    </row>
    <row r="6915" spans="2:3">
      <c r="B6915" s="118" t="s">
        <v>469</v>
      </c>
      <c r="C6915" s="119">
        <v>1126</v>
      </c>
    </row>
    <row r="6916" spans="2:3">
      <c r="B6916" s="118" t="s">
        <v>4372</v>
      </c>
      <c r="C6916" s="119">
        <v>1029</v>
      </c>
    </row>
    <row r="6917" spans="2:3">
      <c r="B6917" s="118" t="s">
        <v>365</v>
      </c>
      <c r="C6917" s="119">
        <v>1168</v>
      </c>
    </row>
    <row r="6918" spans="2:3">
      <c r="B6918" s="118" t="s">
        <v>335</v>
      </c>
      <c r="C6918" s="119">
        <v>1134</v>
      </c>
    </row>
    <row r="6919" spans="2:3">
      <c r="B6919" s="118" t="s">
        <v>383</v>
      </c>
      <c r="C6919" s="119">
        <v>1115</v>
      </c>
    </row>
    <row r="6920" spans="2:3">
      <c r="B6920" s="118" t="s">
        <v>285</v>
      </c>
      <c r="C6920" s="119">
        <v>1169</v>
      </c>
    </row>
    <row r="6921" spans="2:3">
      <c r="B6921" s="118" t="s">
        <v>4373</v>
      </c>
      <c r="C6921" s="119">
        <v>1116</v>
      </c>
    </row>
    <row r="6922" spans="2:3">
      <c r="B6922" s="118" t="s">
        <v>419</v>
      </c>
      <c r="C6922" s="119">
        <v>1128</v>
      </c>
    </row>
    <row r="6923" spans="2:3">
      <c r="B6923" s="118" t="s">
        <v>427</v>
      </c>
      <c r="C6923" s="119">
        <v>1136</v>
      </c>
    </row>
    <row r="6924" spans="2:3">
      <c r="B6924" s="118" t="s">
        <v>457</v>
      </c>
      <c r="C6924" s="119">
        <v>1141</v>
      </c>
    </row>
    <row r="6925" spans="2:3">
      <c r="B6925" s="118" t="s">
        <v>300</v>
      </c>
      <c r="C6925" s="119">
        <v>1142</v>
      </c>
    </row>
    <row r="6926" spans="2:3">
      <c r="B6926" s="118" t="s">
        <v>283</v>
      </c>
      <c r="C6926" s="119">
        <v>1143</v>
      </c>
    </row>
    <row r="6927" spans="2:3">
      <c r="B6927" s="118" t="s">
        <v>294</v>
      </c>
      <c r="C6927" s="119">
        <v>1038</v>
      </c>
    </row>
    <row r="6928" spans="2:3">
      <c r="B6928" s="118" t="s">
        <v>425</v>
      </c>
      <c r="C6928" s="119">
        <v>1063</v>
      </c>
    </row>
    <row r="6929" spans="2:3">
      <c r="B6929" s="118" t="s">
        <v>467</v>
      </c>
      <c r="C6929" s="119">
        <v>1514</v>
      </c>
    </row>
    <row r="6930" spans="2:3">
      <c r="B6930" s="118" t="s">
        <v>210</v>
      </c>
      <c r="C6930" s="119">
        <v>1510</v>
      </c>
    </row>
    <row r="6931" spans="2:3">
      <c r="B6931" s="118" t="s">
        <v>463</v>
      </c>
      <c r="C6931" s="119">
        <v>1512</v>
      </c>
    </row>
    <row r="6932" spans="2:3">
      <c r="B6932" s="118" t="s">
        <v>440</v>
      </c>
      <c r="C6932" s="119">
        <v>1521</v>
      </c>
    </row>
    <row r="6933" spans="2:3">
      <c r="B6933" s="118" t="s">
        <v>4374</v>
      </c>
      <c r="C6933" s="119">
        <v>1682</v>
      </c>
    </row>
    <row r="6934" spans="2:3">
      <c r="B6934" s="118" t="s">
        <v>4375</v>
      </c>
      <c r="C6934" s="119">
        <v>1059</v>
      </c>
    </row>
    <row r="6935" spans="2:3">
      <c r="B6935" s="118" t="s">
        <v>423</v>
      </c>
      <c r="C6935" s="119">
        <v>1513</v>
      </c>
    </row>
    <row r="6936" spans="2:3">
      <c r="B6936" s="118" t="s">
        <v>483</v>
      </c>
      <c r="C6936" s="119">
        <v>1682</v>
      </c>
    </row>
    <row r="6937" spans="2:3">
      <c r="B6937" s="118" t="s">
        <v>224</v>
      </c>
      <c r="C6937" s="119">
        <v>1522</v>
      </c>
    </row>
    <row r="6938" spans="2:3">
      <c r="B6938" s="118" t="s">
        <v>4376</v>
      </c>
      <c r="C6938" s="119">
        <v>1522</v>
      </c>
    </row>
    <row r="6939" spans="2:3">
      <c r="B6939" s="118" t="s">
        <v>4377</v>
      </c>
      <c r="C6939" s="119">
        <v>1526</v>
      </c>
    </row>
    <row r="6940" spans="2:3">
      <c r="B6940" s="118" t="s">
        <v>4378</v>
      </c>
      <c r="C6940" s="119">
        <v>1526</v>
      </c>
    </row>
    <row r="6941" spans="2:3">
      <c r="B6941" s="118" t="s">
        <v>4379</v>
      </c>
      <c r="C6941" s="119">
        <v>1683</v>
      </c>
    </row>
    <row r="6942" spans="2:3">
      <c r="B6942" s="118" t="s">
        <v>4380</v>
      </c>
      <c r="C6942" s="119">
        <v>1683</v>
      </c>
    </row>
    <row r="6943" spans="2:3">
      <c r="B6943" s="118" t="s">
        <v>4381</v>
      </c>
      <c r="C6943" s="119">
        <v>1683</v>
      </c>
    </row>
    <row r="6944" spans="2:3">
      <c r="B6944" s="118" t="s">
        <v>210</v>
      </c>
      <c r="C6944" s="119">
        <v>1510</v>
      </c>
    </row>
    <row r="6945" spans="2:3">
      <c r="B6945" s="118" t="s">
        <v>444</v>
      </c>
      <c r="C6945" s="119">
        <v>1045</v>
      </c>
    </row>
    <row r="6946" spans="2:3">
      <c r="B6946" s="118" t="s">
        <v>478</v>
      </c>
      <c r="C6946" s="119">
        <v>1682</v>
      </c>
    </row>
    <row r="6947" spans="2:3">
      <c r="B6947" s="118" t="s">
        <v>492</v>
      </c>
      <c r="C6947" s="119">
        <v>1513</v>
      </c>
    </row>
    <row r="6948" spans="2:3">
      <c r="B6948" s="118" t="s">
        <v>479</v>
      </c>
      <c r="C6948" s="119">
        <v>1510</v>
      </c>
    </row>
    <row r="6949" spans="2:3">
      <c r="B6949" s="118" t="s">
        <v>481</v>
      </c>
      <c r="C6949" s="119">
        <v>1515</v>
      </c>
    </row>
    <row r="6950" spans="2:3">
      <c r="B6950" s="118" t="s">
        <v>369</v>
      </c>
      <c r="C6950" s="119">
        <v>1509</v>
      </c>
    </row>
    <row r="6951" spans="2:3">
      <c r="B6951" s="118" t="s">
        <v>294</v>
      </c>
      <c r="C6951" s="119">
        <v>1038</v>
      </c>
    </row>
    <row r="6952" spans="2:3">
      <c r="B6952" s="118" t="s">
        <v>4382</v>
      </c>
      <c r="C6952" s="119">
        <v>1063</v>
      </c>
    </row>
    <row r="6953" spans="2:3">
      <c r="B6953" s="118" t="s">
        <v>4383</v>
      </c>
      <c r="C6953" s="119">
        <v>1063</v>
      </c>
    </row>
    <row r="6954" spans="2:3">
      <c r="B6954" s="118" t="s">
        <v>4384</v>
      </c>
      <c r="C6954" s="119">
        <v>1063</v>
      </c>
    </row>
    <row r="6955" spans="2:3">
      <c r="B6955" s="118" t="s">
        <v>4385</v>
      </c>
      <c r="C6955" s="119">
        <v>1409</v>
      </c>
    </row>
    <row r="6956" spans="2:3">
      <c r="B6956" s="118" t="s">
        <v>4386</v>
      </c>
      <c r="C6956" s="119">
        <v>1410</v>
      </c>
    </row>
    <row r="6957" spans="2:3">
      <c r="B6957" s="118" t="s">
        <v>4387</v>
      </c>
      <c r="C6957" s="119">
        <v>1410</v>
      </c>
    </row>
    <row r="6958" spans="2:3">
      <c r="B6958" s="118" t="s">
        <v>4388</v>
      </c>
      <c r="C6958" s="119">
        <v>1410</v>
      </c>
    </row>
    <row r="6959" spans="2:3">
      <c r="B6959" s="118" t="s">
        <v>4389</v>
      </c>
      <c r="C6959" s="119">
        <v>1410</v>
      </c>
    </row>
    <row r="6960" spans="2:3">
      <c r="B6960" s="118" t="s">
        <v>4390</v>
      </c>
      <c r="C6960" s="119">
        <v>1515</v>
      </c>
    </row>
    <row r="6961" spans="2:3">
      <c r="B6961" s="118" t="s">
        <v>462</v>
      </c>
      <c r="C6961" s="119">
        <v>1277</v>
      </c>
    </row>
    <row r="6962" spans="2:3">
      <c r="B6962" s="118" t="s">
        <v>4391</v>
      </c>
      <c r="C6962" s="119">
        <v>1264</v>
      </c>
    </row>
    <row r="6963" spans="2:3">
      <c r="B6963" s="118" t="s">
        <v>251</v>
      </c>
      <c r="C6963" s="119">
        <v>1273</v>
      </c>
    </row>
    <row r="6964" spans="2:3">
      <c r="B6964" s="118" t="s">
        <v>287</v>
      </c>
      <c r="C6964" s="119">
        <v>1269</v>
      </c>
    </row>
    <row r="6965" spans="2:3">
      <c r="B6965" s="118" t="s">
        <v>265</v>
      </c>
      <c r="C6965" s="119">
        <v>1268</v>
      </c>
    </row>
    <row r="6966" spans="2:3">
      <c r="B6966" s="118" t="s">
        <v>330</v>
      </c>
      <c r="C6966" s="119">
        <v>1279</v>
      </c>
    </row>
    <row r="6967" spans="2:3">
      <c r="B6967" s="118" t="s">
        <v>299</v>
      </c>
      <c r="C6967" s="119">
        <v>1277</v>
      </c>
    </row>
    <row r="6968" spans="2:3">
      <c r="B6968" s="118" t="s">
        <v>289</v>
      </c>
      <c r="C6968" s="119">
        <v>1279</v>
      </c>
    </row>
    <row r="6969" spans="2:3">
      <c r="B6969" s="118" t="s">
        <v>325</v>
      </c>
      <c r="C6969" s="119">
        <v>1290</v>
      </c>
    </row>
    <row r="6970" spans="2:3">
      <c r="B6970" s="118" t="s">
        <v>293</v>
      </c>
      <c r="C6970" s="119">
        <v>1275</v>
      </c>
    </row>
    <row r="6971" spans="2:3">
      <c r="B6971" s="118" t="s">
        <v>295</v>
      </c>
      <c r="C6971" s="119">
        <v>1276</v>
      </c>
    </row>
    <row r="6972" spans="2:3">
      <c r="B6972" s="118" t="s">
        <v>389</v>
      </c>
      <c r="C6972" s="119">
        <v>1267</v>
      </c>
    </row>
    <row r="6973" spans="2:3">
      <c r="B6973" s="118" t="s">
        <v>245</v>
      </c>
      <c r="C6973" s="119">
        <v>1291</v>
      </c>
    </row>
    <row r="6974" spans="2:3">
      <c r="B6974" s="118" t="s">
        <v>239</v>
      </c>
      <c r="C6974" s="119">
        <v>1296</v>
      </c>
    </row>
    <row r="6975" spans="2:3">
      <c r="B6975" s="118" t="s">
        <v>229</v>
      </c>
      <c r="C6975" s="119">
        <v>1297</v>
      </c>
    </row>
    <row r="6976" spans="2:3">
      <c r="B6976" s="118" t="s">
        <v>4392</v>
      </c>
      <c r="C6976" s="119">
        <v>1299</v>
      </c>
    </row>
    <row r="6977" spans="2:3">
      <c r="B6977" s="118" t="s">
        <v>297</v>
      </c>
      <c r="C6977" s="119">
        <v>1263</v>
      </c>
    </row>
    <row r="6978" spans="2:3">
      <c r="B6978" s="118" t="s">
        <v>307</v>
      </c>
      <c r="C6978" s="119">
        <v>1266</v>
      </c>
    </row>
    <row r="6979" spans="2:3">
      <c r="B6979" s="118" t="s">
        <v>272</v>
      </c>
      <c r="C6979" s="119">
        <v>1262</v>
      </c>
    </row>
    <row r="6980" spans="2:3">
      <c r="B6980" s="118" t="s">
        <v>229</v>
      </c>
      <c r="C6980" s="119">
        <v>1297</v>
      </c>
    </row>
    <row r="6981" spans="2:3">
      <c r="B6981" s="118" t="s">
        <v>264</v>
      </c>
      <c r="C6981" s="119">
        <v>1272</v>
      </c>
    </row>
    <row r="6982" spans="2:3">
      <c r="B6982" s="118" t="s">
        <v>295</v>
      </c>
      <c r="C6982" s="119">
        <v>1276</v>
      </c>
    </row>
    <row r="6983" spans="2:3">
      <c r="B6983" s="118" t="s">
        <v>320</v>
      </c>
      <c r="C6983" s="119">
        <v>1271</v>
      </c>
    </row>
    <row r="6984" spans="2:3">
      <c r="B6984" s="118" t="s">
        <v>264</v>
      </c>
      <c r="C6984" s="119">
        <v>1272</v>
      </c>
    </row>
    <row r="6985" spans="2:3">
      <c r="B6985" s="118" t="s">
        <v>193</v>
      </c>
      <c r="C6985" s="119">
        <v>1196</v>
      </c>
    </row>
    <row r="6986" spans="2:3">
      <c r="B6986" s="118" t="s">
        <v>420</v>
      </c>
      <c r="C6986" s="119">
        <v>1274</v>
      </c>
    </row>
    <row r="6987" spans="2:3">
      <c r="B6987" s="118" t="s">
        <v>817</v>
      </c>
      <c r="C6987" s="119">
        <v>1290</v>
      </c>
    </row>
    <row r="6988" spans="2:3">
      <c r="B6988" s="118" t="s">
        <v>262</v>
      </c>
      <c r="C6988" s="119">
        <v>1295</v>
      </c>
    </row>
    <row r="6989" spans="2:3">
      <c r="B6989" s="118" t="s">
        <v>188</v>
      </c>
      <c r="C6989" s="119">
        <v>1260</v>
      </c>
    </row>
    <row r="6990" spans="2:3">
      <c r="B6990" s="118" t="s">
        <v>225</v>
      </c>
      <c r="C6990" s="119">
        <v>1197</v>
      </c>
    </row>
    <row r="6991" spans="2:3">
      <c r="B6991" s="118" t="s">
        <v>188</v>
      </c>
      <c r="C6991" s="119">
        <v>1260</v>
      </c>
    </row>
    <row r="6992" spans="2:3">
      <c r="B6992" s="118" t="s">
        <v>293</v>
      </c>
      <c r="C6992" s="119">
        <v>1275</v>
      </c>
    </row>
    <row r="6993" spans="2:3">
      <c r="B6993" s="118" t="s">
        <v>296</v>
      </c>
      <c r="C6993" s="119">
        <v>1278</v>
      </c>
    </row>
    <row r="6994" spans="2:3">
      <c r="B6994" s="118" t="s">
        <v>4391</v>
      </c>
      <c r="C6994" s="119">
        <v>1264</v>
      </c>
    </row>
    <row r="6995" spans="2:3">
      <c r="B6995" s="118" t="s">
        <v>4393</v>
      </c>
      <c r="C6995" s="119">
        <v>1265</v>
      </c>
    </row>
    <row r="6996" spans="2:3">
      <c r="B6996" s="118" t="s">
        <v>295</v>
      </c>
      <c r="C6996" s="119">
        <v>1276</v>
      </c>
    </row>
    <row r="6997" spans="2:3">
      <c r="B6997" s="118" t="s">
        <v>4394</v>
      </c>
      <c r="C6997" s="119">
        <v>1274</v>
      </c>
    </row>
    <row r="6998" spans="2:3">
      <c r="B6998" s="118" t="s">
        <v>273</v>
      </c>
      <c r="C6998" s="119">
        <v>1295</v>
      </c>
    </row>
    <row r="6999" spans="2:3">
      <c r="B6999" s="118" t="s">
        <v>284</v>
      </c>
      <c r="C6999" s="119">
        <v>1270</v>
      </c>
    </row>
    <row r="7000" spans="2:3">
      <c r="B7000" s="118" t="s">
        <v>420</v>
      </c>
      <c r="C7000" s="119">
        <v>1274</v>
      </c>
    </row>
    <row r="7001" spans="2:3">
      <c r="B7001" s="118" t="s">
        <v>291</v>
      </c>
      <c r="C7001" s="119">
        <v>1261</v>
      </c>
    </row>
    <row r="7002" spans="2:3">
      <c r="B7002" s="118" t="s">
        <v>314</v>
      </c>
      <c r="C7002" s="119">
        <v>1267</v>
      </c>
    </row>
    <row r="7003" spans="2:3">
      <c r="B7003" s="118" t="s">
        <v>455</v>
      </c>
      <c r="C7003" s="119">
        <v>1355</v>
      </c>
    </row>
    <row r="7004" spans="2:3">
      <c r="B7004" s="118" t="s">
        <v>413</v>
      </c>
      <c r="C7004" s="119">
        <v>1357</v>
      </c>
    </row>
    <row r="7005" spans="2:3">
      <c r="B7005" s="118" t="s">
        <v>441</v>
      </c>
      <c r="C7005" s="119">
        <v>1352</v>
      </c>
    </row>
    <row r="7006" spans="2:3">
      <c r="B7006" s="118" t="s">
        <v>360</v>
      </c>
      <c r="C7006" s="119">
        <v>1321</v>
      </c>
    </row>
    <row r="7007" spans="2:3">
      <c r="B7007" s="118" t="s">
        <v>305</v>
      </c>
      <c r="C7007" s="119">
        <v>1338</v>
      </c>
    </row>
    <row r="7008" spans="2:3">
      <c r="B7008" s="118" t="s">
        <v>309</v>
      </c>
      <c r="C7008" s="119">
        <v>1446</v>
      </c>
    </row>
    <row r="7009" spans="2:3">
      <c r="B7009" s="118" t="s">
        <v>4342</v>
      </c>
      <c r="C7009" s="119">
        <v>1454</v>
      </c>
    </row>
    <row r="7010" spans="2:3">
      <c r="B7010" s="118" t="s">
        <v>327</v>
      </c>
      <c r="C7010" s="119">
        <v>1372</v>
      </c>
    </row>
    <row r="7011" spans="2:3">
      <c r="B7011" s="118" t="s">
        <v>472</v>
      </c>
      <c r="C7011" s="119">
        <v>1353</v>
      </c>
    </row>
    <row r="7012" spans="2:3">
      <c r="B7012" s="118" t="s">
        <v>450</v>
      </c>
      <c r="C7012" s="119">
        <v>1329</v>
      </c>
    </row>
    <row r="7013" spans="2:3">
      <c r="B7013" s="118" t="s">
        <v>219</v>
      </c>
      <c r="C7013" s="119">
        <v>1373</v>
      </c>
    </row>
    <row r="7014" spans="2:3">
      <c r="B7014" s="118" t="s">
        <v>4395</v>
      </c>
      <c r="C7014" s="119">
        <v>1374</v>
      </c>
    </row>
    <row r="7015" spans="2:3">
      <c r="B7015" s="118" t="s">
        <v>4396</v>
      </c>
      <c r="C7015" s="119">
        <v>1435</v>
      </c>
    </row>
    <row r="7016" spans="2:3">
      <c r="B7016" s="118" t="s">
        <v>475</v>
      </c>
      <c r="C7016" s="119">
        <v>1356</v>
      </c>
    </row>
    <row r="7017" spans="2:3">
      <c r="B7017" s="118" t="s">
        <v>4397</v>
      </c>
      <c r="C7017" s="119">
        <v>1356</v>
      </c>
    </row>
    <row r="7018" spans="2:3">
      <c r="B7018" s="118" t="s">
        <v>422</v>
      </c>
      <c r="C7018" s="119">
        <v>1322</v>
      </c>
    </row>
    <row r="7019" spans="2:3">
      <c r="B7019" s="118" t="s">
        <v>443</v>
      </c>
      <c r="C7019" s="119">
        <v>1326</v>
      </c>
    </row>
    <row r="7020" spans="2:3">
      <c r="B7020" s="118" t="s">
        <v>413</v>
      </c>
      <c r="C7020" s="119">
        <v>1357</v>
      </c>
    </row>
    <row r="7021" spans="2:3">
      <c r="B7021" s="118" t="s">
        <v>390</v>
      </c>
      <c r="C7021" s="119">
        <v>1354</v>
      </c>
    </row>
    <row r="7022" spans="2:3">
      <c r="B7022" s="118" t="s">
        <v>207</v>
      </c>
      <c r="C7022" s="119">
        <v>1350</v>
      </c>
    </row>
    <row r="7023" spans="2:3">
      <c r="B7023" s="118" t="s">
        <v>477</v>
      </c>
      <c r="C7023" s="119">
        <v>1148</v>
      </c>
    </row>
    <row r="7024" spans="2:3">
      <c r="B7024" s="118" t="s">
        <v>465</v>
      </c>
      <c r="C7024" s="119">
        <v>1324</v>
      </c>
    </row>
    <row r="7025" spans="2:3">
      <c r="B7025" s="118" t="s">
        <v>388</v>
      </c>
      <c r="C7025" s="119">
        <v>1439</v>
      </c>
    </row>
    <row r="7026" spans="2:3">
      <c r="B7026" s="118" t="s">
        <v>4398</v>
      </c>
      <c r="C7026" s="119">
        <v>1323</v>
      </c>
    </row>
    <row r="7027" spans="2:3">
      <c r="B7027" s="118" t="s">
        <v>485</v>
      </c>
      <c r="C7027" s="119">
        <v>1355</v>
      </c>
    </row>
    <row r="7028" spans="2:3">
      <c r="B7028" s="118" t="s">
        <v>363</v>
      </c>
      <c r="C7028" s="119">
        <v>1358</v>
      </c>
    </row>
    <row r="7029" spans="2:3">
      <c r="B7029" s="118" t="s">
        <v>227</v>
      </c>
      <c r="C7029" s="119">
        <v>1337</v>
      </c>
    </row>
    <row r="7030" spans="2:3">
      <c r="B7030" s="118" t="s">
        <v>387</v>
      </c>
      <c r="C7030" s="119">
        <v>1325</v>
      </c>
    </row>
    <row r="7031" spans="2:3">
      <c r="B7031" s="118" t="s">
        <v>356</v>
      </c>
      <c r="C7031" s="119">
        <v>1443</v>
      </c>
    </row>
    <row r="7032" spans="2:3">
      <c r="B7032" s="118" t="s">
        <v>368</v>
      </c>
      <c r="C7032" s="119">
        <v>1445</v>
      </c>
    </row>
    <row r="7033" spans="2:3">
      <c r="B7033" s="118" t="s">
        <v>400</v>
      </c>
      <c r="C7033" s="119">
        <v>1082</v>
      </c>
    </row>
    <row r="7034" spans="2:3">
      <c r="B7034" s="118" t="s">
        <v>423</v>
      </c>
      <c r="C7034" s="119">
        <v>1513</v>
      </c>
    </row>
    <row r="7035" spans="2:3">
      <c r="B7035" s="118" t="s">
        <v>395</v>
      </c>
      <c r="C7035" s="119">
        <v>1613</v>
      </c>
    </row>
    <row r="7036" spans="2:3">
      <c r="B7036" s="118" t="s">
        <v>358</v>
      </c>
      <c r="C7036" s="119">
        <v>1081</v>
      </c>
    </row>
    <row r="7037" spans="2:3">
      <c r="B7037" s="118" t="s">
        <v>401</v>
      </c>
      <c r="C7037" s="119">
        <v>1088</v>
      </c>
    </row>
    <row r="7038" spans="2:3">
      <c r="B7038" s="118" t="s">
        <v>266</v>
      </c>
      <c r="C7038" s="119">
        <v>1077</v>
      </c>
    </row>
    <row r="7039" spans="2:3">
      <c r="B7039" s="118" t="s">
        <v>4352</v>
      </c>
      <c r="C7039" s="119">
        <v>1080</v>
      </c>
    </row>
    <row r="7040" spans="2:3">
      <c r="B7040" s="118" t="s">
        <v>4399</v>
      </c>
      <c r="C7040" s="119">
        <v>1084</v>
      </c>
    </row>
    <row r="7041" spans="2:3">
      <c r="B7041" s="118" t="s">
        <v>381</v>
      </c>
      <c r="C7041" s="119">
        <v>1085</v>
      </c>
    </row>
    <row r="7042" spans="2:3">
      <c r="B7042" s="118" t="s">
        <v>4400</v>
      </c>
      <c r="C7042" s="119">
        <v>1041</v>
      </c>
    </row>
    <row r="7043" spans="2:3">
      <c r="B7043" s="118" t="s">
        <v>4401</v>
      </c>
      <c r="C7043" s="119">
        <v>1058</v>
      </c>
    </row>
    <row r="7044" spans="2:3">
      <c r="B7044" s="118" t="s">
        <v>4375</v>
      </c>
      <c r="C7044" s="119">
        <v>1059</v>
      </c>
    </row>
    <row r="7045" spans="2:3">
      <c r="B7045" s="118" t="s">
        <v>4402</v>
      </c>
      <c r="C7045" s="119">
        <v>1061</v>
      </c>
    </row>
    <row r="7046" spans="2:3">
      <c r="B7046" s="118" t="s">
        <v>4403</v>
      </c>
      <c r="C7046" s="119">
        <v>1062</v>
      </c>
    </row>
    <row r="7047" spans="2:3">
      <c r="B7047" s="118" t="s">
        <v>4384</v>
      </c>
      <c r="C7047" s="119">
        <v>1063</v>
      </c>
    </row>
    <row r="7048" spans="2:3">
      <c r="B7048" s="118" t="s">
        <v>436</v>
      </c>
      <c r="C7048" s="119">
        <v>1078</v>
      </c>
    </row>
    <row r="7049" spans="2:3">
      <c r="B7049" s="118" t="s">
        <v>4404</v>
      </c>
      <c r="C7049" s="119">
        <v>1607</v>
      </c>
    </row>
    <row r="7050" spans="2:3">
      <c r="B7050" s="118" t="s">
        <v>4405</v>
      </c>
      <c r="C7050" s="119">
        <v>1607</v>
      </c>
    </row>
    <row r="7051" spans="2:3">
      <c r="B7051" s="118" t="s">
        <v>4406</v>
      </c>
      <c r="C7051" s="119">
        <v>1607</v>
      </c>
    </row>
    <row r="7052" spans="2:3">
      <c r="B7052" s="118" t="s">
        <v>4358</v>
      </c>
      <c r="C7052" s="119">
        <v>1607</v>
      </c>
    </row>
    <row r="7053" spans="2:3">
      <c r="B7053" s="118" t="s">
        <v>4407</v>
      </c>
      <c r="C7053" s="119">
        <v>1608</v>
      </c>
    </row>
    <row r="7054" spans="2:3">
      <c r="B7054" s="118" t="s">
        <v>4408</v>
      </c>
      <c r="C7054" s="119">
        <v>1608</v>
      </c>
    </row>
    <row r="7055" spans="2:3">
      <c r="B7055" s="118" t="s">
        <v>4409</v>
      </c>
      <c r="C7055" s="119">
        <v>1608</v>
      </c>
    </row>
    <row r="7056" spans="2:3">
      <c r="B7056" s="118" t="s">
        <v>4410</v>
      </c>
      <c r="C7056" s="119">
        <v>1610</v>
      </c>
    </row>
    <row r="7057" spans="2:3">
      <c r="B7057" s="118" t="s">
        <v>4411</v>
      </c>
      <c r="C7057" s="119">
        <v>1610</v>
      </c>
    </row>
    <row r="7058" spans="2:3">
      <c r="B7058" s="118" t="s">
        <v>4412</v>
      </c>
      <c r="C7058" s="119">
        <v>1610</v>
      </c>
    </row>
    <row r="7059" spans="2:3">
      <c r="B7059" s="118" t="s">
        <v>4413</v>
      </c>
      <c r="C7059" s="119">
        <v>1612</v>
      </c>
    </row>
    <row r="7060" spans="2:3">
      <c r="B7060" s="118" t="s">
        <v>4414</v>
      </c>
      <c r="C7060" s="119">
        <v>1076</v>
      </c>
    </row>
    <row r="7061" spans="2:3">
      <c r="B7061" s="118" t="s">
        <v>4415</v>
      </c>
      <c r="C7061" s="119">
        <v>1083</v>
      </c>
    </row>
    <row r="7062" spans="2:3">
      <c r="B7062" s="118" t="s">
        <v>4399</v>
      </c>
      <c r="C7062" s="119">
        <v>1084</v>
      </c>
    </row>
    <row r="7063" spans="2:3">
      <c r="B7063" s="118" t="s">
        <v>486</v>
      </c>
      <c r="C7063" s="119">
        <v>1537</v>
      </c>
    </row>
    <row r="7064" spans="2:3">
      <c r="B7064" s="118" t="s">
        <v>398</v>
      </c>
      <c r="C7064" s="119">
        <v>1545</v>
      </c>
    </row>
    <row r="7065" spans="2:3">
      <c r="B7065" s="118" t="s">
        <v>257</v>
      </c>
      <c r="C7065" s="119">
        <v>1562</v>
      </c>
    </row>
    <row r="7066" spans="2:3">
      <c r="B7066" s="118" t="s">
        <v>3252</v>
      </c>
      <c r="C7066" s="119">
        <v>1774</v>
      </c>
    </row>
    <row r="7067" spans="2:3">
      <c r="B7067" s="118" t="s">
        <v>334</v>
      </c>
      <c r="C7067" s="119">
        <v>1543</v>
      </c>
    </row>
    <row r="7068" spans="2:3">
      <c r="B7068" s="118" t="s">
        <v>431</v>
      </c>
      <c r="C7068" s="119">
        <v>1525</v>
      </c>
    </row>
    <row r="7069" spans="2:3">
      <c r="B7069" s="118" t="s">
        <v>435</v>
      </c>
      <c r="C7069" s="119">
        <v>1565</v>
      </c>
    </row>
    <row r="7070" spans="2:3">
      <c r="B7070" s="118" t="s">
        <v>199</v>
      </c>
      <c r="C7070" s="119">
        <v>1530</v>
      </c>
    </row>
    <row r="7071" spans="2:3">
      <c r="B7071" s="118" t="s">
        <v>4416</v>
      </c>
      <c r="C7071" s="119">
        <v>1551</v>
      </c>
    </row>
    <row r="7072" spans="2:3">
      <c r="B7072" s="118" t="s">
        <v>257</v>
      </c>
      <c r="C7072" s="119">
        <v>1562</v>
      </c>
    </row>
    <row r="7073" spans="2:3">
      <c r="B7073" s="118" t="s">
        <v>449</v>
      </c>
      <c r="C7073" s="119">
        <v>1552</v>
      </c>
    </row>
    <row r="7074" spans="2:3">
      <c r="B7074" s="118" t="s">
        <v>488</v>
      </c>
      <c r="C7074" s="119">
        <v>1538</v>
      </c>
    </row>
    <row r="7075" spans="2:3">
      <c r="B7075" s="118" t="s">
        <v>4417</v>
      </c>
      <c r="C7075" s="119">
        <v>1554</v>
      </c>
    </row>
    <row r="7076" spans="2:3">
      <c r="B7076" s="118" t="s">
        <v>4418</v>
      </c>
      <c r="C7076" s="119">
        <v>1554</v>
      </c>
    </row>
    <row r="7077" spans="2:3">
      <c r="B7077" s="118" t="s">
        <v>414</v>
      </c>
      <c r="C7077" s="119">
        <v>1555</v>
      </c>
    </row>
    <row r="7078" spans="2:3">
      <c r="B7078" s="118" t="s">
        <v>1239</v>
      </c>
      <c r="C7078" s="119">
        <v>1485</v>
      </c>
    </row>
    <row r="7079" spans="2:3">
      <c r="B7079" s="118" t="s">
        <v>4419</v>
      </c>
      <c r="C7079" s="119">
        <v>1523</v>
      </c>
    </row>
    <row r="7080" spans="2:3">
      <c r="B7080" s="118" t="s">
        <v>4420</v>
      </c>
      <c r="C7080" s="119">
        <v>1524</v>
      </c>
    </row>
    <row r="7081" spans="2:3">
      <c r="B7081" s="118" t="s">
        <v>3259</v>
      </c>
      <c r="C7081" s="119">
        <v>1525</v>
      </c>
    </row>
    <row r="7082" spans="2:3">
      <c r="B7082" s="118" t="s">
        <v>3267</v>
      </c>
      <c r="C7082" s="119">
        <v>1534</v>
      </c>
    </row>
    <row r="7083" spans="2:3">
      <c r="B7083" s="118" t="s">
        <v>4421</v>
      </c>
      <c r="C7083" s="119">
        <v>1535</v>
      </c>
    </row>
    <row r="7084" spans="2:3">
      <c r="B7084" s="118" t="s">
        <v>4422</v>
      </c>
      <c r="C7084" s="119">
        <v>1536</v>
      </c>
    </row>
    <row r="7085" spans="2:3">
      <c r="B7085" s="118" t="s">
        <v>4423</v>
      </c>
      <c r="C7085" s="119">
        <v>1682</v>
      </c>
    </row>
    <row r="7086" spans="2:3">
      <c r="B7086" s="118" t="s">
        <v>4424</v>
      </c>
      <c r="C7086" s="119">
        <v>1682</v>
      </c>
    </row>
    <row r="7087" spans="2:3">
      <c r="B7087" s="118" t="s">
        <v>333</v>
      </c>
      <c r="C7087" s="119">
        <v>1659</v>
      </c>
    </row>
    <row r="7088" spans="2:3">
      <c r="B7088" s="118" t="s">
        <v>4425</v>
      </c>
      <c r="C7088" s="119">
        <v>1659</v>
      </c>
    </row>
    <row r="7089" spans="2:3">
      <c r="B7089" s="118" t="s">
        <v>231</v>
      </c>
      <c r="C7089" s="119">
        <v>1660</v>
      </c>
    </row>
    <row r="7090" spans="2:3">
      <c r="B7090" s="118" t="s">
        <v>4426</v>
      </c>
      <c r="C7090" s="119">
        <v>1660</v>
      </c>
    </row>
    <row r="7091" spans="2:3">
      <c r="B7091" s="118" t="s">
        <v>4427</v>
      </c>
      <c r="C7091" s="119">
        <v>1660</v>
      </c>
    </row>
    <row r="7092" spans="2:3">
      <c r="B7092" s="118" t="s">
        <v>4295</v>
      </c>
      <c r="C7092" s="119">
        <v>1660</v>
      </c>
    </row>
    <row r="7093" spans="2:3">
      <c r="B7093" s="118" t="s">
        <v>376</v>
      </c>
      <c r="C7093" s="119">
        <v>1658</v>
      </c>
    </row>
    <row r="7094" spans="2:3">
      <c r="B7094" s="118" t="s">
        <v>4428</v>
      </c>
      <c r="C7094" s="119">
        <v>1658</v>
      </c>
    </row>
    <row r="7095" spans="2:3">
      <c r="B7095" s="118" t="s">
        <v>333</v>
      </c>
      <c r="C7095" s="119">
        <v>1659</v>
      </c>
    </row>
    <row r="7096" spans="2:3">
      <c r="B7096" s="118" t="s">
        <v>4425</v>
      </c>
      <c r="C7096" s="119">
        <v>1659</v>
      </c>
    </row>
    <row r="7097" spans="2:3">
      <c r="B7097" s="118" t="s">
        <v>404</v>
      </c>
      <c r="C7097" s="119">
        <v>1165</v>
      </c>
    </row>
    <row r="7098" spans="2:3">
      <c r="B7098" s="118" t="s">
        <v>386</v>
      </c>
      <c r="C7098" s="119">
        <v>1195</v>
      </c>
    </row>
    <row r="7099" spans="2:3">
      <c r="B7099" s="118" t="s">
        <v>348</v>
      </c>
      <c r="C7099" s="119">
        <v>1183</v>
      </c>
    </row>
    <row r="7100" spans="2:3">
      <c r="B7100" s="118" t="s">
        <v>432</v>
      </c>
      <c r="C7100" s="119">
        <v>1268</v>
      </c>
    </row>
    <row r="7101" spans="2:3">
      <c r="B7101" s="118" t="s">
        <v>432</v>
      </c>
      <c r="C7101" s="119">
        <v>1268</v>
      </c>
    </row>
    <row r="7102" spans="2:3">
      <c r="B7102" s="118" t="s">
        <v>362</v>
      </c>
      <c r="C7102" s="119">
        <v>1195</v>
      </c>
    </row>
    <row r="7103" spans="2:3">
      <c r="B7103" s="118" t="s">
        <v>208</v>
      </c>
      <c r="C7103" s="119">
        <v>1180</v>
      </c>
    </row>
    <row r="7104" spans="2:3">
      <c r="B7104" s="118" t="s">
        <v>456</v>
      </c>
      <c r="C7104" s="119">
        <v>1180</v>
      </c>
    </row>
    <row r="7105" spans="2:3">
      <c r="B7105" s="118" t="s">
        <v>249</v>
      </c>
      <c r="C7105" s="119">
        <v>1185</v>
      </c>
    </row>
    <row r="7106" spans="2:3">
      <c r="B7106" s="118" t="s">
        <v>354</v>
      </c>
      <c r="C7106" s="119">
        <v>1186</v>
      </c>
    </row>
    <row r="7107" spans="2:3">
      <c r="B7107" s="118" t="s">
        <v>208</v>
      </c>
      <c r="C7107" s="119">
        <v>1180</v>
      </c>
    </row>
    <row r="7108" spans="2:3">
      <c r="B7108" s="118" t="s">
        <v>288</v>
      </c>
      <c r="C7108" s="119">
        <v>1182</v>
      </c>
    </row>
    <row r="7109" spans="2:3">
      <c r="B7109" s="118" t="s">
        <v>348</v>
      </c>
      <c r="C7109" s="119">
        <v>1183</v>
      </c>
    </row>
    <row r="7110" spans="2:3">
      <c r="B7110" s="118" t="s">
        <v>354</v>
      </c>
      <c r="C7110" s="119">
        <v>1186</v>
      </c>
    </row>
    <row r="7111" spans="2:3">
      <c r="B7111" s="118" t="s">
        <v>386</v>
      </c>
      <c r="C7111" s="119">
        <v>1195</v>
      </c>
    </row>
    <row r="7112" spans="2:3">
      <c r="B7112" s="118" t="s">
        <v>366</v>
      </c>
      <c r="C7112" s="119">
        <v>1184</v>
      </c>
    </row>
    <row r="7113" spans="2:3">
      <c r="B7113" s="118" t="s">
        <v>249</v>
      </c>
      <c r="C7113" s="119">
        <v>1185</v>
      </c>
    </row>
    <row r="7114" spans="2:3">
      <c r="B7114" s="118" t="s">
        <v>278</v>
      </c>
      <c r="C7114" s="119">
        <v>1166</v>
      </c>
    </row>
    <row r="7115" spans="2:3">
      <c r="B7115" s="118" t="s">
        <v>208</v>
      </c>
      <c r="C7115" s="119">
        <v>1180</v>
      </c>
    </row>
    <row r="7116" spans="2:3">
      <c r="B7116" s="118" t="s">
        <v>456</v>
      </c>
      <c r="C7116" s="119">
        <v>1180</v>
      </c>
    </row>
    <row r="7117" spans="2:3">
      <c r="B7117" s="118" t="s">
        <v>428</v>
      </c>
      <c r="C7117" s="119">
        <v>1184</v>
      </c>
    </row>
    <row r="7118" spans="2:3">
      <c r="B7118" s="118" t="s">
        <v>432</v>
      </c>
      <c r="C7118" s="119">
        <v>1268</v>
      </c>
    </row>
    <row r="7119" spans="2:3">
      <c r="B7119" s="118" t="s">
        <v>4429</v>
      </c>
      <c r="C7119" s="119">
        <v>1342</v>
      </c>
    </row>
    <row r="7120" spans="2:3">
      <c r="B7120" s="118" t="s">
        <v>279</v>
      </c>
      <c r="C7120" s="119">
        <v>1344</v>
      </c>
    </row>
    <row r="7121" spans="2:3">
      <c r="B7121" s="118" t="s">
        <v>4430</v>
      </c>
      <c r="C7121" s="119">
        <v>1346</v>
      </c>
    </row>
    <row r="7122" spans="2:3">
      <c r="B7122" s="118" t="s">
        <v>4431</v>
      </c>
      <c r="C7122" s="119">
        <v>1341</v>
      </c>
    </row>
    <row r="7123" spans="2:3">
      <c r="B7123" s="118" t="s">
        <v>4432</v>
      </c>
      <c r="C7123" s="119">
        <v>1347</v>
      </c>
    </row>
    <row r="7124" spans="2:3">
      <c r="B7124" s="118" t="s">
        <v>4433</v>
      </c>
      <c r="C7124" s="119">
        <v>1347</v>
      </c>
    </row>
    <row r="7125" spans="2:3">
      <c r="B7125" s="118" t="s">
        <v>4434</v>
      </c>
      <c r="C7125" s="119">
        <v>1348</v>
      </c>
    </row>
    <row r="7126" spans="2:3">
      <c r="B7126" s="118" t="s">
        <v>4435</v>
      </c>
      <c r="C7126" s="119">
        <v>1343</v>
      </c>
    </row>
    <row r="7127" spans="2:3">
      <c r="B7127" s="118" t="s">
        <v>336</v>
      </c>
      <c r="C7127" s="119">
        <v>1345</v>
      </c>
    </row>
    <row r="7128" spans="2:3">
      <c r="B7128" s="118" t="s">
        <v>4436</v>
      </c>
      <c r="C7128" s="119">
        <v>1345</v>
      </c>
    </row>
    <row r="7129" spans="2:3">
      <c r="B7129" s="118" t="s">
        <v>4437</v>
      </c>
      <c r="C7129" s="119">
        <v>1801</v>
      </c>
    </row>
    <row r="7130" spans="2:3">
      <c r="B7130" s="118" t="s">
        <v>243</v>
      </c>
      <c r="C7130" s="119">
        <v>1803</v>
      </c>
    </row>
    <row r="7131" spans="2:3">
      <c r="B7131" s="118" t="s">
        <v>258</v>
      </c>
      <c r="C7131" s="119">
        <v>1802</v>
      </c>
    </row>
    <row r="7132" spans="2:3">
      <c r="B7132" s="118" t="s">
        <v>232</v>
      </c>
      <c r="C7132" s="119">
        <v>1804</v>
      </c>
    </row>
    <row r="7133" spans="2:3">
      <c r="B7133" s="118" t="s">
        <v>276</v>
      </c>
      <c r="C7133" s="119">
        <v>1805</v>
      </c>
    </row>
    <row r="7134" spans="2:3">
      <c r="B7134" s="118" t="s">
        <v>3424</v>
      </c>
      <c r="C7134" s="119">
        <v>1808</v>
      </c>
    </row>
    <row r="7135" spans="2:3">
      <c r="B7135" s="118" t="s">
        <v>4438</v>
      </c>
      <c r="C7135" s="119">
        <v>1809</v>
      </c>
    </row>
    <row r="7136" spans="2:3">
      <c r="B7136" s="118" t="s">
        <v>243</v>
      </c>
      <c r="C7136" s="119">
        <v>1803</v>
      </c>
    </row>
    <row r="7137" spans="2:3">
      <c r="B7137" s="118" t="s">
        <v>232</v>
      </c>
      <c r="C7137" s="119">
        <v>1804</v>
      </c>
    </row>
    <row r="7138" spans="2:3">
      <c r="B7138" s="118" t="s">
        <v>276</v>
      </c>
      <c r="C7138" s="119">
        <v>1805</v>
      </c>
    </row>
    <row r="7139" spans="2:3">
      <c r="B7139" s="118" t="s">
        <v>209</v>
      </c>
      <c r="C7139" s="119">
        <v>1807</v>
      </c>
    </row>
    <row r="7140" spans="2:3">
      <c r="B7140" s="118" t="s">
        <v>1613</v>
      </c>
      <c r="C7140" s="119">
        <v>1815</v>
      </c>
    </row>
    <row r="7141" spans="2:3">
      <c r="B7141" s="118" t="s">
        <v>1610</v>
      </c>
      <c r="C7141" s="119">
        <v>1816</v>
      </c>
    </row>
    <row r="7142" spans="2:3">
      <c r="B7142" s="118" t="s">
        <v>1605</v>
      </c>
      <c r="C7142" s="119">
        <v>1817</v>
      </c>
    </row>
    <row r="7143" spans="2:3">
      <c r="B7143" s="118" t="s">
        <v>186</v>
      </c>
      <c r="C7143" s="119">
        <v>1820</v>
      </c>
    </row>
    <row r="7144" spans="2:3">
      <c r="B7144" s="118" t="s">
        <v>1606</v>
      </c>
      <c r="C7144" s="119">
        <v>1820</v>
      </c>
    </row>
    <row r="7145" spans="2:3">
      <c r="B7145" s="118" t="s">
        <v>1611</v>
      </c>
      <c r="C7145" s="119">
        <v>1822</v>
      </c>
    </row>
    <row r="7146" spans="2:3">
      <c r="B7146" s="118" t="s">
        <v>703</v>
      </c>
      <c r="C7146" s="119">
        <v>1823</v>
      </c>
    </row>
    <row r="7147" spans="2:3">
      <c r="B7147" s="118" t="s">
        <v>1609</v>
      </c>
      <c r="C7147" s="119">
        <v>1824</v>
      </c>
    </row>
    <row r="7148" spans="2:3">
      <c r="B7148" s="118" t="s">
        <v>1608</v>
      </c>
      <c r="C7148" s="119">
        <v>1832</v>
      </c>
    </row>
    <row r="7149" spans="2:3">
      <c r="B7149" s="118" t="s">
        <v>1612</v>
      </c>
      <c r="C7149" s="119">
        <v>1832</v>
      </c>
    </row>
    <row r="7150" spans="2:3">
      <c r="B7150" s="118" t="s">
        <v>1607</v>
      </c>
      <c r="C7150" s="119">
        <v>1833</v>
      </c>
    </row>
    <row r="7151" spans="2:3">
      <c r="B7151" s="118" t="s">
        <v>196</v>
      </c>
      <c r="C7151" s="119">
        <v>1814</v>
      </c>
    </row>
    <row r="7152" spans="2:3">
      <c r="B7152" s="118" t="s">
        <v>190</v>
      </c>
      <c r="C7152" s="119">
        <v>1800</v>
      </c>
    </row>
    <row r="7153" spans="2:3">
      <c r="B7153" s="118" t="s">
        <v>337</v>
      </c>
      <c r="C7153" s="119">
        <v>1820</v>
      </c>
    </row>
    <row r="7154" spans="2:3">
      <c r="B7154" s="118" t="s">
        <v>4439</v>
      </c>
      <c r="C7154" s="119">
        <v>1806</v>
      </c>
    </row>
    <row r="7155" spans="2:3">
      <c r="B7155" s="118" t="s">
        <v>209</v>
      </c>
      <c r="C7155" s="119">
        <v>1807</v>
      </c>
    </row>
    <row r="7156" spans="2:3">
      <c r="B7156" s="118" t="s">
        <v>424</v>
      </c>
      <c r="C7156" s="119">
        <v>1432</v>
      </c>
    </row>
    <row r="7157" spans="2:3">
      <c r="B7157" s="118" t="s">
        <v>444</v>
      </c>
      <c r="C7157" s="119">
        <v>1045</v>
      </c>
    </row>
    <row r="7158" spans="2:3">
      <c r="B7158" s="118" t="s">
        <v>461</v>
      </c>
      <c r="C7158" s="119">
        <v>1407</v>
      </c>
    </row>
    <row r="7159" spans="2:3">
      <c r="B7159" s="118" t="s">
        <v>378</v>
      </c>
      <c r="C7159" s="119">
        <v>1436</v>
      </c>
    </row>
    <row r="7160" spans="2:3">
      <c r="B7160" s="118" t="s">
        <v>356</v>
      </c>
      <c r="C7160" s="119">
        <v>1443</v>
      </c>
    </row>
    <row r="7161" spans="2:3">
      <c r="B7161" s="118" t="s">
        <v>4440</v>
      </c>
      <c r="C7161" s="119">
        <v>1443</v>
      </c>
    </row>
    <row r="7162" spans="2:3">
      <c r="B7162" s="118" t="s">
        <v>4441</v>
      </c>
      <c r="C7162" s="119">
        <v>1443</v>
      </c>
    </row>
    <row r="7163" spans="2:3">
      <c r="B7163" s="118" t="s">
        <v>447</v>
      </c>
      <c r="C7163" s="119">
        <v>1464</v>
      </c>
    </row>
    <row r="7164" spans="2:3">
      <c r="B7164" s="118" t="s">
        <v>484</v>
      </c>
      <c r="C7164" s="119">
        <v>1464</v>
      </c>
    </row>
    <row r="7165" spans="2:3">
      <c r="B7165" s="118" t="s">
        <v>352</v>
      </c>
      <c r="C7165" s="119">
        <v>1400</v>
      </c>
    </row>
    <row r="7166" spans="2:3">
      <c r="B7166" s="118" t="s">
        <v>421</v>
      </c>
      <c r="C7166" s="119">
        <v>1406</v>
      </c>
    </row>
    <row r="7167" spans="2:3">
      <c r="B7167" s="118" t="s">
        <v>352</v>
      </c>
      <c r="C7167" s="119">
        <v>1400</v>
      </c>
    </row>
    <row r="7168" spans="2:3">
      <c r="B7168" s="118" t="s">
        <v>453</v>
      </c>
      <c r="C7168" s="119">
        <v>1404</v>
      </c>
    </row>
    <row r="7169" spans="2:3">
      <c r="B7169" s="118" t="s">
        <v>480</v>
      </c>
      <c r="C7169" s="119">
        <v>1415</v>
      </c>
    </row>
    <row r="7170" spans="2:3">
      <c r="B7170" s="118" t="s">
        <v>343</v>
      </c>
      <c r="C7170" s="119">
        <v>1407</v>
      </c>
    </row>
    <row r="7171" spans="2:3">
      <c r="B7171" s="118" t="s">
        <v>4442</v>
      </c>
      <c r="C7171" s="119">
        <v>1407</v>
      </c>
    </row>
    <row r="7172" spans="2:3">
      <c r="B7172" s="118" t="s">
        <v>4443</v>
      </c>
      <c r="C7172" s="119">
        <v>1407</v>
      </c>
    </row>
    <row r="7173" spans="2:3">
      <c r="B7173" s="118" t="s">
        <v>4444</v>
      </c>
      <c r="C7173" s="119">
        <v>1408</v>
      </c>
    </row>
    <row r="7174" spans="2:3">
      <c r="B7174" s="118" t="s">
        <v>4445</v>
      </c>
      <c r="C7174" s="119">
        <v>1434</v>
      </c>
    </row>
    <row r="7175" spans="2:3">
      <c r="B7175" s="118" t="s">
        <v>364</v>
      </c>
      <c r="C7175" s="119">
        <v>1438</v>
      </c>
    </row>
    <row r="7176" spans="2:3">
      <c r="B7176" s="118" t="s">
        <v>458</v>
      </c>
      <c r="C7176" s="119">
        <v>1415</v>
      </c>
    </row>
    <row r="7177" spans="2:3">
      <c r="B7177" s="118" t="s">
        <v>350</v>
      </c>
      <c r="C7177" s="119">
        <v>1442</v>
      </c>
    </row>
    <row r="7178" spans="2:3">
      <c r="B7178" s="118" t="s">
        <v>470</v>
      </c>
      <c r="C7178" s="119">
        <v>1047</v>
      </c>
    </row>
    <row r="7179" spans="2:3">
      <c r="B7179" s="118" t="s">
        <v>438</v>
      </c>
      <c r="C7179" s="119">
        <v>1430</v>
      </c>
    </row>
    <row r="7180" spans="2:3">
      <c r="B7180" s="118" t="s">
        <v>471</v>
      </c>
      <c r="C7180" s="119">
        <v>1413</v>
      </c>
    </row>
    <row r="7181" spans="2:3">
      <c r="B7181" s="118" t="s">
        <v>345</v>
      </c>
      <c r="C7181" s="119">
        <v>1405</v>
      </c>
    </row>
    <row r="7182" spans="2:3">
      <c r="B7182" s="118" t="s">
        <v>474</v>
      </c>
      <c r="C7182" s="119">
        <v>1463</v>
      </c>
    </row>
    <row r="7183" spans="2:3">
      <c r="B7183" s="118" t="s">
        <v>367</v>
      </c>
      <c r="C7183" s="119">
        <v>1433</v>
      </c>
    </row>
    <row r="7184" spans="2:3">
      <c r="B7184" s="118" t="s">
        <v>468</v>
      </c>
      <c r="C7184" s="119">
        <v>1437</v>
      </c>
    </row>
    <row r="7185" spans="2:3">
      <c r="B7185" s="118" t="s">
        <v>403</v>
      </c>
      <c r="C7185" s="119">
        <v>1436</v>
      </c>
    </row>
    <row r="7186" spans="2:3">
      <c r="B7186" s="118" t="s">
        <v>464</v>
      </c>
      <c r="C7186" s="119">
        <v>1412</v>
      </c>
    </row>
    <row r="7187" spans="2:3">
      <c r="B7187" s="118" t="s">
        <v>351</v>
      </c>
      <c r="C7187" s="119">
        <v>1441</v>
      </c>
    </row>
    <row r="7188" spans="2:3">
      <c r="B7188" s="118" t="s">
        <v>454</v>
      </c>
      <c r="C7188" s="119">
        <v>1412</v>
      </c>
    </row>
    <row r="7189" spans="2:3">
      <c r="B7189" s="118" t="s">
        <v>490</v>
      </c>
      <c r="C7189" s="119">
        <v>1404</v>
      </c>
    </row>
    <row r="7190" spans="2:3">
      <c r="B7190" s="118" t="s">
        <v>487</v>
      </c>
      <c r="C7190" s="119">
        <v>1431</v>
      </c>
    </row>
    <row r="7191" spans="2:3">
      <c r="B7191" s="118" t="s">
        <v>185</v>
      </c>
      <c r="C7191" s="119">
        <v>1400</v>
      </c>
    </row>
    <row r="7192" spans="2:3">
      <c r="B7192" s="118" t="s">
        <v>4446</v>
      </c>
      <c r="C7192" s="119">
        <v>1432</v>
      </c>
    </row>
    <row r="7193" spans="2:3">
      <c r="B7193" s="118" t="s">
        <v>233</v>
      </c>
      <c r="C7193" s="119">
        <v>1462</v>
      </c>
    </row>
    <row r="7194" spans="2:3">
      <c r="B7194" s="118" t="s">
        <v>4447</v>
      </c>
      <c r="C7194" s="119">
        <v>3900</v>
      </c>
    </row>
    <row r="7195" spans="2:3">
      <c r="B7195" s="118" t="s">
        <v>4448</v>
      </c>
      <c r="C7195" s="119">
        <v>3900</v>
      </c>
    </row>
    <row r="7196" spans="2:3">
      <c r="B7196" s="118" t="s">
        <v>4449</v>
      </c>
      <c r="C7196" s="119">
        <v>3900</v>
      </c>
    </row>
    <row r="7197" spans="2:3">
      <c r="B7197" s="118" t="s">
        <v>4450</v>
      </c>
      <c r="C7197" s="119">
        <v>3902</v>
      </c>
    </row>
    <row r="7198" spans="2:3">
      <c r="B7198" s="118" t="s">
        <v>962</v>
      </c>
      <c r="C7198" s="119">
        <v>3939</v>
      </c>
    </row>
    <row r="7199" spans="2:3">
      <c r="B7199" s="118" t="s">
        <v>4447</v>
      </c>
      <c r="C7199" s="119">
        <v>3900</v>
      </c>
    </row>
    <row r="7200" spans="2:3">
      <c r="B7200" s="118" t="s">
        <v>4451</v>
      </c>
      <c r="C7200" s="119">
        <v>3903</v>
      </c>
    </row>
    <row r="7201" spans="2:3">
      <c r="B7201" s="118" t="s">
        <v>4452</v>
      </c>
      <c r="C7201" s="119">
        <v>3903</v>
      </c>
    </row>
    <row r="7202" spans="2:3">
      <c r="B7202" s="118" t="s">
        <v>861</v>
      </c>
      <c r="C7202" s="119">
        <v>3904</v>
      </c>
    </row>
    <row r="7203" spans="2:3">
      <c r="B7203" s="118" t="s">
        <v>4453</v>
      </c>
      <c r="C7203" s="119">
        <v>3914</v>
      </c>
    </row>
    <row r="7204" spans="2:3">
      <c r="B7204" s="118" t="s">
        <v>4454</v>
      </c>
      <c r="C7204" s="119">
        <v>3914</v>
      </c>
    </row>
    <row r="7205" spans="2:3">
      <c r="B7205" s="118" t="s">
        <v>4447</v>
      </c>
      <c r="C7205" s="119">
        <v>3900</v>
      </c>
    </row>
    <row r="7206" spans="2:3">
      <c r="B7206" s="118" t="s">
        <v>4455</v>
      </c>
      <c r="C7206" s="119">
        <v>3901</v>
      </c>
    </row>
    <row r="7207" spans="2:3">
      <c r="B7207" s="118" t="s">
        <v>893</v>
      </c>
      <c r="C7207" s="119">
        <v>3911</v>
      </c>
    </row>
    <row r="7208" spans="2:3">
      <c r="B7208" s="118" t="s">
        <v>4456</v>
      </c>
      <c r="C7208" s="119">
        <v>3907</v>
      </c>
    </row>
    <row r="7209" spans="2:3">
      <c r="B7209" s="118" t="s">
        <v>4457</v>
      </c>
      <c r="C7209" s="119">
        <v>3907</v>
      </c>
    </row>
    <row r="7210" spans="2:3">
      <c r="B7210" s="118" t="s">
        <v>4458</v>
      </c>
      <c r="C7210" s="119">
        <v>3907</v>
      </c>
    </row>
    <row r="7211" spans="2:3">
      <c r="B7211" s="118" t="s">
        <v>4447</v>
      </c>
      <c r="C7211" s="119">
        <v>3900</v>
      </c>
    </row>
    <row r="7212" spans="2:3">
      <c r="B7212" s="118" t="s">
        <v>930</v>
      </c>
      <c r="C7212" s="119">
        <v>3912</v>
      </c>
    </row>
    <row r="7213" spans="2:3">
      <c r="B7213" s="118" t="s">
        <v>4459</v>
      </c>
      <c r="C7213" s="119">
        <v>3913</v>
      </c>
    </row>
    <row r="7214" spans="2:3">
      <c r="B7214" s="118" t="s">
        <v>926</v>
      </c>
      <c r="C7214" s="119">
        <v>3982</v>
      </c>
    </row>
    <row r="7215" spans="2:3">
      <c r="B7215" s="118" t="s">
        <v>4456</v>
      </c>
      <c r="C7215" s="119">
        <v>3907</v>
      </c>
    </row>
    <row r="7216" spans="2:3">
      <c r="B7216" s="118" t="s">
        <v>4458</v>
      </c>
      <c r="C7216" s="119">
        <v>3907</v>
      </c>
    </row>
    <row r="7217" spans="2:3">
      <c r="B7217" s="118" t="s">
        <v>4460</v>
      </c>
      <c r="C7217" s="119">
        <v>3907</v>
      </c>
    </row>
    <row r="7218" spans="2:3">
      <c r="B7218" s="118" t="s">
        <v>884</v>
      </c>
      <c r="C7218" s="119">
        <v>1957</v>
      </c>
    </row>
    <row r="7219" spans="2:3">
      <c r="B7219" s="118" t="s">
        <v>885</v>
      </c>
      <c r="C7219" s="119">
        <v>1908</v>
      </c>
    </row>
    <row r="7220" spans="2:3">
      <c r="B7220" s="118" t="s">
        <v>879</v>
      </c>
      <c r="C7220" s="119">
        <v>1955</v>
      </c>
    </row>
    <row r="7221" spans="2:3">
      <c r="B7221" s="118" t="s">
        <v>4461</v>
      </c>
      <c r="C7221" s="119">
        <v>1955</v>
      </c>
    </row>
    <row r="7222" spans="2:3">
      <c r="B7222" s="118" t="s">
        <v>4462</v>
      </c>
      <c r="C7222" s="119">
        <v>1955</v>
      </c>
    </row>
    <row r="7223" spans="2:3">
      <c r="B7223" s="118" t="s">
        <v>4463</v>
      </c>
      <c r="C7223" s="119">
        <v>1955</v>
      </c>
    </row>
    <row r="7224" spans="2:3">
      <c r="B7224" s="118" t="s">
        <v>4464</v>
      </c>
      <c r="C7224" s="119">
        <v>1955</v>
      </c>
    </row>
    <row r="7225" spans="2:3">
      <c r="B7225" s="118" t="s">
        <v>4465</v>
      </c>
      <c r="C7225" s="119">
        <v>1955</v>
      </c>
    </row>
    <row r="7226" spans="2:3">
      <c r="B7226" s="118" t="s">
        <v>869</v>
      </c>
      <c r="C7226" s="119">
        <v>1963</v>
      </c>
    </row>
    <row r="7227" spans="2:3">
      <c r="B7227" s="118" t="s">
        <v>864</v>
      </c>
      <c r="C7227" s="119">
        <v>1964</v>
      </c>
    </row>
    <row r="7228" spans="2:3">
      <c r="B7228" s="118" t="s">
        <v>867</v>
      </c>
      <c r="C7228" s="119">
        <v>1965</v>
      </c>
    </row>
    <row r="7229" spans="2:3">
      <c r="B7229" s="118" t="s">
        <v>4466</v>
      </c>
      <c r="C7229" s="119">
        <v>1975</v>
      </c>
    </row>
    <row r="7230" spans="2:3">
      <c r="B7230" s="118" t="s">
        <v>4467</v>
      </c>
      <c r="C7230" s="119">
        <v>1976</v>
      </c>
    </row>
    <row r="7231" spans="2:3">
      <c r="B7231" s="118" t="s">
        <v>4468</v>
      </c>
      <c r="C7231" s="119">
        <v>1976</v>
      </c>
    </row>
    <row r="7232" spans="2:3">
      <c r="B7232" s="118" t="s">
        <v>4469</v>
      </c>
      <c r="C7232" s="119">
        <v>1976</v>
      </c>
    </row>
    <row r="7233" spans="2:3">
      <c r="B7233" s="118" t="s">
        <v>945</v>
      </c>
      <c r="C7233" s="119">
        <v>1993</v>
      </c>
    </row>
    <row r="7234" spans="2:3">
      <c r="B7234" s="118" t="s">
        <v>4470</v>
      </c>
      <c r="C7234" s="119">
        <v>1993</v>
      </c>
    </row>
    <row r="7235" spans="2:3">
      <c r="B7235" s="118" t="s">
        <v>4471</v>
      </c>
      <c r="C7235" s="119">
        <v>1994</v>
      </c>
    </row>
    <row r="7236" spans="2:3">
      <c r="B7236" s="118" t="s">
        <v>4472</v>
      </c>
      <c r="C7236" s="119">
        <v>1996</v>
      </c>
    </row>
    <row r="7237" spans="2:3">
      <c r="B7237" s="118" t="s">
        <v>4473</v>
      </c>
      <c r="C7237" s="119">
        <v>1996</v>
      </c>
    </row>
    <row r="7238" spans="2:3">
      <c r="B7238" s="118" t="s">
        <v>4474</v>
      </c>
      <c r="C7238" s="119">
        <v>1996</v>
      </c>
    </row>
    <row r="7239" spans="2:3">
      <c r="B7239" s="118" t="s">
        <v>4475</v>
      </c>
      <c r="C7239" s="119">
        <v>1996</v>
      </c>
    </row>
    <row r="7240" spans="2:3">
      <c r="B7240" s="118" t="s">
        <v>4476</v>
      </c>
      <c r="C7240" s="119">
        <v>1996</v>
      </c>
    </row>
    <row r="7241" spans="2:3">
      <c r="B7241" s="118" t="s">
        <v>4477</v>
      </c>
      <c r="C7241" s="119">
        <v>1996</v>
      </c>
    </row>
    <row r="7242" spans="2:3">
      <c r="B7242" s="118" t="s">
        <v>4478</v>
      </c>
      <c r="C7242" s="119">
        <v>1996</v>
      </c>
    </row>
    <row r="7243" spans="2:3">
      <c r="B7243" s="118" t="s">
        <v>4479</v>
      </c>
      <c r="C7243" s="119">
        <v>1996</v>
      </c>
    </row>
    <row r="7244" spans="2:3">
      <c r="B7244" s="118" t="s">
        <v>4480</v>
      </c>
      <c r="C7244" s="119">
        <v>1997</v>
      </c>
    </row>
    <row r="7245" spans="2:3">
      <c r="B7245" s="118" t="s">
        <v>4481</v>
      </c>
      <c r="C7245" s="119">
        <v>1997</v>
      </c>
    </row>
    <row r="7246" spans="2:3">
      <c r="B7246" s="118" t="s">
        <v>4482</v>
      </c>
      <c r="C7246" s="119">
        <v>1997</v>
      </c>
    </row>
    <row r="7247" spans="2:3">
      <c r="B7247" s="118" t="s">
        <v>869</v>
      </c>
      <c r="C7247" s="119">
        <v>1963</v>
      </c>
    </row>
    <row r="7248" spans="2:3">
      <c r="B7248" s="118" t="s">
        <v>4468</v>
      </c>
      <c r="C7248" s="119">
        <v>1976</v>
      </c>
    </row>
    <row r="7249" spans="2:3">
      <c r="B7249" s="118" t="s">
        <v>4483</v>
      </c>
      <c r="C7249" s="119">
        <v>1946</v>
      </c>
    </row>
    <row r="7250" spans="2:3">
      <c r="B7250" s="118" t="s">
        <v>935</v>
      </c>
      <c r="C7250" s="119">
        <v>1945</v>
      </c>
    </row>
    <row r="7251" spans="2:3">
      <c r="B7251" s="118" t="s">
        <v>4484</v>
      </c>
      <c r="C7251" s="119">
        <v>1945</v>
      </c>
    </row>
    <row r="7252" spans="2:3">
      <c r="B7252" s="118" t="s">
        <v>4485</v>
      </c>
      <c r="C7252" s="119">
        <v>1945</v>
      </c>
    </row>
    <row r="7253" spans="2:3">
      <c r="B7253" s="118" t="s">
        <v>4486</v>
      </c>
      <c r="C7253" s="119">
        <v>1945</v>
      </c>
    </row>
    <row r="7254" spans="2:3">
      <c r="B7254" s="118" t="s">
        <v>4487</v>
      </c>
      <c r="C7254" s="119">
        <v>1945</v>
      </c>
    </row>
    <row r="7255" spans="2:3">
      <c r="B7255" s="118" t="s">
        <v>4488</v>
      </c>
      <c r="C7255" s="119">
        <v>1945</v>
      </c>
    </row>
    <row r="7256" spans="2:3">
      <c r="B7256" s="118" t="s">
        <v>4489</v>
      </c>
      <c r="C7256" s="119">
        <v>1945</v>
      </c>
    </row>
    <row r="7257" spans="2:3">
      <c r="B7257" s="118" t="s">
        <v>4490</v>
      </c>
      <c r="C7257" s="119">
        <v>1945</v>
      </c>
    </row>
    <row r="7258" spans="2:3">
      <c r="B7258" s="118" t="s">
        <v>4491</v>
      </c>
      <c r="C7258" s="119">
        <v>1945</v>
      </c>
    </row>
    <row r="7259" spans="2:3">
      <c r="B7259" s="118" t="s">
        <v>4492</v>
      </c>
      <c r="C7259" s="119">
        <v>1945</v>
      </c>
    </row>
    <row r="7260" spans="2:3">
      <c r="B7260" s="118" t="s">
        <v>4493</v>
      </c>
      <c r="C7260" s="119">
        <v>1945</v>
      </c>
    </row>
    <row r="7261" spans="2:3">
      <c r="B7261" s="118" t="s">
        <v>4494</v>
      </c>
      <c r="C7261" s="119">
        <v>1945</v>
      </c>
    </row>
    <row r="7262" spans="2:3">
      <c r="B7262" s="118" t="s">
        <v>4483</v>
      </c>
      <c r="C7262" s="119">
        <v>1946</v>
      </c>
    </row>
    <row r="7263" spans="2:3">
      <c r="B7263" s="118" t="s">
        <v>882</v>
      </c>
      <c r="C7263" s="119">
        <v>1937</v>
      </c>
    </row>
    <row r="7264" spans="2:3">
      <c r="B7264" s="118" t="s">
        <v>4495</v>
      </c>
      <c r="C7264" s="119">
        <v>1938</v>
      </c>
    </row>
    <row r="7265" spans="2:3">
      <c r="B7265" s="118" t="s">
        <v>4496</v>
      </c>
      <c r="C7265" s="119">
        <v>1943</v>
      </c>
    </row>
    <row r="7266" spans="2:3">
      <c r="B7266" s="118" t="s">
        <v>4497</v>
      </c>
      <c r="C7266" s="119">
        <v>1944</v>
      </c>
    </row>
    <row r="7267" spans="2:3">
      <c r="B7267" s="118" t="s">
        <v>924</v>
      </c>
      <c r="C7267" s="119">
        <v>1933</v>
      </c>
    </row>
    <row r="7268" spans="2:3">
      <c r="B7268" s="118" t="s">
        <v>4498</v>
      </c>
      <c r="C7268" s="119">
        <v>1933</v>
      </c>
    </row>
    <row r="7269" spans="2:3">
      <c r="B7269" s="118" t="s">
        <v>4499</v>
      </c>
      <c r="C7269" s="119">
        <v>1933</v>
      </c>
    </row>
    <row r="7270" spans="2:3">
      <c r="B7270" s="118" t="s">
        <v>4500</v>
      </c>
      <c r="C7270" s="119">
        <v>1927</v>
      </c>
    </row>
    <row r="7271" spans="2:3">
      <c r="B7271" s="118" t="s">
        <v>4501</v>
      </c>
      <c r="C7271" s="119">
        <v>1933</v>
      </c>
    </row>
    <row r="7272" spans="2:3">
      <c r="B7272" s="118" t="s">
        <v>4502</v>
      </c>
      <c r="C7272" s="119">
        <v>1934</v>
      </c>
    </row>
    <row r="7273" spans="2:3">
      <c r="B7273" s="118" t="s">
        <v>4503</v>
      </c>
      <c r="C7273" s="119">
        <v>1934</v>
      </c>
    </row>
    <row r="7274" spans="2:3">
      <c r="B7274" s="118" t="s">
        <v>4504</v>
      </c>
      <c r="C7274" s="119">
        <v>1936</v>
      </c>
    </row>
    <row r="7275" spans="2:3">
      <c r="B7275" s="118" t="s">
        <v>894</v>
      </c>
      <c r="C7275" s="119">
        <v>1941</v>
      </c>
    </row>
    <row r="7276" spans="2:3">
      <c r="B7276" s="118" t="s">
        <v>4505</v>
      </c>
      <c r="C7276" s="119">
        <v>1941</v>
      </c>
    </row>
    <row r="7277" spans="2:3">
      <c r="B7277" s="118" t="s">
        <v>4506</v>
      </c>
      <c r="C7277" s="119">
        <v>1942</v>
      </c>
    </row>
    <row r="7278" spans="2:3">
      <c r="B7278" s="118" t="s">
        <v>4507</v>
      </c>
      <c r="C7278" s="119">
        <v>1947</v>
      </c>
    </row>
    <row r="7279" spans="2:3">
      <c r="B7279" s="118" t="s">
        <v>4508</v>
      </c>
      <c r="C7279" s="119">
        <v>1947</v>
      </c>
    </row>
    <row r="7280" spans="2:3">
      <c r="B7280" s="118" t="s">
        <v>4509</v>
      </c>
      <c r="C7280" s="119">
        <v>1948</v>
      </c>
    </row>
    <row r="7281" spans="2:3">
      <c r="B7281" s="118" t="s">
        <v>4510</v>
      </c>
      <c r="C7281" s="119">
        <v>1948</v>
      </c>
    </row>
    <row r="7282" spans="2:3">
      <c r="B7282" s="118" t="s">
        <v>4511</v>
      </c>
      <c r="C7282" s="119">
        <v>1948</v>
      </c>
    </row>
    <row r="7283" spans="2:3">
      <c r="B7283" s="118" t="s">
        <v>958</v>
      </c>
      <c r="C7283" s="119">
        <v>3997</v>
      </c>
    </row>
    <row r="7284" spans="2:3">
      <c r="B7284" s="118" t="s">
        <v>976</v>
      </c>
      <c r="C7284" s="119">
        <v>3996</v>
      </c>
    </row>
    <row r="7285" spans="2:3">
      <c r="B7285" s="118" t="s">
        <v>949</v>
      </c>
      <c r="C7285" s="119">
        <v>3995</v>
      </c>
    </row>
    <row r="7286" spans="2:3">
      <c r="B7286" s="118" t="s">
        <v>4512</v>
      </c>
      <c r="C7286" s="119">
        <v>3995</v>
      </c>
    </row>
    <row r="7287" spans="2:3">
      <c r="B7287" s="118" t="s">
        <v>4513</v>
      </c>
      <c r="C7287" s="119">
        <v>3995</v>
      </c>
    </row>
    <row r="7288" spans="2:3">
      <c r="B7288" s="118" t="s">
        <v>4514</v>
      </c>
      <c r="C7288" s="119">
        <v>3995</v>
      </c>
    </row>
    <row r="7289" spans="2:3">
      <c r="B7289" s="118" t="s">
        <v>929</v>
      </c>
      <c r="C7289" s="119">
        <v>3984</v>
      </c>
    </row>
    <row r="7290" spans="2:3">
      <c r="B7290" s="118" t="s">
        <v>2945</v>
      </c>
      <c r="C7290" s="119">
        <v>3801</v>
      </c>
    </row>
    <row r="7291" spans="2:3">
      <c r="B7291" s="118" t="s">
        <v>929</v>
      </c>
      <c r="C7291" s="119">
        <v>3984</v>
      </c>
    </row>
    <row r="7292" spans="2:3">
      <c r="B7292" s="118" t="s">
        <v>963</v>
      </c>
      <c r="C7292" s="119">
        <v>3984</v>
      </c>
    </row>
    <row r="7293" spans="2:3">
      <c r="B7293" s="118" t="s">
        <v>958</v>
      </c>
      <c r="C7293" s="119">
        <v>3997</v>
      </c>
    </row>
    <row r="7294" spans="2:3">
      <c r="B7294" s="118" t="s">
        <v>929</v>
      </c>
      <c r="C7294" s="119">
        <v>3984</v>
      </c>
    </row>
    <row r="7295" spans="2:3">
      <c r="B7295" s="118" t="s">
        <v>955</v>
      </c>
      <c r="C7295" s="119">
        <v>3993</v>
      </c>
    </row>
    <row r="7296" spans="2:3">
      <c r="B7296" s="118" t="s">
        <v>965</v>
      </c>
      <c r="C7296" s="119">
        <v>3994</v>
      </c>
    </row>
    <row r="7297" spans="2:3">
      <c r="B7297" s="118" t="s">
        <v>4515</v>
      </c>
      <c r="C7297" s="119">
        <v>3988</v>
      </c>
    </row>
    <row r="7298" spans="2:3">
      <c r="B7298" s="118" t="s">
        <v>4516</v>
      </c>
      <c r="C7298" s="119">
        <v>3988</v>
      </c>
    </row>
    <row r="7299" spans="2:3">
      <c r="B7299" s="118" t="s">
        <v>4517</v>
      </c>
      <c r="C7299" s="119">
        <v>3999</v>
      </c>
    </row>
    <row r="7300" spans="2:3">
      <c r="B7300" s="118" t="s">
        <v>4518</v>
      </c>
      <c r="C7300" s="119">
        <v>3985</v>
      </c>
    </row>
    <row r="7301" spans="2:3">
      <c r="B7301" s="118" t="s">
        <v>4519</v>
      </c>
      <c r="C7301" s="119">
        <v>3985</v>
      </c>
    </row>
    <row r="7302" spans="2:3">
      <c r="B7302" s="118" t="s">
        <v>4520</v>
      </c>
      <c r="C7302" s="119">
        <v>3989</v>
      </c>
    </row>
    <row r="7303" spans="2:3">
      <c r="B7303" s="118" t="s">
        <v>4521</v>
      </c>
      <c r="C7303" s="119">
        <v>3989</v>
      </c>
    </row>
    <row r="7304" spans="2:3">
      <c r="B7304" s="118" t="s">
        <v>4522</v>
      </c>
      <c r="C7304" s="119">
        <v>3989</v>
      </c>
    </row>
    <row r="7305" spans="2:3">
      <c r="B7305" s="118" t="s">
        <v>4523</v>
      </c>
      <c r="C7305" s="119">
        <v>3989</v>
      </c>
    </row>
    <row r="7306" spans="2:3">
      <c r="B7306" s="118" t="s">
        <v>4524</v>
      </c>
      <c r="C7306" s="119">
        <v>3989</v>
      </c>
    </row>
    <row r="7307" spans="2:3">
      <c r="B7307" s="118" t="s">
        <v>4525</v>
      </c>
      <c r="C7307" s="119">
        <v>3998</v>
      </c>
    </row>
    <row r="7308" spans="2:3">
      <c r="B7308" s="118" t="s">
        <v>4526</v>
      </c>
      <c r="C7308" s="119">
        <v>3998</v>
      </c>
    </row>
    <row r="7309" spans="2:3">
      <c r="B7309" s="118" t="s">
        <v>4527</v>
      </c>
      <c r="C7309" s="119">
        <v>1958</v>
      </c>
    </row>
    <row r="7310" spans="2:3">
      <c r="B7310" s="118" t="s">
        <v>4528</v>
      </c>
      <c r="C7310" s="119">
        <v>1958</v>
      </c>
    </row>
    <row r="7311" spans="2:3">
      <c r="B7311" s="118" t="s">
        <v>4529</v>
      </c>
      <c r="C7311" s="119">
        <v>1966</v>
      </c>
    </row>
    <row r="7312" spans="2:3">
      <c r="B7312" s="118" t="s">
        <v>4530</v>
      </c>
      <c r="C7312" s="119">
        <v>1966</v>
      </c>
    </row>
    <row r="7313" spans="2:3">
      <c r="B7313" s="118" t="s">
        <v>4531</v>
      </c>
      <c r="C7313" s="119">
        <v>1966</v>
      </c>
    </row>
    <row r="7314" spans="2:3">
      <c r="B7314" s="118" t="s">
        <v>4532</v>
      </c>
      <c r="C7314" s="119">
        <v>1966</v>
      </c>
    </row>
    <row r="7315" spans="2:3">
      <c r="B7315" s="118" t="s">
        <v>4533</v>
      </c>
      <c r="C7315" s="119">
        <v>1966</v>
      </c>
    </row>
    <row r="7316" spans="2:3">
      <c r="B7316" s="118" t="s">
        <v>4534</v>
      </c>
      <c r="C7316" s="119">
        <v>1966</v>
      </c>
    </row>
    <row r="7317" spans="2:3">
      <c r="B7317" s="118" t="s">
        <v>4535</v>
      </c>
      <c r="C7317" s="119">
        <v>1966</v>
      </c>
    </row>
    <row r="7318" spans="2:3">
      <c r="B7318" s="118" t="s">
        <v>4536</v>
      </c>
      <c r="C7318" s="119">
        <v>1966</v>
      </c>
    </row>
    <row r="7319" spans="2:3">
      <c r="B7319" s="118" t="s">
        <v>4537</v>
      </c>
      <c r="C7319" s="119">
        <v>1966</v>
      </c>
    </row>
    <row r="7320" spans="2:3">
      <c r="B7320" s="118" t="s">
        <v>4538</v>
      </c>
      <c r="C7320" s="119">
        <v>1966</v>
      </c>
    </row>
    <row r="7321" spans="2:3">
      <c r="B7321" s="118" t="s">
        <v>4539</v>
      </c>
      <c r="C7321" s="119">
        <v>1972</v>
      </c>
    </row>
    <row r="7322" spans="2:3">
      <c r="B7322" s="118" t="s">
        <v>919</v>
      </c>
      <c r="C7322" s="119">
        <v>1974</v>
      </c>
    </row>
    <row r="7323" spans="2:3">
      <c r="B7323" s="118" t="s">
        <v>903</v>
      </c>
      <c r="C7323" s="119">
        <v>1983</v>
      </c>
    </row>
    <row r="7324" spans="2:3">
      <c r="B7324" s="118" t="s">
        <v>4540</v>
      </c>
      <c r="C7324" s="119">
        <v>1983</v>
      </c>
    </row>
    <row r="7325" spans="2:3">
      <c r="B7325" s="118" t="s">
        <v>4541</v>
      </c>
      <c r="C7325" s="119">
        <v>1984</v>
      </c>
    </row>
    <row r="7326" spans="2:3">
      <c r="B7326" s="118" t="s">
        <v>4542</v>
      </c>
      <c r="C7326" s="119">
        <v>1984</v>
      </c>
    </row>
    <row r="7327" spans="2:3">
      <c r="B7327" s="118" t="s">
        <v>4543</v>
      </c>
      <c r="C7327" s="119">
        <v>1985</v>
      </c>
    </row>
    <row r="7328" spans="2:3">
      <c r="B7328" s="118" t="s">
        <v>4544</v>
      </c>
      <c r="C7328" s="119">
        <v>1985</v>
      </c>
    </row>
    <row r="7329" spans="2:3">
      <c r="B7329" s="118" t="s">
        <v>4545</v>
      </c>
      <c r="C7329" s="119">
        <v>1985</v>
      </c>
    </row>
    <row r="7330" spans="2:3">
      <c r="B7330" s="118" t="s">
        <v>4546</v>
      </c>
      <c r="C7330" s="119">
        <v>1986</v>
      </c>
    </row>
    <row r="7331" spans="2:3">
      <c r="B7331" s="118" t="s">
        <v>4547</v>
      </c>
      <c r="C7331" s="119">
        <v>1982</v>
      </c>
    </row>
    <row r="7332" spans="2:3">
      <c r="B7332" s="118" t="s">
        <v>909</v>
      </c>
      <c r="C7332" s="119">
        <v>1987</v>
      </c>
    </row>
    <row r="7333" spans="2:3">
      <c r="B7333" s="118" t="s">
        <v>4548</v>
      </c>
      <c r="C7333" s="119">
        <v>1969</v>
      </c>
    </row>
    <row r="7334" spans="2:3">
      <c r="B7334" s="118" t="s">
        <v>4549</v>
      </c>
      <c r="C7334" s="119">
        <v>1969</v>
      </c>
    </row>
    <row r="7335" spans="2:3">
      <c r="B7335" s="118" t="s">
        <v>4550</v>
      </c>
      <c r="C7335" s="119">
        <v>1969</v>
      </c>
    </row>
    <row r="7336" spans="2:3">
      <c r="B7336" s="118" t="s">
        <v>4551</v>
      </c>
      <c r="C7336" s="119">
        <v>1969</v>
      </c>
    </row>
    <row r="7337" spans="2:3">
      <c r="B7337" s="118" t="s">
        <v>4552</v>
      </c>
      <c r="C7337" s="119">
        <v>1969</v>
      </c>
    </row>
    <row r="7338" spans="2:3">
      <c r="B7338" s="118" t="s">
        <v>4547</v>
      </c>
      <c r="C7338" s="119">
        <v>1982</v>
      </c>
    </row>
    <row r="7339" spans="2:3">
      <c r="B7339" s="118" t="s">
        <v>4553</v>
      </c>
      <c r="C7339" s="119">
        <v>1967</v>
      </c>
    </row>
    <row r="7340" spans="2:3">
      <c r="B7340" s="118" t="s">
        <v>900</v>
      </c>
      <c r="C7340" s="119">
        <v>1981</v>
      </c>
    </row>
    <row r="7341" spans="2:3">
      <c r="B7341" s="118" t="s">
        <v>4554</v>
      </c>
      <c r="C7341" s="119">
        <v>1988</v>
      </c>
    </row>
    <row r="7342" spans="2:3">
      <c r="B7342" s="118" t="s">
        <v>4555</v>
      </c>
      <c r="C7342" s="119">
        <v>1988</v>
      </c>
    </row>
    <row r="7343" spans="2:3">
      <c r="B7343" s="118" t="s">
        <v>4556</v>
      </c>
      <c r="C7343" s="119">
        <v>1992</v>
      </c>
    </row>
    <row r="7344" spans="2:3">
      <c r="B7344" s="118" t="s">
        <v>4557</v>
      </c>
      <c r="C7344" s="119">
        <v>1992</v>
      </c>
    </row>
    <row r="7345" spans="2:3">
      <c r="B7345" s="118" t="s">
        <v>4558</v>
      </c>
      <c r="C7345" s="119">
        <v>1961</v>
      </c>
    </row>
    <row r="7346" spans="2:3">
      <c r="B7346" s="118" t="s">
        <v>4559</v>
      </c>
      <c r="C7346" s="119">
        <v>1968</v>
      </c>
    </row>
    <row r="7347" spans="2:3">
      <c r="B7347" s="118" t="s">
        <v>4560</v>
      </c>
      <c r="C7347" s="119">
        <v>1973</v>
      </c>
    </row>
    <row r="7348" spans="2:3">
      <c r="B7348" s="118" t="s">
        <v>4561</v>
      </c>
      <c r="C7348" s="119">
        <v>3967</v>
      </c>
    </row>
    <row r="7349" spans="2:3">
      <c r="B7349" s="118" t="s">
        <v>4562</v>
      </c>
      <c r="C7349" s="119">
        <v>3948</v>
      </c>
    </row>
    <row r="7350" spans="2:3">
      <c r="B7350" s="118" t="s">
        <v>936</v>
      </c>
      <c r="C7350" s="119">
        <v>3951</v>
      </c>
    </row>
    <row r="7351" spans="2:3">
      <c r="B7351" s="118" t="s">
        <v>971</v>
      </c>
      <c r="C7351" s="119">
        <v>3955</v>
      </c>
    </row>
    <row r="7352" spans="2:3">
      <c r="B7352" s="118" t="s">
        <v>4563</v>
      </c>
      <c r="C7352" s="119">
        <v>3946</v>
      </c>
    </row>
    <row r="7353" spans="2:3">
      <c r="B7353" s="118" t="s">
        <v>973</v>
      </c>
      <c r="C7353" s="119">
        <v>3947</v>
      </c>
    </row>
    <row r="7354" spans="2:3">
      <c r="B7354" s="118" t="s">
        <v>977</v>
      </c>
      <c r="C7354" s="119">
        <v>3948</v>
      </c>
    </row>
    <row r="7355" spans="2:3">
      <c r="B7355" s="118" t="s">
        <v>978</v>
      </c>
      <c r="C7355" s="119">
        <v>3953</v>
      </c>
    </row>
    <row r="7356" spans="2:3">
      <c r="B7356" s="118" t="s">
        <v>4564</v>
      </c>
      <c r="C7356" s="119">
        <v>3945</v>
      </c>
    </row>
    <row r="7357" spans="2:3">
      <c r="B7357" s="118" t="s">
        <v>936</v>
      </c>
      <c r="C7357" s="119">
        <v>3951</v>
      </c>
    </row>
    <row r="7358" spans="2:3">
      <c r="B7358" s="118" t="s">
        <v>4565</v>
      </c>
      <c r="C7358" s="119">
        <v>3952</v>
      </c>
    </row>
    <row r="7359" spans="2:3">
      <c r="B7359" s="118" t="s">
        <v>4566</v>
      </c>
      <c r="C7359" s="119">
        <v>3953</v>
      </c>
    </row>
    <row r="7360" spans="2:3">
      <c r="B7360" s="118" t="s">
        <v>978</v>
      </c>
      <c r="C7360" s="119">
        <v>3953</v>
      </c>
    </row>
    <row r="7361" spans="2:3">
      <c r="B7361" s="118" t="s">
        <v>957</v>
      </c>
      <c r="C7361" s="119">
        <v>3956</v>
      </c>
    </row>
    <row r="7362" spans="2:3">
      <c r="B7362" s="118" t="s">
        <v>4567</v>
      </c>
      <c r="C7362" s="119">
        <v>3957</v>
      </c>
    </row>
    <row r="7363" spans="2:3">
      <c r="B7363" s="118" t="s">
        <v>907</v>
      </c>
      <c r="C7363" s="119">
        <v>3970</v>
      </c>
    </row>
    <row r="7364" spans="2:3">
      <c r="B7364" s="118" t="s">
        <v>978</v>
      </c>
      <c r="C7364" s="119">
        <v>3953</v>
      </c>
    </row>
    <row r="7365" spans="2:3">
      <c r="B7365" s="118" t="s">
        <v>908</v>
      </c>
      <c r="C7365" s="119">
        <v>3954</v>
      </c>
    </row>
    <row r="7366" spans="2:3">
      <c r="B7366" s="118" t="s">
        <v>4563</v>
      </c>
      <c r="C7366" s="119">
        <v>3946</v>
      </c>
    </row>
    <row r="7367" spans="2:3">
      <c r="B7367" s="118" t="s">
        <v>977</v>
      </c>
      <c r="C7367" s="119">
        <v>3948</v>
      </c>
    </row>
    <row r="7368" spans="2:3">
      <c r="B7368" s="118" t="s">
        <v>907</v>
      </c>
      <c r="C7368" s="119">
        <v>3970</v>
      </c>
    </row>
    <row r="7369" spans="2:3">
      <c r="B7369" s="118" t="s">
        <v>4566</v>
      </c>
      <c r="C7369" s="119">
        <v>3953</v>
      </c>
    </row>
    <row r="7370" spans="2:3">
      <c r="B7370" s="118" t="s">
        <v>943</v>
      </c>
      <c r="C7370" s="119">
        <v>3953</v>
      </c>
    </row>
    <row r="7371" spans="2:3">
      <c r="B7371" s="118" t="s">
        <v>907</v>
      </c>
      <c r="C7371" s="119">
        <v>3970</v>
      </c>
    </row>
    <row r="7372" spans="2:3">
      <c r="B7372" s="118" t="s">
        <v>957</v>
      </c>
      <c r="C7372" s="119">
        <v>3956</v>
      </c>
    </row>
    <row r="7373" spans="2:3">
      <c r="B7373" s="118" t="s">
        <v>4568</v>
      </c>
      <c r="C7373" s="119">
        <v>3940</v>
      </c>
    </row>
    <row r="7374" spans="2:3">
      <c r="B7374" s="118" t="s">
        <v>4569</v>
      </c>
      <c r="C7374" s="119">
        <v>3945</v>
      </c>
    </row>
    <row r="7375" spans="2:3">
      <c r="B7375" s="118" t="s">
        <v>4564</v>
      </c>
      <c r="C7375" s="119">
        <v>3945</v>
      </c>
    </row>
    <row r="7376" spans="2:3">
      <c r="B7376" s="118" t="s">
        <v>4570</v>
      </c>
      <c r="C7376" s="119">
        <v>3957</v>
      </c>
    </row>
    <row r="7377" spans="2:3">
      <c r="B7377" s="118" t="s">
        <v>4568</v>
      </c>
      <c r="C7377" s="119">
        <v>3940</v>
      </c>
    </row>
    <row r="7378" spans="2:3">
      <c r="B7378" s="118" t="s">
        <v>954</v>
      </c>
      <c r="C7378" s="119">
        <v>3943</v>
      </c>
    </row>
    <row r="7379" spans="2:3">
      <c r="B7379" s="118" t="s">
        <v>4571</v>
      </c>
      <c r="C7379" s="119">
        <v>3946</v>
      </c>
    </row>
    <row r="7380" spans="2:3">
      <c r="B7380" s="118" t="s">
        <v>4563</v>
      </c>
      <c r="C7380" s="119">
        <v>3946</v>
      </c>
    </row>
    <row r="7381" spans="2:3">
      <c r="B7381" s="118" t="s">
        <v>4562</v>
      </c>
      <c r="C7381" s="119">
        <v>3948</v>
      </c>
    </row>
    <row r="7382" spans="2:3">
      <c r="B7382" s="118" t="s">
        <v>936</v>
      </c>
      <c r="C7382" s="119">
        <v>3951</v>
      </c>
    </row>
    <row r="7383" spans="2:3">
      <c r="B7383" s="118" t="s">
        <v>4500</v>
      </c>
      <c r="C7383" s="119">
        <v>1927</v>
      </c>
    </row>
    <row r="7384" spans="2:3">
      <c r="B7384" s="118" t="s">
        <v>931</v>
      </c>
      <c r="C7384" s="119">
        <v>1932</v>
      </c>
    </row>
    <row r="7385" spans="2:3">
      <c r="B7385" s="118" t="s">
        <v>4572</v>
      </c>
      <c r="C7385" s="119">
        <v>1932</v>
      </c>
    </row>
    <row r="7386" spans="2:3">
      <c r="B7386" s="118" t="s">
        <v>863</v>
      </c>
      <c r="C7386" s="119">
        <v>1926</v>
      </c>
    </row>
    <row r="7387" spans="2:3">
      <c r="B7387" s="118" t="s">
        <v>933</v>
      </c>
      <c r="C7387" s="119">
        <v>1914</v>
      </c>
    </row>
    <row r="7388" spans="2:3">
      <c r="B7388" s="118" t="s">
        <v>4480</v>
      </c>
      <c r="C7388" s="119">
        <v>1997</v>
      </c>
    </row>
    <row r="7389" spans="2:3">
      <c r="B7389" s="118" t="s">
        <v>4573</v>
      </c>
      <c r="C7389" s="119">
        <v>1911</v>
      </c>
    </row>
    <row r="7390" spans="2:3">
      <c r="B7390" s="118" t="s">
        <v>883</v>
      </c>
      <c r="C7390" s="119">
        <v>1912</v>
      </c>
    </row>
    <row r="7391" spans="2:3">
      <c r="B7391" s="118" t="s">
        <v>4574</v>
      </c>
      <c r="C7391" s="119">
        <v>1912</v>
      </c>
    </row>
    <row r="7392" spans="2:3">
      <c r="B7392" s="118" t="s">
        <v>4575</v>
      </c>
      <c r="C7392" s="119">
        <v>1912</v>
      </c>
    </row>
    <row r="7393" spans="2:3">
      <c r="B7393" s="118" t="s">
        <v>4576</v>
      </c>
      <c r="C7393" s="119">
        <v>1912</v>
      </c>
    </row>
    <row r="7394" spans="2:3">
      <c r="B7394" s="118" t="s">
        <v>898</v>
      </c>
      <c r="C7394" s="119">
        <v>1904</v>
      </c>
    </row>
    <row r="7395" spans="2:3">
      <c r="B7395" s="118" t="s">
        <v>902</v>
      </c>
      <c r="C7395" s="119">
        <v>1906</v>
      </c>
    </row>
    <row r="7396" spans="2:3">
      <c r="B7396" s="118" t="s">
        <v>870</v>
      </c>
      <c r="C7396" s="119">
        <v>1907</v>
      </c>
    </row>
    <row r="7397" spans="2:3">
      <c r="B7397" s="118" t="s">
        <v>856</v>
      </c>
      <c r="C7397" s="119">
        <v>1920</v>
      </c>
    </row>
    <row r="7398" spans="2:3">
      <c r="B7398" s="118" t="s">
        <v>4500</v>
      </c>
      <c r="C7398" s="119">
        <v>1927</v>
      </c>
    </row>
    <row r="7399" spans="2:3">
      <c r="B7399" s="118" t="s">
        <v>4577</v>
      </c>
      <c r="C7399" s="119">
        <v>1928</v>
      </c>
    </row>
    <row r="7400" spans="2:3">
      <c r="B7400" s="118" t="s">
        <v>856</v>
      </c>
      <c r="C7400" s="119">
        <v>1920</v>
      </c>
    </row>
    <row r="7401" spans="2:3">
      <c r="B7401" s="118" t="s">
        <v>4578</v>
      </c>
      <c r="C7401" s="119">
        <v>1921</v>
      </c>
    </row>
    <row r="7402" spans="2:3">
      <c r="B7402" s="118" t="s">
        <v>4577</v>
      </c>
      <c r="C7402" s="119">
        <v>1928</v>
      </c>
    </row>
    <row r="7403" spans="2:3">
      <c r="B7403" s="118" t="s">
        <v>885</v>
      </c>
      <c r="C7403" s="119">
        <v>1908</v>
      </c>
    </row>
    <row r="7404" spans="2:3">
      <c r="B7404" s="118" t="s">
        <v>4579</v>
      </c>
      <c r="C7404" s="119">
        <v>1914</v>
      </c>
    </row>
    <row r="7405" spans="2:3">
      <c r="B7405" s="118" t="s">
        <v>4580</v>
      </c>
      <c r="C7405" s="119">
        <v>1918</v>
      </c>
    </row>
    <row r="7406" spans="2:3">
      <c r="B7406" s="118" t="s">
        <v>4573</v>
      </c>
      <c r="C7406" s="119">
        <v>1911</v>
      </c>
    </row>
    <row r="7407" spans="2:3">
      <c r="B7407" s="118" t="s">
        <v>888</v>
      </c>
      <c r="C7407" s="119">
        <v>1913</v>
      </c>
    </row>
    <row r="7408" spans="2:3">
      <c r="B7408" s="118" t="s">
        <v>870</v>
      </c>
      <c r="C7408" s="119">
        <v>1907</v>
      </c>
    </row>
    <row r="7409" spans="2:3">
      <c r="B7409" s="118" t="s">
        <v>974</v>
      </c>
      <c r="C7409" s="119">
        <v>1929</v>
      </c>
    </row>
    <row r="7410" spans="2:3">
      <c r="B7410" s="118" t="s">
        <v>913</v>
      </c>
      <c r="C7410" s="119">
        <v>1874</v>
      </c>
    </row>
    <row r="7411" spans="2:3">
      <c r="B7411" s="118" t="s">
        <v>4581</v>
      </c>
      <c r="C7411" s="119">
        <v>1868</v>
      </c>
    </row>
    <row r="7412" spans="2:3">
      <c r="B7412" s="118" t="s">
        <v>4581</v>
      </c>
      <c r="C7412" s="119">
        <v>1868</v>
      </c>
    </row>
    <row r="7413" spans="2:3">
      <c r="B7413" s="118" t="s">
        <v>872</v>
      </c>
      <c r="C7413" s="119">
        <v>1872</v>
      </c>
    </row>
    <row r="7414" spans="2:3">
      <c r="B7414" s="118" t="s">
        <v>4582</v>
      </c>
      <c r="C7414" s="119">
        <v>1893</v>
      </c>
    </row>
    <row r="7415" spans="2:3">
      <c r="B7415" s="118" t="s">
        <v>857</v>
      </c>
      <c r="C7415" s="119">
        <v>1870</v>
      </c>
    </row>
    <row r="7416" spans="2:3">
      <c r="B7416" s="118" t="s">
        <v>857</v>
      </c>
      <c r="C7416" s="119">
        <v>1870</v>
      </c>
    </row>
    <row r="7417" spans="2:3">
      <c r="B7417" s="118" t="s">
        <v>4583</v>
      </c>
      <c r="C7417" s="119">
        <v>1871</v>
      </c>
    </row>
    <row r="7418" spans="2:3">
      <c r="B7418" s="118" t="s">
        <v>4584</v>
      </c>
      <c r="C7418" s="119">
        <v>1871</v>
      </c>
    </row>
    <row r="7419" spans="2:3">
      <c r="B7419" s="118" t="s">
        <v>4582</v>
      </c>
      <c r="C7419" s="119">
        <v>1893</v>
      </c>
    </row>
    <row r="7420" spans="2:3">
      <c r="B7420" s="118" t="s">
        <v>4585</v>
      </c>
      <c r="C7420" s="119">
        <v>1897</v>
      </c>
    </row>
    <row r="7421" spans="2:3">
      <c r="B7421" s="118" t="s">
        <v>4586</v>
      </c>
      <c r="C7421" s="119">
        <v>1897</v>
      </c>
    </row>
    <row r="7422" spans="2:3">
      <c r="B7422" s="118" t="s">
        <v>4587</v>
      </c>
      <c r="C7422" s="119">
        <v>1898</v>
      </c>
    </row>
    <row r="7423" spans="2:3">
      <c r="B7423" s="118" t="s">
        <v>4587</v>
      </c>
      <c r="C7423" s="119">
        <v>1898</v>
      </c>
    </row>
    <row r="7424" spans="2:3">
      <c r="B7424" s="118" t="s">
        <v>4584</v>
      </c>
      <c r="C7424" s="119">
        <v>1871</v>
      </c>
    </row>
    <row r="7425" spans="2:3">
      <c r="B7425" s="118" t="s">
        <v>872</v>
      </c>
      <c r="C7425" s="119">
        <v>1872</v>
      </c>
    </row>
    <row r="7426" spans="2:3">
      <c r="B7426" s="118" t="s">
        <v>4588</v>
      </c>
      <c r="C7426" s="119">
        <v>1875</v>
      </c>
    </row>
    <row r="7427" spans="2:3">
      <c r="B7427" s="118" t="s">
        <v>897</v>
      </c>
      <c r="C7427" s="119">
        <v>1873</v>
      </c>
    </row>
    <row r="7428" spans="2:3">
      <c r="B7428" s="118" t="s">
        <v>4589</v>
      </c>
      <c r="C7428" s="119">
        <v>1873</v>
      </c>
    </row>
    <row r="7429" spans="2:3">
      <c r="B7429" s="118" t="s">
        <v>4590</v>
      </c>
      <c r="C7429" s="119">
        <v>1873</v>
      </c>
    </row>
    <row r="7430" spans="2:3">
      <c r="B7430" s="118" t="s">
        <v>887</v>
      </c>
      <c r="C7430" s="119">
        <v>1895</v>
      </c>
    </row>
    <row r="7431" spans="2:3">
      <c r="B7431" s="118" t="s">
        <v>4591</v>
      </c>
      <c r="C7431" s="119">
        <v>1899</v>
      </c>
    </row>
    <row r="7432" spans="2:3">
      <c r="B7432" s="118" t="s">
        <v>875</v>
      </c>
      <c r="C7432" s="119">
        <v>1896</v>
      </c>
    </row>
    <row r="7433" spans="2:3">
      <c r="B7433" s="118" t="s">
        <v>4592</v>
      </c>
      <c r="C7433" s="119">
        <v>1896</v>
      </c>
    </row>
    <row r="7434" spans="2:3">
      <c r="B7434" s="118" t="s">
        <v>4586</v>
      </c>
      <c r="C7434" s="119">
        <v>1897</v>
      </c>
    </row>
    <row r="7435" spans="2:3">
      <c r="B7435" s="118" t="s">
        <v>4591</v>
      </c>
      <c r="C7435" s="119">
        <v>1899</v>
      </c>
    </row>
    <row r="7436" spans="2:3">
      <c r="B7436" s="118" t="s">
        <v>980</v>
      </c>
      <c r="C7436" s="119">
        <v>3983</v>
      </c>
    </row>
    <row r="7437" spans="2:3">
      <c r="B7437" s="118" t="s">
        <v>4453</v>
      </c>
      <c r="C7437" s="119">
        <v>3914</v>
      </c>
    </row>
    <row r="7438" spans="2:3">
      <c r="B7438" s="118" t="s">
        <v>926</v>
      </c>
      <c r="C7438" s="119">
        <v>3982</v>
      </c>
    </row>
    <row r="7439" spans="2:3">
      <c r="B7439" s="118" t="s">
        <v>955</v>
      </c>
      <c r="C7439" s="119">
        <v>3993</v>
      </c>
    </row>
    <row r="7440" spans="2:3">
      <c r="B7440" s="118" t="s">
        <v>4593</v>
      </c>
      <c r="C7440" s="119">
        <v>3994</v>
      </c>
    </row>
    <row r="7441" spans="2:3">
      <c r="B7441" s="118" t="s">
        <v>976</v>
      </c>
      <c r="C7441" s="119">
        <v>3996</v>
      </c>
    </row>
    <row r="7442" spans="2:3">
      <c r="B7442" s="118" t="s">
        <v>926</v>
      </c>
      <c r="C7442" s="119">
        <v>3982</v>
      </c>
    </row>
    <row r="7443" spans="2:3">
      <c r="B7443" s="118" t="s">
        <v>4594</v>
      </c>
      <c r="C7443" s="119">
        <v>3983</v>
      </c>
    </row>
    <row r="7444" spans="2:3">
      <c r="B7444" s="118" t="s">
        <v>4595</v>
      </c>
      <c r="C7444" s="119">
        <v>3983</v>
      </c>
    </row>
    <row r="7445" spans="2:3">
      <c r="B7445" s="118" t="s">
        <v>4596</v>
      </c>
      <c r="C7445" s="119">
        <v>3986</v>
      </c>
    </row>
    <row r="7446" spans="2:3">
      <c r="B7446" s="118" t="s">
        <v>950</v>
      </c>
      <c r="C7446" s="119">
        <v>3987</v>
      </c>
    </row>
    <row r="7447" spans="2:3">
      <c r="B7447" s="118" t="s">
        <v>944</v>
      </c>
      <c r="C7447" s="119">
        <v>3938</v>
      </c>
    </row>
    <row r="7448" spans="2:3">
      <c r="B7448" s="118" t="s">
        <v>4597</v>
      </c>
      <c r="C7448" s="119">
        <v>3942</v>
      </c>
    </row>
    <row r="7449" spans="2:3">
      <c r="B7449" s="118" t="s">
        <v>4598</v>
      </c>
      <c r="C7449" s="119">
        <v>3919</v>
      </c>
    </row>
    <row r="7450" spans="2:3">
      <c r="B7450" s="118" t="s">
        <v>938</v>
      </c>
      <c r="C7450" s="119">
        <v>3935</v>
      </c>
    </row>
    <row r="7451" spans="2:3">
      <c r="B7451" s="118" t="s">
        <v>954</v>
      </c>
      <c r="C7451" s="119">
        <v>3943</v>
      </c>
    </row>
    <row r="7452" spans="2:3">
      <c r="B7452" s="118" t="s">
        <v>970</v>
      </c>
      <c r="C7452" s="119">
        <v>3916</v>
      </c>
    </row>
    <row r="7453" spans="2:3">
      <c r="B7453" s="118" t="s">
        <v>4599</v>
      </c>
      <c r="C7453" s="119">
        <v>3917</v>
      </c>
    </row>
    <row r="7454" spans="2:3">
      <c r="B7454" s="118" t="s">
        <v>964</v>
      </c>
      <c r="C7454" s="119">
        <v>3917</v>
      </c>
    </row>
    <row r="7455" spans="2:3">
      <c r="B7455" s="118" t="s">
        <v>4568</v>
      </c>
      <c r="C7455" s="119">
        <v>3940</v>
      </c>
    </row>
    <row r="7456" spans="2:3">
      <c r="B7456" s="118" t="s">
        <v>896</v>
      </c>
      <c r="C7456" s="119">
        <v>3942</v>
      </c>
    </row>
    <row r="7457" spans="2:3">
      <c r="B7457" s="118" t="s">
        <v>939</v>
      </c>
      <c r="C7457" s="119">
        <v>3942</v>
      </c>
    </row>
    <row r="7458" spans="2:3">
      <c r="B7458" s="118" t="s">
        <v>954</v>
      </c>
      <c r="C7458" s="119">
        <v>3943</v>
      </c>
    </row>
    <row r="7459" spans="2:3">
      <c r="B7459" s="118" t="s">
        <v>4600</v>
      </c>
      <c r="C7459" s="119">
        <v>3949</v>
      </c>
    </row>
    <row r="7460" spans="2:3">
      <c r="B7460" s="118" t="s">
        <v>866</v>
      </c>
      <c r="C7460" s="119">
        <v>3930</v>
      </c>
    </row>
    <row r="7461" spans="2:3">
      <c r="B7461" s="118" t="s">
        <v>896</v>
      </c>
      <c r="C7461" s="119">
        <v>3942</v>
      </c>
    </row>
    <row r="7462" spans="2:3">
      <c r="B7462" s="118" t="s">
        <v>939</v>
      </c>
      <c r="C7462" s="119">
        <v>3942</v>
      </c>
    </row>
    <row r="7463" spans="2:3">
      <c r="B7463" s="118" t="s">
        <v>4597</v>
      </c>
      <c r="C7463" s="119">
        <v>3942</v>
      </c>
    </row>
    <row r="7464" spans="2:3">
      <c r="B7464" s="118" t="s">
        <v>896</v>
      </c>
      <c r="C7464" s="119">
        <v>3942</v>
      </c>
    </row>
    <row r="7465" spans="2:3">
      <c r="B7465" s="118" t="s">
        <v>4601</v>
      </c>
      <c r="C7465" s="119">
        <v>3944</v>
      </c>
    </row>
    <row r="7466" spans="2:3">
      <c r="B7466" s="118" t="s">
        <v>946</v>
      </c>
      <c r="C7466" s="119">
        <v>3918</v>
      </c>
    </row>
    <row r="7467" spans="2:3">
      <c r="B7467" s="118" t="s">
        <v>4602</v>
      </c>
      <c r="C7467" s="119">
        <v>3983</v>
      </c>
    </row>
    <row r="7468" spans="2:3">
      <c r="B7468" s="118" t="s">
        <v>4603</v>
      </c>
      <c r="C7468" s="119">
        <v>3983</v>
      </c>
    </row>
    <row r="7469" spans="2:3">
      <c r="B7469" s="118" t="s">
        <v>4568</v>
      </c>
      <c r="C7469" s="119">
        <v>3940</v>
      </c>
    </row>
    <row r="7470" spans="2:3">
      <c r="B7470" s="118" t="s">
        <v>4600</v>
      </c>
      <c r="C7470" s="119">
        <v>3949</v>
      </c>
    </row>
    <row r="7471" spans="2:3">
      <c r="B7471" s="118" t="s">
        <v>4594</v>
      </c>
      <c r="C7471" s="119">
        <v>3983</v>
      </c>
    </row>
    <row r="7472" spans="2:3">
      <c r="B7472" s="118" t="s">
        <v>4604</v>
      </c>
      <c r="C7472" s="119">
        <v>3991</v>
      </c>
    </row>
    <row r="7473" spans="2:3">
      <c r="B7473" s="118" t="s">
        <v>952</v>
      </c>
      <c r="C7473" s="119">
        <v>3992</v>
      </c>
    </row>
    <row r="7474" spans="2:3">
      <c r="B7474" s="118" t="s">
        <v>4593</v>
      </c>
      <c r="C7474" s="119">
        <v>3994</v>
      </c>
    </row>
    <row r="7475" spans="2:3">
      <c r="B7475" s="118" t="s">
        <v>934</v>
      </c>
      <c r="C7475" s="119">
        <v>1903</v>
      </c>
    </row>
    <row r="7476" spans="2:3">
      <c r="B7476" s="118" t="s">
        <v>928</v>
      </c>
      <c r="C7476" s="119">
        <v>1905</v>
      </c>
    </row>
    <row r="7477" spans="2:3">
      <c r="B7477" s="118" t="s">
        <v>918</v>
      </c>
      <c r="C7477" s="119">
        <v>1902</v>
      </c>
    </row>
    <row r="7478" spans="2:3">
      <c r="B7478" s="118" t="s">
        <v>959</v>
      </c>
      <c r="C7478" s="119">
        <v>1925</v>
      </c>
    </row>
    <row r="7479" spans="2:3">
      <c r="B7479" s="118" t="s">
        <v>4605</v>
      </c>
      <c r="C7479" s="119">
        <v>1925</v>
      </c>
    </row>
    <row r="7480" spans="2:3">
      <c r="B7480" s="118" t="s">
        <v>901</v>
      </c>
      <c r="C7480" s="119">
        <v>1869</v>
      </c>
    </row>
    <row r="7481" spans="2:3">
      <c r="B7481" s="118" t="s">
        <v>4584</v>
      </c>
      <c r="C7481" s="119">
        <v>1871</v>
      </c>
    </row>
    <row r="7482" spans="2:3">
      <c r="B7482" s="118" t="s">
        <v>937</v>
      </c>
      <c r="C7482" s="119">
        <v>1891</v>
      </c>
    </row>
    <row r="7483" spans="2:3">
      <c r="B7483" s="118" t="s">
        <v>4606</v>
      </c>
      <c r="C7483" s="119">
        <v>1890</v>
      </c>
    </row>
    <row r="7484" spans="2:3">
      <c r="B7484" s="118" t="s">
        <v>4607</v>
      </c>
      <c r="C7484" s="119">
        <v>1890</v>
      </c>
    </row>
    <row r="7485" spans="2:3">
      <c r="B7485" s="118" t="s">
        <v>918</v>
      </c>
      <c r="C7485" s="119">
        <v>1902</v>
      </c>
    </row>
    <row r="7486" spans="2:3">
      <c r="B7486" s="118" t="s">
        <v>856</v>
      </c>
      <c r="C7486" s="119">
        <v>1920</v>
      </c>
    </row>
    <row r="7487" spans="2:3">
      <c r="B7487" s="118" t="s">
        <v>910</v>
      </c>
      <c r="C7487" s="119">
        <v>1922</v>
      </c>
    </row>
    <row r="7488" spans="2:3">
      <c r="B7488" s="118" t="s">
        <v>4608</v>
      </c>
      <c r="C7488" s="119">
        <v>1922</v>
      </c>
    </row>
    <row r="7489" spans="2:3">
      <c r="B7489" s="118" t="s">
        <v>4609</v>
      </c>
      <c r="C7489" s="119">
        <v>1923</v>
      </c>
    </row>
    <row r="7490" spans="2:3">
      <c r="B7490" s="118" t="s">
        <v>4610</v>
      </c>
      <c r="C7490" s="119">
        <v>1923</v>
      </c>
    </row>
    <row r="7491" spans="2:3">
      <c r="B7491" s="118" t="s">
        <v>898</v>
      </c>
      <c r="C7491" s="119">
        <v>1904</v>
      </c>
    </row>
    <row r="7492" spans="2:3">
      <c r="B7492" s="118" t="s">
        <v>856</v>
      </c>
      <c r="C7492" s="119">
        <v>1920</v>
      </c>
    </row>
    <row r="7493" spans="2:3">
      <c r="B7493" s="118" t="s">
        <v>937</v>
      </c>
      <c r="C7493" s="119">
        <v>1891</v>
      </c>
    </row>
    <row r="7494" spans="2:3">
      <c r="B7494" s="118" t="s">
        <v>880</v>
      </c>
      <c r="C7494" s="119">
        <v>3966</v>
      </c>
    </row>
    <row r="7495" spans="2:3">
      <c r="B7495" s="118" t="s">
        <v>4611</v>
      </c>
      <c r="C7495" s="119">
        <v>3966</v>
      </c>
    </row>
    <row r="7496" spans="2:3">
      <c r="B7496" s="118" t="s">
        <v>4561</v>
      </c>
      <c r="C7496" s="119">
        <v>3967</v>
      </c>
    </row>
    <row r="7497" spans="2:3">
      <c r="B7497" s="118" t="s">
        <v>889</v>
      </c>
      <c r="C7497" s="119">
        <v>3979</v>
      </c>
    </row>
    <row r="7498" spans="2:3">
      <c r="B7498" s="118" t="s">
        <v>905</v>
      </c>
      <c r="C7498" s="119">
        <v>3965</v>
      </c>
    </row>
    <row r="7499" spans="2:3">
      <c r="B7499" s="118" t="s">
        <v>4561</v>
      </c>
      <c r="C7499" s="119">
        <v>3967</v>
      </c>
    </row>
    <row r="7500" spans="2:3">
      <c r="B7500" s="118" t="s">
        <v>889</v>
      </c>
      <c r="C7500" s="119">
        <v>3979</v>
      </c>
    </row>
    <row r="7501" spans="2:3">
      <c r="B7501" s="118" t="s">
        <v>947</v>
      </c>
      <c r="C7501" s="119">
        <v>1977</v>
      </c>
    </row>
    <row r="7502" spans="2:3">
      <c r="B7502" s="118" t="s">
        <v>874</v>
      </c>
      <c r="C7502" s="119">
        <v>1978</v>
      </c>
    </row>
    <row r="7503" spans="2:3">
      <c r="B7503" s="118" t="s">
        <v>860</v>
      </c>
      <c r="C7503" s="119">
        <v>3963</v>
      </c>
    </row>
    <row r="7504" spans="2:3">
      <c r="B7504" s="118" t="s">
        <v>4612</v>
      </c>
      <c r="C7504" s="119">
        <v>3963</v>
      </c>
    </row>
    <row r="7505" spans="2:3">
      <c r="B7505" s="118" t="s">
        <v>874</v>
      </c>
      <c r="C7505" s="119">
        <v>1978</v>
      </c>
    </row>
    <row r="7506" spans="2:3">
      <c r="B7506" s="118" t="s">
        <v>4612</v>
      </c>
      <c r="C7506" s="119">
        <v>3963</v>
      </c>
    </row>
    <row r="7507" spans="2:3">
      <c r="B7507" s="118" t="s">
        <v>4613</v>
      </c>
      <c r="C7507" s="119">
        <v>3971</v>
      </c>
    </row>
    <row r="7508" spans="2:3">
      <c r="B7508" s="118" t="s">
        <v>4614</v>
      </c>
      <c r="C7508" s="119">
        <v>3971</v>
      </c>
    </row>
    <row r="7509" spans="2:3">
      <c r="B7509" s="118" t="s">
        <v>4615</v>
      </c>
      <c r="C7509" s="119">
        <v>3978</v>
      </c>
    </row>
    <row r="7510" spans="2:3">
      <c r="B7510" s="118" t="s">
        <v>4527</v>
      </c>
      <c r="C7510" s="119">
        <v>1958</v>
      </c>
    </row>
    <row r="7511" spans="2:3">
      <c r="B7511" s="118" t="s">
        <v>947</v>
      </c>
      <c r="C7511" s="119">
        <v>1977</v>
      </c>
    </row>
    <row r="7512" spans="2:3">
      <c r="B7512" s="118" t="s">
        <v>4615</v>
      </c>
      <c r="C7512" s="119">
        <v>3978</v>
      </c>
    </row>
    <row r="7513" spans="2:3">
      <c r="B7513" s="118" t="s">
        <v>4527</v>
      </c>
      <c r="C7513" s="119">
        <v>1958</v>
      </c>
    </row>
    <row r="7514" spans="2:3">
      <c r="B7514" s="118" t="s">
        <v>2688</v>
      </c>
      <c r="C7514" s="119">
        <v>3960</v>
      </c>
    </row>
    <row r="7515" spans="2:3">
      <c r="B7515" s="118" t="s">
        <v>4616</v>
      </c>
      <c r="C7515" s="119">
        <v>3960</v>
      </c>
    </row>
    <row r="7516" spans="2:3">
      <c r="B7516" s="118" t="s">
        <v>905</v>
      </c>
      <c r="C7516" s="119">
        <v>3965</v>
      </c>
    </row>
    <row r="7517" spans="2:3">
      <c r="B7517" s="118" t="s">
        <v>880</v>
      </c>
      <c r="C7517" s="119">
        <v>3966</v>
      </c>
    </row>
    <row r="7518" spans="2:3">
      <c r="B7518" s="118" t="s">
        <v>4611</v>
      </c>
      <c r="C7518" s="119">
        <v>3966</v>
      </c>
    </row>
    <row r="7519" spans="2:3">
      <c r="B7519" s="118" t="s">
        <v>4614</v>
      </c>
      <c r="C7519" s="119">
        <v>3971</v>
      </c>
    </row>
    <row r="7520" spans="2:3">
      <c r="B7520" s="118" t="s">
        <v>4617</v>
      </c>
      <c r="C7520" s="119">
        <v>3976</v>
      </c>
    </row>
    <row r="7521" spans="2:3">
      <c r="B7521" s="118" t="s">
        <v>4618</v>
      </c>
      <c r="C7521" s="119">
        <v>3976</v>
      </c>
    </row>
    <row r="7522" spans="2:3">
      <c r="B7522" s="118" t="s">
        <v>4619</v>
      </c>
      <c r="C7522" s="119">
        <v>3977</v>
      </c>
    </row>
    <row r="7523" spans="2:3">
      <c r="B7523" s="118" t="s">
        <v>4620</v>
      </c>
      <c r="C7523" s="119">
        <v>3960</v>
      </c>
    </row>
    <row r="7524" spans="2:3">
      <c r="B7524" s="118" t="s">
        <v>4621</v>
      </c>
      <c r="C7524" s="119">
        <v>3961</v>
      </c>
    </row>
    <row r="7525" spans="2:3">
      <c r="B7525" s="118" t="s">
        <v>4622</v>
      </c>
      <c r="C7525" s="119">
        <v>3961</v>
      </c>
    </row>
    <row r="7526" spans="2:3">
      <c r="B7526" s="118" t="s">
        <v>4623</v>
      </c>
      <c r="C7526" s="119">
        <v>3961</v>
      </c>
    </row>
    <row r="7527" spans="2:3">
      <c r="B7527" s="118" t="s">
        <v>4624</v>
      </c>
      <c r="C7527" s="119">
        <v>3961</v>
      </c>
    </row>
    <row r="7528" spans="2:3">
      <c r="B7528" s="118" t="s">
        <v>4625</v>
      </c>
      <c r="C7528" s="119">
        <v>3961</v>
      </c>
    </row>
    <row r="7529" spans="2:3">
      <c r="B7529" s="118" t="s">
        <v>4626</v>
      </c>
      <c r="C7529" s="119">
        <v>3961</v>
      </c>
    </row>
    <row r="7530" spans="2:3">
      <c r="B7530" s="118" t="s">
        <v>4627</v>
      </c>
      <c r="C7530" s="119">
        <v>3961</v>
      </c>
    </row>
    <row r="7531" spans="2:3">
      <c r="B7531" s="118" t="s">
        <v>4628</v>
      </c>
      <c r="C7531" s="119">
        <v>3961</v>
      </c>
    </row>
    <row r="7532" spans="2:3">
      <c r="B7532" s="118" t="s">
        <v>2688</v>
      </c>
      <c r="C7532" s="119">
        <v>3960</v>
      </c>
    </row>
    <row r="7533" spans="2:3">
      <c r="B7533" s="118" t="s">
        <v>4629</v>
      </c>
      <c r="C7533" s="119">
        <v>3960</v>
      </c>
    </row>
    <row r="7534" spans="2:3">
      <c r="B7534" s="118" t="s">
        <v>4630</v>
      </c>
      <c r="C7534" s="119">
        <v>3960</v>
      </c>
    </row>
    <row r="7535" spans="2:3">
      <c r="B7535" s="118" t="s">
        <v>860</v>
      </c>
      <c r="C7535" s="119">
        <v>3963</v>
      </c>
    </row>
    <row r="7536" spans="2:3">
      <c r="B7536" s="118" t="s">
        <v>4631</v>
      </c>
      <c r="C7536" s="119">
        <v>3963</v>
      </c>
    </row>
    <row r="7537" spans="2:3">
      <c r="B7537" s="118" t="s">
        <v>4632</v>
      </c>
      <c r="C7537" s="119">
        <v>3963</v>
      </c>
    </row>
    <row r="7538" spans="2:3">
      <c r="B7538" s="118" t="s">
        <v>907</v>
      </c>
      <c r="C7538" s="119">
        <v>3970</v>
      </c>
    </row>
    <row r="7539" spans="2:3">
      <c r="B7539" s="118" t="s">
        <v>4633</v>
      </c>
      <c r="C7539" s="119">
        <v>3971</v>
      </c>
    </row>
    <row r="7540" spans="2:3">
      <c r="B7540" s="118" t="s">
        <v>4613</v>
      </c>
      <c r="C7540" s="119">
        <v>3971</v>
      </c>
    </row>
    <row r="7541" spans="2:3">
      <c r="B7541" s="118" t="s">
        <v>4614</v>
      </c>
      <c r="C7541" s="119">
        <v>3971</v>
      </c>
    </row>
    <row r="7542" spans="2:3">
      <c r="B7542" s="118" t="s">
        <v>912</v>
      </c>
      <c r="C7542" s="119">
        <v>3972</v>
      </c>
    </row>
    <row r="7543" spans="2:3">
      <c r="B7543" s="118" t="s">
        <v>917</v>
      </c>
      <c r="C7543" s="119">
        <v>3973</v>
      </c>
    </row>
    <row r="7544" spans="2:3">
      <c r="B7544" s="118" t="s">
        <v>4634</v>
      </c>
      <c r="C7544" s="119">
        <v>3974</v>
      </c>
    </row>
    <row r="7545" spans="2:3">
      <c r="B7545" s="118" t="s">
        <v>4635</v>
      </c>
      <c r="C7545" s="119">
        <v>3975</v>
      </c>
    </row>
    <row r="7546" spans="2:3">
      <c r="B7546" s="118" t="s">
        <v>4617</v>
      </c>
      <c r="C7546" s="119">
        <v>3976</v>
      </c>
    </row>
    <row r="7547" spans="2:3">
      <c r="B7547" s="118" t="s">
        <v>4618</v>
      </c>
      <c r="C7547" s="119">
        <v>3976</v>
      </c>
    </row>
    <row r="7548" spans="2:3">
      <c r="B7548" s="118" t="s">
        <v>2688</v>
      </c>
      <c r="C7548" s="119">
        <v>3960</v>
      </c>
    </row>
    <row r="7549" spans="2:3">
      <c r="B7549" s="118" t="s">
        <v>899</v>
      </c>
      <c r="C7549" s="119">
        <v>3968</v>
      </c>
    </row>
    <row r="7550" spans="2:3">
      <c r="B7550" s="118" t="s">
        <v>907</v>
      </c>
      <c r="C7550" s="119">
        <v>3970</v>
      </c>
    </row>
    <row r="7551" spans="2:3">
      <c r="B7551" s="118" t="s">
        <v>912</v>
      </c>
      <c r="C7551" s="119">
        <v>3972</v>
      </c>
    </row>
    <row r="7552" spans="2:3">
      <c r="B7552" s="118" t="s">
        <v>917</v>
      </c>
      <c r="C7552" s="119">
        <v>3973</v>
      </c>
    </row>
    <row r="7553" spans="2:3">
      <c r="B7553" s="118" t="s">
        <v>4539</v>
      </c>
      <c r="C7553" s="119">
        <v>1972</v>
      </c>
    </row>
    <row r="7554" spans="2:3">
      <c r="B7554" s="118" t="s">
        <v>919</v>
      </c>
      <c r="C7554" s="119">
        <v>1974</v>
      </c>
    </row>
    <row r="7555" spans="2:3">
      <c r="B7555" s="118" t="s">
        <v>2689</v>
      </c>
      <c r="C7555" s="119">
        <v>1950</v>
      </c>
    </row>
    <row r="7556" spans="2:3">
      <c r="B7556" s="118" t="s">
        <v>4538</v>
      </c>
      <c r="C7556" s="119">
        <v>1966</v>
      </c>
    </row>
    <row r="7557" spans="2:3">
      <c r="B7557" s="118" t="s">
        <v>881</v>
      </c>
      <c r="C7557" s="119">
        <v>1971</v>
      </c>
    </row>
    <row r="7558" spans="2:3">
      <c r="B7558" s="118" t="s">
        <v>4636</v>
      </c>
      <c r="C7558" s="119">
        <v>1971</v>
      </c>
    </row>
    <row r="7559" spans="2:3">
      <c r="B7559" s="118" t="s">
        <v>2689</v>
      </c>
      <c r="C7559" s="119">
        <v>1950</v>
      </c>
    </row>
    <row r="7560" spans="2:3">
      <c r="B7560" s="118" t="s">
        <v>4637</v>
      </c>
      <c r="C7560" s="119">
        <v>1962</v>
      </c>
    </row>
    <row r="7561" spans="2:3">
      <c r="B7561" s="118" t="s">
        <v>867</v>
      </c>
      <c r="C7561" s="119">
        <v>1965</v>
      </c>
    </row>
    <row r="7562" spans="2:3">
      <c r="B7562" s="118" t="s">
        <v>2689</v>
      </c>
      <c r="C7562" s="119">
        <v>1950</v>
      </c>
    </row>
    <row r="7563" spans="2:3">
      <c r="B7563" s="118" t="s">
        <v>4528</v>
      </c>
      <c r="C7563" s="119">
        <v>1958</v>
      </c>
    </row>
    <row r="7564" spans="2:3">
      <c r="B7564" s="118" t="s">
        <v>4637</v>
      </c>
      <c r="C7564" s="119">
        <v>1962</v>
      </c>
    </row>
    <row r="7565" spans="2:3">
      <c r="B7565" s="118" t="s">
        <v>4553</v>
      </c>
      <c r="C7565" s="119">
        <v>1967</v>
      </c>
    </row>
    <row r="7566" spans="2:3">
      <c r="B7566" s="118" t="s">
        <v>4636</v>
      </c>
      <c r="C7566" s="119">
        <v>1971</v>
      </c>
    </row>
    <row r="7567" spans="2:3">
      <c r="B7567" s="118" t="s">
        <v>4638</v>
      </c>
      <c r="C7567" s="119">
        <v>1991</v>
      </c>
    </row>
    <row r="7568" spans="2:3">
      <c r="B7568" s="118" t="s">
        <v>4639</v>
      </c>
      <c r="C7568" s="119">
        <v>1991</v>
      </c>
    </row>
    <row r="7569" spans="2:3">
      <c r="B7569" s="118" t="s">
        <v>4640</v>
      </c>
      <c r="C7569" s="119">
        <v>1991</v>
      </c>
    </row>
    <row r="7570" spans="2:3">
      <c r="B7570" s="118" t="s">
        <v>4641</v>
      </c>
      <c r="C7570" s="119">
        <v>1991</v>
      </c>
    </row>
    <row r="7571" spans="2:3">
      <c r="B7571" s="118" t="s">
        <v>4642</v>
      </c>
      <c r="C7571" s="119">
        <v>1991</v>
      </c>
    </row>
    <row r="7572" spans="2:3">
      <c r="B7572" s="118" t="s">
        <v>4556</v>
      </c>
      <c r="C7572" s="119">
        <v>1992</v>
      </c>
    </row>
    <row r="7573" spans="2:3">
      <c r="B7573" s="118" t="s">
        <v>4557</v>
      </c>
      <c r="C7573" s="119">
        <v>1992</v>
      </c>
    </row>
    <row r="7574" spans="2:3">
      <c r="B7574" s="118" t="s">
        <v>4643</v>
      </c>
      <c r="C7574" s="119">
        <v>1992</v>
      </c>
    </row>
    <row r="7575" spans="2:3">
      <c r="B7575" s="118" t="s">
        <v>4644</v>
      </c>
      <c r="C7575" s="119">
        <v>1992</v>
      </c>
    </row>
    <row r="7576" spans="2:3">
      <c r="B7576" s="118" t="s">
        <v>945</v>
      </c>
      <c r="C7576" s="119">
        <v>1993</v>
      </c>
    </row>
    <row r="7577" spans="2:3">
      <c r="B7577" s="118" t="s">
        <v>4471</v>
      </c>
      <c r="C7577" s="119">
        <v>1994</v>
      </c>
    </row>
    <row r="7578" spans="2:3">
      <c r="B7578" s="118" t="s">
        <v>4638</v>
      </c>
      <c r="C7578" s="119">
        <v>1991</v>
      </c>
    </row>
    <row r="7579" spans="2:3">
      <c r="B7579" s="118" t="s">
        <v>945</v>
      </c>
      <c r="C7579" s="119">
        <v>1993</v>
      </c>
    </row>
    <row r="7580" spans="2:3">
      <c r="B7580" s="118" t="s">
        <v>866</v>
      </c>
      <c r="C7580" s="119">
        <v>3930</v>
      </c>
    </row>
    <row r="7581" spans="2:3">
      <c r="B7581" s="118" t="s">
        <v>914</v>
      </c>
      <c r="C7581" s="119">
        <v>3937</v>
      </c>
    </row>
    <row r="7582" spans="2:3">
      <c r="B7582" s="118" t="s">
        <v>914</v>
      </c>
      <c r="C7582" s="119">
        <v>3937</v>
      </c>
    </row>
    <row r="7583" spans="2:3">
      <c r="B7583" s="118" t="s">
        <v>961</v>
      </c>
      <c r="C7583" s="119">
        <v>3908</v>
      </c>
    </row>
    <row r="7584" spans="2:3">
      <c r="B7584" s="118" t="s">
        <v>972</v>
      </c>
      <c r="C7584" s="119">
        <v>3922</v>
      </c>
    </row>
    <row r="7585" spans="2:3">
      <c r="B7585" s="118" t="s">
        <v>4645</v>
      </c>
      <c r="C7585" s="119">
        <v>3922</v>
      </c>
    </row>
    <row r="7586" spans="2:3">
      <c r="B7586" s="118" t="s">
        <v>967</v>
      </c>
      <c r="C7586" s="119">
        <v>3926</v>
      </c>
    </row>
    <row r="7587" spans="2:3">
      <c r="B7587" s="118" t="s">
        <v>916</v>
      </c>
      <c r="C7587" s="119">
        <v>3925</v>
      </c>
    </row>
    <row r="7588" spans="2:3">
      <c r="B7588" s="118" t="s">
        <v>941</v>
      </c>
      <c r="C7588" s="119">
        <v>3931</v>
      </c>
    </row>
    <row r="7589" spans="2:3">
      <c r="B7589" s="118" t="s">
        <v>914</v>
      </c>
      <c r="C7589" s="119">
        <v>3937</v>
      </c>
    </row>
    <row r="7590" spans="2:3">
      <c r="B7590" s="118" t="s">
        <v>953</v>
      </c>
      <c r="C7590" s="119">
        <v>3928</v>
      </c>
    </row>
    <row r="7591" spans="2:3">
      <c r="B7591" s="118" t="s">
        <v>960</v>
      </c>
      <c r="C7591" s="119">
        <v>3905</v>
      </c>
    </row>
    <row r="7592" spans="2:3">
      <c r="B7592" s="118" t="s">
        <v>904</v>
      </c>
      <c r="C7592" s="119">
        <v>3906</v>
      </c>
    </row>
    <row r="7593" spans="2:3">
      <c r="B7593" s="118" t="s">
        <v>961</v>
      </c>
      <c r="C7593" s="119">
        <v>3908</v>
      </c>
    </row>
    <row r="7594" spans="2:3">
      <c r="B7594" s="118" t="s">
        <v>925</v>
      </c>
      <c r="C7594" s="119">
        <v>3910</v>
      </c>
    </row>
    <row r="7595" spans="2:3">
      <c r="B7595" s="118" t="s">
        <v>904</v>
      </c>
      <c r="C7595" s="119">
        <v>3906</v>
      </c>
    </row>
    <row r="7596" spans="2:3">
      <c r="B7596" s="118" t="s">
        <v>925</v>
      </c>
      <c r="C7596" s="119">
        <v>3910</v>
      </c>
    </row>
    <row r="7597" spans="2:3">
      <c r="B7597" s="118" t="s">
        <v>925</v>
      </c>
      <c r="C7597" s="119">
        <v>3910</v>
      </c>
    </row>
    <row r="7598" spans="2:3">
      <c r="B7598" s="118" t="s">
        <v>4646</v>
      </c>
      <c r="C7598" s="119">
        <v>3924</v>
      </c>
    </row>
    <row r="7599" spans="2:3">
      <c r="B7599" s="118" t="s">
        <v>4647</v>
      </c>
      <c r="C7599" s="119">
        <v>3927</v>
      </c>
    </row>
    <row r="7600" spans="2:3">
      <c r="B7600" s="118" t="s">
        <v>4648</v>
      </c>
      <c r="C7600" s="119">
        <v>3922</v>
      </c>
    </row>
    <row r="7601" spans="2:3">
      <c r="B7601" s="118" t="s">
        <v>951</v>
      </c>
      <c r="C7601" s="119">
        <v>3923</v>
      </c>
    </row>
    <row r="7602" spans="2:3">
      <c r="B7602" s="118" t="s">
        <v>972</v>
      </c>
      <c r="C7602" s="119">
        <v>3922</v>
      </c>
    </row>
    <row r="7603" spans="2:3">
      <c r="B7603" s="118" t="s">
        <v>948</v>
      </c>
      <c r="C7603" s="119">
        <v>3933</v>
      </c>
    </row>
    <row r="7604" spans="2:3">
      <c r="B7604" s="118" t="s">
        <v>915</v>
      </c>
      <c r="C7604" s="119">
        <v>3929</v>
      </c>
    </row>
    <row r="7605" spans="2:3">
      <c r="B7605" s="118" t="s">
        <v>4645</v>
      </c>
      <c r="C7605" s="119">
        <v>3922</v>
      </c>
    </row>
    <row r="7606" spans="2:3">
      <c r="B7606" s="118" t="s">
        <v>951</v>
      </c>
      <c r="C7606" s="119">
        <v>3923</v>
      </c>
    </row>
    <row r="7607" spans="2:3">
      <c r="B7607" s="118" t="s">
        <v>866</v>
      </c>
      <c r="C7607" s="119">
        <v>3930</v>
      </c>
    </row>
    <row r="7608" spans="2:3">
      <c r="B7608" s="118" t="s">
        <v>4649</v>
      </c>
      <c r="C7608" s="119">
        <v>3930</v>
      </c>
    </row>
    <row r="7609" spans="2:3">
      <c r="B7609" s="118" t="s">
        <v>4648</v>
      </c>
      <c r="C7609" s="119">
        <v>3922</v>
      </c>
    </row>
    <row r="7610" spans="2:3">
      <c r="B7610" s="118" t="s">
        <v>866</v>
      </c>
      <c r="C7610" s="119">
        <v>3930</v>
      </c>
    </row>
    <row r="7611" spans="2:3">
      <c r="B7611" s="118" t="s">
        <v>911</v>
      </c>
      <c r="C7611" s="119">
        <v>3932</v>
      </c>
    </row>
    <row r="7612" spans="2:3">
      <c r="B7612" s="118" t="s">
        <v>969</v>
      </c>
      <c r="C7612" s="119">
        <v>3934</v>
      </c>
    </row>
    <row r="7613" spans="2:3">
      <c r="B7613" s="118" t="s">
        <v>871</v>
      </c>
      <c r="C7613" s="119">
        <v>3920</v>
      </c>
    </row>
    <row r="7614" spans="2:3">
      <c r="B7614" s="118" t="s">
        <v>4650</v>
      </c>
      <c r="C7614" s="119">
        <v>2013</v>
      </c>
    </row>
    <row r="7615" spans="2:3">
      <c r="B7615" s="118" t="s">
        <v>4651</v>
      </c>
      <c r="C7615" s="119">
        <v>2014</v>
      </c>
    </row>
    <row r="7616" spans="2:3">
      <c r="B7616" s="118" t="s">
        <v>4652</v>
      </c>
      <c r="C7616" s="119">
        <v>2015</v>
      </c>
    </row>
    <row r="7617" spans="2:3">
      <c r="B7617" s="118" t="s">
        <v>1354</v>
      </c>
      <c r="C7617" s="119">
        <v>2016</v>
      </c>
    </row>
    <row r="7618" spans="2:3">
      <c r="B7618" s="118" t="s">
        <v>1351</v>
      </c>
      <c r="C7618" s="119">
        <v>2017</v>
      </c>
    </row>
    <row r="7619" spans="2:3">
      <c r="B7619" s="118" t="s">
        <v>4653</v>
      </c>
      <c r="C7619" s="119">
        <v>2019</v>
      </c>
    </row>
    <row r="7620" spans="2:3">
      <c r="B7620" s="118" t="s">
        <v>4654</v>
      </c>
      <c r="C7620" s="119">
        <v>2022</v>
      </c>
    </row>
    <row r="7621" spans="2:3">
      <c r="B7621" s="118" t="s">
        <v>4655</v>
      </c>
      <c r="C7621" s="119">
        <v>2149</v>
      </c>
    </row>
    <row r="7622" spans="2:3">
      <c r="B7622" s="118" t="s">
        <v>1354</v>
      </c>
      <c r="C7622" s="119">
        <v>2016</v>
      </c>
    </row>
    <row r="7623" spans="2:3">
      <c r="B7623" s="118" t="s">
        <v>4654</v>
      </c>
      <c r="C7623" s="119">
        <v>2022</v>
      </c>
    </row>
    <row r="7624" spans="2:3">
      <c r="B7624" s="118" t="s">
        <v>1362</v>
      </c>
      <c r="C7624" s="119">
        <v>2019</v>
      </c>
    </row>
    <row r="7625" spans="2:3">
      <c r="B7625" s="118" t="s">
        <v>4653</v>
      </c>
      <c r="C7625" s="119">
        <v>2019</v>
      </c>
    </row>
    <row r="7626" spans="2:3">
      <c r="B7626" s="118" t="s">
        <v>4656</v>
      </c>
      <c r="C7626" s="119">
        <v>2035</v>
      </c>
    </row>
    <row r="7627" spans="2:3">
      <c r="B7627" s="118" t="s">
        <v>4657</v>
      </c>
      <c r="C7627" s="119">
        <v>2037</v>
      </c>
    </row>
    <row r="7628" spans="2:3">
      <c r="B7628" s="118" t="s">
        <v>4658</v>
      </c>
      <c r="C7628" s="119">
        <v>2103</v>
      </c>
    </row>
    <row r="7629" spans="2:3">
      <c r="B7629" s="118" t="s">
        <v>4655</v>
      </c>
      <c r="C7629" s="119">
        <v>2149</v>
      </c>
    </row>
    <row r="7630" spans="2:3">
      <c r="B7630" s="118" t="s">
        <v>4659</v>
      </c>
      <c r="C7630" s="119">
        <v>2149</v>
      </c>
    </row>
    <row r="7631" spans="2:3">
      <c r="B7631" s="118" t="s">
        <v>4660</v>
      </c>
      <c r="C7631" s="119">
        <v>2149</v>
      </c>
    </row>
    <row r="7632" spans="2:3">
      <c r="B7632" s="118" t="s">
        <v>1373</v>
      </c>
      <c r="C7632" s="119">
        <v>2318</v>
      </c>
    </row>
    <row r="7633" spans="2:3">
      <c r="B7633" s="118" t="s">
        <v>1345</v>
      </c>
      <c r="C7633" s="119">
        <v>2000</v>
      </c>
    </row>
    <row r="7634" spans="2:3">
      <c r="B7634" s="118" t="s">
        <v>4661</v>
      </c>
      <c r="C7634" s="119">
        <v>2012</v>
      </c>
    </row>
    <row r="7635" spans="2:3">
      <c r="B7635" s="118" t="s">
        <v>4650</v>
      </c>
      <c r="C7635" s="119">
        <v>2013</v>
      </c>
    </row>
    <row r="7636" spans="2:3">
      <c r="B7636" s="118" t="s">
        <v>4651</v>
      </c>
      <c r="C7636" s="119">
        <v>2014</v>
      </c>
    </row>
    <row r="7637" spans="2:3">
      <c r="B7637" s="118" t="s">
        <v>4652</v>
      </c>
      <c r="C7637" s="119">
        <v>2015</v>
      </c>
    </row>
    <row r="7638" spans="2:3">
      <c r="B7638" s="118" t="s">
        <v>4656</v>
      </c>
      <c r="C7638" s="119">
        <v>2035</v>
      </c>
    </row>
    <row r="7639" spans="2:3">
      <c r="B7639" s="118" t="s">
        <v>4662</v>
      </c>
      <c r="C7639" s="119">
        <v>2036</v>
      </c>
    </row>
    <row r="7640" spans="2:3">
      <c r="B7640" s="118" t="s">
        <v>4654</v>
      </c>
      <c r="C7640" s="119">
        <v>2022</v>
      </c>
    </row>
    <row r="7641" spans="2:3">
      <c r="B7641" s="118" t="s">
        <v>4663</v>
      </c>
      <c r="C7641" s="119">
        <v>2023</v>
      </c>
    </row>
    <row r="7642" spans="2:3">
      <c r="B7642" s="118" t="s">
        <v>4664</v>
      </c>
      <c r="C7642" s="119">
        <v>2024</v>
      </c>
    </row>
    <row r="7643" spans="2:3">
      <c r="B7643" s="118" t="s">
        <v>4665</v>
      </c>
      <c r="C7643" s="119">
        <v>2025</v>
      </c>
    </row>
    <row r="7644" spans="2:3">
      <c r="B7644" s="118" t="s">
        <v>4666</v>
      </c>
      <c r="C7644" s="119">
        <v>2027</v>
      </c>
    </row>
    <row r="7645" spans="2:3">
      <c r="B7645" s="118" t="s">
        <v>4667</v>
      </c>
      <c r="C7645" s="119">
        <v>2027</v>
      </c>
    </row>
    <row r="7646" spans="2:3">
      <c r="B7646" s="118" t="s">
        <v>4336</v>
      </c>
      <c r="C7646" s="119">
        <v>2028</v>
      </c>
    </row>
    <row r="7647" spans="2:3">
      <c r="B7647" s="118" t="s">
        <v>4658</v>
      </c>
      <c r="C7647" s="119">
        <v>2103</v>
      </c>
    </row>
    <row r="7648" spans="2:3">
      <c r="B7648" s="118" t="s">
        <v>1344</v>
      </c>
      <c r="C7648" s="119">
        <v>2300</v>
      </c>
    </row>
    <row r="7649" spans="2:3">
      <c r="B7649" s="118" t="s">
        <v>2894</v>
      </c>
      <c r="C7649" s="119">
        <v>2300</v>
      </c>
    </row>
    <row r="7650" spans="2:3">
      <c r="B7650" s="118" t="s">
        <v>4668</v>
      </c>
      <c r="C7650" s="119">
        <v>2314</v>
      </c>
    </row>
    <row r="7651" spans="2:3">
      <c r="B7651" s="118" t="s">
        <v>4669</v>
      </c>
      <c r="C7651" s="119">
        <v>2322</v>
      </c>
    </row>
    <row r="7652" spans="2:3">
      <c r="B7652" s="118" t="s">
        <v>2897</v>
      </c>
      <c r="C7652" s="119">
        <v>2616</v>
      </c>
    </row>
    <row r="7653" spans="2:3">
      <c r="B7653" s="118" t="s">
        <v>1374</v>
      </c>
      <c r="C7653" s="119">
        <v>2325</v>
      </c>
    </row>
    <row r="7654" spans="2:3">
      <c r="B7654" s="118" t="s">
        <v>4668</v>
      </c>
      <c r="C7654" s="119">
        <v>2314</v>
      </c>
    </row>
    <row r="7655" spans="2:3">
      <c r="B7655" s="118" t="s">
        <v>4670</v>
      </c>
      <c r="C7655" s="119">
        <v>2124</v>
      </c>
    </row>
    <row r="7656" spans="2:3">
      <c r="B7656" s="118" t="s">
        <v>1367</v>
      </c>
      <c r="C7656" s="119">
        <v>2406</v>
      </c>
    </row>
    <row r="7657" spans="2:3">
      <c r="B7657" s="118" t="s">
        <v>4671</v>
      </c>
      <c r="C7657" s="119">
        <v>2406</v>
      </c>
    </row>
    <row r="7658" spans="2:3">
      <c r="B7658" s="118" t="s">
        <v>4672</v>
      </c>
      <c r="C7658" s="119">
        <v>2406</v>
      </c>
    </row>
    <row r="7659" spans="2:3">
      <c r="B7659" s="118" t="s">
        <v>4673</v>
      </c>
      <c r="C7659" s="119">
        <v>2406</v>
      </c>
    </row>
    <row r="7660" spans="2:3">
      <c r="B7660" s="118" t="s">
        <v>1373</v>
      </c>
      <c r="C7660" s="119">
        <v>2318</v>
      </c>
    </row>
    <row r="7661" spans="2:3">
      <c r="B7661" s="118" t="s">
        <v>4674</v>
      </c>
      <c r="C7661" s="119">
        <v>2400</v>
      </c>
    </row>
    <row r="7662" spans="2:3">
      <c r="B7662" s="118" t="s">
        <v>1369</v>
      </c>
      <c r="C7662" s="119">
        <v>2405</v>
      </c>
    </row>
    <row r="7663" spans="2:3">
      <c r="B7663" s="118" t="s">
        <v>1367</v>
      </c>
      <c r="C7663" s="119">
        <v>2406</v>
      </c>
    </row>
    <row r="7664" spans="2:3">
      <c r="B7664" s="118" t="s">
        <v>1371</v>
      </c>
      <c r="C7664" s="119">
        <v>2414</v>
      </c>
    </row>
    <row r="7665" spans="2:3">
      <c r="B7665" s="118" t="s">
        <v>4674</v>
      </c>
      <c r="C7665" s="119">
        <v>2400</v>
      </c>
    </row>
    <row r="7666" spans="2:3">
      <c r="B7666" s="118" t="s">
        <v>1369</v>
      </c>
      <c r="C7666" s="119">
        <v>2405</v>
      </c>
    </row>
    <row r="7667" spans="2:3">
      <c r="B7667" s="118" t="s">
        <v>4672</v>
      </c>
      <c r="C7667" s="119">
        <v>2406</v>
      </c>
    </row>
    <row r="7668" spans="2:3">
      <c r="B7668" s="118" t="s">
        <v>4669</v>
      </c>
      <c r="C7668" s="119">
        <v>2322</v>
      </c>
    </row>
    <row r="7669" spans="2:3">
      <c r="B7669" s="118" t="s">
        <v>1348</v>
      </c>
      <c r="C7669" s="119">
        <v>2400</v>
      </c>
    </row>
    <row r="7670" spans="2:3">
      <c r="B7670" s="118" t="s">
        <v>4674</v>
      </c>
      <c r="C7670" s="119">
        <v>2400</v>
      </c>
    </row>
    <row r="7671" spans="2:3">
      <c r="B7671" s="118" t="s">
        <v>1363</v>
      </c>
      <c r="C7671" s="119">
        <v>2416</v>
      </c>
    </row>
    <row r="7672" spans="2:3">
      <c r="B7672" s="118" t="s">
        <v>4675</v>
      </c>
      <c r="C7672" s="119">
        <v>2105</v>
      </c>
    </row>
    <row r="7673" spans="2:3">
      <c r="B7673" s="118" t="s">
        <v>4668</v>
      </c>
      <c r="C7673" s="119">
        <v>2314</v>
      </c>
    </row>
    <row r="7674" spans="2:3">
      <c r="B7674" s="118" t="s">
        <v>1361</v>
      </c>
      <c r="C7674" s="119">
        <v>2316</v>
      </c>
    </row>
    <row r="7675" spans="2:3">
      <c r="B7675" s="118" t="s">
        <v>4676</v>
      </c>
      <c r="C7675" s="119">
        <v>2316</v>
      </c>
    </row>
    <row r="7676" spans="2:3">
      <c r="B7676" s="118" t="s">
        <v>1373</v>
      </c>
      <c r="C7676" s="119">
        <v>2318</v>
      </c>
    </row>
    <row r="7677" spans="2:3">
      <c r="B7677" s="118" t="s">
        <v>4677</v>
      </c>
      <c r="C7677" s="119">
        <v>2072</v>
      </c>
    </row>
    <row r="7678" spans="2:3">
      <c r="B7678" s="118" t="s">
        <v>4678</v>
      </c>
      <c r="C7678" s="119">
        <v>2075</v>
      </c>
    </row>
    <row r="7679" spans="2:3">
      <c r="B7679" s="118" t="s">
        <v>4679</v>
      </c>
      <c r="C7679" s="119">
        <v>2087</v>
      </c>
    </row>
    <row r="7680" spans="2:3">
      <c r="B7680" s="118" t="s">
        <v>4677</v>
      </c>
      <c r="C7680" s="119">
        <v>2072</v>
      </c>
    </row>
    <row r="7681" spans="2:3">
      <c r="B7681" s="118" t="s">
        <v>4679</v>
      </c>
      <c r="C7681" s="119">
        <v>2087</v>
      </c>
    </row>
    <row r="7682" spans="2:3">
      <c r="B7682" s="118" t="s">
        <v>4680</v>
      </c>
      <c r="C7682" s="119">
        <v>2088</v>
      </c>
    </row>
    <row r="7683" spans="2:3">
      <c r="B7683" s="118" t="s">
        <v>4681</v>
      </c>
      <c r="C7683" s="119">
        <v>2067</v>
      </c>
    </row>
    <row r="7684" spans="2:3">
      <c r="B7684" s="118" t="s">
        <v>1372</v>
      </c>
      <c r="C7684" s="119">
        <v>2073</v>
      </c>
    </row>
    <row r="7685" spans="2:3">
      <c r="B7685" s="118" t="s">
        <v>4682</v>
      </c>
      <c r="C7685" s="119">
        <v>2068</v>
      </c>
    </row>
    <row r="7686" spans="2:3">
      <c r="B7686" s="118" t="s">
        <v>1372</v>
      </c>
      <c r="C7686" s="119">
        <v>2073</v>
      </c>
    </row>
    <row r="7687" spans="2:3">
      <c r="B7687" s="118" t="s">
        <v>2247</v>
      </c>
      <c r="C7687" s="119">
        <v>2520</v>
      </c>
    </row>
    <row r="7688" spans="2:3">
      <c r="B7688" s="118" t="s">
        <v>1365</v>
      </c>
      <c r="C7688" s="119">
        <v>2523</v>
      </c>
    </row>
    <row r="7689" spans="2:3">
      <c r="B7689" s="118" t="s">
        <v>1356</v>
      </c>
      <c r="C7689" s="119">
        <v>2525</v>
      </c>
    </row>
    <row r="7690" spans="2:3">
      <c r="B7690" s="118" t="s">
        <v>1365</v>
      </c>
      <c r="C7690" s="119">
        <v>2523</v>
      </c>
    </row>
    <row r="7691" spans="2:3">
      <c r="B7691" s="118" t="s">
        <v>1345</v>
      </c>
      <c r="C7691" s="119">
        <v>2000</v>
      </c>
    </row>
    <row r="7692" spans="2:3">
      <c r="B7692" s="118" t="s">
        <v>1352</v>
      </c>
      <c r="C7692" s="119">
        <v>2034</v>
      </c>
    </row>
    <row r="7693" spans="2:3">
      <c r="B7693" s="118" t="s">
        <v>4656</v>
      </c>
      <c r="C7693" s="119">
        <v>2035</v>
      </c>
    </row>
    <row r="7694" spans="2:3">
      <c r="B7694" s="118" t="s">
        <v>4662</v>
      </c>
      <c r="C7694" s="119">
        <v>2036</v>
      </c>
    </row>
    <row r="7695" spans="2:3">
      <c r="B7695" s="118" t="s">
        <v>4683</v>
      </c>
      <c r="C7695" s="119">
        <v>2037</v>
      </c>
    </row>
    <row r="7696" spans="2:3">
      <c r="B7696" s="118" t="s">
        <v>1368</v>
      </c>
      <c r="C7696" s="119">
        <v>2042</v>
      </c>
    </row>
    <row r="7697" spans="2:3">
      <c r="B7697" s="118" t="s">
        <v>4681</v>
      </c>
      <c r="C7697" s="119">
        <v>2067</v>
      </c>
    </row>
    <row r="7698" spans="2:3">
      <c r="B7698" s="118" t="s">
        <v>4682</v>
      </c>
      <c r="C7698" s="119">
        <v>2068</v>
      </c>
    </row>
    <row r="7699" spans="2:3">
      <c r="B7699" s="118" t="s">
        <v>4677</v>
      </c>
      <c r="C7699" s="119">
        <v>2072</v>
      </c>
    </row>
    <row r="7700" spans="2:3">
      <c r="B7700" s="118" t="s">
        <v>4684</v>
      </c>
      <c r="C7700" s="119">
        <v>2074</v>
      </c>
    </row>
    <row r="7701" spans="2:3">
      <c r="B7701" s="118" t="s">
        <v>4678</v>
      </c>
      <c r="C7701" s="119">
        <v>2075</v>
      </c>
    </row>
    <row r="7702" spans="2:3">
      <c r="B7702" s="118" t="s">
        <v>4685</v>
      </c>
      <c r="C7702" s="119">
        <v>2075</v>
      </c>
    </row>
    <row r="7703" spans="2:3">
      <c r="B7703" s="118" t="s">
        <v>2382</v>
      </c>
      <c r="C7703" s="119">
        <v>3236</v>
      </c>
    </row>
    <row r="7704" spans="2:3">
      <c r="B7704" s="118" t="s">
        <v>1362</v>
      </c>
      <c r="C7704" s="119">
        <v>2019</v>
      </c>
    </row>
    <row r="7705" spans="2:3">
      <c r="B7705" s="118" t="s">
        <v>4683</v>
      </c>
      <c r="C7705" s="119">
        <v>2037</v>
      </c>
    </row>
    <row r="7706" spans="2:3">
      <c r="B7706" s="118" t="s">
        <v>1368</v>
      </c>
      <c r="C7706" s="119">
        <v>2042</v>
      </c>
    </row>
    <row r="7707" spans="2:3">
      <c r="B7707" s="118" t="s">
        <v>4686</v>
      </c>
      <c r="C7707" s="119">
        <v>2043</v>
      </c>
    </row>
    <row r="7708" spans="2:3">
      <c r="B7708" s="118" t="s">
        <v>4687</v>
      </c>
      <c r="C7708" s="119">
        <v>2046</v>
      </c>
    </row>
    <row r="7709" spans="2:3">
      <c r="B7709" s="118" t="s">
        <v>4688</v>
      </c>
      <c r="C7709" s="119">
        <v>2052</v>
      </c>
    </row>
    <row r="7710" spans="2:3">
      <c r="B7710" s="118" t="s">
        <v>4689</v>
      </c>
      <c r="C7710" s="119">
        <v>2052</v>
      </c>
    </row>
    <row r="7711" spans="2:3">
      <c r="B7711" s="118" t="s">
        <v>4690</v>
      </c>
      <c r="C7711" s="119">
        <v>2053</v>
      </c>
    </row>
    <row r="7712" spans="2:3">
      <c r="B7712" s="118" t="s">
        <v>4691</v>
      </c>
      <c r="C7712" s="119">
        <v>2054</v>
      </c>
    </row>
    <row r="7713" spans="2:3">
      <c r="B7713" s="118" t="s">
        <v>4692</v>
      </c>
      <c r="C7713" s="119">
        <v>2054</v>
      </c>
    </row>
    <row r="7714" spans="2:3">
      <c r="B7714" s="118" t="s">
        <v>4693</v>
      </c>
      <c r="C7714" s="119">
        <v>2056</v>
      </c>
    </row>
    <row r="7715" spans="2:3">
      <c r="B7715" s="118" t="s">
        <v>4694</v>
      </c>
      <c r="C7715" s="119">
        <v>2057</v>
      </c>
    </row>
    <row r="7716" spans="2:3">
      <c r="B7716" s="118" t="s">
        <v>4695</v>
      </c>
      <c r="C7716" s="119">
        <v>2058</v>
      </c>
    </row>
    <row r="7717" spans="2:3">
      <c r="B7717" s="118" t="s">
        <v>4696</v>
      </c>
      <c r="C7717" s="119">
        <v>2063</v>
      </c>
    </row>
    <row r="7718" spans="2:3">
      <c r="B7718" s="118" t="s">
        <v>4697</v>
      </c>
      <c r="C7718" s="119">
        <v>2063</v>
      </c>
    </row>
    <row r="7719" spans="2:3">
      <c r="B7719" s="118" t="s">
        <v>4698</v>
      </c>
      <c r="C7719" s="119">
        <v>2063</v>
      </c>
    </row>
    <row r="7720" spans="2:3">
      <c r="B7720" s="118" t="s">
        <v>4699</v>
      </c>
      <c r="C7720" s="119">
        <v>2063</v>
      </c>
    </row>
    <row r="7721" spans="2:3">
      <c r="B7721" s="118" t="s">
        <v>4700</v>
      </c>
      <c r="C7721" s="119">
        <v>2065</v>
      </c>
    </row>
    <row r="7722" spans="2:3">
      <c r="B7722" s="118" t="s">
        <v>4681</v>
      </c>
      <c r="C7722" s="119">
        <v>2067</v>
      </c>
    </row>
    <row r="7723" spans="2:3">
      <c r="B7723" s="118" t="s">
        <v>4701</v>
      </c>
      <c r="C7723" s="119">
        <v>2206</v>
      </c>
    </row>
    <row r="7724" spans="2:3">
      <c r="B7724" s="118" t="s">
        <v>4702</v>
      </c>
      <c r="C7724" s="119">
        <v>2207</v>
      </c>
    </row>
    <row r="7725" spans="2:3">
      <c r="B7725" s="118" t="s">
        <v>4703</v>
      </c>
      <c r="C7725" s="119">
        <v>2208</v>
      </c>
    </row>
    <row r="7726" spans="2:3">
      <c r="B7726" s="118" t="s">
        <v>4668</v>
      </c>
      <c r="C7726" s="119">
        <v>2314</v>
      </c>
    </row>
    <row r="7727" spans="2:3">
      <c r="B7727" s="118" t="s">
        <v>2406</v>
      </c>
      <c r="C7727" s="119">
        <v>2518</v>
      </c>
    </row>
    <row r="7728" spans="2:3">
      <c r="B7728" s="118" t="s">
        <v>1365</v>
      </c>
      <c r="C7728" s="119">
        <v>2523</v>
      </c>
    </row>
    <row r="7729" spans="2:3">
      <c r="B7729" s="118" t="s">
        <v>2897</v>
      </c>
      <c r="C7729" s="119">
        <v>2616</v>
      </c>
    </row>
    <row r="7730" spans="2:3">
      <c r="B7730" s="118" t="s">
        <v>4704</v>
      </c>
      <c r="C7730" s="119">
        <v>2115</v>
      </c>
    </row>
    <row r="7731" spans="2:3">
      <c r="B7731" s="118" t="s">
        <v>1370</v>
      </c>
      <c r="C7731" s="119">
        <v>2117</v>
      </c>
    </row>
    <row r="7732" spans="2:3">
      <c r="B7732" s="118" t="s">
        <v>1366</v>
      </c>
      <c r="C7732" s="119">
        <v>2126</v>
      </c>
    </row>
    <row r="7733" spans="2:3">
      <c r="B7733" s="118" t="s">
        <v>4673</v>
      </c>
      <c r="C7733" s="119">
        <v>2406</v>
      </c>
    </row>
    <row r="7734" spans="2:3">
      <c r="B7734" s="118" t="s">
        <v>4658</v>
      </c>
      <c r="C7734" s="119">
        <v>2103</v>
      </c>
    </row>
    <row r="7735" spans="2:3">
      <c r="B7735" s="118" t="s">
        <v>4675</v>
      </c>
      <c r="C7735" s="119">
        <v>2105</v>
      </c>
    </row>
    <row r="7736" spans="2:3">
      <c r="B7736" s="118" t="s">
        <v>4338</v>
      </c>
      <c r="C7736" s="119">
        <v>2108</v>
      </c>
    </row>
    <row r="7737" spans="2:3">
      <c r="B7737" s="118" t="s">
        <v>4705</v>
      </c>
      <c r="C7737" s="119">
        <v>2112</v>
      </c>
    </row>
    <row r="7738" spans="2:3">
      <c r="B7738" s="118" t="s">
        <v>4706</v>
      </c>
      <c r="C7738" s="119">
        <v>2113</v>
      </c>
    </row>
    <row r="7739" spans="2:3">
      <c r="B7739" s="118" t="s">
        <v>4707</v>
      </c>
      <c r="C7739" s="119">
        <v>2114</v>
      </c>
    </row>
    <row r="7740" spans="2:3">
      <c r="B7740" s="118" t="s">
        <v>4704</v>
      </c>
      <c r="C7740" s="119">
        <v>2115</v>
      </c>
    </row>
    <row r="7741" spans="2:3">
      <c r="B7741" s="118" t="s">
        <v>4708</v>
      </c>
      <c r="C7741" s="119">
        <v>2116</v>
      </c>
    </row>
    <row r="7742" spans="2:3">
      <c r="B7742" s="118" t="s">
        <v>4709</v>
      </c>
      <c r="C7742" s="119">
        <v>2123</v>
      </c>
    </row>
    <row r="7743" spans="2:3">
      <c r="B7743" s="118" t="s">
        <v>4670</v>
      </c>
      <c r="C7743" s="119">
        <v>2124</v>
      </c>
    </row>
    <row r="7744" spans="2:3">
      <c r="B7744" s="118" t="s">
        <v>1366</v>
      </c>
      <c r="C7744" s="119">
        <v>2126</v>
      </c>
    </row>
    <row r="7745" spans="2:3">
      <c r="B7745" s="118" t="s">
        <v>4710</v>
      </c>
      <c r="C7745" s="119">
        <v>2127</v>
      </c>
    </row>
    <row r="7746" spans="2:3">
      <c r="B7746" s="118" t="s">
        <v>1361</v>
      </c>
      <c r="C7746" s="119">
        <v>2316</v>
      </c>
    </row>
    <row r="7747" spans="2:3">
      <c r="B7747" s="118" t="s">
        <v>1373</v>
      </c>
      <c r="C7747" s="119">
        <v>2318</v>
      </c>
    </row>
    <row r="7748" spans="2:3">
      <c r="B7748" s="118" t="s">
        <v>4673</v>
      </c>
      <c r="C7748" s="119">
        <v>2406</v>
      </c>
    </row>
    <row r="7749" spans="2:3">
      <c r="B7749" s="118" t="s">
        <v>845</v>
      </c>
      <c r="C7749" s="119">
        <v>1288</v>
      </c>
    </row>
    <row r="7750" spans="2:3">
      <c r="B7750" s="118" t="s">
        <v>833</v>
      </c>
      <c r="C7750" s="119">
        <v>1247</v>
      </c>
    </row>
    <row r="7751" spans="2:3">
      <c r="B7751" s="118" t="s">
        <v>840</v>
      </c>
      <c r="C7751" s="119">
        <v>1237</v>
      </c>
    </row>
    <row r="7752" spans="2:3">
      <c r="B7752" s="118" t="s">
        <v>848</v>
      </c>
      <c r="C7752" s="119">
        <v>1236</v>
      </c>
    </row>
    <row r="7753" spans="2:3">
      <c r="B7753" s="118" t="s">
        <v>4711</v>
      </c>
      <c r="C7753" s="119">
        <v>1285</v>
      </c>
    </row>
    <row r="7754" spans="2:3">
      <c r="B7754" s="118" t="s">
        <v>4712</v>
      </c>
      <c r="C7754" s="119">
        <v>1257</v>
      </c>
    </row>
    <row r="7755" spans="2:3">
      <c r="B7755" s="118" t="s">
        <v>4713</v>
      </c>
      <c r="C7755" s="119">
        <v>1258</v>
      </c>
    </row>
    <row r="7756" spans="2:3">
      <c r="B7756" s="118" t="s">
        <v>829</v>
      </c>
      <c r="C7756" s="119">
        <v>1293</v>
      </c>
    </row>
    <row r="7757" spans="2:3">
      <c r="B7757" s="118" t="s">
        <v>826</v>
      </c>
      <c r="C7757" s="119">
        <v>1232</v>
      </c>
    </row>
    <row r="7758" spans="2:3">
      <c r="B7758" s="118" t="s">
        <v>822</v>
      </c>
      <c r="C7758" s="119">
        <v>1233</v>
      </c>
    </row>
    <row r="7759" spans="2:3">
      <c r="B7759" s="118" t="s">
        <v>848</v>
      </c>
      <c r="C7759" s="119">
        <v>1236</v>
      </c>
    </row>
    <row r="7760" spans="2:3">
      <c r="B7760" s="118" t="s">
        <v>849</v>
      </c>
      <c r="C7760" s="119">
        <v>1286</v>
      </c>
    </row>
    <row r="7761" spans="2:3">
      <c r="B7761" s="118" t="s">
        <v>4714</v>
      </c>
      <c r="C7761" s="119">
        <v>1227</v>
      </c>
    </row>
    <row r="7762" spans="2:3">
      <c r="B7762" s="118" t="s">
        <v>1597</v>
      </c>
      <c r="C7762" s="119">
        <v>1227</v>
      </c>
    </row>
    <row r="7763" spans="2:3">
      <c r="B7763" s="118" t="s">
        <v>848</v>
      </c>
      <c r="C7763" s="119">
        <v>1236</v>
      </c>
    </row>
    <row r="7764" spans="2:3">
      <c r="B7764" s="118" t="s">
        <v>850</v>
      </c>
      <c r="C7764" s="119">
        <v>1298</v>
      </c>
    </row>
    <row r="7765" spans="2:3">
      <c r="B7765" s="118" t="s">
        <v>850</v>
      </c>
      <c r="C7765" s="119">
        <v>1298</v>
      </c>
    </row>
    <row r="7766" spans="2:3">
      <c r="B7766" s="118" t="s">
        <v>840</v>
      </c>
      <c r="C7766" s="119">
        <v>1237</v>
      </c>
    </row>
    <row r="7767" spans="2:3">
      <c r="B7767" s="118" t="s">
        <v>841</v>
      </c>
      <c r="C7767" s="119">
        <v>1284</v>
      </c>
    </row>
    <row r="7768" spans="2:3">
      <c r="B7768" s="118" t="s">
        <v>4711</v>
      </c>
      <c r="C7768" s="119">
        <v>1285</v>
      </c>
    </row>
    <row r="7769" spans="2:3">
      <c r="B7769" s="118" t="s">
        <v>819</v>
      </c>
      <c r="C7769" s="119">
        <v>1224</v>
      </c>
    </row>
    <row r="7770" spans="2:3">
      <c r="B7770" s="118" t="s">
        <v>4715</v>
      </c>
      <c r="C7770" s="119">
        <v>1231</v>
      </c>
    </row>
    <row r="7771" spans="2:3">
      <c r="B7771" s="118" t="s">
        <v>823</v>
      </c>
      <c r="C7771" s="119">
        <v>1225</v>
      </c>
    </row>
    <row r="7772" spans="2:3">
      <c r="B7772" s="118" t="s">
        <v>846</v>
      </c>
      <c r="C7772" s="119">
        <v>1244</v>
      </c>
    </row>
    <row r="7773" spans="2:3">
      <c r="B7773" s="118" t="s">
        <v>4716</v>
      </c>
      <c r="C7773" s="119">
        <v>1239</v>
      </c>
    </row>
    <row r="7774" spans="2:3">
      <c r="B7774" s="118" t="s">
        <v>817</v>
      </c>
      <c r="C7774" s="119">
        <v>1290</v>
      </c>
    </row>
    <row r="7775" spans="2:3">
      <c r="B7775" s="118" t="s">
        <v>4717</v>
      </c>
      <c r="C7775" s="119">
        <v>1222</v>
      </c>
    </row>
    <row r="7776" spans="2:3">
      <c r="B7776" s="118" t="s">
        <v>824</v>
      </c>
      <c r="C7776" s="119">
        <v>1245</v>
      </c>
    </row>
    <row r="7777" spans="2:3">
      <c r="B7777" s="118" t="s">
        <v>825</v>
      </c>
      <c r="C7777" s="119">
        <v>1223</v>
      </c>
    </row>
    <row r="7778" spans="2:3">
      <c r="B7778" s="118" t="s">
        <v>821</v>
      </c>
      <c r="C7778" s="119">
        <v>1228</v>
      </c>
    </row>
    <row r="7779" spans="2:3">
      <c r="B7779" s="118" t="s">
        <v>826</v>
      </c>
      <c r="C7779" s="119">
        <v>1232</v>
      </c>
    </row>
    <row r="7780" spans="2:3">
      <c r="B7780" s="118" t="s">
        <v>4718</v>
      </c>
      <c r="C7780" s="119">
        <v>1246</v>
      </c>
    </row>
    <row r="7781" spans="2:3">
      <c r="B7781" s="118" t="s">
        <v>4719</v>
      </c>
      <c r="C7781" s="119">
        <v>1283</v>
      </c>
    </row>
    <row r="7782" spans="2:3">
      <c r="B7782" s="118" t="s">
        <v>839</v>
      </c>
      <c r="C7782" s="119">
        <v>1283</v>
      </c>
    </row>
    <row r="7783" spans="2:3">
      <c r="B7783" s="118" t="s">
        <v>2692</v>
      </c>
      <c r="C7783" s="119">
        <v>1201</v>
      </c>
    </row>
    <row r="7784" spans="2:3">
      <c r="B7784" s="118" t="s">
        <v>2692</v>
      </c>
      <c r="C7784" s="119">
        <v>1202</v>
      </c>
    </row>
    <row r="7785" spans="2:3">
      <c r="B7785" s="118" t="s">
        <v>2692</v>
      </c>
      <c r="C7785" s="119">
        <v>1203</v>
      </c>
    </row>
    <row r="7786" spans="2:3">
      <c r="B7786" s="118" t="s">
        <v>2692</v>
      </c>
      <c r="C7786" s="119">
        <v>1204</v>
      </c>
    </row>
    <row r="7787" spans="2:3">
      <c r="B7787" s="118" t="s">
        <v>2692</v>
      </c>
      <c r="C7787" s="119">
        <v>1205</v>
      </c>
    </row>
    <row r="7788" spans="2:3">
      <c r="B7788" s="118" t="s">
        <v>2692</v>
      </c>
      <c r="C7788" s="119">
        <v>1206</v>
      </c>
    </row>
    <row r="7789" spans="2:3">
      <c r="B7789" s="118" t="s">
        <v>2692</v>
      </c>
      <c r="C7789" s="119">
        <v>1207</v>
      </c>
    </row>
    <row r="7790" spans="2:3">
      <c r="B7790" s="118" t="s">
        <v>2692</v>
      </c>
      <c r="C7790" s="119">
        <v>1208</v>
      </c>
    </row>
    <row r="7791" spans="2:3">
      <c r="B7791" s="118" t="s">
        <v>2692</v>
      </c>
      <c r="C7791" s="119">
        <v>1209</v>
      </c>
    </row>
    <row r="7792" spans="2:3">
      <c r="B7792" s="118" t="s">
        <v>1598</v>
      </c>
      <c r="C7792" s="119">
        <v>1213</v>
      </c>
    </row>
    <row r="7793" spans="2:3">
      <c r="B7793" s="118" t="s">
        <v>818</v>
      </c>
      <c r="C7793" s="119">
        <v>1218</v>
      </c>
    </row>
    <row r="7794" spans="2:3">
      <c r="B7794" s="118" t="s">
        <v>4714</v>
      </c>
      <c r="C7794" s="119">
        <v>1227</v>
      </c>
    </row>
    <row r="7795" spans="2:3">
      <c r="B7795" s="118" t="s">
        <v>1597</v>
      </c>
      <c r="C7795" s="119">
        <v>1227</v>
      </c>
    </row>
    <row r="7796" spans="2:3">
      <c r="B7796" s="118" t="s">
        <v>4720</v>
      </c>
      <c r="C7796" s="119">
        <v>1292</v>
      </c>
    </row>
    <row r="7797" spans="2:3">
      <c r="B7797" s="118" t="s">
        <v>831</v>
      </c>
      <c r="C7797" s="119">
        <v>1294</v>
      </c>
    </row>
    <row r="7798" spans="2:3">
      <c r="B7798" s="118" t="s">
        <v>2692</v>
      </c>
      <c r="C7798" s="119">
        <v>1209</v>
      </c>
    </row>
    <row r="7799" spans="2:3">
      <c r="B7799" s="118" t="s">
        <v>2692</v>
      </c>
      <c r="C7799" s="119">
        <v>1215</v>
      </c>
    </row>
    <row r="7800" spans="2:3">
      <c r="B7800" s="118" t="s">
        <v>1600</v>
      </c>
      <c r="C7800" s="119">
        <v>1216</v>
      </c>
    </row>
    <row r="7801" spans="2:3">
      <c r="B7801" s="118" t="s">
        <v>818</v>
      </c>
      <c r="C7801" s="119">
        <v>1218</v>
      </c>
    </row>
    <row r="7802" spans="2:3">
      <c r="B7802" s="118" t="s">
        <v>854</v>
      </c>
      <c r="C7802" s="119">
        <v>1251</v>
      </c>
    </row>
    <row r="7803" spans="2:3">
      <c r="B7803" s="118" t="s">
        <v>844</v>
      </c>
      <c r="C7803" s="119">
        <v>1254</v>
      </c>
    </row>
    <row r="7804" spans="2:3">
      <c r="B7804" s="118" t="s">
        <v>847</v>
      </c>
      <c r="C7804" s="119">
        <v>1248</v>
      </c>
    </row>
    <row r="7805" spans="2:3">
      <c r="B7805" s="118" t="s">
        <v>844</v>
      </c>
      <c r="C7805" s="119">
        <v>1254</v>
      </c>
    </row>
    <row r="7806" spans="2:3">
      <c r="B7806" s="118" t="s">
        <v>848</v>
      </c>
      <c r="C7806" s="119">
        <v>1236</v>
      </c>
    </row>
    <row r="7807" spans="2:3">
      <c r="B7807" s="118" t="s">
        <v>852</v>
      </c>
      <c r="C7807" s="119">
        <v>1287</v>
      </c>
    </row>
    <row r="7808" spans="2:3">
      <c r="B7808" s="118" t="s">
        <v>1599</v>
      </c>
      <c r="C7808" s="119">
        <v>1212</v>
      </c>
    </row>
    <row r="7809" spans="2:3">
      <c r="B7809" s="118" t="s">
        <v>1598</v>
      </c>
      <c r="C7809" s="119">
        <v>1213</v>
      </c>
    </row>
    <row r="7810" spans="2:3">
      <c r="B7810" s="118" t="s">
        <v>815</v>
      </c>
      <c r="C7810" s="119">
        <v>1213</v>
      </c>
    </row>
    <row r="7811" spans="2:3">
      <c r="B7811" s="118" t="s">
        <v>1597</v>
      </c>
      <c r="C7811" s="119">
        <v>1227</v>
      </c>
    </row>
    <row r="7812" spans="2:3">
      <c r="B7812" s="118" t="s">
        <v>821</v>
      </c>
      <c r="C7812" s="119">
        <v>1228</v>
      </c>
    </row>
    <row r="7813" spans="2:3">
      <c r="B7813" s="118" t="s">
        <v>835</v>
      </c>
      <c r="C7813" s="119">
        <v>1256</v>
      </c>
    </row>
    <row r="7814" spans="2:3">
      <c r="B7814" s="118" t="s">
        <v>837</v>
      </c>
      <c r="C7814" s="119">
        <v>1252</v>
      </c>
    </row>
    <row r="7815" spans="2:3">
      <c r="B7815" s="118" t="s">
        <v>811</v>
      </c>
      <c r="C7815" s="119">
        <v>1214</v>
      </c>
    </row>
    <row r="7816" spans="2:3">
      <c r="B7816" s="118" t="s">
        <v>2692</v>
      </c>
      <c r="C7816" s="119">
        <v>1215</v>
      </c>
    </row>
    <row r="7817" spans="2:3">
      <c r="B7817" s="118" t="s">
        <v>1600</v>
      </c>
      <c r="C7817" s="119">
        <v>1216</v>
      </c>
    </row>
    <row r="7818" spans="2:3">
      <c r="B7818" s="118" t="s">
        <v>813</v>
      </c>
      <c r="C7818" s="119">
        <v>1217</v>
      </c>
    </row>
    <row r="7819" spans="2:3">
      <c r="B7819" s="118" t="s">
        <v>1599</v>
      </c>
      <c r="C7819" s="119">
        <v>1212</v>
      </c>
    </row>
    <row r="7820" spans="2:3">
      <c r="B7820" s="118" t="s">
        <v>815</v>
      </c>
      <c r="C7820" s="119">
        <v>1213</v>
      </c>
    </row>
    <row r="7821" spans="2:3">
      <c r="B7821" s="118" t="s">
        <v>4713</v>
      </c>
      <c r="C7821" s="119">
        <v>1258</v>
      </c>
    </row>
    <row r="7822" spans="2:3">
      <c r="B7822" s="118" t="s">
        <v>1599</v>
      </c>
      <c r="C7822" s="119">
        <v>1212</v>
      </c>
    </row>
    <row r="7823" spans="2:3">
      <c r="B7823" s="118" t="s">
        <v>821</v>
      </c>
      <c r="C7823" s="119">
        <v>1228</v>
      </c>
    </row>
    <row r="7824" spans="2:3">
      <c r="B7824" s="118" t="s">
        <v>835</v>
      </c>
      <c r="C7824" s="119">
        <v>1256</v>
      </c>
    </row>
    <row r="7825" spans="2:3">
      <c r="B7825" s="118" t="s">
        <v>4712</v>
      </c>
      <c r="C7825" s="119">
        <v>1257</v>
      </c>
    </row>
    <row r="7826" spans="2:3">
      <c r="B7826" s="118" t="s">
        <v>2692</v>
      </c>
      <c r="C7826" s="119">
        <v>1202</v>
      </c>
    </row>
    <row r="7827" spans="2:3">
      <c r="B7827" s="118" t="s">
        <v>4720</v>
      </c>
      <c r="C7827" s="119">
        <v>1292</v>
      </c>
    </row>
    <row r="7828" spans="2:3">
      <c r="B7828" s="118" t="s">
        <v>851</v>
      </c>
      <c r="C7828" s="119">
        <v>1243</v>
      </c>
    </row>
    <row r="7829" spans="2:3">
      <c r="B7829" s="118" t="s">
        <v>834</v>
      </c>
      <c r="C7829" s="119">
        <v>1241</v>
      </c>
    </row>
    <row r="7830" spans="2:3">
      <c r="B7830" s="118" t="s">
        <v>853</v>
      </c>
      <c r="C7830" s="119">
        <v>1281</v>
      </c>
    </row>
    <row r="7831" spans="2:3">
      <c r="B7831" s="118" t="s">
        <v>811</v>
      </c>
      <c r="C7831" s="119">
        <v>1214</v>
      </c>
    </row>
    <row r="7832" spans="2:3">
      <c r="B7832" s="118" t="s">
        <v>827</v>
      </c>
      <c r="C7832" s="119">
        <v>1242</v>
      </c>
    </row>
    <row r="7833" spans="2:3">
      <c r="B7833" s="118" t="s">
        <v>853</v>
      </c>
      <c r="C7833" s="119">
        <v>1281</v>
      </c>
    </row>
    <row r="7834" spans="2:3">
      <c r="B7834" s="118" t="s">
        <v>849</v>
      </c>
      <c r="C7834" s="119">
        <v>1286</v>
      </c>
    </row>
    <row r="7835" spans="2:3">
      <c r="B7835" s="118" t="s">
        <v>816</v>
      </c>
      <c r="C7835" s="119">
        <v>1226</v>
      </c>
    </row>
    <row r="7836" spans="2:3">
      <c r="B7836" s="118" t="s">
        <v>820</v>
      </c>
      <c r="C7836" s="119">
        <v>1255</v>
      </c>
    </row>
    <row r="7837" spans="2:3">
      <c r="B7837" s="118" t="s">
        <v>835</v>
      </c>
      <c r="C7837" s="119">
        <v>1256</v>
      </c>
    </row>
    <row r="7838" spans="2:3">
      <c r="B7838" s="118" t="s">
        <v>4712</v>
      </c>
      <c r="C7838" s="119">
        <v>1257</v>
      </c>
    </row>
    <row r="7839" spans="2:3">
      <c r="B7839" s="118" t="s">
        <v>832</v>
      </c>
      <c r="C7839" s="119">
        <v>1253</v>
      </c>
    </row>
    <row r="7840" spans="2:3">
      <c r="B7840" s="118" t="s">
        <v>2692</v>
      </c>
      <c r="C7840" s="119">
        <v>1209</v>
      </c>
    </row>
    <row r="7841" spans="2:3">
      <c r="B7841" s="118" t="s">
        <v>811</v>
      </c>
      <c r="C7841" s="119">
        <v>1214</v>
      </c>
    </row>
    <row r="7842" spans="2:3">
      <c r="B7842" s="118" t="s">
        <v>1600</v>
      </c>
      <c r="C7842" s="119">
        <v>1216</v>
      </c>
    </row>
    <row r="7843" spans="2:3">
      <c r="B7843" s="118" t="s">
        <v>1603</v>
      </c>
      <c r="C7843" s="119">
        <v>1219</v>
      </c>
    </row>
    <row r="7844" spans="2:3">
      <c r="B7844" s="118" t="s">
        <v>1604</v>
      </c>
      <c r="C7844" s="119">
        <v>1219</v>
      </c>
    </row>
    <row r="7845" spans="2:3">
      <c r="B7845" s="118" t="s">
        <v>1601</v>
      </c>
      <c r="C7845" s="119">
        <v>1219</v>
      </c>
    </row>
    <row r="7846" spans="2:3">
      <c r="B7846" s="118" t="s">
        <v>1602</v>
      </c>
      <c r="C7846" s="119">
        <v>1220</v>
      </c>
    </row>
    <row r="7847" spans="2:3">
      <c r="B7847" s="118" t="s">
        <v>817</v>
      </c>
      <c r="C7847" s="119">
        <v>1290</v>
      </c>
    </row>
    <row r="7848" spans="2:3">
      <c r="B7848" s="118" t="s">
        <v>4721</v>
      </c>
      <c r="C7848" s="119">
        <v>1234</v>
      </c>
    </row>
    <row r="7849" spans="2:3">
      <c r="B7849" s="118" t="s">
        <v>820</v>
      </c>
      <c r="C7849" s="119">
        <v>1255</v>
      </c>
    </row>
    <row r="7850" spans="2:3">
      <c r="B7850" s="118" t="s">
        <v>835</v>
      </c>
      <c r="C7850" s="119">
        <v>1256</v>
      </c>
    </row>
    <row r="7851" spans="2:3">
      <c r="B7851" s="118" t="s">
        <v>1002</v>
      </c>
      <c r="C7851" s="119">
        <v>2856</v>
      </c>
    </row>
    <row r="7852" spans="2:3">
      <c r="B7852" s="118" t="s">
        <v>4722</v>
      </c>
      <c r="C7852" s="119">
        <v>2857</v>
      </c>
    </row>
    <row r="7853" spans="2:3">
      <c r="B7853" s="118" t="s">
        <v>4723</v>
      </c>
      <c r="C7853" s="119">
        <v>2883</v>
      </c>
    </row>
    <row r="7854" spans="2:3">
      <c r="B7854" s="118" t="s">
        <v>1024</v>
      </c>
      <c r="C7854" s="119">
        <v>2803</v>
      </c>
    </row>
    <row r="7855" spans="2:3">
      <c r="B7855" s="118" t="s">
        <v>4724</v>
      </c>
      <c r="C7855" s="119">
        <v>2843</v>
      </c>
    </row>
    <row r="7856" spans="2:3">
      <c r="B7856" s="118" t="s">
        <v>4725</v>
      </c>
      <c r="C7856" s="119">
        <v>2824</v>
      </c>
    </row>
    <row r="7857" spans="2:3">
      <c r="B7857" s="118" t="s">
        <v>1016</v>
      </c>
      <c r="C7857" s="119">
        <v>2825</v>
      </c>
    </row>
    <row r="7858" spans="2:3">
      <c r="B7858" s="118" t="s">
        <v>981</v>
      </c>
      <c r="C7858" s="119">
        <v>2800</v>
      </c>
    </row>
    <row r="7859" spans="2:3">
      <c r="B7859" s="118" t="s">
        <v>984</v>
      </c>
      <c r="C7859" s="119">
        <v>2830</v>
      </c>
    </row>
    <row r="7860" spans="2:3">
      <c r="B7860" s="118" t="s">
        <v>4726</v>
      </c>
      <c r="C7860" s="119">
        <v>2830</v>
      </c>
    </row>
    <row r="7861" spans="2:3">
      <c r="B7861" s="118" t="s">
        <v>4727</v>
      </c>
      <c r="C7861" s="119">
        <v>2832</v>
      </c>
    </row>
    <row r="7862" spans="2:3">
      <c r="B7862" s="118" t="s">
        <v>1015</v>
      </c>
      <c r="C7862" s="119">
        <v>2805</v>
      </c>
    </row>
    <row r="7863" spans="2:3">
      <c r="B7863" s="118" t="s">
        <v>985</v>
      </c>
      <c r="C7863" s="119">
        <v>2822</v>
      </c>
    </row>
    <row r="7864" spans="2:3">
      <c r="B7864" s="118" t="s">
        <v>4728</v>
      </c>
      <c r="C7864" s="119">
        <v>2823</v>
      </c>
    </row>
    <row r="7865" spans="2:3">
      <c r="B7865" s="118" t="s">
        <v>984</v>
      </c>
      <c r="C7865" s="119">
        <v>2830</v>
      </c>
    </row>
    <row r="7866" spans="2:3">
      <c r="B7866" s="118" t="s">
        <v>987</v>
      </c>
      <c r="C7866" s="119">
        <v>2852</v>
      </c>
    </row>
    <row r="7867" spans="2:3">
      <c r="B7867" s="118" t="s">
        <v>4729</v>
      </c>
      <c r="C7867" s="119">
        <v>2853</v>
      </c>
    </row>
    <row r="7868" spans="2:3">
      <c r="B7868" s="118" t="s">
        <v>981</v>
      </c>
      <c r="C7868" s="119">
        <v>2800</v>
      </c>
    </row>
    <row r="7869" spans="2:3">
      <c r="B7869" s="118" t="s">
        <v>1032</v>
      </c>
      <c r="C7869" s="119">
        <v>2806</v>
      </c>
    </row>
    <row r="7870" spans="2:3">
      <c r="B7870" s="118" t="s">
        <v>987</v>
      </c>
      <c r="C7870" s="119">
        <v>2852</v>
      </c>
    </row>
    <row r="7871" spans="2:3">
      <c r="B7871" s="118" t="s">
        <v>981</v>
      </c>
      <c r="C7871" s="119">
        <v>2800</v>
      </c>
    </row>
    <row r="7872" spans="2:3">
      <c r="B7872" s="118" t="s">
        <v>994</v>
      </c>
      <c r="C7872" s="119">
        <v>2802</v>
      </c>
    </row>
    <row r="7873" spans="2:3">
      <c r="B7873" s="118" t="s">
        <v>1030</v>
      </c>
      <c r="C7873" s="119">
        <v>2813</v>
      </c>
    </row>
    <row r="7874" spans="2:3">
      <c r="B7874" s="118" t="s">
        <v>1115</v>
      </c>
      <c r="C7874" s="119">
        <v>2814</v>
      </c>
    </row>
    <row r="7875" spans="2:3">
      <c r="B7875" s="118" t="s">
        <v>1013</v>
      </c>
      <c r="C7875" s="119">
        <v>2827</v>
      </c>
    </row>
    <row r="7876" spans="2:3">
      <c r="B7876" s="118" t="s">
        <v>1032</v>
      </c>
      <c r="C7876" s="119">
        <v>2806</v>
      </c>
    </row>
    <row r="7877" spans="2:3">
      <c r="B7877" s="118" t="s">
        <v>1017</v>
      </c>
      <c r="C7877" s="119">
        <v>2812</v>
      </c>
    </row>
    <row r="7878" spans="2:3">
      <c r="B7878" s="118" t="s">
        <v>1030</v>
      </c>
      <c r="C7878" s="119">
        <v>2813</v>
      </c>
    </row>
    <row r="7879" spans="2:3">
      <c r="B7879" s="118" t="s">
        <v>1024</v>
      </c>
      <c r="C7879" s="119">
        <v>2803</v>
      </c>
    </row>
    <row r="7880" spans="2:3">
      <c r="B7880" s="118" t="s">
        <v>1032</v>
      </c>
      <c r="C7880" s="119">
        <v>2806</v>
      </c>
    </row>
    <row r="7881" spans="2:3">
      <c r="B7881" s="118" t="s">
        <v>1020</v>
      </c>
      <c r="C7881" s="119">
        <v>2807</v>
      </c>
    </row>
    <row r="7882" spans="2:3">
      <c r="B7882" s="118" t="s">
        <v>4730</v>
      </c>
      <c r="C7882" s="119">
        <v>2807</v>
      </c>
    </row>
    <row r="7883" spans="2:3">
      <c r="B7883" s="118" t="s">
        <v>1030</v>
      </c>
      <c r="C7883" s="119">
        <v>2813</v>
      </c>
    </row>
    <row r="7884" spans="2:3">
      <c r="B7884" s="118" t="s">
        <v>1115</v>
      </c>
      <c r="C7884" s="119">
        <v>2814</v>
      </c>
    </row>
    <row r="7885" spans="2:3">
      <c r="B7885" s="118" t="s">
        <v>1008</v>
      </c>
      <c r="C7885" s="119">
        <v>2842</v>
      </c>
    </row>
    <row r="7886" spans="2:3">
      <c r="B7886" s="118" t="s">
        <v>4731</v>
      </c>
      <c r="C7886" s="119">
        <v>2718</v>
      </c>
    </row>
    <row r="7887" spans="2:3">
      <c r="B7887" s="118" t="s">
        <v>1023</v>
      </c>
      <c r="C7887" s="119">
        <v>2873</v>
      </c>
    </row>
    <row r="7888" spans="2:3">
      <c r="B7888" s="118" t="s">
        <v>1015</v>
      </c>
      <c r="C7888" s="119">
        <v>2805</v>
      </c>
    </row>
    <row r="7889" spans="2:3">
      <c r="B7889" s="118" t="s">
        <v>2988</v>
      </c>
      <c r="C7889" s="119">
        <v>2748</v>
      </c>
    </row>
    <row r="7890" spans="2:3">
      <c r="B7890" s="118" t="s">
        <v>4729</v>
      </c>
      <c r="C7890" s="119">
        <v>2853</v>
      </c>
    </row>
    <row r="7891" spans="2:3">
      <c r="B7891" s="118" t="s">
        <v>4732</v>
      </c>
      <c r="C7891" s="119">
        <v>2854</v>
      </c>
    </row>
    <row r="7892" spans="2:3">
      <c r="B7892" s="118" t="s">
        <v>4733</v>
      </c>
      <c r="C7892" s="119">
        <v>2855</v>
      </c>
    </row>
    <row r="7893" spans="2:3">
      <c r="B7893" s="118" t="s">
        <v>4734</v>
      </c>
      <c r="C7893" s="119">
        <v>2863</v>
      </c>
    </row>
    <row r="7894" spans="2:3">
      <c r="B7894" s="118" t="s">
        <v>4735</v>
      </c>
      <c r="C7894" s="119">
        <v>2864</v>
      </c>
    </row>
    <row r="7895" spans="2:3">
      <c r="B7895" s="118" t="s">
        <v>4725</v>
      </c>
      <c r="C7895" s="119">
        <v>2824</v>
      </c>
    </row>
    <row r="7896" spans="2:3">
      <c r="B7896" s="118" t="s">
        <v>4736</v>
      </c>
      <c r="C7896" s="119">
        <v>2826</v>
      </c>
    </row>
    <row r="7897" spans="2:3">
      <c r="B7897" s="118" t="s">
        <v>4737</v>
      </c>
      <c r="C7897" s="119">
        <v>2828</v>
      </c>
    </row>
    <row r="7898" spans="2:3">
      <c r="B7898" s="118" t="s">
        <v>4738</v>
      </c>
      <c r="C7898" s="119">
        <v>2829</v>
      </c>
    </row>
    <row r="7899" spans="2:3">
      <c r="B7899" s="118" t="s">
        <v>4727</v>
      </c>
      <c r="C7899" s="119">
        <v>2832</v>
      </c>
    </row>
    <row r="7900" spans="2:3">
      <c r="B7900" s="118" t="s">
        <v>4739</v>
      </c>
      <c r="C7900" s="119">
        <v>2360</v>
      </c>
    </row>
    <row r="7901" spans="2:3">
      <c r="B7901" s="118" t="s">
        <v>1009</v>
      </c>
      <c r="C7901" s="119">
        <v>2362</v>
      </c>
    </row>
    <row r="7902" spans="2:3">
      <c r="B7902" s="118" t="s">
        <v>1028</v>
      </c>
      <c r="C7902" s="119">
        <v>2363</v>
      </c>
    </row>
    <row r="7903" spans="2:3">
      <c r="B7903" s="118" t="s">
        <v>2441</v>
      </c>
      <c r="C7903" s="119">
        <v>2333</v>
      </c>
    </row>
    <row r="7904" spans="2:3">
      <c r="B7904" s="118" t="s">
        <v>996</v>
      </c>
      <c r="C7904" s="119">
        <v>2336</v>
      </c>
    </row>
    <row r="7905" spans="2:3">
      <c r="B7905" s="118" t="s">
        <v>993</v>
      </c>
      <c r="C7905" s="119">
        <v>2345</v>
      </c>
    </row>
    <row r="7906" spans="2:3">
      <c r="B7906" s="118" t="s">
        <v>1033</v>
      </c>
      <c r="C7906" s="119">
        <v>2345</v>
      </c>
    </row>
    <row r="7907" spans="2:3">
      <c r="B7907" s="118" t="s">
        <v>4740</v>
      </c>
      <c r="C7907" s="119">
        <v>2353</v>
      </c>
    </row>
    <row r="7908" spans="2:3">
      <c r="B7908" s="118" t="s">
        <v>1028</v>
      </c>
      <c r="C7908" s="119">
        <v>2363</v>
      </c>
    </row>
    <row r="7909" spans="2:3">
      <c r="B7909" s="118" t="s">
        <v>4741</v>
      </c>
      <c r="C7909" s="119">
        <v>2714</v>
      </c>
    </row>
    <row r="7910" spans="2:3">
      <c r="B7910" s="118" t="s">
        <v>4742</v>
      </c>
      <c r="C7910" s="119">
        <v>2714</v>
      </c>
    </row>
    <row r="7911" spans="2:3">
      <c r="B7911" s="118" t="s">
        <v>1009</v>
      </c>
      <c r="C7911" s="119">
        <v>2362</v>
      </c>
    </row>
    <row r="7912" spans="2:3">
      <c r="B7912" s="118" t="s">
        <v>4743</v>
      </c>
      <c r="C7912" s="119">
        <v>2718</v>
      </c>
    </row>
    <row r="7913" spans="2:3">
      <c r="B7913" s="118" t="s">
        <v>4731</v>
      </c>
      <c r="C7913" s="119">
        <v>2718</v>
      </c>
    </row>
    <row r="7914" spans="2:3">
      <c r="B7914" s="118" t="s">
        <v>1009</v>
      </c>
      <c r="C7914" s="119">
        <v>2362</v>
      </c>
    </row>
    <row r="7915" spans="2:3">
      <c r="B7915" s="118" t="s">
        <v>4744</v>
      </c>
      <c r="C7915" s="119">
        <v>2362</v>
      </c>
    </row>
    <row r="7916" spans="2:3">
      <c r="B7916" s="118" t="s">
        <v>4743</v>
      </c>
      <c r="C7916" s="119">
        <v>2718</v>
      </c>
    </row>
    <row r="7917" spans="2:3">
      <c r="B7917" s="118" t="s">
        <v>4745</v>
      </c>
      <c r="C7917" s="119">
        <v>2338</v>
      </c>
    </row>
    <row r="7918" spans="2:3">
      <c r="B7918" s="118" t="s">
        <v>1012</v>
      </c>
      <c r="C7918" s="119">
        <v>2338</v>
      </c>
    </row>
    <row r="7919" spans="2:3">
      <c r="B7919" s="118" t="s">
        <v>993</v>
      </c>
      <c r="C7919" s="119">
        <v>2345</v>
      </c>
    </row>
    <row r="7920" spans="2:3">
      <c r="B7920" s="118" t="s">
        <v>2901</v>
      </c>
      <c r="C7920" s="119">
        <v>2345</v>
      </c>
    </row>
    <row r="7921" spans="2:3">
      <c r="B7921" s="118" t="s">
        <v>996</v>
      </c>
      <c r="C7921" s="119">
        <v>2336</v>
      </c>
    </row>
    <row r="7922" spans="2:3">
      <c r="B7922" s="118" t="s">
        <v>990</v>
      </c>
      <c r="C7922" s="119">
        <v>2340</v>
      </c>
    </row>
    <row r="7923" spans="2:3">
      <c r="B7923" s="118" t="s">
        <v>993</v>
      </c>
      <c r="C7923" s="119">
        <v>2345</v>
      </c>
    </row>
    <row r="7924" spans="2:3">
      <c r="B7924" s="118" t="s">
        <v>988</v>
      </c>
      <c r="C7924" s="119">
        <v>2350</v>
      </c>
    </row>
    <row r="7925" spans="2:3">
      <c r="B7925" s="118" t="s">
        <v>4740</v>
      </c>
      <c r="C7925" s="119">
        <v>2353</v>
      </c>
    </row>
    <row r="7926" spans="2:3">
      <c r="B7926" s="118" t="s">
        <v>4746</v>
      </c>
      <c r="C7926" s="119">
        <v>2354</v>
      </c>
    </row>
    <row r="7927" spans="2:3">
      <c r="B7927" s="118" t="s">
        <v>4747</v>
      </c>
      <c r="C7927" s="119">
        <v>2364</v>
      </c>
    </row>
    <row r="7928" spans="2:3">
      <c r="B7928" s="118" t="s">
        <v>1023</v>
      </c>
      <c r="C7928" s="119">
        <v>2873</v>
      </c>
    </row>
    <row r="7929" spans="2:3">
      <c r="B7929" s="118" t="s">
        <v>4748</v>
      </c>
      <c r="C7929" s="119">
        <v>2882</v>
      </c>
    </row>
    <row r="7930" spans="2:3">
      <c r="B7930" s="118" t="s">
        <v>4723</v>
      </c>
      <c r="C7930" s="119">
        <v>2883</v>
      </c>
    </row>
    <row r="7931" spans="2:3">
      <c r="B7931" s="118" t="s">
        <v>4749</v>
      </c>
      <c r="C7931" s="119">
        <v>2886</v>
      </c>
    </row>
    <row r="7932" spans="2:3">
      <c r="B7932" s="118" t="s">
        <v>1029</v>
      </c>
      <c r="C7932" s="119">
        <v>2887</v>
      </c>
    </row>
    <row r="7933" spans="2:3">
      <c r="B7933" s="118" t="s">
        <v>991</v>
      </c>
      <c r="C7933" s="119">
        <v>2942</v>
      </c>
    </row>
    <row r="7934" spans="2:3">
      <c r="B7934" s="118" t="s">
        <v>998</v>
      </c>
      <c r="C7934" s="119">
        <v>2926</v>
      </c>
    </row>
    <row r="7935" spans="2:3">
      <c r="B7935" s="118" t="s">
        <v>1007</v>
      </c>
      <c r="C7935" s="119">
        <v>2915</v>
      </c>
    </row>
    <row r="7936" spans="2:3">
      <c r="B7936" s="118" t="s">
        <v>1004</v>
      </c>
      <c r="C7936" s="119">
        <v>2932</v>
      </c>
    </row>
    <row r="7937" spans="2:3">
      <c r="B7937" s="118" t="s">
        <v>1001</v>
      </c>
      <c r="C7937" s="119">
        <v>2952</v>
      </c>
    </row>
    <row r="7938" spans="2:3">
      <c r="B7938" s="118" t="s">
        <v>1022</v>
      </c>
      <c r="C7938" s="119">
        <v>2922</v>
      </c>
    </row>
    <row r="7939" spans="2:3">
      <c r="B7939" s="118" t="s">
        <v>989</v>
      </c>
      <c r="C7939" s="119">
        <v>2950</v>
      </c>
    </row>
    <row r="7940" spans="2:3">
      <c r="B7940" s="118" t="s">
        <v>4750</v>
      </c>
      <c r="C7940" s="119">
        <v>2950</v>
      </c>
    </row>
    <row r="7941" spans="2:3">
      <c r="B7941" s="118" t="s">
        <v>983</v>
      </c>
      <c r="C7941" s="119">
        <v>2900</v>
      </c>
    </row>
    <row r="7942" spans="2:3">
      <c r="B7942" s="118" t="s">
        <v>1003</v>
      </c>
      <c r="C7942" s="119">
        <v>2905</v>
      </c>
    </row>
    <row r="7943" spans="2:3">
      <c r="B7943" s="118" t="s">
        <v>1019</v>
      </c>
      <c r="C7943" s="119">
        <v>2916</v>
      </c>
    </row>
    <row r="7944" spans="2:3">
      <c r="B7944" s="118" t="s">
        <v>983</v>
      </c>
      <c r="C7944" s="119">
        <v>2900</v>
      </c>
    </row>
    <row r="7945" spans="2:3">
      <c r="B7945" s="118" t="s">
        <v>992</v>
      </c>
      <c r="C7945" s="119">
        <v>2902</v>
      </c>
    </row>
    <row r="7946" spans="2:3">
      <c r="B7946" s="118" t="s">
        <v>4751</v>
      </c>
      <c r="C7946" s="119">
        <v>2903</v>
      </c>
    </row>
    <row r="7947" spans="2:3">
      <c r="B7947" s="118" t="s">
        <v>4752</v>
      </c>
      <c r="C7947" s="119">
        <v>2904</v>
      </c>
    </row>
    <row r="7948" spans="2:3">
      <c r="B7948" s="118" t="s">
        <v>1018</v>
      </c>
      <c r="C7948" s="119">
        <v>2908</v>
      </c>
    </row>
    <row r="7949" spans="2:3">
      <c r="B7949" s="118" t="s">
        <v>983</v>
      </c>
      <c r="C7949" s="119">
        <v>2900</v>
      </c>
    </row>
    <row r="7950" spans="2:3">
      <c r="B7950" s="118" t="s">
        <v>1010</v>
      </c>
      <c r="C7950" s="119">
        <v>2943</v>
      </c>
    </row>
    <row r="7951" spans="2:3">
      <c r="B7951" s="118" t="s">
        <v>1007</v>
      </c>
      <c r="C7951" s="119">
        <v>2915</v>
      </c>
    </row>
    <row r="7952" spans="2:3">
      <c r="B7952" s="118" t="s">
        <v>4753</v>
      </c>
      <c r="C7952" s="119">
        <v>2923</v>
      </c>
    </row>
    <row r="7953" spans="2:3">
      <c r="B7953" s="118" t="s">
        <v>4754</v>
      </c>
      <c r="C7953" s="119">
        <v>2924</v>
      </c>
    </row>
    <row r="7954" spans="2:3">
      <c r="B7954" s="118" t="s">
        <v>4755</v>
      </c>
      <c r="C7954" s="119">
        <v>2925</v>
      </c>
    </row>
    <row r="7955" spans="2:3">
      <c r="B7955" s="118" t="s">
        <v>4748</v>
      </c>
      <c r="C7955" s="119">
        <v>2882</v>
      </c>
    </row>
    <row r="7956" spans="2:3">
      <c r="B7956" s="118" t="s">
        <v>4723</v>
      </c>
      <c r="C7956" s="119">
        <v>2883</v>
      </c>
    </row>
    <row r="7957" spans="2:3">
      <c r="B7957" s="118" t="s">
        <v>4756</v>
      </c>
      <c r="C7957" s="119">
        <v>2884</v>
      </c>
    </row>
    <row r="7958" spans="2:3">
      <c r="B7958" s="118" t="s">
        <v>4757</v>
      </c>
      <c r="C7958" s="119">
        <v>2885</v>
      </c>
    </row>
    <row r="7959" spans="2:3">
      <c r="B7959" s="118" t="s">
        <v>4749</v>
      </c>
      <c r="C7959" s="119">
        <v>2886</v>
      </c>
    </row>
    <row r="7960" spans="2:3">
      <c r="B7960" s="118" t="s">
        <v>4758</v>
      </c>
      <c r="C7960" s="119">
        <v>2888</v>
      </c>
    </row>
    <row r="7961" spans="2:3">
      <c r="B7961" s="118" t="s">
        <v>4759</v>
      </c>
      <c r="C7961" s="119">
        <v>2889</v>
      </c>
    </row>
    <row r="7962" spans="2:3">
      <c r="B7962" s="118" t="s">
        <v>4760</v>
      </c>
      <c r="C7962" s="119">
        <v>2906</v>
      </c>
    </row>
    <row r="7963" spans="2:3">
      <c r="B7963" s="118" t="s">
        <v>4761</v>
      </c>
      <c r="C7963" s="119">
        <v>2907</v>
      </c>
    </row>
    <row r="7964" spans="2:3">
      <c r="B7964" s="118" t="s">
        <v>4762</v>
      </c>
      <c r="C7964" s="119">
        <v>2912</v>
      </c>
    </row>
    <row r="7965" spans="2:3">
      <c r="B7965" s="118" t="s">
        <v>4763</v>
      </c>
      <c r="C7965" s="119">
        <v>2912</v>
      </c>
    </row>
    <row r="7966" spans="2:3">
      <c r="B7966" s="118" t="s">
        <v>4764</v>
      </c>
      <c r="C7966" s="119">
        <v>2914</v>
      </c>
    </row>
    <row r="7967" spans="2:3">
      <c r="B7967" s="118" t="s">
        <v>4730</v>
      </c>
      <c r="C7967" s="119">
        <v>2807</v>
      </c>
    </row>
    <row r="7968" spans="2:3">
      <c r="B7968" s="118" t="s">
        <v>4765</v>
      </c>
      <c r="C7968" s="119">
        <v>2946</v>
      </c>
    </row>
    <row r="7969" spans="2:3">
      <c r="B7969" s="118" t="s">
        <v>4766</v>
      </c>
      <c r="C7969" s="119">
        <v>2947</v>
      </c>
    </row>
    <row r="7970" spans="2:3">
      <c r="B7970" s="118" t="s">
        <v>4767</v>
      </c>
      <c r="C7970" s="119">
        <v>2953</v>
      </c>
    </row>
    <row r="7971" spans="2:3">
      <c r="B7971" s="118" t="s">
        <v>4768</v>
      </c>
      <c r="C7971" s="119">
        <v>2953</v>
      </c>
    </row>
    <row r="7972" spans="2:3">
      <c r="B7972" s="118" t="s">
        <v>4769</v>
      </c>
      <c r="C7972" s="119">
        <v>2954</v>
      </c>
    </row>
    <row r="7973" spans="2:3">
      <c r="B7973" s="118" t="s">
        <v>1027</v>
      </c>
      <c r="C7973" s="119">
        <v>2933</v>
      </c>
    </row>
    <row r="7974" spans="2:3">
      <c r="B7974" s="118" t="s">
        <v>1026</v>
      </c>
      <c r="C7974" s="119">
        <v>2933</v>
      </c>
    </row>
    <row r="7975" spans="2:3">
      <c r="B7975" s="118" t="s">
        <v>1031</v>
      </c>
      <c r="C7975" s="119">
        <v>2935</v>
      </c>
    </row>
    <row r="7976" spans="2:3">
      <c r="B7976" s="118" t="s">
        <v>1006</v>
      </c>
      <c r="C7976" s="119">
        <v>2944</v>
      </c>
    </row>
    <row r="7977" spans="2:3">
      <c r="B7977" s="118" t="s">
        <v>4770</v>
      </c>
      <c r="C7977" s="119">
        <v>9487</v>
      </c>
    </row>
    <row r="7978" spans="2:3">
      <c r="B7978" s="118" t="s">
        <v>4771</v>
      </c>
      <c r="C7978" s="119">
        <v>9490</v>
      </c>
    </row>
    <row r="7979" spans="2:3">
      <c r="B7979" s="118" t="s">
        <v>4772</v>
      </c>
      <c r="C7979" s="119">
        <v>9494</v>
      </c>
    </row>
    <row r="7980" spans="2:3">
      <c r="B7980" s="118" t="s">
        <v>4773</v>
      </c>
      <c r="C7980" s="119">
        <v>9497</v>
      </c>
    </row>
    <row r="7981" spans="2:3">
      <c r="B7981" s="118" t="s">
        <v>4774</v>
      </c>
      <c r="C7981" s="119">
        <v>9495</v>
      </c>
    </row>
    <row r="7982" spans="2:3">
      <c r="B7982" s="118" t="s">
        <v>4775</v>
      </c>
      <c r="C7982" s="119">
        <v>9496</v>
      </c>
    </row>
    <row r="7983" spans="2:3">
      <c r="B7983" s="118" t="s">
        <v>4773</v>
      </c>
      <c r="C7983" s="119">
        <v>9497</v>
      </c>
    </row>
    <row r="7984" spans="2:3">
      <c r="B7984" s="118" t="s">
        <v>4772</v>
      </c>
      <c r="C7984" s="119">
        <v>9494</v>
      </c>
    </row>
    <row r="7985" spans="2:3">
      <c r="B7985" s="118" t="s">
        <v>4773</v>
      </c>
      <c r="C7985" s="119">
        <v>9497</v>
      </c>
    </row>
    <row r="7986" spans="2:3">
      <c r="B7986" s="118" t="s">
        <v>4776</v>
      </c>
      <c r="C7986" s="119">
        <v>9498</v>
      </c>
    </row>
    <row r="7987" spans="2:3">
      <c r="B7987" s="118" t="s">
        <v>4777</v>
      </c>
      <c r="C7987" s="119">
        <v>9485</v>
      </c>
    </row>
    <row r="7988" spans="2:3">
      <c r="B7988" s="118" t="s">
        <v>4770</v>
      </c>
      <c r="C7988" s="119">
        <v>9487</v>
      </c>
    </row>
    <row r="7989" spans="2:3">
      <c r="B7989" s="118" t="s">
        <v>4778</v>
      </c>
      <c r="C7989" s="119">
        <v>9492</v>
      </c>
    </row>
    <row r="7990" spans="2:3">
      <c r="B7990" s="118" t="s">
        <v>4779</v>
      </c>
      <c r="C7990" s="119">
        <v>9493</v>
      </c>
    </row>
    <row r="7991" spans="2:3">
      <c r="B7991" s="118" t="s">
        <v>4780</v>
      </c>
      <c r="C7991" s="119">
        <v>9486</v>
      </c>
    </row>
    <row r="7992" spans="2:3">
      <c r="B7992" s="118" t="s">
        <v>4779</v>
      </c>
      <c r="C7992" s="119">
        <v>9493</v>
      </c>
    </row>
    <row r="7993" spans="2:3">
      <c r="B7993" s="118" t="s">
        <v>4777</v>
      </c>
      <c r="C7993" s="119">
        <v>9485</v>
      </c>
    </row>
    <row r="7994" spans="2:3">
      <c r="B7994" s="118" t="s">
        <v>4770</v>
      </c>
      <c r="C7994" s="119">
        <v>9487</v>
      </c>
    </row>
    <row r="7995" spans="2:3">
      <c r="B7995" s="118" t="s">
        <v>4781</v>
      </c>
      <c r="C7995" s="119">
        <v>9491</v>
      </c>
    </row>
    <row r="7996" spans="2:3">
      <c r="B7996" s="120" t="s">
        <v>4782</v>
      </c>
      <c r="C7996" s="121">
        <v>9488</v>
      </c>
    </row>
  </sheetData>
  <phoneticPr fontId="7" type="noConversion"/>
  <pageMargins left="0.7" right="0.7" top="0.75" bottom="0.75" header="0.3" footer="0.3"/>
  <tableParts count="3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9263C-CD87-964E-BFF8-F0E47542B16B}">
  <dimension ref="B4:AX7994"/>
  <sheetViews>
    <sheetView zoomScale="131" zoomScaleNormal="120" workbookViewId="0">
      <selection activeCell="C11" sqref="C11"/>
    </sheetView>
  </sheetViews>
  <sheetFormatPr baseColWidth="10" defaultColWidth="11" defaultRowHeight="16"/>
  <cols>
    <col min="2" max="2" width="33.6640625" customWidth="1"/>
    <col min="3" max="4" width="20.33203125" customWidth="1"/>
    <col min="5" max="5" width="21.6640625" customWidth="1"/>
    <col min="6" max="6" width="18" customWidth="1"/>
    <col min="7" max="7" width="18.5" customWidth="1"/>
    <col min="10" max="10" width="14.33203125" customWidth="1"/>
    <col min="11" max="11" width="20.33203125" customWidth="1"/>
    <col min="12" max="12" width="17.83203125" customWidth="1"/>
    <col min="13" max="13" width="20.33203125" customWidth="1"/>
    <col min="14" max="14" width="17.83203125" customWidth="1"/>
    <col min="15" max="15" width="21.33203125" customWidth="1"/>
    <col min="16" max="16" width="21" customWidth="1"/>
    <col min="17" max="17" width="22.1640625" customWidth="1"/>
    <col min="18" max="18" width="22.5" customWidth="1"/>
    <col min="19" max="19" width="21.1640625" customWidth="1"/>
    <col min="23" max="49" width="20.1640625" customWidth="1"/>
    <col min="50" max="50" width="21.83203125" customWidth="1"/>
  </cols>
  <sheetData>
    <row r="4" spans="2:50">
      <c r="B4" s="7" t="s">
        <v>51</v>
      </c>
      <c r="C4" s="21"/>
      <c r="J4" s="23" t="s">
        <v>13</v>
      </c>
      <c r="K4" s="23" t="s">
        <v>76</v>
      </c>
      <c r="L4" s="82" t="s">
        <v>81</v>
      </c>
      <c r="M4" s="23" t="s">
        <v>107</v>
      </c>
      <c r="N4" s="23" t="s">
        <v>2496</v>
      </c>
      <c r="O4" s="82" t="s">
        <v>2497</v>
      </c>
      <c r="P4" s="82" t="s">
        <v>2498</v>
      </c>
      <c r="Q4" s="82" t="s">
        <v>2499</v>
      </c>
      <c r="R4" s="82" t="s">
        <v>2500</v>
      </c>
      <c r="S4" s="82" t="s">
        <v>2501</v>
      </c>
      <c r="W4" s="108" t="s">
        <v>2497</v>
      </c>
      <c r="X4" s="108" t="s">
        <v>141</v>
      </c>
      <c r="Y4" s="108" t="s">
        <v>136</v>
      </c>
      <c r="Z4" s="108" t="s">
        <v>142</v>
      </c>
      <c r="AA4" s="108" t="s">
        <v>158</v>
      </c>
      <c r="AB4" s="108" t="s">
        <v>138</v>
      </c>
      <c r="AC4" s="108" t="s">
        <v>156</v>
      </c>
      <c r="AD4" s="108" t="s">
        <v>151</v>
      </c>
      <c r="AE4" s="108" t="s">
        <v>137</v>
      </c>
      <c r="AF4" s="108" t="s">
        <v>143</v>
      </c>
      <c r="AG4" s="108" t="s">
        <v>155</v>
      </c>
      <c r="AH4" s="108" t="s">
        <v>154</v>
      </c>
      <c r="AI4" s="108" t="s">
        <v>160</v>
      </c>
      <c r="AJ4" s="108" t="s">
        <v>144</v>
      </c>
      <c r="AK4" s="108" t="s">
        <v>152</v>
      </c>
      <c r="AL4" s="108" t="s">
        <v>149</v>
      </c>
      <c r="AM4" s="108" t="s">
        <v>2502</v>
      </c>
      <c r="AN4" s="108" t="s">
        <v>140</v>
      </c>
      <c r="AO4" s="108" t="s">
        <v>153</v>
      </c>
      <c r="AP4" s="108" t="s">
        <v>147</v>
      </c>
      <c r="AQ4" s="108" t="s">
        <v>148</v>
      </c>
      <c r="AR4" s="108" t="s">
        <v>146</v>
      </c>
      <c r="AS4" s="108" t="s">
        <v>157</v>
      </c>
      <c r="AT4" s="108" t="s">
        <v>145</v>
      </c>
      <c r="AU4" s="108" t="s">
        <v>150</v>
      </c>
      <c r="AV4" s="108" t="s">
        <v>139</v>
      </c>
      <c r="AW4" s="108" t="s">
        <v>2503</v>
      </c>
      <c r="AX4" s="108" t="s">
        <v>2504</v>
      </c>
    </row>
    <row r="5" spans="2:50">
      <c r="J5" s="80">
        <v>20</v>
      </c>
      <c r="K5" s="27">
        <f ca="1">'Income and Pension'!K21</f>
        <v>0</v>
      </c>
      <c r="L5" s="27">
        <f>SUM('Income and Pension'!$K94,'Partner Income and Pension'!L95)</f>
        <v>0</v>
      </c>
      <c r="M5" s="27">
        <f>SUM('Income and Pension'!$Q94,'Partner Income and Pension'!R95)</f>
        <v>0</v>
      </c>
      <c r="N5" s="27">
        <f>IF(SUMIF('CF Timeline'!$C$4:$BC$4,Tabella245[[#This Row],[Age]],'CF Timeline'!$C$43:$BC$43)&lt;7258, SUMIF('CF Timeline'!$C$4:$BC$4,Tabella245[[#This Row],[Age]],'CF Timeline'!$C$43:$BC$43), 7258)</f>
        <v>0</v>
      </c>
      <c r="O5" s="27">
        <f ca="1">Tabella245[[#This Row],[Salary and Pension]]-Tabella245[[#This Row],[1° Pillar deductions]]-Tabella245[[#This Row],[2° Pillar deductions]]-Tabella245[[#This Row],[3° Pillar deductions]]</f>
        <v>0</v>
      </c>
      <c r="P5" s="46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5" s="107">
        <f ca="1">Tabella245[[#This Row],[Federal taxes]]+Tabella245[[#This Row],[Cantonal taxes]]+Tabella245[[#This Row],[Comunal taxes]]</f>
        <v>0</v>
      </c>
      <c r="W5" s="27">
        <f ca="1">Tabella245[[#This Row],[Taxable salary]]</f>
        <v>0</v>
      </c>
      <c r="X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5" s="27">
        <f ca="1">IF(Tabella1353[[#This Row],[Taxable salary]]&lt;$L$140,$M$139+((Tabella1353[[#This Row],[Taxable salary]]-$L$139)/100)*$N$139, IF(Tabella1353[[#This Row],[Taxable salary]]&lt;$L$141,M140+((Tabella1353[[#This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0</v>
      </c>
      <c r="AB5" s="27">
        <f ca="1">IF(Tabella1353[[#This Row],[Taxable salary]]&lt;$L$159,Tabella1353[[#This Row],[Taxable salary]]*M158,IF(Tabella1353[[#This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0</v>
      </c>
      <c r="AC5" s="27">
        <f ca="1">IF(Tabella1353[[#This Row],[Taxable salary]]&lt;$L$178,Tabella1353[[#This Row],[Taxable salary]]*M177,IF(Tabella1353[[#This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salary]]&gt;L194,Tabella1353[[#This Row],[Taxable salary]]*$M$194))))))))))))))))))</f>
        <v>0</v>
      </c>
      <c r="AD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5" s="46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5" s="83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5" s="83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5" s="83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salary]]*M302))))))))))))</f>
        <v>0</v>
      </c>
      <c r="AI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5" s="83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0</v>
      </c>
      <c r="AK5" s="83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0</v>
      </c>
      <c r="AL5" s="83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5" s="83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5" s="83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5" s="83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5" s="83">
        <f ca="1">Tabella1353[[#This Row],[Taxable salary]]*$M$501</f>
        <v>0</v>
      </c>
      <c r="AR5" s="83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5" s="83">
        <f ca="1">Tabella1353[[#This Row],[Taxable salary]]*$M$604</f>
        <v>0</v>
      </c>
      <c r="AV5" s="83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5" s="83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salary]]*M651)))))))))))))</f>
        <v>0</v>
      </c>
      <c r="AX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0</v>
      </c>
    </row>
    <row r="6" spans="2:50">
      <c r="B6" s="7" t="s">
        <v>66</v>
      </c>
      <c r="C6" s="21" t="s">
        <v>82</v>
      </c>
      <c r="D6" s="21" t="s">
        <v>2505</v>
      </c>
      <c r="E6" s="21" t="s">
        <v>2506</v>
      </c>
      <c r="J6" s="80">
        <v>21</v>
      </c>
      <c r="K6" s="27">
        <f ca="1">'Income and Pension'!K22</f>
        <v>0</v>
      </c>
      <c r="L6" s="27">
        <f>SUM('Income and Pension'!$K95,'Partner Income and Pension'!L96)</f>
        <v>0</v>
      </c>
      <c r="M6" s="27">
        <f>SUM('Income and Pension'!$Q95,'Partner Income and Pension'!R96)</f>
        <v>0</v>
      </c>
      <c r="N6" s="27">
        <f>IF(SUMIF('CF Timeline'!$C$4:$BC$4,Tabella245[[#This Row],[Age]],'CF Timeline'!$C$43:$BC$43)&lt;7258, SUMIF('CF Timeline'!$C$4:$BC$4,Tabella245[[#This Row],[Age]],'CF Timeline'!$C$43:$BC$43), 7258)</f>
        <v>0</v>
      </c>
      <c r="O6" s="27">
        <f ca="1">Tabella245[[#This Row],[Salary and Pension]]-Tabella245[[#This Row],[1° Pillar deductions]]-Tabella245[[#This Row],[2° Pillar deductions]]-Tabella245[[#This Row],[3° Pillar deductions]]</f>
        <v>0</v>
      </c>
      <c r="P6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6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6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6" s="107">
        <f ca="1">Tabella245[[#This Row],[Federal taxes]]+Tabella245[[#This Row],[Cantonal taxes]]+Tabella245[[#This Row],[Comunal taxes]]</f>
        <v>0</v>
      </c>
      <c r="W6" s="27">
        <f ca="1">Tabella245[[#This Row],[Taxable salary]]</f>
        <v>0</v>
      </c>
      <c r="X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6" s="27">
        <f ca="1">IF(Tabella1353[[#This Row],[Taxable salary]]&lt;$L$140,$M$139+((Tabella1353[[#This Row],[Taxable salary]]-$L$139)/100)*$N$139, IF(Tabella1353[[#This Row],[Taxable salary]]&lt;$L$141,M141+((Tabella1353[[#This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0</v>
      </c>
      <c r="AB6" s="27">
        <f ca="1">IF(Tabella1353[[#This Row],[Taxable salary]]&lt;$L$159,Tabella1353[[#This Row],[Taxable salary]]*M159,IF(Tabella1353[[#This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0</v>
      </c>
      <c r="AC6" s="27">
        <f ca="1">IF(Tabella1353[[#This Row],[Taxable salary]]&lt;$L$178,Tabella1353[[#This Row],[Taxable salary]]*M178,IF(Tabella1353[[#This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salary]]&gt;L195,Tabella1353[[#This Row],[Taxable salary]]*$M$194))))))))))))))))))</f>
        <v>0</v>
      </c>
      <c r="AD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6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salary]]*M303))))))))))))</f>
        <v>0</v>
      </c>
      <c r="AI6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0</v>
      </c>
      <c r="AK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0</v>
      </c>
      <c r="AL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6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6" s="27">
        <f ca="1">Tabella1353[[#This Row],[Taxable salary]]*$M$501</f>
        <v>0</v>
      </c>
      <c r="AR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6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6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6" s="27">
        <f ca="1">Tabella1353[[#This Row],[Taxable salary]]*$M$604</f>
        <v>0</v>
      </c>
      <c r="AV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salary]]*M652)))))))))))))</f>
        <v>0</v>
      </c>
      <c r="AX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0</v>
      </c>
    </row>
    <row r="7" spans="2:50">
      <c r="B7" s="26" t="s">
        <v>13</v>
      </c>
      <c r="C7" s="26">
        <f>'General overview'!$C$5</f>
        <v>28</v>
      </c>
      <c r="D7" s="2" t="s">
        <v>2507</v>
      </c>
      <c r="E7" s="2">
        <f>IFERROR(INDEX(D76:D2218,MATCH(E10,F76:F2218,0)),INDEX(D76:D2218,MATCH(E10,F76:F2218,-1)))</f>
        <v>98</v>
      </c>
      <c r="J7" s="80">
        <v>22</v>
      </c>
      <c r="K7" s="27">
        <f ca="1">'Income and Pension'!K23</f>
        <v>0</v>
      </c>
      <c r="L7" s="27">
        <f>SUM('Income and Pension'!$K96,'Partner Income and Pension'!L97)</f>
        <v>5530</v>
      </c>
      <c r="M7" s="27">
        <f>SUM('Income and Pension'!$Q96,'Partner Income and Pension'!R97)</f>
        <v>0</v>
      </c>
      <c r="N7" s="27">
        <f>IF(SUMIF('CF Timeline'!$C$4:$BC$4,Tabella245[[#This Row],[Age]],'CF Timeline'!$C$43:$BC$43)&lt;7258, SUMIF('CF Timeline'!$C$4:$BC$4,Tabella245[[#This Row],[Age]],'CF Timeline'!$C$43:$BC$43), 7258)</f>
        <v>0</v>
      </c>
      <c r="O7" s="27">
        <f ca="1">Tabella245[[#This Row],[Salary and Pension]]-Tabella245[[#This Row],[1° Pillar deductions]]-Tabella245[[#This Row],[2° Pillar deductions]]-Tabella245[[#This Row],[3° Pillar deductions]]</f>
        <v>-5530</v>
      </c>
      <c r="P7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7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7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7" s="107">
        <f ca="1">Tabella245[[#This Row],[Federal taxes]]+Tabella245[[#This Row],[Cantonal taxes]]+Tabella245[[#This Row],[Comunal taxes]]</f>
        <v>0</v>
      </c>
      <c r="W7" s="27">
        <f ca="1">Tabella245[[#This Row],[Taxable salary]]</f>
        <v>-5530</v>
      </c>
      <c r="X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7" s="27">
        <f ca="1">IF(Tabella1353[[#This Row],[Taxable salary]]&lt;$L$140,$M$139+((Tabella1353[[#This Row],[Taxable salary]]-$L$139)/100)*$N$139, IF(Tabella1353[[#This Row],[Taxable salary]]&lt;$L$141,M142+((Tabella1353[[#This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-27.65</v>
      </c>
      <c r="AB7" s="27">
        <f ca="1">IF(Tabella1353[[#This Row],[Taxable salary]]&lt;$L$159,Tabella1353[[#This Row],[Taxable salary]]*M160,IF(Tabella1353[[#This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-199.07999999999998</v>
      </c>
      <c r="AC7" s="27">
        <f ca="1">IF(Tabella1353[[#This Row],[Taxable salary]]&lt;$L$178,Tabella1353[[#This Row],[Taxable salary]]*M179,IF(Tabella1353[[#This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salary]]&gt;L196,Tabella1353[[#This Row],[Taxable salary]]*$M$194))))))))))))))))))</f>
        <v>-41.475000000000001</v>
      </c>
      <c r="AD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7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salary]]*M304))))))))))))</f>
        <v>0</v>
      </c>
      <c r="AI7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-1161.3</v>
      </c>
      <c r="AK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-55.300000000000004</v>
      </c>
      <c r="AL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7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7" s="27">
        <f ca="1">Tabella1353[[#This Row],[Taxable salary]]*$M$501</f>
        <v>-99.539999999999992</v>
      </c>
      <c r="AR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7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7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7" s="27">
        <f ca="1">Tabella1353[[#This Row],[Taxable salary]]*$M$604</f>
        <v>-392.62999999999994</v>
      </c>
      <c r="AV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salary]]*M653)))))))))))))</f>
        <v>-110.60000000000001</v>
      </c>
      <c r="AX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-110.60000000000001</v>
      </c>
    </row>
    <row r="8" spans="2:50">
      <c r="B8" s="26" t="s">
        <v>67</v>
      </c>
      <c r="C8" s="27">
        <f>'General overview'!$C$139</f>
        <v>0</v>
      </c>
      <c r="D8" s="2" t="s">
        <v>2508</v>
      </c>
      <c r="E8" s="105">
        <f>IFERROR(INDEX(E76:E2218,MATCH(E10,F76:F2218,0)),INDEX(E76:E2218,MATCH(E10,F76:F2218,-1)))</f>
        <v>78</v>
      </c>
      <c r="J8" s="80">
        <v>23</v>
      </c>
      <c r="K8" s="27">
        <f ca="1">'Income and Pension'!K24</f>
        <v>0</v>
      </c>
      <c r="L8" s="27">
        <f>SUM('Income and Pension'!$K97,'Partner Income and Pension'!L98)</f>
        <v>5696.8162915351268</v>
      </c>
      <c r="M8" s="27">
        <f>SUM('Income and Pension'!$Q97,'Partner Income and Pension'!R98)</f>
        <v>0</v>
      </c>
      <c r="N8" s="27">
        <f>IF(SUMIF('CF Timeline'!$C$4:$BC$4,Tabella245[[#This Row],[Age]],'CF Timeline'!$C$43:$BC$43)&lt;7258, SUMIF('CF Timeline'!$C$4:$BC$4,Tabella245[[#This Row],[Age]],'CF Timeline'!$C$43:$BC$43), 7258)</f>
        <v>0</v>
      </c>
      <c r="O8" s="27">
        <f ca="1">Tabella245[[#This Row],[Salary and Pension]]-Tabella245[[#This Row],[1° Pillar deductions]]-Tabella245[[#This Row],[2° Pillar deductions]]-Tabella245[[#This Row],[3° Pillar deductions]]</f>
        <v>-5696.8162915351268</v>
      </c>
      <c r="P8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8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8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8" s="107">
        <f ca="1">Tabella245[[#This Row],[Federal taxes]]+Tabella245[[#This Row],[Cantonal taxes]]+Tabella245[[#This Row],[Comunal taxes]]</f>
        <v>0</v>
      </c>
      <c r="W8" s="27">
        <f ca="1">Tabella245[[#This Row],[Taxable salary]]</f>
        <v>-5696.8162915351268</v>
      </c>
      <c r="X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8" s="27">
        <f ca="1">IF(Tabella1353[[#This Row],[Taxable salary]]&lt;$L$140,$M$139+((Tabella1353[[#This Row],[Taxable salary]]-$L$139)/100)*$N$139, IF(Tabella1353[[#This Row],[Taxable salary]]&lt;$L$141,M143+((Tabella1353[[#This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-28.484081457675632</v>
      </c>
      <c r="AB8" s="27">
        <f ca="1">IF(Tabella1353[[#This Row],[Taxable salary]]&lt;$L$159,Tabella1353[[#This Row],[Taxable salary]]*M161,IF(Tabella1353[[#This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-236.41787609870778</v>
      </c>
      <c r="AC8" s="27">
        <f ca="1">IF(Tabella1353[[#This Row],[Taxable salary]]&lt;$L$178,Tabella1353[[#This Row],[Taxable salary]]*M180,IF(Tabella1353[[#This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salary]]&gt;L197,Tabella1353[[#This Row],[Taxable salary]]*$M$194))))))))))))))))))</f>
        <v>-56.968162915351272</v>
      </c>
      <c r="AD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salary]]*M305))))))))))))</f>
        <v>0</v>
      </c>
      <c r="AI8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-1196.3314212223765</v>
      </c>
      <c r="AK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-56.968162915351272</v>
      </c>
      <c r="AL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8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8" s="27">
        <f ca="1">Tabella1353[[#This Row],[Taxable salary]]*$M$501</f>
        <v>-102.54269324763227</v>
      </c>
      <c r="AR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8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8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8" s="27">
        <f ca="1">Tabella1353[[#This Row],[Taxable salary]]*$M$604</f>
        <v>-404.47395669899396</v>
      </c>
      <c r="AV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salary]]*M654)))))))))))))</f>
        <v>-113.93632583070254</v>
      </c>
      <c r="AX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-113.93632583070254</v>
      </c>
    </row>
    <row r="9" spans="2:50">
      <c r="B9" s="2" t="s">
        <v>2496</v>
      </c>
      <c r="C9" s="81">
        <f>'General overview'!$C$65</f>
        <v>0</v>
      </c>
      <c r="D9" s="2"/>
      <c r="E9" s="2"/>
      <c r="J9" s="80">
        <v>24</v>
      </c>
      <c r="K9" s="27">
        <f ca="1">'Income and Pension'!K25</f>
        <v>0</v>
      </c>
      <c r="L9" s="27">
        <f>SUM('Income and Pension'!$K98,'Partner Income and Pension'!L99)</f>
        <v>5867.2730494716352</v>
      </c>
      <c r="M9" s="27">
        <f>SUM('Income and Pension'!$Q98,'Partner Income and Pension'!R99)</f>
        <v>0</v>
      </c>
      <c r="N9" s="27">
        <f>IF(SUMIF('CF Timeline'!$C$4:$BC$4,Tabella245[[#This Row],[Age]],'CF Timeline'!$C$43:$BC$43)&lt;7258, SUMIF('CF Timeline'!$C$4:$BC$4,Tabella245[[#This Row],[Age]],'CF Timeline'!$C$43:$BC$43), 7258)</f>
        <v>0</v>
      </c>
      <c r="O9" s="27">
        <f ca="1">Tabella245[[#This Row],[Salary and Pension]]-Tabella245[[#This Row],[1° Pillar deductions]]-Tabella245[[#This Row],[2° Pillar deductions]]-Tabella245[[#This Row],[3° Pillar deductions]]</f>
        <v>-5867.2730494716352</v>
      </c>
      <c r="P9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9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9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9" s="107">
        <f ca="1">Tabella245[[#This Row],[Federal taxes]]+Tabella245[[#This Row],[Cantonal taxes]]+Tabella245[[#This Row],[Comunal taxes]]</f>
        <v>0</v>
      </c>
      <c r="W9" s="27">
        <f ca="1">Tabella245[[#This Row],[Taxable salary]]</f>
        <v>-5867.2730494716352</v>
      </c>
      <c r="X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9" s="27">
        <f ca="1">IF(Tabella1353[[#This Row],[Taxable salary]]&lt;$L$140,$M$139+((Tabella1353[[#This Row],[Taxable salary]]-$L$139)/100)*$N$139, IF(Tabella1353[[#This Row],[Taxable salary]]&lt;$L$141,M144+((Tabella1353[[#This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-29.336365247358177</v>
      </c>
      <c r="AB9" s="27">
        <f ca="1">IF(Tabella1353[[#This Row],[Taxable salary]]&lt;$L$159,Tabella1353[[#This Row],[Taxable salary]]*M162,IF(Tabella1353[[#This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-261.09365070148777</v>
      </c>
      <c r="AC9" s="27">
        <f ca="1">IF(Tabella1353[[#This Row],[Taxable salary]]&lt;$L$178,Tabella1353[[#This Row],[Taxable salary]]*M181,IF(Tabella1353[[#This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salary]]&gt;L198,Tabella1353[[#This Row],[Taxable salary]]*$M$194))))))))))))))))))</f>
        <v>-73.340913118395449</v>
      </c>
      <c r="AD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salary]]*M306))))))))))))</f>
        <v>0</v>
      </c>
      <c r="AI9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-1232.1273403890434</v>
      </c>
      <c r="AK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-58.672730494716355</v>
      </c>
      <c r="AL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9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salary]]*$M$487,IF(K479&lt;$L$489,Tabella1353[[#This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9" s="27">
        <f ca="1">Tabella1353[[#This Row],[Taxable salary]]*$M$501</f>
        <v>-105.61091489048943</v>
      </c>
      <c r="AR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9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9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9" s="27">
        <f ca="1">Tabella1353[[#This Row],[Taxable salary]]*$M$604</f>
        <v>-416.57638651248607</v>
      </c>
      <c r="AV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salary]]*M655)))))))))))))</f>
        <v>-117.34546098943271</v>
      </c>
      <c r="AX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-117.34546098943271</v>
      </c>
    </row>
    <row r="10" spans="2:50">
      <c r="B10" s="2" t="s">
        <v>4857</v>
      </c>
      <c r="C10" s="202">
        <f>'General overview'!C31</f>
        <v>8712</v>
      </c>
      <c r="D10" s="2" t="s">
        <v>2509</v>
      </c>
      <c r="E10" s="109">
        <f>IF(ISNUMBER(Tabella346[[#This Row],[ ]]),Tabella346[[#This Row],[ ]],VLOOKUP(Tabella346[[#This Row],[ ]],Realestate!B2:D2407,3,FALSE))</f>
        <v>8712</v>
      </c>
      <c r="J10" s="80">
        <v>25</v>
      </c>
      <c r="K10" s="27">
        <f ca="1">'Income and Pension'!K26</f>
        <v>0</v>
      </c>
      <c r="L10" s="27">
        <f>SUM('Income and Pension'!$K99,'Partner Income and Pension'!L100)</f>
        <v>6041.4591007681556</v>
      </c>
      <c r="M10" s="27">
        <f>SUM('Income and Pension'!$Q99,'Partner Income and Pension'!R100)</f>
        <v>3500.9916082755813</v>
      </c>
      <c r="N10" s="27">
        <f>IF(SUMIF('CF Timeline'!$C$4:$BC$4,Tabella245[[#This Row],[Age]],'CF Timeline'!$C$43:$BC$43)&lt;7258, SUMIF('CF Timeline'!$C$4:$BC$4,Tabella245[[#This Row],[Age]],'CF Timeline'!$C$43:$BC$43), 7258)</f>
        <v>0</v>
      </c>
      <c r="O10" s="27">
        <f ca="1">Tabella245[[#This Row],[Salary and Pension]]-Tabella245[[#This Row],[1° Pillar deductions]]-Tabella245[[#This Row],[2° Pillar deductions]]-Tabella245[[#This Row],[3° Pillar deductions]]</f>
        <v>-9542.4507090437364</v>
      </c>
      <c r="P10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10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10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10" s="107">
        <f ca="1">Tabella245[[#This Row],[Federal taxes]]+Tabella245[[#This Row],[Cantonal taxes]]+Tabella245[[#This Row],[Comunal taxes]]</f>
        <v>0</v>
      </c>
      <c r="W10" s="27">
        <f ca="1">Tabella245[[#This Row],[Taxable salary]]</f>
        <v>-9542.4507090437364</v>
      </c>
      <c r="X1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1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1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10" s="27">
        <f ca="1">IF(Tabella1353[[#This Row],[Taxable salary]]&lt;$L$140,$M$139+((Tabella1353[[#This Row],[Taxable salary]]-$L$139)/100)*$N$139, IF(Tabella1353[[#This Row],[Taxable salary]]&lt;$L$141,M145+((Tabella1353[[#This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-47.71225354521868</v>
      </c>
      <c r="AB10" s="27">
        <f ca="1">IF(Tabella1353[[#This Row],[Taxable salary]]&lt;$L$159,Tabella1353[[#This Row],[Taxable salary]]*M163,IF(Tabella1353[[#This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-477.12253545218687</v>
      </c>
      <c r="AC10" s="27">
        <f ca="1">IF(Tabella1353[[#This Row],[Taxable salary]]&lt;$L$178,Tabella1353[[#This Row],[Taxable salary]]*M182,IF(Tabella1353[[#This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salary]]&gt;L199,Tabella1353[[#This Row],[Taxable salary]]*$M$194))))))))))))))))))</f>
        <v>-143.13676063565603</v>
      </c>
      <c r="AD1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1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1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1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1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salary]]*M307))))))))))))</f>
        <v>0</v>
      </c>
      <c r="AI10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1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-2003.9146488991846</v>
      </c>
      <c r="AK1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-95.424507090437359</v>
      </c>
      <c r="AL1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1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1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1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10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10" s="27">
        <f ca="1">Tabella1353[[#This Row],[Taxable salary]]*$M$501</f>
        <v>-171.76411276278725</v>
      </c>
      <c r="AR1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10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10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10" s="27">
        <f ca="1">Tabella1353[[#This Row],[Taxable salary]]*$M$604</f>
        <v>-677.51400034210519</v>
      </c>
      <c r="AV1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1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salary]]*M656)))))))))))))</f>
        <v>-190.84901418087472</v>
      </c>
      <c r="AX1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-190.84901418087472</v>
      </c>
    </row>
    <row r="11" spans="2:50">
      <c r="B11" s="2" t="s">
        <v>18</v>
      </c>
      <c r="C11" s="10" t="str">
        <f>IFERROR(INDEX($B$76:$B$2218, MATCH(E10,$F$76:$F$2218, 0)), INDEX(B76:B2218, MATCH(E10, $F$76:$F$2218,-1)))</f>
        <v>ZH</v>
      </c>
      <c r="D11" s="2"/>
      <c r="E11" s="2"/>
      <c r="J11" s="80">
        <v>26</v>
      </c>
      <c r="K11" s="27">
        <f ca="1">'Income and Pension'!K27</f>
        <v>0</v>
      </c>
      <c r="L11" s="27">
        <f>SUM('Income and Pension'!$K100,'Partner Income and Pension'!L101)</f>
        <v>6219.4654938359054</v>
      </c>
      <c r="M11" s="27">
        <f>SUM('Income and Pension'!$Q100,'Partner Income and Pension'!R101)</f>
        <v>3658.7187920064989</v>
      </c>
      <c r="N11" s="27">
        <f>IF(SUMIF('CF Timeline'!$C$4:$BC$4,Tabella245[[#This Row],[Age]],'CF Timeline'!$C$43:$BC$43)&lt;7258, SUMIF('CF Timeline'!$C$4:$BC$4,Tabella245[[#This Row],[Age]],'CF Timeline'!$C$43:$BC$43), 7258)</f>
        <v>0</v>
      </c>
      <c r="O11" s="27">
        <f ca="1">Tabella245[[#This Row],[Salary and Pension]]-Tabella245[[#This Row],[1° Pillar deductions]]-Tabella245[[#This Row],[2° Pillar deductions]]-Tabella245[[#This Row],[3° Pillar deductions]]</f>
        <v>-9878.1842858424043</v>
      </c>
      <c r="P11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11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11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11" s="107">
        <f ca="1">Tabella245[[#This Row],[Federal taxes]]+Tabella245[[#This Row],[Cantonal taxes]]+Tabella245[[#This Row],[Comunal taxes]]</f>
        <v>0</v>
      </c>
      <c r="W11" s="27">
        <f ca="1">Tabella245[[#This Row],[Taxable salary]]</f>
        <v>-9878.1842858424043</v>
      </c>
      <c r="X1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1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1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11" s="27">
        <f ca="1">IF(Tabella1353[[#This Row],[Taxable salary]]&lt;$L$140,$M$139+((Tabella1353[[#This Row],[Taxable salary]]-$L$139)/100)*$N$139, IF(Tabella1353[[#This Row],[Taxable salary]]&lt;$L$141,M146+((Tabella1353[[#This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-49.390921429212021</v>
      </c>
      <c r="AB11" s="27">
        <f ca="1">IF(Tabella1353[[#This Row],[Taxable salary]]&lt;$L$159,Tabella1353[[#This Row],[Taxable salary]]*M164,IF(Tabella1353[[#This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-553.17832000717465</v>
      </c>
      <c r="AC11" s="27">
        <f ca="1">IF(Tabella1353[[#This Row],[Taxable salary]]&lt;$L$178,Tabella1353[[#This Row],[Taxable salary]]*M183,IF(Tabella1353[[#This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salary]]&gt;L200,Tabella1353[[#This Row],[Taxable salary]]*$M$194))))))))))))))))))</f>
        <v>-172.8682250022421</v>
      </c>
      <c r="AD1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1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1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1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1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salary]]*M308))))))))))))</f>
        <v>0</v>
      </c>
      <c r="AI11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1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-2074.4187000269048</v>
      </c>
      <c r="AK1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-98.781842858424042</v>
      </c>
      <c r="AL1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1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1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1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11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11" s="27">
        <f ca="1">Tabella1353[[#This Row],[Taxable salary]]*$M$501</f>
        <v>-177.80731714516327</v>
      </c>
      <c r="AR1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11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11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11" s="27">
        <f ca="1">Tabella1353[[#This Row],[Taxable salary]]*$M$604</f>
        <v>-701.35108429481068</v>
      </c>
      <c r="AV1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1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salary]]*M657)))))))))))))</f>
        <v>-197.56368571684808</v>
      </c>
      <c r="AX1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-197.56368571684808</v>
      </c>
    </row>
    <row r="12" spans="2:50">
      <c r="J12" s="80">
        <v>27</v>
      </c>
      <c r="K12" s="27">
        <f ca="1">'Income and Pension'!K28</f>
        <v>0</v>
      </c>
      <c r="L12" s="27">
        <f>SUM('Income and Pension'!$K101,'Partner Income and Pension'!L102)</f>
        <v>6401.3855543733816</v>
      </c>
      <c r="M12" s="27">
        <f>SUM('Income and Pension'!$Q101,'Partner Income and Pension'!R102)</f>
        <v>3819.9137823561614</v>
      </c>
      <c r="N12" s="27">
        <f>IF(SUMIF('CF Timeline'!$C$4:$BC$4,Tabella245[[#This Row],[Age]],'CF Timeline'!$C$43:$BC$43)&lt;7258, SUMIF('CF Timeline'!$C$4:$BC$4,Tabella245[[#This Row],[Age]],'CF Timeline'!$C$43:$BC$43), 7258)</f>
        <v>0</v>
      </c>
      <c r="O12" s="27">
        <f ca="1">Tabella245[[#This Row],[Salary and Pension]]-Tabella245[[#This Row],[1° Pillar deductions]]-Tabella245[[#This Row],[2° Pillar deductions]]-Tabella245[[#This Row],[3° Pillar deductions]]</f>
        <v>-10221.299336729542</v>
      </c>
      <c r="P12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0</v>
      </c>
      <c r="Q12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0</v>
      </c>
      <c r="R12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0</v>
      </c>
      <c r="S12" s="107">
        <f ca="1">Tabella245[[#This Row],[Federal taxes]]+Tabella245[[#This Row],[Cantonal taxes]]+Tabella245[[#This Row],[Comunal taxes]]</f>
        <v>0</v>
      </c>
      <c r="W12" s="27">
        <f ca="1">Tabella245[[#This Row],[Taxable salary]]</f>
        <v>-10221.299336729542</v>
      </c>
      <c r="X1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0</v>
      </c>
      <c r="Y1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0</v>
      </c>
      <c r="Z1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0</v>
      </c>
      <c r="AA12" s="27">
        <f ca="1">IF(Tabella1353[[#This Row],[Taxable salary]]&lt;$L$140,$M$139+((Tabella1353[[#This Row],[Taxable salary]]-$L$139)/100)*$N$139, IF(Tabella1353[[#This Row],[Taxable salary]]&lt;$L$141,M147+((Tabella1353[[#This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-51.106496683647713</v>
      </c>
      <c r="AB12" s="27">
        <f ca="1">IF(Tabella1353[[#This Row],[Taxable salary]]&lt;$L$159,Tabella1353[[#This Row],[Taxable salary]]*M165,IF(Tabella1353[[#This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-587.72471186194866</v>
      </c>
      <c r="AC12" s="27">
        <f ca="1">IF(Tabella1353[[#This Row],[Taxable salary]]&lt;$L$178,Tabella1353[[#This Row],[Taxable salary]]*M184,IF(Tabella1353[[#This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salary]]&gt;L201,Tabella1353[[#This Row],[Taxable salary]]*$M$194))))))))))))))))))</f>
        <v>-204.42598673459085</v>
      </c>
      <c r="AD1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0</v>
      </c>
      <c r="AE1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0</v>
      </c>
      <c r="AF1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0</v>
      </c>
      <c r="AG1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0</v>
      </c>
      <c r="AH1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salary]]*M309))))))))))))</f>
        <v>0</v>
      </c>
      <c r="AI12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0</v>
      </c>
      <c r="AJ1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-2146.4728607132038</v>
      </c>
      <c r="AK1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-102.21299336729543</v>
      </c>
      <c r="AL1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0</v>
      </c>
      <c r="AM1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0</v>
      </c>
      <c r="AN1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0</v>
      </c>
      <c r="AO1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0</v>
      </c>
      <c r="AP12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0</v>
      </c>
      <c r="AQ12" s="27">
        <f ca="1">Tabella1353[[#This Row],[Taxable salary]]*$M$501</f>
        <v>-183.98338806113173</v>
      </c>
      <c r="AR1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0</v>
      </c>
      <c r="AS12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0</v>
      </c>
      <c r="AT12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0</v>
      </c>
      <c r="AU12" s="27">
        <f ca="1">Tabella1353[[#This Row],[Taxable salary]]*$M$604</f>
        <v>-725.71225290779739</v>
      </c>
      <c r="AV1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0</v>
      </c>
      <c r="AW1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salary]]*M658)))))))))))))</f>
        <v>-204.42598673459085</v>
      </c>
      <c r="AX1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-204.42598673459085</v>
      </c>
    </row>
    <row r="13" spans="2:50">
      <c r="B13" s="68" t="s">
        <v>2498</v>
      </c>
      <c r="C13" s="21" t="s">
        <v>82</v>
      </c>
      <c r="D13" s="21" t="s">
        <v>2511</v>
      </c>
      <c r="E13" s="21" t="s">
        <v>90</v>
      </c>
      <c r="J13" s="80">
        <v>28</v>
      </c>
      <c r="K13" s="27">
        <f ca="1">'Income and Pension'!K29</f>
        <v>170000</v>
      </c>
      <c r="L13" s="27">
        <f>SUM('Income and Pension'!$K102,'Partner Income and Pension'!L103)</f>
        <v>14487.314942605837</v>
      </c>
      <c r="M13" s="27">
        <f>SUM('Income and Pension'!$Q102,'Partner Income and Pension'!R103)</f>
        <v>9132.461341549475</v>
      </c>
      <c r="N13" s="27">
        <f>IF(SUMIF('CF Timeline'!$C$4:$BC$4,Tabella245[[#This Row],[Age]],'CF Timeline'!$C$43:$BC$43)&lt;7258, SUMIF('CF Timeline'!$C$4:$BC$4,Tabella245[[#This Row],[Age]],'CF Timeline'!$C$43:$BC$43), 7258)</f>
        <v>0</v>
      </c>
      <c r="O13" s="27">
        <f ca="1">Tabella245[[#This Row],[Salary and Pension]]-Tabella245[[#This Row],[1° Pillar deductions]]-Tabella245[[#This Row],[2° Pillar deductions]]-Tabella245[[#This Row],[3° Pillar deductions]]</f>
        <v>146380.22371584468</v>
      </c>
      <c r="P13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6804.3246087429152</v>
      </c>
      <c r="Q13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10580.888116568056</v>
      </c>
      <c r="R13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8421.5231948194742</v>
      </c>
      <c r="S13" s="107">
        <f ca="1">Tabella245[[#This Row],[Federal taxes]]+Tabella245[[#This Row],[Cantonal taxes]]+Tabella245[[#This Row],[Comunal taxes]]</f>
        <v>25806.735920130446</v>
      </c>
      <c r="W13" s="27">
        <f ca="1">Tabella245[[#This Row],[Taxable salary]]</f>
        <v>146380.22371584468</v>
      </c>
      <c r="X1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14856.933262032484</v>
      </c>
      <c r="Y1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10796.824608742914</v>
      </c>
      <c r="Z1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13759.7410292894</v>
      </c>
      <c r="AA13" s="27">
        <f ca="1">IF(Tabella1353[[#This Row],[Taxable salary]]&lt;$L$140,$M$139+((Tabella1353[[#This Row],[Taxable salary]]-$L$139)/100)*$N$139, IF(Tabella1353[[#This Row],[Taxable salary]]&lt;$L$141,M148+((Tabella1353[[#This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10054.220134426021</v>
      </c>
      <c r="AB13" s="27">
        <f ca="1">IF(Tabella1353[[#This Row],[Taxable salary]]&lt;$L$159,Tabella1353[[#This Row],[Taxable salary]]*M166,IF(Tabella1353[[#This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8636.4331992348361</v>
      </c>
      <c r="AC13" s="27">
        <f ca="1">IF(Tabella1353[[#This Row],[Taxable salary]]&lt;$L$178,Tabella1353[[#This Row],[Taxable salary]]*M185,IF(Tabella1353[[#This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salary]]&gt;L202,Tabella1353[[#This Row],[Taxable salary]]*$M$194))))))))))))))))))</f>
        <v>5708.828724917943</v>
      </c>
      <c r="AD1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13218.825056174604</v>
      </c>
      <c r="AE1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18714.095794535147</v>
      </c>
      <c r="AF1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14638.02237158447</v>
      </c>
      <c r="AG1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12442.319015846799</v>
      </c>
      <c r="AH1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salary]]*M310))))))))))))</f>
        <v>4245.0264877594964</v>
      </c>
      <c r="AI13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9049.8168694791893</v>
      </c>
      <c r="AJ1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30739.84698032738</v>
      </c>
      <c r="AK1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17155.762219496995</v>
      </c>
      <c r="AL1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19348.835794535149</v>
      </c>
      <c r="AM1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8138.7404386009639</v>
      </c>
      <c r="AN1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6584.7117450818459</v>
      </c>
      <c r="AO1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17843.626541726419</v>
      </c>
      <c r="AP13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4245.0264877594964</v>
      </c>
      <c r="AQ13" s="27">
        <f ca="1">Tabella1353[[#This Row],[Taxable salary]]*$M$501</f>
        <v>2634.8440268852041</v>
      </c>
      <c r="AR1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13150.626845901361</v>
      </c>
      <c r="AS13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13733.725727322138</v>
      </c>
      <c r="AT13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9250.0167786883503</v>
      </c>
      <c r="AU13" s="27">
        <f ca="1">Tabella1353[[#This Row],[Taxable salary]]*$M$604</f>
        <v>10392.995883824971</v>
      </c>
      <c r="AV1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14552.429083059809</v>
      </c>
      <c r="AW1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salary]]*M659)))))))))))))</f>
        <v>19761.330201639033</v>
      </c>
      <c r="AX1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13174.220134426021</v>
      </c>
    </row>
    <row r="14" spans="2:50">
      <c r="B14" s="84"/>
      <c r="C14" s="11" t="s">
        <v>2512</v>
      </c>
      <c r="D14" s="11" t="s">
        <v>2513</v>
      </c>
      <c r="E14" s="11" t="s">
        <v>2514</v>
      </c>
      <c r="J14" s="80">
        <v>29</v>
      </c>
      <c r="K14" s="27">
        <f ca="1">'Income and Pension'!K30</f>
        <v>175825.34198681905</v>
      </c>
      <c r="L14" s="27">
        <f>SUM('Income and Pension'!$K103,'Partner Income and Pension'!L104)</f>
        <v>14970.737437388438</v>
      </c>
      <c r="M14" s="27">
        <f>SUM('Income and Pension'!$Q103,'Partner Income and Pension'!R104)</f>
        <v>9560.810387559377</v>
      </c>
      <c r="N14" s="27">
        <f>IF(SUMIF('CF Timeline'!$C$4:$BC$4,Tabella245[[#This Row],[Age]],'CF Timeline'!$C$43:$BC$43)&lt;7258, SUMIF('CF Timeline'!$C$4:$BC$4,Tabella245[[#This Row],[Age]],'CF Timeline'!$C$43:$BC$43), 7258)</f>
        <v>0</v>
      </c>
      <c r="O14" s="27">
        <f ca="1">Tabella245[[#This Row],[Salary and Pension]]-Tabella245[[#This Row],[1° Pillar deductions]]-Tabella245[[#This Row],[2° Pillar deductions]]-Tabella245[[#This Row],[3° Pillar deductions]]</f>
        <v>151293.79416187122</v>
      </c>
      <c r="P14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7344.817357805834</v>
      </c>
      <c r="Q14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11110.571010649717</v>
      </c>
      <c r="R14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8843.1075390885508</v>
      </c>
      <c r="S14" s="107">
        <f ca="1">Tabella245[[#This Row],[Federal taxes]]+Tabella245[[#This Row],[Cantonal taxes]]+Tabella245[[#This Row],[Comunal taxes]]</f>
        <v>27298.4959075441</v>
      </c>
      <c r="W14" s="27">
        <f ca="1">Tabella245[[#This Row],[Taxable salary]]</f>
        <v>151293.79416187122</v>
      </c>
      <c r="X1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15499.628276372756</v>
      </c>
      <c r="Y1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11337.317357805834</v>
      </c>
      <c r="Z1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14221.616651215894</v>
      </c>
      <c r="AA14" s="27">
        <f ca="1">IF(Tabella1353[[#This Row],[Taxable salary]]&lt;$L$140,$M$139+((Tabella1353[[#This Row],[Taxable salary]]-$L$139)/100)*$N$139, IF(Tabella1353[[#This Row],[Taxable salary]]&lt;$L$141,M149+((Tabella1353[[#This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10460.503532949697</v>
      </c>
      <c r="AB14" s="27">
        <f ca="1">IF(Tabella1353[[#This Row],[Taxable salary]]&lt;$L$159,Tabella1353[[#This Row],[Taxable salary]]*M167,IF(Tabella1353[[#This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8926.3338555504015</v>
      </c>
      <c r="AC14" s="27">
        <f ca="1">IF(Tabella1353[[#This Row],[Taxable salary]]&lt;$L$178,Tabella1353[[#This Row],[Taxable salary]]*M186,IF(Tabella1353[[#This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salary]]&gt;L203,Tabella1353[[#This Row],[Taxable salary]]*$M$194))))))))))))))))))</f>
        <v>5900.4579723129773</v>
      </c>
      <c r="AD1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13769.144946129578</v>
      </c>
      <c r="AE1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19500.267065899396</v>
      </c>
      <c r="AF1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15129.379416187123</v>
      </c>
      <c r="AG1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12859.972503759054</v>
      </c>
      <c r="AH1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salary]]*M311))))))))))))</f>
        <v>4387.5200306942652</v>
      </c>
      <c r="AI14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9538.2234998443892</v>
      </c>
      <c r="AJ1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31771.696773992957</v>
      </c>
      <c r="AK1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17731.632675771307</v>
      </c>
      <c r="AL1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20135.007065899394</v>
      </c>
      <c r="AM1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8411.9349554000401</v>
      </c>
      <c r="AN1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6842.6741934982392</v>
      </c>
      <c r="AO1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18602.281818592917</v>
      </c>
      <c r="AP14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4387.5200306942652</v>
      </c>
      <c r="AQ14" s="27">
        <f ca="1">Tabella1353[[#This Row],[Taxable salary]]*$M$501</f>
        <v>2723.288294913682</v>
      </c>
      <c r="AR1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13740.255299424547</v>
      </c>
      <c r="AS14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14298.786328615191</v>
      </c>
      <c r="AT14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9618.5345621403412</v>
      </c>
      <c r="AU14" s="27">
        <f ca="1">Tabella1353[[#This Row],[Taxable salary]]*$M$604</f>
        <v>10741.859385492855</v>
      </c>
      <c r="AV1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15191.193241043258</v>
      </c>
      <c r="AW1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salary]]*M660)))))))))))))</f>
        <v>20424.662211852617</v>
      </c>
      <c r="AX1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13616.44147456841</v>
      </c>
    </row>
    <row r="15" spans="2:50">
      <c r="B15" s="26"/>
      <c r="C15" s="2">
        <v>0</v>
      </c>
      <c r="D15" s="2">
        <v>100</v>
      </c>
      <c r="E15" s="2"/>
      <c r="J15" s="80">
        <v>30</v>
      </c>
      <c r="K15" s="27">
        <f ca="1">'Income and Pension'!K31</f>
        <v>181792.4923172071</v>
      </c>
      <c r="L15" s="27">
        <f>SUM('Income and Pension'!$K104,'Partner Income and Pension'!L105)</f>
        <v>15465.930212832072</v>
      </c>
      <c r="M15" s="27">
        <f>SUM('Income and Pension'!$Q104,'Partner Income and Pension'!R105)</f>
        <v>9999.5887961803182</v>
      </c>
      <c r="N15" s="27">
        <f>IF(SUMIF('CF Timeline'!$C$4:$BC$4,Tabella245[[#This Row],[Age]],'CF Timeline'!$C$43:$BC$43)&lt;7258, SUMIF('CF Timeline'!$C$4:$BC$4,Tabella245[[#This Row],[Age]],'CF Timeline'!$C$43:$BC$43), 7258)</f>
        <v>0</v>
      </c>
      <c r="O15" s="27">
        <f ca="1">Tabella245[[#This Row],[Salary and Pension]]-Tabella245[[#This Row],[1° Pillar deductions]]-Tabella245[[#This Row],[2° Pillar deductions]]-Tabella245[[#This Row],[3° Pillar deductions]]</f>
        <v>156326.97330819469</v>
      </c>
      <c r="P15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7898.4670639014157</v>
      </c>
      <c r="Q1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11653.147722623387</v>
      </c>
      <c r="R1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9274.9543098431059</v>
      </c>
      <c r="S15" s="107">
        <f ca="1">Tabella245[[#This Row],[Federal taxes]]+Tabella245[[#This Row],[Cantonal taxes]]+Tabella245[[#This Row],[Comunal taxes]]</f>
        <v>28826.569096367908</v>
      </c>
      <c r="W15" s="27">
        <f ca="1">Tabella245[[#This Row],[Taxable salary]]</f>
        <v>156326.97330819469</v>
      </c>
      <c r="X1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16157.968108711866</v>
      </c>
      <c r="Y1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11890.967063901417</v>
      </c>
      <c r="Z1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14694.735490970301</v>
      </c>
      <c r="AA15" s="27">
        <f ca="1">IF(Tabella1353[[#This Row],[Taxable salary]]&lt;$L$140,$M$139+((Tabella1353[[#This Row],[Taxable salary]]-$L$139)/100)*$N$139, IF(Tabella1353[[#This Row],[Taxable salary]]&lt;$L$141,M150+((Tabella1353[[#This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10863.157864655575</v>
      </c>
      <c r="AB15" s="27">
        <f ca="1">IF(Tabella1353[[#This Row],[Taxable salary]]&lt;$L$159,Tabella1353[[#This Row],[Taxable salary]]*M168,IF(Tabella1353[[#This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9223.2914251834864</v>
      </c>
      <c r="AC15" s="27">
        <f ca="1">IF(Tabella1353[[#This Row],[Taxable salary]]&lt;$L$178,Tabella1353[[#This Row],[Taxable salary]]*M187,IF(Tabella1353[[#This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salary]]&gt;L204,Tabella1353[[#This Row],[Taxable salary]]*$M$194))))))))))))))))))</f>
        <v>6096.7519590195925</v>
      </c>
      <c r="AD1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14332.861010517805</v>
      </c>
      <c r="AE1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20305.575729311149</v>
      </c>
      <c r="AF1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15632.69733081947</v>
      </c>
      <c r="AG1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13287.79273119655</v>
      </c>
      <c r="AH1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salary]]*M312))))))))))))</f>
        <v>4533.482225937646</v>
      </c>
      <c r="AI1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10039.269354789634</v>
      </c>
      <c r="AJ1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32828.664394720887</v>
      </c>
      <c r="AK1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19603.402452847615</v>
      </c>
      <c r="AL1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20999.220328934072</v>
      </c>
      <c r="AM1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8691.7797159356251</v>
      </c>
      <c r="AN1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7106.9160986802217</v>
      </c>
      <c r="AO1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19691.711652093454</v>
      </c>
      <c r="AP1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4533.482225937646</v>
      </c>
      <c r="AQ15" s="27">
        <f ca="1">Tabella1353[[#This Row],[Taxable salary]]*$M$501</f>
        <v>2813.8855195475044</v>
      </c>
      <c r="AR1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14344.236796983363</v>
      </c>
      <c r="AS1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14877.60193044239</v>
      </c>
      <c r="AT1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9996.0229981146022</v>
      </c>
      <c r="AU15" s="27">
        <f ca="1">Tabella1353[[#This Row],[Taxable salary]]*$M$604</f>
        <v>11099.215104881821</v>
      </c>
      <c r="AV1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15845.50653006531</v>
      </c>
      <c r="AW1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salary]]*M661)))))))))))))</f>
        <v>21104.141396606286</v>
      </c>
      <c r="AX1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14069.427597737522</v>
      </c>
    </row>
    <row r="16" spans="2:50">
      <c r="B16" s="2"/>
      <c r="C16" s="85">
        <v>15000</v>
      </c>
      <c r="D16" s="85">
        <v>0</v>
      </c>
      <c r="E16" s="85">
        <v>0.77</v>
      </c>
      <c r="J16" s="80">
        <v>31</v>
      </c>
      <c r="K16" s="27">
        <f ca="1">'Income and Pension'!K32</f>
        <v>187905.34696036839</v>
      </c>
      <c r="L16" s="27">
        <f>SUM('Income and Pension'!$K105,'Partner Income and Pension'!L106)</f>
        <v>15973.215245370897</v>
      </c>
      <c r="M16" s="27">
        <f>SUM('Income and Pension'!$Q105,'Partner Income and Pension'!R106)</f>
        <v>10449.081862986874</v>
      </c>
      <c r="N16" s="27">
        <f>IF(SUMIF('CF Timeline'!$C$4:$BC$4,Tabella245[[#This Row],[Age]],'CF Timeline'!$C$43:$BC$43)&lt;7258, SUMIF('CF Timeline'!$C$4:$BC$4,Tabella245[[#This Row],[Age]],'CF Timeline'!$C$43:$BC$43), 7258)</f>
        <v>0</v>
      </c>
      <c r="O16" s="27">
        <f ca="1">Tabella245[[#This Row],[Salary and Pension]]-Tabella245[[#This Row],[1° Pillar deductions]]-Tabella245[[#This Row],[2° Pillar deductions]]-Tabella245[[#This Row],[3° Pillar deductions]]</f>
        <v>161483.04985201062</v>
      </c>
      <c r="P16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8465.6354837211693</v>
      </c>
      <c r="Q16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12208.972774046746</v>
      </c>
      <c r="R16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9717.3456773025118</v>
      </c>
      <c r="S16" s="107">
        <f ca="1">Tabella245[[#This Row],[Federal taxes]]+Tabella245[[#This Row],[Cantonal taxes]]+Tabella245[[#This Row],[Comunal taxes]]</f>
        <v>30391.953935070429</v>
      </c>
      <c r="W16" s="27">
        <f ca="1">Tabella245[[#This Row],[Taxable salary]]</f>
        <v>161483.04985201062</v>
      </c>
      <c r="X1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16832.382920642987</v>
      </c>
      <c r="Y1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12458.135483721169</v>
      </c>
      <c r="Z1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15179.406686088998</v>
      </c>
      <c r="AA16" s="27">
        <f ca="1">IF(Tabella1353[[#This Row],[Taxable salary]]&lt;$L$140,$M$139+((Tabella1353[[#This Row],[Taxable salary]]-$L$139)/100)*$N$139, IF(Tabella1353[[#This Row],[Taxable salary]]&lt;$L$141,M151+((Tabella1353[[#This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11275.643988160849</v>
      </c>
      <c r="AB16" s="27">
        <f ca="1">IF(Tabella1353[[#This Row],[Taxable salary]]&lt;$L$159,Tabella1353[[#This Row],[Taxable salary]]*M169,IF(Tabella1353[[#This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9527.4999412686266</v>
      </c>
      <c r="AC16" s="27">
        <f ca="1">IF(Tabella1353[[#This Row],[Taxable salary]]&lt;$L$178,Tabella1353[[#This Row],[Taxable salary]]*M188,IF(Tabella1353[[#This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salary]]&gt;L205,Tabella1353[[#This Row],[Taxable salary]]*$M$194))))))))))))))))))</f>
        <v>6297.8389442284142</v>
      </c>
      <c r="AD1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14910.34158342519</v>
      </c>
      <c r="AE1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21130.547976321697</v>
      </c>
      <c r="AF1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16148.304985201063</v>
      </c>
      <c r="AG1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13726.059237420905</v>
      </c>
      <c r="AH16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salary]]*M313))))))))))))</f>
        <v>4683.0084457083085</v>
      </c>
      <c r="AI16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10553.311352977344</v>
      </c>
      <c r="AJ1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33911.440468922228</v>
      </c>
      <c r="AK1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20249.974451442133</v>
      </c>
      <c r="AL1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21901.533724101857</v>
      </c>
      <c r="AM1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8978.4575717717908</v>
      </c>
      <c r="AN1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7377.6101172305571</v>
      </c>
      <c r="AO1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20492.965947002449</v>
      </c>
      <c r="AP16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4683.0084457083085</v>
      </c>
      <c r="AQ16" s="27">
        <f ca="1">Tabella1353[[#This Row],[Taxable salary]]*$M$501</f>
        <v>2906.6948973361909</v>
      </c>
      <c r="AR1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14962.965982241274</v>
      </c>
      <c r="AS16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15470.550732981221</v>
      </c>
      <c r="AT16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10408.643988160849</v>
      </c>
      <c r="AU16" s="27">
        <f ca="1">Tabella1353[[#This Row],[Taxable salary]]*$M$604</f>
        <v>11465.296539492752</v>
      </c>
      <c r="AV1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16524.211730021434</v>
      </c>
      <c r="AW1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salary]]*M662)))))))))))))</f>
        <v>21800.211730021434</v>
      </c>
      <c r="AX1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14533.474486680956</v>
      </c>
    </row>
    <row r="17" spans="2:50">
      <c r="B17" s="2"/>
      <c r="C17" s="85">
        <v>32800</v>
      </c>
      <c r="D17" s="85">
        <v>137.05000000000001</v>
      </c>
      <c r="E17" s="85">
        <v>0.88</v>
      </c>
      <c r="J17" s="80">
        <v>32</v>
      </c>
      <c r="K17" s="27">
        <f ca="1">'Income and Pension'!K33</f>
        <v>194167.91273977398</v>
      </c>
      <c r="L17" s="27">
        <f>SUM('Income and Pension'!$K106,'Partner Income and Pension'!L107)</f>
        <v>16492.923625726384</v>
      </c>
      <c r="M17" s="27">
        <f>SUM('Income and Pension'!$Q106,'Partner Income and Pension'!R107)</f>
        <v>10909.582959504391</v>
      </c>
      <c r="N17" s="27">
        <f>IF(SUMIF('CF Timeline'!$C$4:$BC$4,Tabella245[[#This Row],[Age]],'CF Timeline'!$C$43:$BC$43)&lt;7258, SUMIF('CF Timeline'!$C$4:$BC$4,Tabella245[[#This Row],[Age]],'CF Timeline'!$C$43:$BC$43), 7258)</f>
        <v>0</v>
      </c>
      <c r="O17" s="27">
        <f ca="1">Tabella245[[#This Row],[Salary and Pension]]-Tabella245[[#This Row],[1° Pillar deductions]]-Tabella245[[#This Row],[2° Pillar deductions]]-Tabella245[[#This Row],[3° Pillar deductions]]</f>
        <v>166765.40615454322</v>
      </c>
      <c r="P17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9046.6946769997539</v>
      </c>
      <c r="Q17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12778.410783459758</v>
      </c>
      <c r="R17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10170.571848059808</v>
      </c>
      <c r="S17" s="107">
        <f ca="1">Tabella245[[#This Row],[Federal taxes]]+Tabella245[[#This Row],[Cantonal taxes]]+Tabella245[[#This Row],[Comunal taxes]]</f>
        <v>31995.67730851932</v>
      </c>
      <c r="W17" s="27">
        <f ca="1">Tabella245[[#This Row],[Taxable salary]]</f>
        <v>166765.40615454322</v>
      </c>
      <c r="X1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17523.315125014255</v>
      </c>
      <c r="Y1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13039.194676999754</v>
      </c>
      <c r="Z1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15675.948178527062</v>
      </c>
      <c r="AA17" s="27">
        <f ca="1">IF(Tabella1353[[#This Row],[Taxable salary]]&lt;$L$140,$M$139+((Tabella1353[[#This Row],[Taxable salary]]-$L$139)/100)*$N$139, IF(Tabella1353[[#This Row],[Taxable salary]]&lt;$L$141,M152+((Tabella1353[[#This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11698.232492363457</v>
      </c>
      <c r="AB17" s="27">
        <f ca="1">IF(Tabella1353[[#This Row],[Taxable salary]]&lt;$L$159,Tabella1353[[#This Row],[Taxable salary]]*M170,IF(Tabella1353[[#This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10089.307072349864</v>
      </c>
      <c r="AC17" s="27">
        <f ca="1">IF(Tabella1353[[#This Row],[Taxable salary]]&lt;$L$178,Tabella1353[[#This Row],[Taxable salary]]*M189,IF(Tabella1353[[#This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salary]]&gt;L206,Tabella1353[[#This Row],[Taxable salary]]*$M$194))))))))))))))))))</f>
        <v>6503.8508400271858</v>
      </c>
      <c r="AD1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15501.965489308841</v>
      </c>
      <c r="AE1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21975.724984726912</v>
      </c>
      <c r="AF1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16676.540615454323</v>
      </c>
      <c r="AG1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14175.059523136175</v>
      </c>
      <c r="AH17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salary]]*M314))))))))))))</f>
        <v>4836.1967784817534</v>
      </c>
      <c r="AI17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11080.717077920519</v>
      </c>
      <c r="AJ1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35020.735292454076</v>
      </c>
      <c r="AK1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20912.381931779721</v>
      </c>
      <c r="AL1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22825.946077045064</v>
      </c>
      <c r="AM1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9272.1565821926033</v>
      </c>
      <c r="AN1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7667.097338499877</v>
      </c>
      <c r="AO1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21007.354928725104</v>
      </c>
      <c r="AP17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4836.1967784817534</v>
      </c>
      <c r="AQ17" s="27">
        <f ca="1">Tabella1353[[#This Row],[Taxable salary]]*$M$501</f>
        <v>3001.7773107817779</v>
      </c>
      <c r="AR1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15596.848738545186</v>
      </c>
      <c r="AS17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16078.02170777247</v>
      </c>
      <c r="AT17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10831.232492363457</v>
      </c>
      <c r="AU17" s="27">
        <f ca="1">Tabella1353[[#This Row],[Taxable salary]]*$M$604</f>
        <v>11840.343836972568</v>
      </c>
      <c r="AV1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17237.329830863335</v>
      </c>
      <c r="AW1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salary]]*M663)))))))))))))</f>
        <v>22513.329830863335</v>
      </c>
      <c r="AX1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15008.886553908889</v>
      </c>
    </row>
    <row r="18" spans="2:50">
      <c r="B18" s="2"/>
      <c r="C18" s="85">
        <v>42900</v>
      </c>
      <c r="D18" s="85">
        <v>225.9</v>
      </c>
      <c r="E18" s="85">
        <v>2.64</v>
      </c>
      <c r="J18" s="80">
        <v>33</v>
      </c>
      <c r="K18" s="27">
        <f ca="1">'Income and Pension'!K34</f>
        <v>200584.31052778318</v>
      </c>
      <c r="L18" s="27">
        <f>SUM('Income and Pension'!$K107,'Partner Income and Pension'!L108)</f>
        <v>17025.395820259422</v>
      </c>
      <c r="M18" s="27">
        <f>SUM('Income and Pension'!$Q107,'Partner Income and Pension'!R108)</f>
        <v>11381.39376478683</v>
      </c>
      <c r="N18" s="27">
        <f>IF(SUMIF('CF Timeline'!$C$4:$BC$4,Tabella245[[#This Row],[Age]],'CF Timeline'!$C$43:$BC$43)&lt;7258, SUMIF('CF Timeline'!$C$4:$BC$4,Tabella245[[#This Row],[Age]],'CF Timeline'!$C$43:$BC$43), 7258)</f>
        <v>0</v>
      </c>
      <c r="O18" s="27">
        <f ca="1">Tabella245[[#This Row],[Salary and Pension]]-Tabella245[[#This Row],[1° Pillar deductions]]-Tabella245[[#This Row],[2° Pillar deductions]]-Tabella245[[#This Row],[3° Pillar deductions]]</f>
        <v>172177.52094273694</v>
      </c>
      <c r="P18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9642.0273037010629</v>
      </c>
      <c r="Q18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13361.836757627041</v>
      </c>
      <c r="R18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10634.931296886829</v>
      </c>
      <c r="S18" s="107">
        <f ca="1">Tabella245[[#This Row],[Federal taxes]]+Tabella245[[#This Row],[Cantonal taxes]]+Tabella245[[#This Row],[Comunal taxes]]</f>
        <v>33638.795358214935</v>
      </c>
      <c r="W18" s="27">
        <f ca="1">Tabella245[[#This Row],[Taxable salary]]</f>
        <v>172177.52094273694</v>
      </c>
      <c r="X1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18231.219739309992</v>
      </c>
      <c r="Y1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13634.527303701063</v>
      </c>
      <c r="Z1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16184.686968617272</v>
      </c>
      <c r="AA18" s="27">
        <f ca="1">IF(Tabella1353[[#This Row],[Taxable salary]]&lt;$L$140,$M$139+((Tabella1353[[#This Row],[Taxable salary]]-$L$139)/100)*$N$139, IF(Tabella1353[[#This Row],[Taxable salary]]&lt;$L$141,M153+((Tabella1353[[#This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12131.201675418955</v>
      </c>
      <c r="AB18" s="27">
        <f ca="1">IF(Tabella1353[[#This Row],[Taxable salary]]&lt;$L$159,Tabella1353[[#This Row],[Taxable salary]]*M171,IF(Tabella1353[[#This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10416.740017035585</v>
      </c>
      <c r="AC18" s="27">
        <f ca="1">IF(Tabella1353[[#This Row],[Taxable salary]]&lt;$L$178,Tabella1353[[#This Row],[Taxable salary]]*M190,IF(Tabella1353[[#This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salary]]&gt;L207,Tabella1353[[#This Row],[Taxable salary]]*$M$194))))))))))))))))))</f>
        <v>6714.9233167667408</v>
      </c>
      <c r="AD1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16108.122345586537</v>
      </c>
      <c r="AE1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22856.505955551595</v>
      </c>
      <c r="AF1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17217.752094273696</v>
      </c>
      <c r="AG1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14635.089280132641</v>
      </c>
      <c r="AH1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salary]]*M315))))))))))))</f>
        <v>4993.1481073393716</v>
      </c>
      <c r="AI18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11621.865090895117</v>
      </c>
      <c r="AJ1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36157.279397974758</v>
      </c>
      <c r="AK1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21591.061126219214</v>
      </c>
      <c r="AL1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23773.066164978965</v>
      </c>
      <c r="AM1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9573.0701644161727</v>
      </c>
      <c r="AN1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7964.7636518505315</v>
      </c>
      <c r="AO1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21859.221796386795</v>
      </c>
      <c r="AP18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4993.1481073393716</v>
      </c>
      <c r="AQ18" s="27">
        <f ca="1">Tabella1353[[#This Row],[Taxable salary]]*$M$501</f>
        <v>3099.1953769692645</v>
      </c>
      <c r="AR1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16246.302513128434</v>
      </c>
      <c r="AS18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16700.41490841475</v>
      </c>
      <c r="AT18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11264.201675418955</v>
      </c>
      <c r="AU18" s="27">
        <f ca="1">Tabella1353[[#This Row],[Taxable salary]]*$M$604</f>
        <v>12224.603986934322</v>
      </c>
      <c r="AV1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17967.965327269489</v>
      </c>
      <c r="AW1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salary]]*M664)))))))))))))</f>
        <v>23243.965327269489</v>
      </c>
      <c r="AX1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15495.976884846325</v>
      </c>
    </row>
    <row r="19" spans="2:50">
      <c r="B19" s="2"/>
      <c r="C19" s="85">
        <v>57200</v>
      </c>
      <c r="D19" s="85">
        <v>603.4</v>
      </c>
      <c r="E19" s="85">
        <v>2.97</v>
      </c>
      <c r="J19" s="80">
        <v>34</v>
      </c>
      <c r="K19" s="27">
        <f ca="1">'Income and Pension'!K35</f>
        <v>207158.77853298641</v>
      </c>
      <c r="L19" s="27">
        <f>SUM('Income and Pension'!$K108,'Partner Income and Pension'!L109)</f>
        <v>17570.981939873331</v>
      </c>
      <c r="M19" s="27">
        <f>SUM('Income and Pension'!$Q108,'Partner Income and Pension'!R109)</f>
        <v>11864.824503685231</v>
      </c>
      <c r="N19" s="27">
        <f>IF(SUMIF('CF Timeline'!$C$4:$BC$4,Tabella245[[#This Row],[Age]],'CF Timeline'!$C$43:$BC$43)&lt;7258, SUMIF('CF Timeline'!$C$4:$BC$4,Tabella245[[#This Row],[Age]],'CF Timeline'!$C$43:$BC$43), 7258)</f>
        <v>0</v>
      </c>
      <c r="O19" s="27">
        <f ca="1">Tabella245[[#This Row],[Salary and Pension]]-Tabella245[[#This Row],[1° Pillar deductions]]-Tabella245[[#This Row],[2° Pillar deductions]]-Tabella245[[#This Row],[3° Pillar deductions]]</f>
        <v>177722.97208942784</v>
      </c>
      <c r="P19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10252.026929837062</v>
      </c>
      <c r="Q19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13959.636391240321</v>
      </c>
      <c r="R19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11110.731005272908</v>
      </c>
      <c r="S19" s="107">
        <f ca="1">Tabella245[[#This Row],[Federal taxes]]+Tabella245[[#This Row],[Cantonal taxes]]+Tabella245[[#This Row],[Comunal taxes]]</f>
        <v>35322.394326350288</v>
      </c>
      <c r="W19" s="27">
        <f ca="1">Tabella245[[#This Row],[Taxable salary]]</f>
        <v>177722.97208942784</v>
      </c>
      <c r="X1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18956.564749297162</v>
      </c>
      <c r="Y1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14244.526929837062</v>
      </c>
      <c r="Z1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16705.959376406216</v>
      </c>
      <c r="AA19" s="27">
        <f ca="1">IF(Tabella1353[[#This Row],[Taxable salary]]&lt;$L$140,$M$139+((Tabella1353[[#This Row],[Taxable salary]]-$L$139)/100)*$N$139, IF(Tabella1353[[#This Row],[Taxable salary]]&lt;$L$141,M154+((Tabella1353[[#This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12574.837767154228</v>
      </c>
      <c r="AB19" s="27">
        <f ca="1">IF(Tabella1353[[#This Row],[Taxable salary]]&lt;$L$159,Tabella1353[[#This Row],[Taxable salary]]*M172,IF(Tabella1353[[#This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10752.239811410383</v>
      </c>
      <c r="AC19" s="27">
        <f ca="1">IF(Tabella1353[[#This Row],[Taxable salary]]&lt;$L$178,Tabella1353[[#This Row],[Taxable salary]]*M191,IF(Tabella1353[[#This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salary]]&gt;L208,Tabella1353[[#This Row],[Taxable salary]]*$M$194))))))))))))))))))</f>
        <v>6931.1959114876863</v>
      </c>
      <c r="AD1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16729.212874015917</v>
      </c>
      <c r="AE1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23771.505394755593</v>
      </c>
      <c r="AF1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18660.912069389924</v>
      </c>
      <c r="AG1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15106.452627601368</v>
      </c>
      <c r="AH1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salary]]*M316))))))))))))</f>
        <v>5153.9661905934081</v>
      </c>
      <c r="AI19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12177.145253735896</v>
      </c>
      <c r="AJ1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37321.824138779848</v>
      </c>
      <c r="AK1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22286.460700014253</v>
      </c>
      <c r="AL1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24743.520115649873</v>
      </c>
      <c r="AM1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9881.3972481721867</v>
      </c>
      <c r="AN1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8269.7634649185311</v>
      </c>
      <c r="AO1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22475.804542112015</v>
      </c>
      <c r="AP19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salary]]*$M$487,IF(K489&lt;$L$489,Tabella1353[[#This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5153.9661905934081</v>
      </c>
      <c r="AQ19" s="27">
        <f ca="1">Tabella1353[[#This Row],[Taxable salary]]*$M$501</f>
        <v>3199.0134976097011</v>
      </c>
      <c r="AR1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16911.756650731342</v>
      </c>
      <c r="AS19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17338.1417902842</v>
      </c>
      <c r="AT19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11707.837767154228</v>
      </c>
      <c r="AU19" s="27">
        <f ca="1">Tabella1353[[#This Row],[Taxable salary]]*$M$604</f>
        <v>12618.331018349376</v>
      </c>
      <c r="AV1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18716.60123207276</v>
      </c>
      <c r="AW1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salary]]*M665)))))))))))))</f>
        <v>23992.60123207276</v>
      </c>
      <c r="AX1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15995.067488048506</v>
      </c>
    </row>
    <row r="20" spans="2:50">
      <c r="B20" s="2"/>
      <c r="C20" s="85">
        <v>75200</v>
      </c>
      <c r="D20" s="85">
        <v>1138</v>
      </c>
      <c r="E20" s="85">
        <v>5.94</v>
      </c>
      <c r="J20" s="80">
        <v>35</v>
      </c>
      <c r="K20" s="27">
        <f ca="1">'Income and Pension'!K36</f>
        <v>213895.6756829737</v>
      </c>
      <c r="L20" s="27">
        <f>SUM('Income and Pension'!$K109,'Partner Income and Pension'!L110)</f>
        <v>18130.042016687054</v>
      </c>
      <c r="M20" s="27">
        <f>SUM('Income and Pension'!$Q109,'Partner Income and Pension'!R110)</f>
        <v>17657.420274287411</v>
      </c>
      <c r="N20" s="27">
        <f>IF(SUMIF('CF Timeline'!$C$4:$BC$4,Tabella245[[#This Row],[Age]],'CF Timeline'!$C$43:$BC$43)&lt;7258, SUMIF('CF Timeline'!$C$4:$BC$4,Tabella245[[#This Row],[Age]],'CF Timeline'!$C$43:$BC$43), 7258)</f>
        <v>0</v>
      </c>
      <c r="O20" s="27">
        <f ca="1">Tabella245[[#This Row],[Salary and Pension]]-Tabella245[[#This Row],[1° Pillar deductions]]-Tabella245[[#This Row],[2° Pillar deductions]]-Tabella245[[#This Row],[3° Pillar deductions]]</f>
        <v>178108.21339199925</v>
      </c>
      <c r="P20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10294.403473119917</v>
      </c>
      <c r="Q20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14001.165403657518</v>
      </c>
      <c r="R20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11143.784709033536</v>
      </c>
      <c r="S20" s="107">
        <f ca="1">Tabella245[[#This Row],[Federal taxes]]+Tabella245[[#This Row],[Cantonal taxes]]+Tabella245[[#This Row],[Comunal taxes]]</f>
        <v>35439.353585810968</v>
      </c>
      <c r="W20" s="27">
        <f ca="1">Tabella245[[#This Row],[Taxable salary]]</f>
        <v>178108.21339199925</v>
      </c>
      <c r="X2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19006.9543116735</v>
      </c>
      <c r="Y2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14286.903473119917</v>
      </c>
      <c r="Z2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16742.172058847929</v>
      </c>
      <c r="AA20" s="27">
        <f ca="1">IF(Tabella1353[[#This Row],[Taxable salary]]&lt;$L$140,$M$139+((Tabella1353[[#This Row],[Taxable salary]]-$L$139)/100)*$N$139, IF(Tabella1353[[#This Row],[Taxable salary]]&lt;$L$141,M155+((Tabella1353[[#This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12605.657071359939</v>
      </c>
      <c r="AB20" s="27">
        <f ca="1">IF(Tabella1353[[#This Row],[Taxable salary]]&lt;$L$159,Tabella1353[[#This Row],[Taxable salary]]*M173,IF(Tabella1353[[#This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10775.546910215955</v>
      </c>
      <c r="AC20" s="27">
        <f ca="1">IF(Tabella1353[[#This Row],[Taxable salary]]&lt;$L$178,Tabella1353[[#This Row],[Taxable salary]]*M192,IF(Tabella1353[[#This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salary]]&gt;L209,Tabella1353[[#This Row],[Taxable salary]]*$M$194))))))))))))))))))</f>
        <v>6946.2203222879707</v>
      </c>
      <c r="AD2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16772.359899903917</v>
      </c>
      <c r="AE2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23835.070209679878</v>
      </c>
      <c r="AF2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18701.362406159922</v>
      </c>
      <c r="AG2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15139.198138319936</v>
      </c>
      <c r="AH2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salary]]*M317))))))))))))</f>
        <v>5165.1381883679787</v>
      </c>
      <c r="AI20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12215.74988104829</v>
      </c>
      <c r="AJ2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37402.724812319844</v>
      </c>
      <c r="AK2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22334.769959356709</v>
      </c>
      <c r="AL2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24810.937343599868</v>
      </c>
      <c r="AM2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9902.8166645951569</v>
      </c>
      <c r="AN2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8290.9517365599586</v>
      </c>
      <c r="AO2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22498.687875484757</v>
      </c>
      <c r="AP20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5165.1381883679787</v>
      </c>
      <c r="AQ20" s="27">
        <f ca="1">Tabella1353[[#This Row],[Taxable salary]]*$M$501</f>
        <v>3205.9478410559864</v>
      </c>
      <c r="AR2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16957.985607039911</v>
      </c>
      <c r="AS20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17382.444540079912</v>
      </c>
      <c r="AT20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11738.657071359939</v>
      </c>
      <c r="AU20" s="27">
        <f ca="1">Tabella1353[[#This Row],[Taxable salary]]*$M$604</f>
        <v>12645.683150831945</v>
      </c>
      <c r="AV2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18768.6088079199</v>
      </c>
      <c r="AW2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salary]]*M666)))))))))))))</f>
        <v>24044.6088079199</v>
      </c>
      <c r="AX2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16029.739205279931</v>
      </c>
    </row>
    <row r="21" spans="2:50">
      <c r="B21" s="2"/>
      <c r="C21" s="85">
        <v>81000</v>
      </c>
      <c r="D21" s="85">
        <v>1482.5</v>
      </c>
      <c r="E21" s="85">
        <v>6.6</v>
      </c>
      <c r="J21" s="80">
        <v>36</v>
      </c>
      <c r="K21" s="27">
        <f ca="1">'Income and Pension'!K37</f>
        <v>220799.48510531482</v>
      </c>
      <c r="L21" s="27">
        <f>SUM('Income and Pension'!$K110,'Partner Income and Pension'!L111)</f>
        <v>18702.946288704501</v>
      </c>
      <c r="M21" s="27">
        <f>SUM('Income and Pension'!$Q110,'Partner Income and Pension'!R111)</f>
        <v>18382.615555322154</v>
      </c>
      <c r="N21" s="27">
        <f>IF(SUMIF('CF Timeline'!$C$4:$BC$4,Tabella245[[#This Row],[Age]],'CF Timeline'!$C$43:$BC$43)&lt;7258, SUMIF('CF Timeline'!$C$4:$BC$4,Tabella245[[#This Row],[Age]],'CF Timeline'!$C$43:$BC$43), 7258)</f>
        <v>0</v>
      </c>
      <c r="O21" s="27">
        <f ca="1">Tabella245[[#This Row],[Salary and Pension]]-Tabella245[[#This Row],[1° Pillar deductions]]-Tabella245[[#This Row],[2° Pillar deductions]]-Tabella245[[#This Row],[3° Pillar deductions]]</f>
        <v>183713.92326128818</v>
      </c>
      <c r="P21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10935.537870490039</v>
      </c>
      <c r="Q21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14605.460927566864</v>
      </c>
      <c r="R21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11624.754615818525</v>
      </c>
      <c r="S21" s="107">
        <f ca="1">Tabella245[[#This Row],[Federal taxes]]+Tabella245[[#This Row],[Cantonal taxes]]+Tabella245[[#This Row],[Comunal taxes]]</f>
        <v>37165.753413875427</v>
      </c>
      <c r="W21" s="27">
        <f ca="1">Tabella245[[#This Row],[Taxable salary]]</f>
        <v>183713.92326128818</v>
      </c>
      <c r="X2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19740.181162576493</v>
      </c>
      <c r="Y2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14903.531558741699</v>
      </c>
      <c r="Z2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17269.10878656109</v>
      </c>
      <c r="AA21" s="27">
        <f ca="1">IF(Tabella1353[[#This Row],[Taxable salary]]&lt;$L$140,$M$139+((Tabella1353[[#This Row],[Taxable salary]]-$L$139)/100)*$N$139, IF(Tabella1353[[#This Row],[Taxable salary]]&lt;$L$141,M156+((Tabella1353[[#This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13054.113860903053</v>
      </c>
      <c r="AB21" s="27">
        <f ca="1">IF(Tabella1353[[#This Row],[Taxable salary]]&lt;$L$159,Tabella1353[[#This Row],[Taxable salary]]*M174,IF(Tabella1353[[#This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11114.692357307935</v>
      </c>
      <c r="AC21" s="27">
        <f ca="1">IF(Tabella1353[[#This Row],[Taxable salary]]&lt;$L$178,Tabella1353[[#This Row],[Taxable salary]]*M193,IF(Tabella1353[[#This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salary]]&gt;L210,Tabella1353[[#This Row],[Taxable salary]]*$M$194))))))))))))))))))</f>
        <v>7164.8430071902385</v>
      </c>
      <c r="AD2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17400.199405264277</v>
      </c>
      <c r="AE2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24760.012338112549</v>
      </c>
      <c r="AF2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19289.961942435257</v>
      </c>
      <c r="AG2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15615.683477209495</v>
      </c>
      <c r="AH2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salary]]*M318))))))))))))</f>
        <v>5327.7037745773578</v>
      </c>
      <c r="AI21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12777.915584678445</v>
      </c>
      <c r="AJ2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38579.923884870514</v>
      </c>
      <c r="AK2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24084.895339554878</v>
      </c>
      <c r="AL2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25791.936570725433</v>
      </c>
      <c r="AM2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10214.494133327622</v>
      </c>
      <c r="AN2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8599.2657793708495</v>
      </c>
      <c r="AO2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22831.667041720517</v>
      </c>
      <c r="AP21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5327.7037745773578</v>
      </c>
      <c r="AQ21" s="27">
        <f ca="1">Tabella1353[[#This Row],[Taxable salary]]*$M$501</f>
        <v>3306.8506187031867</v>
      </c>
      <c r="AR2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17630.670791354583</v>
      </c>
      <c r="AS21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18027.101175048141</v>
      </c>
      <c r="AT21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12187.113860903053</v>
      </c>
      <c r="AU21" s="27">
        <f ca="1">Tabella1353[[#This Row],[Taxable salary]]*$M$604</f>
        <v>13043.688551551459</v>
      </c>
      <c r="AV2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19525.379640273903</v>
      </c>
      <c r="AW2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salary]]*M667)))))))))))))</f>
        <v>24801.379640273906</v>
      </c>
      <c r="AX2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18187.678402867532</v>
      </c>
    </row>
    <row r="22" spans="2:50">
      <c r="B22" s="2"/>
      <c r="C22" s="85">
        <v>107400</v>
      </c>
      <c r="D22" s="85">
        <v>3254.9</v>
      </c>
      <c r="E22" s="85">
        <v>8.8000000000000007</v>
      </c>
      <c r="J22" s="80">
        <v>37</v>
      </c>
      <c r="K22" s="27">
        <f ca="1">'Income and Pension'!K38</f>
        <v>227874.81770961676</v>
      </c>
      <c r="L22" s="27">
        <f>SUM('Income and Pension'!$K111,'Partner Income and Pension'!L112)</f>
        <v>19290.075492712393</v>
      </c>
      <c r="M22" s="27">
        <f>SUM('Income and Pension'!$Q111,'Partner Income and Pension'!R112)</f>
        <v>19125.817079382781</v>
      </c>
      <c r="N22" s="27">
        <f>IF(SUMIF('CF Timeline'!$C$4:$BC$4,Tabella245[[#This Row],[Age]],'CF Timeline'!$C$43:$BC$43)&lt;7258, SUMIF('CF Timeline'!$C$4:$BC$4,Tabella245[[#This Row],[Age]],'CF Timeline'!$C$43:$BC$43), 7258)</f>
        <v>0</v>
      </c>
      <c r="O22" s="27">
        <f ca="1">Tabella245[[#This Row],[Salary and Pension]]-Tabella245[[#This Row],[1° Pillar deductions]]-Tabella245[[#This Row],[2° Pillar deductions]]-Tabella245[[#This Row],[3° Pillar deductions]]</f>
        <v>189458.92513752158</v>
      </c>
      <c r="P22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11693.878118152848</v>
      </c>
      <c r="Q22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15224.772129824825</v>
      </c>
      <c r="R22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12117.675776799351</v>
      </c>
      <c r="S22" s="107">
        <f ca="1">Tabella245[[#This Row],[Federal taxes]]+Tabella245[[#This Row],[Cantonal taxes]]+Tabella245[[#This Row],[Comunal taxes]]</f>
        <v>39036.326024777023</v>
      </c>
      <c r="W22" s="27">
        <f ca="1">Tabella245[[#This Row],[Taxable salary]]</f>
        <v>189458.92513752158</v>
      </c>
      <c r="X2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20491.62740798782</v>
      </c>
      <c r="Y2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15535.481765127373</v>
      </c>
      <c r="Z2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17809.138962927027</v>
      </c>
      <c r="AA22" s="27">
        <f ca="1">IF(Tabella1353[[#This Row],[Taxable salary]]&lt;$L$140,$M$139+((Tabella1353[[#This Row],[Taxable salary]]-$L$139)/100)*$N$139, IF(Tabella1353[[#This Row],[Taxable salary]]&lt;$L$141,M157+((Tabella1353[[#This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13513.714011001726</v>
      </c>
      <c r="AB22" s="27">
        <f ca="1">IF(Tabella1353[[#This Row],[Taxable salary]]&lt;$L$159,Tabella1353[[#This Row],[Taxable salary]]*M175,IF(Tabella1353[[#This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11462.264970820055</v>
      </c>
      <c r="AC22" s="27">
        <f ca="1">IF(Tabella1353[[#This Row],[Taxable salary]]&lt;$L$178,Tabella1353[[#This Row],[Taxable salary]]*M194,IF(Tabella1353[[#This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salary]]&gt;L211,Tabella1353[[#This Row],[Taxable salary]]*$M$194))))))))))))))))))</f>
        <v>7388.8980803633422</v>
      </c>
      <c r="AD2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18043.639615402419</v>
      </c>
      <c r="AE2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25707.937647691062</v>
      </c>
      <c r="AF2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19893.187139439764</v>
      </c>
      <c r="AG2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16104.008636689336</v>
      </c>
      <c r="AH2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salary]]*M319))))))))))))</f>
        <v>5494.3088289881262</v>
      </c>
      <c r="AI22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13354.854801778063</v>
      </c>
      <c r="AJ2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39786.374278879528</v>
      </c>
      <c r="AK2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24838.065085529077</v>
      </c>
      <c r="AL2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26797.311899066277</v>
      </c>
      <c r="AM2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10533.916237646199</v>
      </c>
      <c r="AN2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8921.0176579762519</v>
      </c>
      <c r="AO2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24612.051592058462</v>
      </c>
      <c r="AP22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5494.3088289881262</v>
      </c>
      <c r="AQ22" s="27">
        <f ca="1">Tabella1353[[#This Row],[Taxable salary]]*$M$501</f>
        <v>3410.2606524753883</v>
      </c>
      <c r="AR2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18320.071016502588</v>
      </c>
      <c r="AS22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18687.776390814979</v>
      </c>
      <c r="AT22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12646.714011001726</v>
      </c>
      <c r="AU22" s="27">
        <f ca="1">Tabella1353[[#This Row],[Taxable salary]]*$M$604</f>
        <v>13451.583684764031</v>
      </c>
      <c r="AV2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20300.954893565413</v>
      </c>
      <c r="AW2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salary]]*M668)))))))))))))</f>
        <v>25576.954893565417</v>
      </c>
      <c r="AX2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18756.433588614636</v>
      </c>
    </row>
    <row r="23" spans="2:50">
      <c r="B23" s="2"/>
      <c r="C23" s="85">
        <v>139600</v>
      </c>
      <c r="D23" s="85">
        <v>6058.5</v>
      </c>
      <c r="E23" s="85">
        <v>11</v>
      </c>
      <c r="J23" s="80">
        <v>38</v>
      </c>
      <c r="K23" s="27">
        <f ca="1">'Income and Pension'!K39</f>
        <v>235126.41587361004</v>
      </c>
      <c r="L23" s="27">
        <f>SUM('Income and Pension'!$K112,'Partner Income and Pension'!L113)</f>
        <v>19891.82116564591</v>
      </c>
      <c r="M23" s="27">
        <f>SUM('Income and Pension'!$Q112,'Partner Income and Pension'!R113)</f>
        <v>19887.520462842924</v>
      </c>
      <c r="N23" s="27">
        <f>IF(SUMIF('CF Timeline'!$C$4:$BC$4,Tabella245[[#This Row],[Age]],'CF Timeline'!$C$43:$BC$43)&lt;7258, SUMIF('CF Timeline'!$C$4:$BC$4,Tabella245[[#This Row],[Age]],'CF Timeline'!$C$43:$BC$43), 7258)</f>
        <v>0</v>
      </c>
      <c r="O23" s="27">
        <f ca="1">Tabella245[[#This Row],[Salary and Pension]]-Tabella245[[#This Row],[1° Pillar deductions]]-Tabella245[[#This Row],[2° Pillar deductions]]-Tabella245[[#This Row],[3° Pillar deductions]]</f>
        <v>195347.07424512121</v>
      </c>
      <c r="P23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12471.113800356001</v>
      </c>
      <c r="Q23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15863.895931226254</v>
      </c>
      <c r="R23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12626.366149343346</v>
      </c>
      <c r="S23" s="107">
        <f ca="1">Tabella245[[#This Row],[Federal taxes]]+Tabella245[[#This Row],[Cantonal taxes]]+Tabella245[[#This Row],[Comunal taxes]]</f>
        <v>40961.375880925603</v>
      </c>
      <c r="W23" s="27">
        <f ca="1">Tabella245[[#This Row],[Taxable salary]]</f>
        <v>195347.07424512121</v>
      </c>
      <c r="X2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21261.797311261857</v>
      </c>
      <c r="Y2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16187.648909414545</v>
      </c>
      <c r="Z2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18362.624979041393</v>
      </c>
      <c r="AA23" s="27">
        <f ca="1">IF(Tabella1353[[#This Row],[Taxable salary]]&lt;$L$140,$M$139+((Tabella1353[[#This Row],[Taxable salary]]-$L$139)/100)*$N$139, IF(Tabella1353[[#This Row],[Taxable salary]]&lt;$L$141,M158+((Tabella1353[[#This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13984.765939609697</v>
      </c>
      <c r="AB23" s="27">
        <f ca="1">IF(Tabella1353[[#This Row],[Taxable salary]]&lt;$L$159,Tabella1353[[#This Row],[Taxable salary]]*M176,IF(Tabella1353[[#This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12013.845066074955</v>
      </c>
      <c r="AC23" s="27">
        <f ca="1">IF(Tabella1353[[#This Row],[Taxable salary]]&lt;$L$178,Tabella1353[[#This Row],[Taxable salary]]*M195,IF(Tabella1353[[#This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salary]]&gt;L212,Tabella1353[[#This Row],[Taxable salary]]*$M$194))))))))))))))))))</f>
        <v>7618.5358955597276</v>
      </c>
      <c r="AD2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18703.112315453574</v>
      </c>
      <c r="AE2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26698.822621670606</v>
      </c>
      <c r="AF2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20511.442795737727</v>
      </c>
      <c r="AG2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16604.501310835305</v>
      </c>
      <c r="AH2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salary]]*M320))))))))))))</f>
        <v>5665.0651531085159</v>
      </c>
      <c r="AI23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13946.989142062812</v>
      </c>
      <c r="AJ2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41022.885591475453</v>
      </c>
      <c r="AK2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25610.001433535392</v>
      </c>
      <c r="AL2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27827.737992896211</v>
      </c>
      <c r="AM2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10861.297328028739</v>
      </c>
      <c r="AN2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9262.5303062170296</v>
      </c>
      <c r="AO2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25556.510708917442</v>
      </c>
      <c r="AP23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5665.0651531085159</v>
      </c>
      <c r="AQ23" s="27">
        <f ca="1">Tabella1353[[#This Row],[Taxable salary]]*$M$501</f>
        <v>3516.2473364121815</v>
      </c>
      <c r="AR2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19026.648909414544</v>
      </c>
      <c r="AS23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19364.913538188939</v>
      </c>
      <c r="AT23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13117.765939609697</v>
      </c>
      <c r="AU23" s="27">
        <f ca="1">Tabella1353[[#This Row],[Taxable salary]]*$M$604</f>
        <v>13869.642271403605</v>
      </c>
      <c r="AV2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21123.590394316969</v>
      </c>
      <c r="AW2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salary]]*M669)))))))))))))</f>
        <v>26371.855023091364</v>
      </c>
      <c r="AX2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19339.360350267001</v>
      </c>
    </row>
    <row r="24" spans="2:50">
      <c r="B24" s="2"/>
      <c r="C24" s="85">
        <v>182600</v>
      </c>
      <c r="D24" s="85">
        <v>10788.5</v>
      </c>
      <c r="E24" s="85">
        <v>13.2</v>
      </c>
      <c r="J24" s="80">
        <v>39</v>
      </c>
      <c r="K24" s="27">
        <f ca="1">'Income and Pension'!K40</f>
        <v>242559.15723630026</v>
      </c>
      <c r="L24" s="27">
        <f>SUM('Income and Pension'!$K113,'Partner Income and Pension'!L114)</f>
        <v>20508.585954668255</v>
      </c>
      <c r="M24" s="27">
        <f>SUM('Income and Pension'!$Q113,'Partner Income and Pension'!R114)</f>
        <v>20668.235385656022</v>
      </c>
      <c r="N24" s="27">
        <f>IF(SUMIF('CF Timeline'!$C$4:$BC$4,Tabella245[[#This Row],[Age]],'CF Timeline'!$C$43:$BC$43)&lt;7258, SUMIF('CF Timeline'!$C$4:$BC$4,Tabella245[[#This Row],[Age]],'CF Timeline'!$C$43:$BC$43), 7258)</f>
        <v>0</v>
      </c>
      <c r="O24" s="27">
        <f ca="1">Tabella245[[#This Row],[Salary and Pension]]-Tabella245[[#This Row],[1° Pillar deductions]]-Tabella245[[#This Row],[2° Pillar deductions]]-Tabella245[[#This Row],[3° Pillar deductions]]</f>
        <v>201382.33589597599</v>
      </c>
      <c r="P24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13267.76833826883</v>
      </c>
      <c r="Q24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16573.642701366778</v>
      </c>
      <c r="R24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13191.266639863354</v>
      </c>
      <c r="S24" s="107">
        <f ca="1">Tabella245[[#This Row],[Federal taxes]]+Tabella245[[#This Row],[Cantonal taxes]]+Tabella245[[#This Row],[Comunal taxes]]</f>
        <v>43032.677679498964</v>
      </c>
      <c r="W24" s="27">
        <f ca="1">Tabella245[[#This Row],[Taxable salary]]</f>
        <v>201382.33589597599</v>
      </c>
      <c r="X2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22051.209535193659</v>
      </c>
      <c r="Y2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16911.88030751712</v>
      </c>
      <c r="Z2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18929.939574221742</v>
      </c>
      <c r="AA24" s="27">
        <f ca="1">IF(Tabella1353[[#This Row],[Taxable salary]]&lt;$L$140,$M$139+((Tabella1353[[#This Row],[Taxable salary]]-$L$139)/100)*$N$139, IF(Tabella1353[[#This Row],[Taxable salary]]&lt;$L$141,M159+((Tabella1353[[#This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14467.586871678079</v>
      </c>
      <c r="AB24" s="27">
        <f ca="1">IF(Tabella1353[[#This Row],[Taxable salary]]&lt;$L$159,Tabella1353[[#This Row],[Taxable salary]]*M177,IF(Tabella1353[[#This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12385.013657602523</v>
      </c>
      <c r="AC24" s="27">
        <f ca="1">IF(Tabella1353[[#This Row],[Taxable salary]]&lt;$L$178,Tabella1353[[#This Row],[Taxable salary]]*M196,IF(Tabella1353[[#This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salary]]&gt;L213,Tabella1353[[#This Row],[Taxable salary]]*$M$194))))))))))))))))))</f>
        <v>7853.9110999430641</v>
      </c>
      <c r="AD2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19379.061620349312</v>
      </c>
      <c r="AE2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27724.817102315919</v>
      </c>
      <c r="AF2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21145.145269077479</v>
      </c>
      <c r="AG2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16110.586871678081</v>
      </c>
      <c r="AH2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salary]]*M321))))))))))))</f>
        <v>5840.0877409833038</v>
      </c>
      <c r="AI24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14554.752782570395</v>
      </c>
      <c r="AJ2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42290.290538154957</v>
      </c>
      <c r="AK2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26401.224235962451</v>
      </c>
      <c r="AL2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28883.908781795799</v>
      </c>
      <c r="AM2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11196.857875816264</v>
      </c>
      <c r="AN2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9612.5754819666072</v>
      </c>
      <c r="AO2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26524.44667771455</v>
      </c>
      <c r="AP24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5840.0877409833038</v>
      </c>
      <c r="AQ24" s="27">
        <f ca="1">Tabella1353[[#This Row],[Taxable salary]]*$M$501</f>
        <v>3624.8820461275677</v>
      </c>
      <c r="AR2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19750.88030751712</v>
      </c>
      <c r="AS24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20058.968628037241</v>
      </c>
      <c r="AT24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13600.586871678079</v>
      </c>
      <c r="AU24" s="27">
        <f ca="1">Tabella1353[[#This Row],[Taxable salary]]*$M$604</f>
        <v>14298.145848614295</v>
      </c>
      <c r="AV2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21968.527025436641</v>
      </c>
      <c r="AW2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salary]]*M670)))))))))))))</f>
        <v>19936.851253701625</v>
      </c>
      <c r="AX2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20138.233589597599</v>
      </c>
    </row>
    <row r="25" spans="2:50">
      <c r="B25" s="2"/>
      <c r="C25" s="85">
        <v>783200</v>
      </c>
      <c r="D25" s="85">
        <v>90067.7</v>
      </c>
      <c r="E25" s="85"/>
      <c r="J25" s="80">
        <v>40</v>
      </c>
      <c r="K25" s="27">
        <f ca="1">'Income and Pension'!K41</f>
        <v>250178.05860131228</v>
      </c>
      <c r="L25" s="27">
        <f>SUM('Income and Pension'!$K114,'Partner Income and Pension'!L115)</f>
        <v>21140.7839362177</v>
      </c>
      <c r="M25" s="27">
        <f>SUM('Income and Pension'!$Q114,'Partner Income and Pension'!R115)</f>
        <v>21468.485995212279</v>
      </c>
      <c r="N25" s="27">
        <f>IF(SUMIF('CF Timeline'!$C$4:$BC$4,Tabella245[[#This Row],[Age]],'CF Timeline'!$C$43:$BC$43)&lt;7258, SUMIF('CF Timeline'!$C$4:$BC$4,Tabella245[[#This Row],[Age]],'CF Timeline'!$C$43:$BC$43), 7258)</f>
        <v>0</v>
      </c>
      <c r="O25" s="27">
        <f ca="1">Tabella245[[#This Row],[Salary and Pension]]-Tabella245[[#This Row],[1° Pillar deductions]]-Tabella245[[#This Row],[2° Pillar deductions]]-Tabella245[[#This Row],[3° Pillar deductions]]</f>
        <v>207568.78866988231</v>
      </c>
      <c r="P25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14084.380104424465</v>
      </c>
      <c r="Q2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17301.16954757816</v>
      </c>
      <c r="R2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13770.318619500984</v>
      </c>
      <c r="S25" s="107">
        <f ca="1">Tabella245[[#This Row],[Federal taxes]]+Tabella245[[#This Row],[Cantonal taxes]]+Tabella245[[#This Row],[Comunal taxes]]</f>
        <v>45155.868271503612</v>
      </c>
      <c r="W25" s="27">
        <f ca="1">Tabella245[[#This Row],[Taxable salary]]</f>
        <v>207568.78866988231</v>
      </c>
      <c r="X2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22860.397558020606</v>
      </c>
      <c r="Y2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17654.254640385876</v>
      </c>
      <c r="Z2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19511.466134968938</v>
      </c>
      <c r="AA25" s="27">
        <f ca="1">IF(Tabella1353[[#This Row],[Taxable salary]]&lt;$L$140,$M$139+((Tabella1353[[#This Row],[Taxable salary]]-$L$139)/100)*$N$139, IF(Tabella1353[[#This Row],[Taxable salary]]&lt;$L$141,M160+((Tabella1353[[#This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14962.503093590585</v>
      </c>
      <c r="AB25" s="27">
        <f ca="1">IF(Tabella1353[[#This Row],[Taxable salary]]&lt;$L$159,Tabella1353[[#This Row],[Taxable salary]]*M178,IF(Tabella1353[[#This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12765.480503197761</v>
      </c>
      <c r="AC25" s="27">
        <f ca="1">IF(Tabella1353[[#This Row],[Taxable salary]]&lt;$L$178,Tabella1353[[#This Row],[Taxable salary]]*M197,IF(Tabella1353[[#This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salary]]&gt;L214,Tabella1353[[#This Row],[Taxable salary]]*$M$194))))))))))))))))))</f>
        <v>8095.1827581254101</v>
      </c>
      <c r="AD2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20071.944331026818</v>
      </c>
      <c r="AE2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28776.514073879996</v>
      </c>
      <c r="AF2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21794.722810337644</v>
      </c>
      <c r="AG2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16605.503093590585</v>
      </c>
      <c r="AH2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salary]]*M322))))))))))))</f>
        <v>6019.4948714265875</v>
      </c>
      <c r="AI2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15178.592841053229</v>
      </c>
      <c r="AJ2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43589.445620675288</v>
      </c>
      <c r="AK2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28021.786470434115</v>
      </c>
      <c r="AL2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29966.538017229403</v>
      </c>
      <c r="AM2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12018.232863986186</v>
      </c>
      <c r="AN2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9971.3897428531745</v>
      </c>
      <c r="AO2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27474.747045163265</v>
      </c>
      <c r="AP2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6019.4948714265875</v>
      </c>
      <c r="AQ25" s="27">
        <f ca="1">Tabella1353[[#This Row],[Taxable salary]]*$M$501</f>
        <v>3736.2381960578814</v>
      </c>
      <c r="AR2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20493.25464038588</v>
      </c>
      <c r="AS2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20770.410697036466</v>
      </c>
      <c r="AT2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14095.503093590585</v>
      </c>
      <c r="AU25" s="27">
        <f ca="1">Tabella1353[[#This Row],[Taxable salary]]*$M$604</f>
        <v>14737.383995561642</v>
      </c>
      <c r="AV2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22834.630413783525</v>
      </c>
      <c r="AW2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salary]]*M671)))))))))))))</f>
        <v>20756.878866988234</v>
      </c>
      <c r="AX2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20756.878866988234</v>
      </c>
    </row>
    <row r="26" spans="2:50">
      <c r="B26" s="2"/>
      <c r="C26" s="85">
        <v>783300</v>
      </c>
      <c r="D26" s="85">
        <v>90079.5</v>
      </c>
      <c r="E26" s="85">
        <v>11.5</v>
      </c>
      <c r="J26" s="80">
        <v>41</v>
      </c>
      <c r="K26" s="27">
        <f ca="1">'Income and Pension'!K42</f>
        <v>257988.27995364359</v>
      </c>
      <c r="L26" s="27">
        <f>SUM('Income and Pension'!$K115,'Partner Income and Pension'!L116)</f>
        <v>21788.840944282769</v>
      </c>
      <c r="M26" s="27">
        <f>SUM('Income and Pension'!$Q115,'Partner Income and Pension'!R116)</f>
        <v>22288.811321876921</v>
      </c>
      <c r="N26" s="27">
        <f>IF(SUMIF('CF Timeline'!$C$4:$BC$4,Tabella245[[#This Row],[Age]],'CF Timeline'!$C$43:$BC$43)&lt;7258, SUMIF('CF Timeline'!$C$4:$BC$4,Tabella245[[#This Row],[Age]],'CF Timeline'!$C$43:$BC$43), 7258)</f>
        <v>0</v>
      </c>
      <c r="O26" s="27">
        <f ca="1">Tabella245[[#This Row],[Salary and Pension]]-Tabella245[[#This Row],[1° Pillar deductions]]-Tabella245[[#This Row],[2° Pillar deductions]]-Tabella245[[#This Row],[3° Pillar deductions]]</f>
        <v>213910.62768748391</v>
      </c>
      <c r="P26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14921.502854747876</v>
      </c>
      <c r="Q26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18046.969816048109</v>
      </c>
      <c r="R26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14363.914751548495</v>
      </c>
      <c r="S26" s="107">
        <f ca="1">Tabella245[[#This Row],[Federal taxes]]+Tabella245[[#This Row],[Cantonal taxes]]+Tabella245[[#This Row],[Comunal taxes]]</f>
        <v>47332.38742234448</v>
      </c>
      <c r="W26" s="27">
        <f ca="1">Tabella245[[#This Row],[Taxable salary]]</f>
        <v>213910.62768748391</v>
      </c>
      <c r="X2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23689.910101522895</v>
      </c>
      <c r="Y2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18415.27532249807</v>
      </c>
      <c r="Z2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20107.599002623487</v>
      </c>
      <c r="AA26" s="27">
        <f ca="1">IF(Tabella1353[[#This Row],[Taxable salary]]&lt;$L$140,$M$139+((Tabella1353[[#This Row],[Taxable salary]]-$L$139)/100)*$N$139, IF(Tabella1353[[#This Row],[Taxable salary]]&lt;$L$141,M161+((Tabella1353[[#This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15469.850214998713</v>
      </c>
      <c r="AB26" s="27">
        <f ca="1">IF(Tabella1353[[#This Row],[Taxable salary]]&lt;$L$159,Tabella1353[[#This Row],[Taxable salary]]*M179,IF(Tabella1353[[#This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13155.50360278026</v>
      </c>
      <c r="AC26" s="27">
        <f ca="1">IF(Tabella1353[[#This Row],[Taxable salary]]&lt;$L$178,Tabella1353[[#This Row],[Taxable salary]]*M198,IF(Tabella1353[[#This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salary]]&gt;L220,Tabella1353[[#This Row],[Taxable salary]]*$M$194))))))))))))))))))</f>
        <v>8342.5144798118727</v>
      </c>
      <c r="AD2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20783.610928685681</v>
      </c>
      <c r="AE2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29854.626706872266</v>
      </c>
      <c r="AF2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22460.615907185809</v>
      </c>
      <c r="AG2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17112.850214998714</v>
      </c>
      <c r="AH26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salary]]*M323))))))))))))</f>
        <v>6203.4082029370338</v>
      </c>
      <c r="AI26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15818.969760857439</v>
      </c>
      <c r="AJ2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44069.201460448392</v>
      </c>
      <c r="AK2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28877.93473781033</v>
      </c>
      <c r="AL2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31076.359845309686</v>
      </c>
      <c r="AM2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12385.425343105318</v>
      </c>
      <c r="AN2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10339.216405874067</v>
      </c>
      <c r="AO2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28322.650921816599</v>
      </c>
      <c r="AP26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6203.4082029370338</v>
      </c>
      <c r="AQ26" s="27">
        <f ca="1">Tabella1353[[#This Row],[Taxable salary]]*$M$501</f>
        <v>3850.39129837471</v>
      </c>
      <c r="AR2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21174.352141060906</v>
      </c>
      <c r="AS26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21499.722184060651</v>
      </c>
      <c r="AT26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14602.850214998713</v>
      </c>
      <c r="AU26" s="27">
        <f ca="1">Tabella1353[[#This Row],[Taxable salary]]*$M$604</f>
        <v>15187.654565811355</v>
      </c>
      <c r="AV2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23722.487876247746</v>
      </c>
      <c r="AW2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salary]]*M672)))))))))))))</f>
        <v>0</v>
      </c>
      <c r="AX2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21391.062768748394</v>
      </c>
    </row>
    <row r="27" spans="2:50">
      <c r="B27" s="2"/>
      <c r="C27" s="86">
        <f>IF(C8&lt;=$C$16,$C$15,IF(C8&lt;=$C$17,((C8-$C$16)/$D$15)*$E$16,IF(C8&lt;=$C$18,$D$17+((C8-$C$17)/$D$15)*$E$17,IF(C8&lt;=$C$19,$D$18+((C8-$C$18)/$D$15)*$E$18,IF(C8&lt;=$C$20,$D$19+((C8-$C$19)/$D$15)*$E$19,IF(C8&lt;=$C$21,$D$20+((C8-$C$20)/$D$15)*$E$20,IF(C8&lt;=$C$22,$D$21+((C8-$C$21)/$D$15)*$E$21,IF(C8&lt;=$C$23,$D$22+((C8-$C$22)/$D$15)*$E$22,IF(C8&lt;=$C$24,$D$23+((C8-$C$23)/$D$15)*$E$23,IF(C8&lt;=$C$25,$D$24+((C8-$C$24)/$D$15)*$E$24,IF(C8=$C$25,$D$25,IF(C8&gt;=$C$26,$D$26+((C8-$C$26)/$D$15)*$E$26))))))))))))</f>
        <v>0</v>
      </c>
      <c r="D27" s="2"/>
      <c r="E27" s="2"/>
      <c r="J27" s="80">
        <v>42</v>
      </c>
      <c r="K27" s="27">
        <f ca="1">'Income and Pension'!K43</f>
        <v>265995.1285931404</v>
      </c>
      <c r="L27" s="27">
        <f>SUM('Income and Pension'!$K116,'Partner Income and Pension'!L117)</f>
        <v>22453.194908174111</v>
      </c>
      <c r="M27" s="27">
        <f>SUM('Income and Pension'!$Q116,'Partner Income and Pension'!R117)</f>
        <v>23129.765706549508</v>
      </c>
      <c r="N27" s="27">
        <f>IF(SUMIF('CF Timeline'!$C$4:$BC$4,Tabella245[[#This Row],[Age]],'CF Timeline'!$C$43:$BC$43)&lt;7258, SUMIF('CF Timeline'!$C$4:$BC$4,Tabella245[[#This Row],[Age]],'CF Timeline'!$C$43:$BC$43), 7258)</f>
        <v>0</v>
      </c>
      <c r="O27" s="27">
        <f ca="1">Tabella245[[#This Row],[Salary and Pension]]-Tabella245[[#This Row],[1° Pillar deductions]]-Tabella245[[#This Row],[2° Pillar deductions]]-Tabella245[[#This Row],[3° Pillar deductions]]</f>
        <v>220412.16797841678</v>
      </c>
      <c r="P27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15779.706173151015</v>
      </c>
      <c r="Q27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18811.550954261813</v>
      </c>
      <c r="R27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14972.45892277981</v>
      </c>
      <c r="S27" s="107">
        <f ca="1">Tabella245[[#This Row],[Federal taxes]]+Tabella245[[#This Row],[Cantonal taxes]]+Tabella245[[#This Row],[Comunal taxes]]</f>
        <v>49563.716050192641</v>
      </c>
      <c r="W27" s="27">
        <f ca="1">Tabella245[[#This Row],[Taxable salary]]</f>
        <v>220412.16797841678</v>
      </c>
      <c r="X2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24540.311571576916</v>
      </c>
      <c r="Y2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19195.460157410012</v>
      </c>
      <c r="Z2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20718.743789971177</v>
      </c>
      <c r="AA27" s="27">
        <f ca="1">IF(Tabella1353[[#This Row],[Taxable salary]]&lt;$L$140,$M$139+((Tabella1353[[#This Row],[Taxable salary]]-$L$139)/100)*$N$139, IF(Tabella1353[[#This Row],[Taxable salary]]&lt;$L$141,M162+((Tabella1353[[#This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15989.973438273342</v>
      </c>
      <c r="AB27" s="27">
        <f ca="1">IF(Tabella1353[[#This Row],[Taxable salary]]&lt;$L$159,Tabella1353[[#This Row],[Taxable salary]]*M180,IF(Tabella1353[[#This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13555.348330672632</v>
      </c>
      <c r="AC27" s="27">
        <f ca="1">IF(Tabella1353[[#This Row],[Taxable salary]]&lt;$L$178,Tabella1353[[#This Row],[Taxable salary]]*M199,IF(Tabella1353[[#This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salary]]&gt;L221,Tabella1353[[#This Row],[Taxable salary]]*$M$194))))))))))))))))))</f>
        <v>8596.0745511582536</v>
      </c>
      <c r="AD2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21518.284981561093</v>
      </c>
      <c r="AE2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30959.888556330854</v>
      </c>
      <c r="AF2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23143.277637733761</v>
      </c>
      <c r="AG2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17632.973438273344</v>
      </c>
      <c r="AH27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salary]]*M324))))))))))))</f>
        <v>6391.9528713740865</v>
      </c>
      <c r="AI27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16476.357707620024</v>
      </c>
      <c r="AJ2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44086.918157741187</v>
      </c>
      <c r="AK2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29755.642677086267</v>
      </c>
      <c r="AL2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32214.129396222936</v>
      </c>
      <c r="AM2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12761.864525950332</v>
      </c>
      <c r="AN2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10716.305742748173</v>
      </c>
      <c r="AO2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29191.906858714323</v>
      </c>
      <c r="AP27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6391.9528713740865</v>
      </c>
      <c r="AQ27" s="27">
        <f ca="1">Tabella1353[[#This Row],[Taxable salary]]*$M$501</f>
        <v>3967.4190236115019</v>
      </c>
      <c r="AR2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21818.004629863262</v>
      </c>
      <c r="AS27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22247.399317517928</v>
      </c>
      <c r="AT27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15122.973438273342</v>
      </c>
      <c r="AU27" s="27">
        <f ca="1">Tabella1353[[#This Row],[Taxable salary]]*$M$604</f>
        <v>15649.263926467589</v>
      </c>
      <c r="AV2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24635.264356870433</v>
      </c>
      <c r="AW2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salary]]*M673)))))))))))))</f>
        <v>0</v>
      </c>
      <c r="AX2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22041.21679784168</v>
      </c>
    </row>
    <row r="28" spans="2:50">
      <c r="C28" s="87"/>
      <c r="J28" s="80">
        <v>43</v>
      </c>
      <c r="K28" s="27">
        <f ca="1">'Income and Pension'!K44</f>
        <v>274204.06338810525</v>
      </c>
      <c r="L28" s="27">
        <f>SUM('Income and Pension'!$K117,'Partner Income and Pension'!L118)</f>
        <v>23134.29620006933</v>
      </c>
      <c r="M28" s="27">
        <f>SUM('Income and Pension'!$Q117,'Partner Income and Pension'!R118)</f>
        <v>23991.919240594092</v>
      </c>
      <c r="N28" s="27">
        <f>IF(SUMIF('CF Timeline'!$C$4:$BC$4,Tabella245[[#This Row],[Age]],'CF Timeline'!$C$43:$BC$43)&lt;7258, SUMIF('CF Timeline'!$C$4:$BC$4,Tabella245[[#This Row],[Age]],'CF Timeline'!$C$43:$BC$43), 7258)</f>
        <v>0</v>
      </c>
      <c r="O28" s="27">
        <f ca="1">Tabella245[[#This Row],[Salary and Pension]]-Tabella245[[#This Row],[1° Pillar deductions]]-Tabella245[[#This Row],[2° Pillar deductions]]-Tabella245[[#This Row],[3° Pillar deductions]]</f>
        <v>227077.84794744183</v>
      </c>
      <c r="P28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16659.575929062321</v>
      </c>
      <c r="Q28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19595.434918619161</v>
      </c>
      <c r="R28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15596.366567880557</v>
      </c>
      <c r="S28" s="107">
        <f ca="1">Tabella245[[#This Row],[Federal taxes]]+Tabella245[[#This Row],[Cantonal taxes]]+Tabella245[[#This Row],[Comunal taxes]]</f>
        <v>51851.377415562034</v>
      </c>
      <c r="W28" s="27">
        <f ca="1">Tabella245[[#This Row],[Taxable salary]]</f>
        <v>227077.84794744183</v>
      </c>
      <c r="X2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25441.089851820834</v>
      </c>
      <c r="Y2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19995.341753693021</v>
      </c>
      <c r="Z2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21345.31770705953</v>
      </c>
      <c r="AA28" s="27">
        <f ca="1">IF(Tabella1353[[#This Row],[Taxable salary]]&lt;$L$140,$M$139+((Tabella1353[[#This Row],[Taxable salary]]-$L$139)/100)*$N$139, IF(Tabella1353[[#This Row],[Taxable salary]]&lt;$L$141,M163+((Tabella1353[[#This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16523.227835795347</v>
      </c>
      <c r="AB28" s="27">
        <f ca="1">IF(Tabella1353[[#This Row],[Taxable salary]]&lt;$L$159,Tabella1353[[#This Row],[Taxable salary]]*M181,IF(Tabella1353[[#This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14305.904420688836</v>
      </c>
      <c r="AC28" s="27">
        <f ca="1">IF(Tabella1353[[#This Row],[Taxable salary]]&lt;$L$178,Tabella1353[[#This Row],[Taxable salary]]*M200,IF(Tabella1353[[#This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salary]]&gt;L222,Tabella1353[[#This Row],[Taxable salary]]*$M$194))))))))))))))))))</f>
        <v>8856.0360699502307</v>
      </c>
      <c r="AD2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22271.506818060923</v>
      </c>
      <c r="AE2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32093.054151065113</v>
      </c>
      <c r="AF2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23843.174034481392</v>
      </c>
      <c r="AG2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18166.227835795347</v>
      </c>
      <c r="AH2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salary]]*M325))))))))))))</f>
        <v>6585.2575904758132</v>
      </c>
      <c r="AI28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17151.244978127681</v>
      </c>
      <c r="AJ2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44105.082135656776</v>
      </c>
      <c r="AK2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30655.50947290465</v>
      </c>
      <c r="AL2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33380.623390802321</v>
      </c>
      <c r="AM2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13147.807396156883</v>
      </c>
      <c r="AN2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11102.915180951626</v>
      </c>
      <c r="AO2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30083.108270572971</v>
      </c>
      <c r="AP28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6585.2575904758132</v>
      </c>
      <c r="AQ28" s="27">
        <f ca="1">Tabella1353[[#This Row],[Taxable salary]]*$M$501</f>
        <v>4087.4012630539528</v>
      </c>
      <c r="AR2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22477.906946796742</v>
      </c>
      <c r="AS28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23013.95251395581</v>
      </c>
      <c r="AT28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15656.227835795347</v>
      </c>
      <c r="AU28" s="27">
        <f ca="1">Tabella1353[[#This Row],[Taxable salary]]*$M$604</f>
        <v>16122.527204268368</v>
      </c>
      <c r="AV2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25601.787952379065</v>
      </c>
      <c r="AW2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salary]]*M674)))))))))))))</f>
        <v>0</v>
      </c>
      <c r="AX2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22707.784794744184</v>
      </c>
    </row>
    <row r="29" spans="2:50">
      <c r="C29" s="87"/>
      <c r="J29" s="80">
        <v>44</v>
      </c>
      <c r="K29" s="27">
        <f ca="1">'Income and Pension'!K45</f>
        <v>282620.69915254653</v>
      </c>
      <c r="L29" s="27">
        <f>SUM('Income and Pension'!$K118,'Partner Income and Pension'!L119)</f>
        <v>23832.607992615089</v>
      </c>
      <c r="M29" s="27">
        <f>SUM('Income and Pension'!$Q118,'Partner Income and Pension'!R119)</f>
        <v>24875.858218500114</v>
      </c>
      <c r="N29" s="27">
        <f>IF(SUMIF('CF Timeline'!$C$4:$BC$4,Tabella245[[#This Row],[Age]],'CF Timeline'!$C$43:$BC$43)&lt;7258, SUMIF('CF Timeline'!$C$4:$BC$4,Tabella245[[#This Row],[Age]],'CF Timeline'!$C$43:$BC$43), 7258)</f>
        <v>0</v>
      </c>
      <c r="O29" s="27">
        <f ca="1">Tabella245[[#This Row],[Salary and Pension]]-Tabella245[[#This Row],[1° Pillar deductions]]-Tabella245[[#This Row],[2° Pillar deductions]]-Tabella245[[#This Row],[3° Pillar deductions]]</f>
        <v>233912.23294143134</v>
      </c>
      <c r="P29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17561.714748268936</v>
      </c>
      <c r="Q29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20399.158593912325</v>
      </c>
      <c r="R29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16236.065003317974</v>
      </c>
      <c r="S29" s="107">
        <f ca="1">Tabella245[[#This Row],[Federal taxes]]+Tabella245[[#This Row],[Cantonal taxes]]+Tabella245[[#This Row],[Comunal taxes]]</f>
        <v>54196.938345499235</v>
      </c>
      <c r="W29" s="27">
        <f ca="1">Tabella245[[#This Row],[Taxable salary]]</f>
        <v>233912.23294143134</v>
      </c>
      <c r="X2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26400.637504976959</v>
      </c>
      <c r="Y2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20815.467952971761</v>
      </c>
      <c r="Z2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21987.749896494548</v>
      </c>
      <c r="AA29" s="27">
        <f ca="1">IF(Tabella1353[[#This Row],[Taxable salary]]&lt;$L$140,$M$139+((Tabella1353[[#This Row],[Taxable salary]]-$L$139)/100)*$N$139, IF(Tabella1353[[#This Row],[Taxable salary]]&lt;$L$141,M164+((Tabella1353[[#This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17069.978635314506</v>
      </c>
      <c r="AB29" s="27">
        <f ca="1">IF(Tabella1353[[#This Row],[Taxable salary]]&lt;$L$159,Tabella1353[[#This Row],[Taxable salary]]*M182,IF(Tabella1353[[#This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14736.470675310175</v>
      </c>
      <c r="AC29" s="27">
        <f ca="1">IF(Tabella1353[[#This Row],[Taxable salary]]&lt;$L$178,Tabella1353[[#This Row],[Taxable salary]]*M201,IF(Tabella1353[[#This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salary]]&gt;L223,Tabella1353[[#This Row],[Taxable salary]]*$M$194))))))))))))))))))</f>
        <v>11695.611647071568</v>
      </c>
      <c r="AD2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23043.792322381742</v>
      </c>
      <c r="AE2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33254.899600043325</v>
      </c>
      <c r="AF2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24560.784458850289</v>
      </c>
      <c r="AG2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18712.978635314506</v>
      </c>
      <c r="AH2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salary]]*M326))))))))))))</f>
        <v>6783.4547553015091</v>
      </c>
      <c r="AI29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17844.13442169231</v>
      </c>
      <c r="AJ2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44123.705834765402</v>
      </c>
      <c r="AK2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31578.151447093234</v>
      </c>
      <c r="AL2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34576.640764750482</v>
      </c>
      <c r="AM2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13543.518287308874</v>
      </c>
      <c r="AN2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11499.309510603018</v>
      </c>
      <c r="AO2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30996.865544269371</v>
      </c>
      <c r="AP29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salary]]*$M$487,IF(K499&lt;$L$489,Tabella1353[[#This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6432.5864058893621</v>
      </c>
      <c r="AQ29" s="27">
        <f ca="1">Tabella1353[[#This Row],[Taxable salary]]*$M$501</f>
        <v>4210.420192945764</v>
      </c>
      <c r="AR2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23154.511061201702</v>
      </c>
      <c r="AS29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23799.906788264605</v>
      </c>
      <c r="AT29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16202.978635314506</v>
      </c>
      <c r="AU29" s="27">
        <f ca="1">Tabella1353[[#This Row],[Taxable salary]]*$M$604</f>
        <v>16607.768538841625</v>
      </c>
      <c r="AV2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26592.773776507544</v>
      </c>
      <c r="AW2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salary]]*M675)))))))))))))</f>
        <v>0</v>
      </c>
      <c r="AX2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23391.223294143136</v>
      </c>
    </row>
    <row r="30" spans="2:50">
      <c r="C30" s="87"/>
      <c r="J30" s="80">
        <v>45</v>
      </c>
      <c r="K30" s="27">
        <f ca="1">'Income and Pension'!K46</f>
        <v>291250.81115068169</v>
      </c>
      <c r="L30" s="27">
        <f>SUM('Income and Pension'!$K119,'Partner Income and Pension'!L120)</f>
        <v>24548.606626879257</v>
      </c>
      <c r="M30" s="27">
        <f>SUM('Income and Pension'!$Q119,'Partner Income and Pension'!R120)</f>
        <v>38673.278405466939</v>
      </c>
      <c r="N30" s="27">
        <f>IF(SUMIF('CF Timeline'!$C$4:$BC$4,Tabella245[[#This Row],[Age]],'CF Timeline'!$C$43:$BC$43)&lt;7258, SUMIF('CF Timeline'!$C$4:$BC$4,Tabella245[[#This Row],[Age]],'CF Timeline'!$C$43:$BC$43), 7258)</f>
        <v>0</v>
      </c>
      <c r="O30" s="27">
        <f ca="1">Tabella245[[#This Row],[Salary and Pension]]-Tabella245[[#This Row],[1° Pillar deductions]]-Tabella245[[#This Row],[2° Pillar deductions]]-Tabella245[[#This Row],[3° Pillar deductions]]</f>
        <v>228028.92611833551</v>
      </c>
      <c r="P30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16785.118247620288</v>
      </c>
      <c r="Q30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19707.281711516258</v>
      </c>
      <c r="R30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15685.387484676206</v>
      </c>
      <c r="S30" s="107">
        <f ca="1">Tabella245[[#This Row],[Federal taxes]]+Tabella245[[#This Row],[Cantonal taxes]]+Tabella245[[#This Row],[Comunal taxes]]</f>
        <v>52177.787443812747</v>
      </c>
      <c r="W30" s="27">
        <f ca="1">Tabella245[[#This Row],[Taxable salary]]</f>
        <v>228028.92611833551</v>
      </c>
      <c r="X3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25574.621227014304</v>
      </c>
      <c r="Y3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20109.471134200263</v>
      </c>
      <c r="Z3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21434.71905512354</v>
      </c>
      <c r="AA30" s="27">
        <f ca="1">IF(Tabella1353[[#This Row],[Taxable salary]]&lt;$L$140,$M$139+((Tabella1353[[#This Row],[Taxable salary]]-$L$139)/100)*$N$139, IF(Tabella1353[[#This Row],[Taxable salary]]&lt;$L$141,M165+((Tabella1353[[#This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16599.31408946684</v>
      </c>
      <c r="AB30" s="27">
        <f ca="1">IF(Tabella1353[[#This Row],[Taxable salary]]&lt;$L$159,Tabella1353[[#This Row],[Taxable salary]]*M183,IF(Tabella1353[[#This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14365.822345455137</v>
      </c>
      <c r="AC30" s="27">
        <f ca="1">IF(Tabella1353[[#This Row],[Taxable salary]]&lt;$L$178,Tabella1353[[#This Row],[Taxable salary]]*M202,IF(Tabella1353[[#This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salary]]&gt;L224,Tabella1353[[#This Row],[Taxable salary]]*$M$194))))))))))))))))))</f>
        <v>8893.1281186150845</v>
      </c>
      <c r="AD3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22378.978651371912</v>
      </c>
      <c r="AE3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32254.737440117038</v>
      </c>
      <c r="AF3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23943.037242425227</v>
      </c>
      <c r="AG3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18242.314089466843</v>
      </c>
      <c r="AH3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salary]]*M327))))))))))))</f>
        <v>6612.8388574317305</v>
      </c>
      <c r="AI30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17247.612757103569</v>
      </c>
      <c r="AJ3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44107.673823672463</v>
      </c>
      <c r="AK3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30783.905025975295</v>
      </c>
      <c r="AL3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33547.062070708715</v>
      </c>
      <c r="AM3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13202.874822251626</v>
      </c>
      <c r="AN3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11158.077714863459</v>
      </c>
      <c r="AO3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30210.267422021458</v>
      </c>
      <c r="AP30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6270.7954682542268</v>
      </c>
      <c r="AQ30" s="27">
        <f ca="1">Tabella1353[[#This Row],[Taxable salary]]*$M$501</f>
        <v>4104.5206701300385</v>
      </c>
      <c r="AR3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22572.063685715217</v>
      </c>
      <c r="AS30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23123.326503608587</v>
      </c>
      <c r="AT30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15732.314089466841</v>
      </c>
      <c r="AU30" s="27">
        <f ca="1">Tabella1353[[#This Row],[Taxable salary]]*$M$604</f>
        <v>16190.053754401821</v>
      </c>
      <c r="AV3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25739.694287158651</v>
      </c>
      <c r="AW3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salary]]*M676)))))))))))))</f>
        <v>0</v>
      </c>
      <c r="AX3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22802.892611833551</v>
      </c>
    </row>
    <row r="31" spans="2:50">
      <c r="C31" s="87"/>
      <c r="J31" s="80">
        <v>46</v>
      </c>
      <c r="K31" s="27">
        <f ca="1">'Income and Pension'!K47</f>
        <v>300100.33973241266</v>
      </c>
      <c r="L31" s="27">
        <f>SUM('Income and Pension'!$K120,'Partner Income and Pension'!L121)</f>
        <v>25282.781990954249</v>
      </c>
      <c r="M31" s="27">
        <f>SUM('Income and Pension'!$Q120,'Partner Income and Pension'!R121)</f>
        <v>40067.28226130554</v>
      </c>
      <c r="N31" s="27">
        <f>IF(SUMIF('CF Timeline'!$C$4:$BC$4,Tabella245[[#This Row],[Age]],'CF Timeline'!$C$43:$BC$43)&lt;7258, SUMIF('CF Timeline'!$C$4:$BC$4,Tabella245[[#This Row],[Age]],'CF Timeline'!$C$43:$BC$43), 7258)</f>
        <v>0</v>
      </c>
      <c r="O31" s="27">
        <f ca="1">Tabella245[[#This Row],[Salary and Pension]]-Tabella245[[#This Row],[1° Pillar deductions]]-Tabella245[[#This Row],[2° Pillar deductions]]-Tabella245[[#This Row],[3° Pillar deductions]]</f>
        <v>234750.27548015286</v>
      </c>
      <c r="P31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17672.336363380178</v>
      </c>
      <c r="Q31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20497.712396465977</v>
      </c>
      <c r="R31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16314.505784942308</v>
      </c>
      <c r="S31" s="107">
        <f ca="1">Tabella245[[#This Row],[Federal taxes]]+Tabella245[[#This Row],[Cantonal taxes]]+Tabella245[[#This Row],[Comunal taxes]]</f>
        <v>54484.554544788465</v>
      </c>
      <c r="W31" s="27">
        <f ca="1">Tabella245[[#This Row],[Taxable salary]]</f>
        <v>234750.27548015286</v>
      </c>
      <c r="X3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26518.298677413462</v>
      </c>
      <c r="Y3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20916.033057618344</v>
      </c>
      <c r="Z3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22066.525895134368</v>
      </c>
      <c r="AA31" s="27">
        <f ca="1">IF(Tabella1353[[#This Row],[Taxable salary]]&lt;$L$140,$M$139+((Tabella1353[[#This Row],[Taxable salary]]-$L$139)/100)*$N$139, IF(Tabella1353[[#This Row],[Taxable salary]]&lt;$L$141,M166+((Tabella1353[[#This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17137.022038412229</v>
      </c>
      <c r="AB31" s="27">
        <f ca="1">IF(Tabella1353[[#This Row],[Taxable salary]]&lt;$L$159,Tabella1353[[#This Row],[Taxable salary]]*M184,IF(Tabella1353[[#This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14789.267355249631</v>
      </c>
      <c r="AC31" s="27">
        <f ca="1">IF(Tabella1353[[#This Row],[Taxable salary]]&lt;$L$178,Tabella1353[[#This Row],[Taxable salary]]*M203,IF(Tabella1353[[#This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salary]]&gt;L225,Tabella1353[[#This Row],[Taxable salary]]*$M$194))))))))))))))))))</f>
        <v>11737.513774007644</v>
      </c>
      <c r="AD3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23138.491129257272</v>
      </c>
      <c r="AE3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33397.366831625986</v>
      </c>
      <c r="AF3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24648.778925416049</v>
      </c>
      <c r="AG3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18780.022038412229</v>
      </c>
      <c r="AH3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salary]]*M328))))))))))))</f>
        <v>6807.7579889244334</v>
      </c>
      <c r="AI31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17929.160427247418</v>
      </c>
      <c r="AJ3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44125.989500683419</v>
      </c>
      <c r="AK3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31691.287189820639</v>
      </c>
      <c r="AL3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34723.298209026754</v>
      </c>
      <c r="AM3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13592.04095030085</v>
      </c>
      <c r="AN3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11547.915977848867</v>
      </c>
      <c r="AO3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31108.911831696438</v>
      </c>
      <c r="AP31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6807.7579889244334</v>
      </c>
      <c r="AQ31" s="27">
        <f ca="1">Tabella1353[[#This Row],[Taxable salary]]*$M$501</f>
        <v>4225.5049586427513</v>
      </c>
      <c r="AR3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23237.477272535132</v>
      </c>
      <c r="AS31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23896.28168021758</v>
      </c>
      <c r="AT31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16270.022038412229</v>
      </c>
      <c r="AU31" s="27">
        <f ca="1">Tabella1353[[#This Row],[Taxable salary]]*$M$604</f>
        <v>16667.269559090852</v>
      </c>
      <c r="AV3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26714.289944622164</v>
      </c>
      <c r="AW3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salary]]*M677)))))))))))))</f>
        <v>0</v>
      </c>
      <c r="AX3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23475.027548015289</v>
      </c>
    </row>
    <row r="32" spans="2:50">
      <c r="C32" s="87"/>
      <c r="J32" s="80">
        <v>47</v>
      </c>
      <c r="K32" s="27">
        <f ca="1">'Income and Pension'!K48</f>
        <v>309175.3951036022</v>
      </c>
      <c r="L32" s="27">
        <f>SUM('Income and Pension'!$K121,'Partner Income and Pension'!L122)</f>
        <v>26035.637909521687</v>
      </c>
      <c r="M32" s="27">
        <f>SUM('Income and Pension'!$Q121,'Partner Income and Pension'!R122)</f>
        <v>41496.755524408269</v>
      </c>
      <c r="N32" s="27">
        <f>IF(SUMIF('CF Timeline'!$C$4:$BC$4,Tabella245[[#This Row],[Age]],'CF Timeline'!$C$43:$BC$43)&lt;7258, SUMIF('CF Timeline'!$C$4:$BC$4,Tabella245[[#This Row],[Age]],'CF Timeline'!$C$43:$BC$43), 7258)</f>
        <v>0</v>
      </c>
      <c r="O32" s="27">
        <f ca="1">Tabella245[[#This Row],[Salary and Pension]]-Tabella245[[#This Row],[1° Pillar deductions]]-Tabella245[[#This Row],[2° Pillar deductions]]-Tabella245[[#This Row],[3° Pillar deductions]]</f>
        <v>241643.00166967223</v>
      </c>
      <c r="P32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18582.176220396734</v>
      </c>
      <c r="Q32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21308.296996353452</v>
      </c>
      <c r="R32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16959.664956281322</v>
      </c>
      <c r="S32" s="107">
        <f ca="1">Tabella245[[#This Row],[Federal taxes]]+Tabella245[[#This Row],[Cantonal taxes]]+Tabella245[[#This Row],[Comunal taxes]]</f>
        <v>56850.138173031504</v>
      </c>
      <c r="W32" s="27">
        <f ca="1">Tabella245[[#This Row],[Taxable salary]]</f>
        <v>241643.00166967223</v>
      </c>
      <c r="X3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27486.037434421982</v>
      </c>
      <c r="Y3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21743.160200360668</v>
      </c>
      <c r="Z3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22714.44215694919</v>
      </c>
      <c r="AA32" s="27">
        <f ca="1">IF(Tabella1353[[#This Row],[Taxable salary]]&lt;$L$140,$M$139+((Tabella1353[[#This Row],[Taxable salary]]-$L$139)/100)*$N$139, IF(Tabella1353[[#This Row],[Taxable salary]]&lt;$L$141,M167+((Tabella1353[[#This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17688.440133573778</v>
      </c>
      <c r="AB32" s="27">
        <f ca="1">IF(Tabella1353[[#This Row],[Taxable salary]]&lt;$L$159,Tabella1353[[#This Row],[Taxable salary]]*M185,IF(Tabella1353[[#This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15223.509105189351</v>
      </c>
      <c r="AC32" s="27">
        <f ca="1">IF(Tabella1353[[#This Row],[Taxable salary]]&lt;$L$178,Tabella1353[[#This Row],[Taxable salary]]*M204,IF(Tabella1353[[#This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salary]]&gt;L226,Tabella1353[[#This Row],[Taxable salary]]*$M$194))))))))))))))))))</f>
        <v>12082.150083483612</v>
      </c>
      <c r="AD3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23917.369188672961</v>
      </c>
      <c r="AE3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34569.130283844279</v>
      </c>
      <c r="AF3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25372.515175315584</v>
      </c>
      <c r="AG3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19331.440133573778</v>
      </c>
      <c r="AH3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salary]]*M329))))))))))))</f>
        <v>7007.6470484204947</v>
      </c>
      <c r="AI32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18628.991981501491</v>
      </c>
      <c r="AJ3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44144.772179549858</v>
      </c>
      <c r="AK3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32621.805225405755</v>
      </c>
      <c r="AL3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35929.525292192644</v>
      </c>
      <c r="AM3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13991.129796674022</v>
      </c>
      <c r="AN3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11947.694096840989</v>
      </c>
      <c r="AO3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32030.469323235178</v>
      </c>
      <c r="AP32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7007.6470484204947</v>
      </c>
      <c r="AQ32" s="27">
        <f ca="1">Tabella1353[[#This Row],[Taxable salary]]*$M$501</f>
        <v>4349.5740300541001</v>
      </c>
      <c r="AR3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23919.857165297552</v>
      </c>
      <c r="AS32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24688.945192012307</v>
      </c>
      <c r="AT32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16821.440133573778</v>
      </c>
      <c r="AU32" s="27">
        <f ca="1">Tabella1353[[#This Row],[Taxable salary]]*$M$604</f>
        <v>17156.653118546728</v>
      </c>
      <c r="AV3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27713.735242102473</v>
      </c>
      <c r="AW3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salary]]*M678)))))))))))))</f>
        <v>0</v>
      </c>
      <c r="AX3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24164.300166967223</v>
      </c>
    </row>
    <row r="33" spans="3:50">
      <c r="C33" s="87"/>
      <c r="J33" s="80">
        <v>48</v>
      </c>
      <c r="K33" s="27">
        <f ca="1">'Income and Pension'!K49</f>
        <v>318482.26223509043</v>
      </c>
      <c r="L33" s="27">
        <f>SUM('Income and Pension'!$K122,'Partner Income and Pension'!L123)</f>
        <v>26807.692544697427</v>
      </c>
      <c r="M33" s="27">
        <f>SUM('Income and Pension'!$Q122,'Partner Income and Pension'!R123)</f>
        <v>42962.682046893853</v>
      </c>
      <c r="N33" s="27">
        <f>IF(SUMIF('CF Timeline'!$C$4:$BC$4,Tabella245[[#This Row],[Age]],'CF Timeline'!$C$43:$BC$43)&lt;7258, SUMIF('CF Timeline'!$C$4:$BC$4,Tabella245[[#This Row],[Age]],'CF Timeline'!$C$43:$BC$43), 7258)</f>
        <v>0</v>
      </c>
      <c r="O33" s="27">
        <f ca="1">Tabella245[[#This Row],[Salary and Pension]]-Tabella245[[#This Row],[1° Pillar deductions]]-Tabella245[[#This Row],[2° Pillar deductions]]-Tabella245[[#This Row],[3° Pillar deductions]]</f>
        <v>248711.88764349913</v>
      </c>
      <c r="P33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19515.269168941886</v>
      </c>
      <c r="Q33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22139.597986875495</v>
      </c>
      <c r="R33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17621.312683431519</v>
      </c>
      <c r="S33" s="107">
        <f ca="1">Tabella245[[#This Row],[Federal taxes]]+Tabella245[[#This Row],[Cantonal taxes]]+Tabella245[[#This Row],[Comunal taxes]]</f>
        <v>59276.1798392489</v>
      </c>
      <c r="W33" s="27">
        <f ca="1">Tabella245[[#This Row],[Taxable salary]]</f>
        <v>248711.88764349913</v>
      </c>
      <c r="X3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28478.509025147276</v>
      </c>
      <c r="Y3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22591.426517219894</v>
      </c>
      <c r="Z3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23378.917438488919</v>
      </c>
      <c r="AA33" s="27">
        <f ca="1">IF(Tabella1353[[#This Row],[Taxable salary]]&lt;$L$140,$M$139+((Tabella1353[[#This Row],[Taxable salary]]-$L$139)/100)*$N$139, IF(Tabella1353[[#This Row],[Taxable salary]]&lt;$L$141,M168+((Tabella1353[[#This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18253.95101147993</v>
      </c>
      <c r="AB33" s="27">
        <f ca="1">IF(Tabella1353[[#This Row],[Taxable salary]]&lt;$L$159,Tabella1353[[#This Row],[Taxable salary]]*M186,IF(Tabella1353[[#This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15668.848921540444</v>
      </c>
      <c r="AC33" s="27">
        <f ca="1">IF(Tabella1353[[#This Row],[Taxable salary]]&lt;$L$178,Tabella1353[[#This Row],[Taxable salary]]*M205,IF(Tabella1353[[#This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salary]]&gt;L227,Tabella1353[[#This Row],[Taxable salary]]*$M$194))))))))))))))))))</f>
        <v>12435.594382174957</v>
      </c>
      <c r="AD3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24716.1533037154</v>
      </c>
      <c r="AE3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35770.840899394854</v>
      </c>
      <c r="AF3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26114.748202567407</v>
      </c>
      <c r="AG3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19896.95101147993</v>
      </c>
      <c r="AH3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salary]]*M330))))))))))))</f>
        <v>7212.6447416614747</v>
      </c>
      <c r="AI33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19347.635271517014</v>
      </c>
      <c r="AJ3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44164.034893828531</v>
      </c>
      <c r="AK3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33576.104831872384</v>
      </c>
      <c r="AL3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37166.580337612351</v>
      </c>
      <c r="AM3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14400.4182945586</v>
      </c>
      <c r="AN3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12357.689483322949</v>
      </c>
      <c r="AO3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32975.579377935836</v>
      </c>
      <c r="AP33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7212.6447416614747</v>
      </c>
      <c r="AQ33" s="27">
        <f ca="1">Tabella1353[[#This Row],[Taxable salary]]*$M$501</f>
        <v>4476.8139775829841</v>
      </c>
      <c r="AR3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24619.676876706413</v>
      </c>
      <c r="AS33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25501.867079002401</v>
      </c>
      <c r="AT33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17386.95101147993</v>
      </c>
      <c r="AU33" s="27">
        <f ca="1">Tabella1353[[#This Row],[Taxable salary]]*$M$604</f>
        <v>17658.544022688435</v>
      </c>
      <c r="AV3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28738.723708307374</v>
      </c>
      <c r="AW3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salary]]*M679)))))))))))))</f>
        <v>0</v>
      </c>
      <c r="AX3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24871.188764349914</v>
      </c>
    </row>
    <row r="34" spans="3:50">
      <c r="C34" s="87"/>
      <c r="J34" s="80">
        <v>49</v>
      </c>
      <c r="K34" s="27">
        <f ca="1">'Income and Pension'!K50</f>
        <v>328027.40591450722</v>
      </c>
      <c r="L34" s="27">
        <f>SUM('Income and Pension'!$K123,'Partner Income and Pension'!L124)</f>
        <v>27599.478808485506</v>
      </c>
      <c r="M34" s="27">
        <f>SUM('Income and Pension'!$Q123,'Partner Income and Pension'!R124)</f>
        <v>44466.073686997799</v>
      </c>
      <c r="N34" s="27">
        <f>IF(SUMIF('CF Timeline'!$C$4:$BC$4,Tabella245[[#This Row],[Age]],'CF Timeline'!$C$43:$BC$43)&lt;7258, SUMIF('CF Timeline'!$C$4:$BC$4,Tabella245[[#This Row],[Age]],'CF Timeline'!$C$43:$BC$43), 7258)</f>
        <v>0</v>
      </c>
      <c r="O34" s="27">
        <f ca="1">Tabella245[[#This Row],[Salary and Pension]]-Tabella245[[#This Row],[1° Pillar deductions]]-Tabella245[[#This Row],[2° Pillar deductions]]-Tabella245[[#This Row],[3° Pillar deductions]]</f>
        <v>255961.85341902392</v>
      </c>
      <c r="P34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20472.264651311158</v>
      </c>
      <c r="Q34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22992.193962077214</v>
      </c>
      <c r="R34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18299.90948002064</v>
      </c>
      <c r="S34" s="107">
        <f ca="1">Tabella245[[#This Row],[Federal taxes]]+Tabella245[[#This Row],[Cantonal taxes]]+Tabella245[[#This Row],[Comunal taxes]]</f>
        <v>61764.368093409008</v>
      </c>
      <c r="W34" s="27">
        <f ca="1">Tabella245[[#This Row],[Taxable salary]]</f>
        <v>255961.85341902392</v>
      </c>
      <c r="X3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29496.404220030956</v>
      </c>
      <c r="Y3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23461.42241028287</v>
      </c>
      <c r="Z3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24060.414221388248</v>
      </c>
      <c r="AA34" s="27">
        <f ca="1">IF(Tabella1353[[#This Row],[Taxable salary]]&lt;$L$140,$M$139+((Tabella1353[[#This Row],[Taxable salary]]-$L$139)/100)*$N$139, IF(Tabella1353[[#This Row],[Taxable salary]]&lt;$L$141,M169+((Tabella1353[[#This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18833.948273521914</v>
      </c>
      <c r="AB34" s="27">
        <f ca="1">IF(Tabella1353[[#This Row],[Taxable salary]]&lt;$L$159,Tabella1353[[#This Row],[Taxable salary]]*M187,IF(Tabella1353[[#This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16125.596765398506</v>
      </c>
      <c r="AC34" s="27">
        <f ca="1">IF(Tabella1353[[#This Row],[Taxable salary]]&lt;$L$178,Tabella1353[[#This Row],[Taxable salary]]*M206,IF(Tabella1353[[#This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salary]]&gt;L228,Tabella1353[[#This Row],[Taxable salary]]*$M$194))))))))))))))))))</f>
        <v>12798.092670951197</v>
      </c>
      <c r="AD3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25535.3994363497</v>
      </c>
      <c r="AE3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37003.335081234065</v>
      </c>
      <c r="AF3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26875.994608997509</v>
      </c>
      <c r="AG3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20476.948273521914</v>
      </c>
      <c r="AH3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salary]]*M331))))))))))))</f>
        <v>7422.8937491516936</v>
      </c>
      <c r="AI34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20085.633889350785</v>
      </c>
      <c r="AJ3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44183.791050566841</v>
      </c>
      <c r="AK3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34554.850211568228</v>
      </c>
      <c r="AL3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38456.752149614542</v>
      </c>
      <c r="AM3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14820.191312961484</v>
      </c>
      <c r="AN3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12778.187498303387</v>
      </c>
      <c r="AO3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33944.899802123495</v>
      </c>
      <c r="AP34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7422.8937491516936</v>
      </c>
      <c r="AQ34" s="27">
        <f ca="1">Tabella1353[[#This Row],[Taxable salary]]*$M$501</f>
        <v>4607.3133615424304</v>
      </c>
      <c r="AR3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25337.423488483368</v>
      </c>
      <c r="AS34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26335.613143187751</v>
      </c>
      <c r="AT34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17966.948273521914</v>
      </c>
      <c r="AU34" s="27">
        <f ca="1">Tabella1353[[#This Row],[Taxable salary]]*$M$604</f>
        <v>18173.291592750695</v>
      </c>
      <c r="AV3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29807.278012853589</v>
      </c>
      <c r="AW3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salary]]*M680)))))))))))))</f>
        <v>0</v>
      </c>
      <c r="AX3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25596.185341902394</v>
      </c>
    </row>
    <row r="35" spans="3:50">
      <c r="C35" s="87"/>
      <c r="J35" s="80">
        <v>50</v>
      </c>
      <c r="K35" s="27">
        <f ca="1">'Income and Pension'!K51</f>
        <v>337817.47594505618</v>
      </c>
      <c r="L35" s="27">
        <f>SUM('Income and Pension'!$K124,'Partner Income and Pension'!L125)</f>
        <v>28411.544787178958</v>
      </c>
      <c r="M35" s="27">
        <f>SUM('Income and Pension'!$Q124,'Partner Income and Pension'!R125)</f>
        <v>46007.971114896762</v>
      </c>
      <c r="N35" s="27">
        <f>IF(SUMIF('CF Timeline'!$C$4:$BC$4,Tabella245[[#This Row],[Age]],'CF Timeline'!$C$43:$BC$43)&lt;7258, SUMIF('CF Timeline'!$C$4:$BC$4,Tabella245[[#This Row],[Age]],'CF Timeline'!$C$43:$BC$43), 7258)</f>
        <v>0</v>
      </c>
      <c r="O35" s="27">
        <f ca="1">Tabella245[[#This Row],[Salary and Pension]]-Tabella245[[#This Row],[1° Pillar deductions]]-Tabella245[[#This Row],[2° Pillar deductions]]-Tabella245[[#This Row],[3° Pillar deductions]]</f>
        <v>263397.96004298044</v>
      </c>
      <c r="P35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21453.830725673419</v>
      </c>
      <c r="Q3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22887.640109475709</v>
      </c>
      <c r="R3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18216.693148358216</v>
      </c>
      <c r="S35" s="107">
        <f ca="1">Tabella245[[#This Row],[Federal taxes]]+Tabella245[[#This Row],[Cantonal taxes]]+Tabella245[[#This Row],[Comunal taxes]]</f>
        <v>62558.163983507344</v>
      </c>
      <c r="W35" s="27">
        <f ca="1">Tabella245[[#This Row],[Taxable salary]]</f>
        <v>263397.96004298044</v>
      </c>
      <c r="X3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30540.433590034452</v>
      </c>
      <c r="Y3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23354.734805587457</v>
      </c>
      <c r="Z3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22388.826603653339</v>
      </c>
      <c r="AA35" s="27">
        <f ca="1">IF(Tabella1353[[#This Row],[Taxable salary]]&lt;$L$140,$M$139+((Tabella1353[[#This Row],[Taxable salary]]-$L$139)/100)*$N$139, IF(Tabella1353[[#This Row],[Taxable salary]]&lt;$L$141,M170+((Tabella1353[[#This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19428.836803438433</v>
      </c>
      <c r="AB35" s="27">
        <f ca="1">IF(Tabella1353[[#This Row],[Taxable salary]]&lt;$L$159,Tabella1353[[#This Row],[Taxable salary]]*M188,IF(Tabella1353[[#This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16594.071482707768</v>
      </c>
      <c r="AC35" s="27">
        <f ca="1">IF(Tabella1353[[#This Row],[Taxable salary]]&lt;$L$178,Tabella1353[[#This Row],[Taxable salary]]*M207,IF(Tabella1353[[#This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salary]]&gt;L229,Tabella1353[[#This Row],[Taxable salary]]*$M$194))))))))))))))))))</f>
        <v>13169.898002149022</v>
      </c>
      <c r="AD3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26375.679484856788</v>
      </c>
      <c r="AE3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38267.473207306677</v>
      </c>
      <c r="AF3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27656.785804512947</v>
      </c>
      <c r="AG3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21071.836803438437</v>
      </c>
      <c r="AH3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salary]]*M332))))))))))))</f>
        <v>0</v>
      </c>
      <c r="AI3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20843.547639033393</v>
      </c>
      <c r="AJ3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44204.054441117121</v>
      </c>
      <c r="AK3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35558.724605802359</v>
      </c>
      <c r="AL3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39869.612408166286</v>
      </c>
      <c r="AM3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15250.741886488568</v>
      </c>
      <c r="AN3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13209.481682492866</v>
      </c>
      <c r="AO3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34939.107257746487</v>
      </c>
      <c r="AP3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7638.540841246433</v>
      </c>
      <c r="AQ35" s="27">
        <f ca="1">Tabella1353[[#This Row],[Taxable salary]]*$M$501</f>
        <v>4741.1632807736478</v>
      </c>
      <c r="AR3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26073.598044255064</v>
      </c>
      <c r="AS3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27190.765404942751</v>
      </c>
      <c r="AT3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18561.836803438433</v>
      </c>
      <c r="AU35" s="27">
        <f ca="1">Tabella1353[[#This Row],[Taxable salary]]*$M$604</f>
        <v>18701.25516305161</v>
      </c>
      <c r="AV3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30922.694006447065</v>
      </c>
      <c r="AW3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salary]]*M681)))))))))))))</f>
        <v>0</v>
      </c>
      <c r="AX3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26339.796004298045</v>
      </c>
    </row>
    <row r="36" spans="3:50">
      <c r="C36" s="87"/>
      <c r="J36" s="80">
        <v>51</v>
      </c>
      <c r="K36" s="27">
        <f ca="1">'Income and Pension'!K52</f>
        <v>347859.31249556626</v>
      </c>
      <c r="L36" s="27">
        <f>SUM('Income and Pension'!$K125,'Partner Income and Pension'!L126)</f>
        <v>29244.454178055566</v>
      </c>
      <c r="M36" s="27">
        <f>SUM('Income and Pension'!$Q125,'Partner Income and Pension'!R126)</f>
        <v>47589.444641877664</v>
      </c>
      <c r="N36" s="27">
        <f>IF(SUMIF('CF Timeline'!$C$4:$BC$4,Tabella245[[#This Row],[Age]],'CF Timeline'!$C$43:$BC$43)&lt;7258, SUMIF('CF Timeline'!$C$4:$BC$4,Tabella245[[#This Row],[Age]],'CF Timeline'!$C$43:$BC$43), 7258)</f>
        <v>0</v>
      </c>
      <c r="O36" s="27">
        <f ca="1">Tabella245[[#This Row],[Salary and Pension]]-Tabella245[[#This Row],[1° Pillar deductions]]-Tabella245[[#This Row],[2° Pillar deductions]]-Tabella245[[#This Row],[3° Pillar deductions]]</f>
        <v>271025.41367563303</v>
      </c>
      <c r="P36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22460.654605183561</v>
      </c>
      <c r="Q36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23859.377702275648</v>
      </c>
      <c r="R36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18990.11694670919</v>
      </c>
      <c r="S36" s="107">
        <f ca="1">Tabella245[[#This Row],[Federal taxes]]+Tabella245[[#This Row],[Cantonal taxes]]+Tabella245[[#This Row],[Comunal taxes]]</f>
        <v>65310.149254168398</v>
      </c>
      <c r="W36" s="27">
        <f ca="1">Tabella245[[#This Row],[Taxable salary]]</f>
        <v>271025.41367563303</v>
      </c>
      <c r="X3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31611.328080058876</v>
      </c>
      <c r="Y3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24346.303777832294</v>
      </c>
      <c r="Z3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23037.160162428809</v>
      </c>
      <c r="AA36" s="27">
        <f ca="1">IF(Tabella1353[[#This Row],[Taxable salary]]&lt;$L$140,$M$139+((Tabella1353[[#This Row],[Taxable salary]]-$L$139)/100)*$N$139, IF(Tabella1353[[#This Row],[Taxable salary]]&lt;$L$141,M171+((Tabella1353[[#This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20039.033094050643</v>
      </c>
      <c r="AB36" s="27">
        <f ca="1">IF(Tabella1353[[#This Row],[Taxable salary]]&lt;$L$159,Tabella1353[[#This Row],[Taxable salary]]*M189,IF(Tabella1353[[#This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17074.601061564881</v>
      </c>
      <c r="AC36" s="27">
        <f ca="1">IF(Tabella1353[[#This Row],[Taxable salary]]&lt;$L$178,Tabella1353[[#This Row],[Taxable salary]]*M208,IF(Tabella1353[[#This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salary]]&gt;L230,Tabella1353[[#This Row],[Taxable salary]]*$M$194))))))))))))))))))</f>
        <v>13551.270683781651</v>
      </c>
      <c r="AD3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27237.581745346532</v>
      </c>
      <c r="AE3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39564.140324857617</v>
      </c>
      <c r="AF3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28457.668435941468</v>
      </c>
      <c r="AG3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21682.033094050643</v>
      </c>
      <c r="AH36" s="27" t="e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salary]]*M333))))))))))))</f>
        <v>#VALUE!</v>
      </c>
      <c r="AI36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21621.95302247721</v>
      </c>
      <c r="AJ3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44224.839252266102</v>
      </c>
      <c r="AK3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36588.43084621046</v>
      </c>
      <c r="AL3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41318.828598370274</v>
      </c>
      <c r="AM3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15692.371451819152</v>
      </c>
      <c r="AN3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13651.873993186715</v>
      </c>
      <c r="AO3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35958.897808432135</v>
      </c>
      <c r="AP36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7859.7369965933585</v>
      </c>
      <c r="AQ36" s="27">
        <f ca="1">Tabella1353[[#This Row],[Taxable salary]]*$M$501</f>
        <v>4878.4574461613938</v>
      </c>
      <c r="AR3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26828.715953887669</v>
      </c>
      <c r="AS36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28067.9225726978</v>
      </c>
      <c r="AT36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19172.033094050643</v>
      </c>
      <c r="AU36" s="27">
        <f ca="1">Tabella1353[[#This Row],[Taxable salary]]*$M$604</f>
        <v>19242.804370969941</v>
      </c>
      <c r="AV3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32066.812051344954</v>
      </c>
      <c r="AW3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salary]]*M682)))))))))))))</f>
        <v>0</v>
      </c>
      <c r="AX3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27102.541367563303</v>
      </c>
    </row>
    <row r="37" spans="3:50">
      <c r="C37" s="87"/>
      <c r="J37" s="80">
        <v>52</v>
      </c>
      <c r="K37" s="27">
        <f ca="1">'Income and Pension'!K53</f>
        <v>358159.95160623605</v>
      </c>
      <c r="L37" s="27">
        <f>SUM('Income and Pension'!$K126,'Partner Income and Pension'!L127)</f>
        <v>30098.786738726598</v>
      </c>
      <c r="M37" s="27">
        <f>SUM('Income and Pension'!$Q126,'Partner Income and Pension'!R127)</f>
        <v>49211.595073531513</v>
      </c>
      <c r="N37" s="27">
        <f>IF(SUMIF('CF Timeline'!$C$4:$BC$4,Tabella245[[#This Row],[Age]],'CF Timeline'!$C$43:$BC$43)&lt;7258, SUMIF('CF Timeline'!$C$4:$BC$4,Tabella245[[#This Row],[Age]],'CF Timeline'!$C$43:$BC$43), 7258)</f>
        <v>0</v>
      </c>
      <c r="O37" s="27">
        <f ca="1">Tabella245[[#This Row],[Salary and Pension]]-Tabella245[[#This Row],[1° Pillar deductions]]-Tabella245[[#This Row],[2° Pillar deductions]]-Tabella245[[#This Row],[3° Pillar deductions]]</f>
        <v>278849.56979397795</v>
      </c>
      <c r="P37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23493.44321280509</v>
      </c>
      <c r="Q37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24856.175191752791</v>
      </c>
      <c r="R37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19783.486377109366</v>
      </c>
      <c r="S37" s="107">
        <f ca="1">Tabella245[[#This Row],[Federal taxes]]+Tabella245[[#This Row],[Cantonal taxes]]+Tabella245[[#This Row],[Comunal taxes]]</f>
        <v>68133.104781667251</v>
      </c>
      <c r="W37" s="27">
        <f ca="1">Tabella245[[#This Row],[Taxable salary]]</f>
        <v>278849.56979397795</v>
      </c>
      <c r="X3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32709.839599074505</v>
      </c>
      <c r="Y3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25363.444073217135</v>
      </c>
      <c r="Z3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23702.213432488126</v>
      </c>
      <c r="AA37" s="27">
        <f ca="1">IF(Tabella1353[[#This Row],[Taxable salary]]&lt;$L$140,$M$139+((Tabella1353[[#This Row],[Taxable salary]]-$L$139)/100)*$N$139, IF(Tabella1353[[#This Row],[Taxable salary]]&lt;$L$141,M172+((Tabella1353[[#This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20664.965583518235</v>
      </c>
      <c r="AB37" s="27">
        <f ca="1">IF(Tabella1353[[#This Row],[Taxable salary]]&lt;$L$159,Tabella1353[[#This Row],[Taxable salary]]*M190,IF(Tabella1353[[#This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17567.522897020612</v>
      </c>
      <c r="AC37" s="27">
        <f ca="1">IF(Tabella1353[[#This Row],[Taxable salary]]&lt;$L$178,Tabella1353[[#This Row],[Taxable salary]]*M209,IF(Tabella1353[[#This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salary]]&gt;L231,Tabella1353[[#This Row],[Taxable salary]]*$M$194))))))))))))))))))</f>
        <v>13942.478489698899</v>
      </c>
      <c r="AD3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28121.711386719508</v>
      </c>
      <c r="AE3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40919.249713946141</v>
      </c>
      <c r="AF3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29279.204828367685</v>
      </c>
      <c r="AG3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22307.965583518235</v>
      </c>
      <c r="AH37" s="27" t="e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salary]]*M334))))))))))))</f>
        <v>#VALUE!</v>
      </c>
      <c r="AI37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22421.443740153878</v>
      </c>
      <c r="AJ3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44246.16007768859</v>
      </c>
      <c r="AK3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37644.691922187027</v>
      </c>
      <c r="AL3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42805.418260855811</v>
      </c>
      <c r="AM3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16145.390091071324</v>
      </c>
      <c r="AN3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14105.675048050722</v>
      </c>
      <c r="AO3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37004.987481454853</v>
      </c>
      <c r="AP37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8086.637524025361</v>
      </c>
      <c r="AQ37" s="27">
        <f ca="1">Tabella1353[[#This Row],[Taxable salary]]*$M$501</f>
        <v>5019.2922562916028</v>
      </c>
      <c r="AR3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27603.307409603818</v>
      </c>
      <c r="AS37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28967.700526307464</v>
      </c>
      <c r="AT37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19797.965583518235</v>
      </c>
      <c r="AU37" s="27">
        <f ca="1">Tabella1353[[#This Row],[Taxable salary]]*$M$604</f>
        <v>19798.319455372432</v>
      </c>
      <c r="AV3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33240.435469096694</v>
      </c>
      <c r="AW3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salary]]*M683)))))))))))))</f>
        <v>0</v>
      </c>
      <c r="AX3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27884.956979397797</v>
      </c>
    </row>
    <row r="38" spans="3:50">
      <c r="C38" s="87"/>
      <c r="J38" s="80">
        <v>53</v>
      </c>
      <c r="K38" s="27">
        <f ca="1">'Income and Pension'!K54</f>
        <v>368726.63085462351</v>
      </c>
      <c r="L38" s="27">
        <f>SUM('Income and Pension'!$K127,'Partner Income and Pension'!L128)</f>
        <v>30975.138749507209</v>
      </c>
      <c r="M38" s="27">
        <f>SUM('Income and Pension'!$Q127,'Partner Income and Pension'!R128)</f>
        <v>50875.554587671912</v>
      </c>
      <c r="N38" s="27">
        <f>IF(SUMIF('CF Timeline'!$C$4:$BC$4,Tabella245[[#This Row],[Age]],'CF Timeline'!$C$43:$BC$43)&lt;7258, SUMIF('CF Timeline'!$C$4:$BC$4,Tabella245[[#This Row],[Age]],'CF Timeline'!$C$43:$BC$43), 7258)</f>
        <v>0</v>
      </c>
      <c r="O38" s="27">
        <f ca="1">Tabella245[[#This Row],[Salary and Pension]]-Tabella245[[#This Row],[1° Pillar deductions]]-Tabella245[[#This Row],[2° Pillar deductions]]-Tabella245[[#This Row],[3° Pillar deductions]]</f>
        <v>286875.93751744437</v>
      </c>
      <c r="P38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24552.923752302653</v>
      </c>
      <c r="Q38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25878.734439722411</v>
      </c>
      <c r="R38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20597.360064268858</v>
      </c>
      <c r="S38" s="107">
        <f ca="1">Tabella245[[#This Row],[Federal taxes]]+Tabella245[[#This Row],[Cantonal taxes]]+Tabella245[[#This Row],[Comunal taxes]]</f>
        <v>71029.018256293915</v>
      </c>
      <c r="W38" s="27">
        <f ca="1">Tabella245[[#This Row],[Taxable salary]]</f>
        <v>286875.93751744437</v>
      </c>
      <c r="X3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33836.741627449184</v>
      </c>
      <c r="Y3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26406.871877267768</v>
      </c>
      <c r="Z3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24384.454688982772</v>
      </c>
      <c r="AA38" s="27">
        <f ca="1">IF(Tabella1353[[#This Row],[Taxable salary]]&lt;$L$140,$M$139+((Tabella1353[[#This Row],[Taxable salary]]-$L$139)/100)*$N$139, IF(Tabella1353[[#This Row],[Taxable salary]]&lt;$L$141,M173+((Tabella1353[[#This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21307.075001395548</v>
      </c>
      <c r="AB38" s="27">
        <f ca="1">IF(Tabella1353[[#This Row],[Taxable salary]]&lt;$L$159,Tabella1353[[#This Row],[Taxable salary]]*M191,IF(Tabella1353[[#This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18073.184063598994</v>
      </c>
      <c r="AC38" s="27">
        <f ca="1">IF(Tabella1353[[#This Row],[Taxable salary]]&lt;$L$178,Tabella1353[[#This Row],[Taxable salary]]*M210,IF(Tabella1353[[#This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salary]]&gt;L232,Tabella1353[[#This Row],[Taxable salary]]*$M$194))))))))))))))))))</f>
        <v>14343.79687587222</v>
      </c>
      <c r="AD3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29028.690939471213</v>
      </c>
      <c r="AE3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42323.864065552763</v>
      </c>
      <c r="AF3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30121.973439331658</v>
      </c>
      <c r="AG3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22950.075001395551</v>
      </c>
      <c r="AH3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salary]]*M335))))))))))))</f>
        <v>0</v>
      </c>
      <c r="AI38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23242.631206984799</v>
      </c>
      <c r="AJ3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44268.031929735036</v>
      </c>
      <c r="AK3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38728.251564854996</v>
      </c>
      <c r="AL3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44330.42812831443</v>
      </c>
      <c r="AM3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16610.116782260029</v>
      </c>
      <c r="AN3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14571.204376011774</v>
      </c>
      <c r="AO3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38078.112846082309</v>
      </c>
      <c r="AP38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8319.4021880058863</v>
      </c>
      <c r="AQ38" s="27">
        <f ca="1">Tabella1353[[#This Row],[Taxable salary]]*$M$501</f>
        <v>5163.7668753139978</v>
      </c>
      <c r="AR3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28397.917814226992</v>
      </c>
      <c r="AS38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29890.732814506104</v>
      </c>
      <c r="AT38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20440.075001395548</v>
      </c>
      <c r="AU38" s="27">
        <f ca="1">Tabella1353[[#This Row],[Taxable salary]]*$M$604</f>
        <v>20368.19156373855</v>
      </c>
      <c r="AV3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34444.390627616653</v>
      </c>
      <c r="AW3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salary]]*M684)))))))))))))</f>
        <v>0</v>
      </c>
      <c r="AX3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28687.59375174444</v>
      </c>
    </row>
    <row r="39" spans="3:50">
      <c r="C39" s="87"/>
      <c r="J39" s="80">
        <v>54</v>
      </c>
      <c r="K39" s="27">
        <f ca="1">'Income and Pension'!K55</f>
        <v>379566.79518656817</v>
      </c>
      <c r="L39" s="27">
        <f>SUM('Income and Pension'!$K128,'Partner Income and Pension'!L129)</f>
        <v>31874.123489187936</v>
      </c>
      <c r="M39" s="27">
        <f>SUM('Income and Pension'!$Q128,'Partner Income and Pension'!R129)</f>
        <v>52582.487637698607</v>
      </c>
      <c r="N39" s="27">
        <f>IF(SUMIF('CF Timeline'!$C$4:$BC$4,Tabella245[[#This Row],[Age]],'CF Timeline'!$C$43:$BC$43)&lt;7258, SUMIF('CF Timeline'!$C$4:$BC$4,Tabella245[[#This Row],[Age]],'CF Timeline'!$C$43:$BC$43), 7258)</f>
        <v>0</v>
      </c>
      <c r="O39" s="27">
        <f ca="1">Tabella245[[#This Row],[Salary and Pension]]-Tabella245[[#This Row],[1° Pillar deductions]]-Tabella245[[#This Row],[2° Pillar deductions]]-Tabella245[[#This Row],[3° Pillar deductions]]</f>
        <v>295110.18405968166</v>
      </c>
      <c r="P39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25639.844295877978</v>
      </c>
      <c r="Q39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26927.777449203444</v>
      </c>
      <c r="R39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21432.312663651723</v>
      </c>
      <c r="S39" s="107">
        <f ca="1">Tabella245[[#This Row],[Federal taxes]]+Tabella245[[#This Row],[Cantonal taxes]]+Tabella245[[#This Row],[Comunal taxes]]</f>
        <v>73999.934408733141</v>
      </c>
      <c r="W39" s="27">
        <f ca="1">Tabella245[[#This Row],[Taxable salary]]</f>
        <v>295110.18405968166</v>
      </c>
      <c r="X3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34992.829841979306</v>
      </c>
      <c r="Y3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27477.323927758618</v>
      </c>
      <c r="Z3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25084.365645072943</v>
      </c>
      <c r="AA39" s="27">
        <f ca="1">IF(Tabella1353[[#This Row],[Taxable salary]]&lt;$L$140,$M$139+((Tabella1353[[#This Row],[Taxable salary]]-$L$139)/100)*$N$139, IF(Tabella1353[[#This Row],[Taxable salary]]&lt;$L$141,M174+((Tabella1353[[#This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21965.814724774533</v>
      </c>
      <c r="AB39" s="27">
        <f ca="1">IF(Tabella1353[[#This Row],[Taxable salary]]&lt;$L$159,Tabella1353[[#This Row],[Taxable salary]]*M192,IF(Tabella1353[[#This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18591.941595759945</v>
      </c>
      <c r="AC39" s="27">
        <f ca="1">IF(Tabella1353[[#This Row],[Taxable salary]]&lt;$L$178,Tabella1353[[#This Row],[Taxable salary]]*M211,IF(Tabella1353[[#This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salary]]&gt;L233,Tabella1353[[#This Row],[Taxable salary]]*$M$194))))))))))))))))))</f>
        <v>14755.509202984083</v>
      </c>
      <c r="AD3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29959.160798744029</v>
      </c>
      <c r="AE3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43782.073130742698</v>
      </c>
      <c r="AF3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30986.569326266574</v>
      </c>
      <c r="AG3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23608.814724774533</v>
      </c>
      <c r="AH3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salary]]*M336))))))))))))</f>
        <v>13001964489.301455</v>
      </c>
      <c r="AI39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24086.145083901603</v>
      </c>
      <c r="AJ3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44290.470251562634</v>
      </c>
      <c r="AK3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39839.874848057028</v>
      </c>
      <c r="AL3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45894.934971339513</v>
      </c>
      <c r="AM3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17086.879657055568</v>
      </c>
      <c r="AN3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15048.790675461536</v>
      </c>
      <c r="AO3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39179.031608779434</v>
      </c>
      <c r="AP39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salary]]*$M$487,IF(K509&lt;$L$489,Tabella1353[[#This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8558.1953377307691</v>
      </c>
      <c r="AQ39" s="27">
        <f ca="1">Tabella1353[[#This Row],[Taxable salary]]*$M$501</f>
        <v>5311.9833130742691</v>
      </c>
      <c r="AR3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29213.108221908486</v>
      </c>
      <c r="AS39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30837.671166863391</v>
      </c>
      <c r="AT39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21098.814724774533</v>
      </c>
      <c r="AU39" s="27">
        <f ca="1">Tabella1353[[#This Row],[Taxable salary]]*$M$604</f>
        <v>20952.823068237398</v>
      </c>
      <c r="AV3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35717.078529250655</v>
      </c>
      <c r="AW3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salary]]*M685)))))))))))))</f>
        <v>0</v>
      </c>
      <c r="AX3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29511.018405968167</v>
      </c>
    </row>
    <row r="40" spans="3:50">
      <c r="C40" s="87"/>
      <c r="J40" s="80">
        <v>55</v>
      </c>
      <c r="K40" s="27">
        <f ca="1">'Income and Pension'!K56</f>
        <v>390688.10291687184</v>
      </c>
      <c r="L40" s="27">
        <f>SUM('Income and Pension'!$K129,'Partner Income and Pension'!L130)</f>
        <v>32796.371724597688</v>
      </c>
      <c r="M40" s="27">
        <f>SUM('Income and Pension'!$Q129,'Partner Income and Pension'!R130)</f>
        <v>65200.31025857701</v>
      </c>
      <c r="N40" s="27">
        <f>IF(SUMIF('CF Timeline'!$C$4:$BC$4,Tabella245[[#This Row],[Age]],'CF Timeline'!$C$43:$BC$43)&lt;7258, SUMIF('CF Timeline'!$C$4:$BC$4,Tabella245[[#This Row],[Age]],'CF Timeline'!$C$43:$BC$43), 7258)</f>
        <v>0</v>
      </c>
      <c r="O40" s="27">
        <f ca="1">Tabella245[[#This Row],[Salary and Pension]]-Tabella245[[#This Row],[1° Pillar deductions]]-Tabella245[[#This Row],[2° Pillar deductions]]-Tabella245[[#This Row],[3° Pillar deductions]]</f>
        <v>292691.42093369714</v>
      </c>
      <c r="P40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25320.56756324802</v>
      </c>
      <c r="Q40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26619.627026953018</v>
      </c>
      <c r="R40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21187.050082676891</v>
      </c>
      <c r="S40" s="107">
        <f ca="1">Tabella245[[#This Row],[Federal taxes]]+Tabella245[[#This Row],[Cantonal taxes]]+Tabella245[[#This Row],[Comunal taxes]]</f>
        <v>73127.244672877918</v>
      </c>
      <c r="W40" s="27">
        <f ca="1">Tabella245[[#This Row],[Taxable salary]]</f>
        <v>292691.42093369714</v>
      </c>
      <c r="X4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34653.235499091083</v>
      </c>
      <c r="Y4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27162.884721380629</v>
      </c>
      <c r="Z4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24878.770779364258</v>
      </c>
      <c r="AA40" s="27">
        <f ca="1">IF(Tabella1353[[#This Row],[Taxable salary]]&lt;$L$140,$M$139+((Tabella1353[[#This Row],[Taxable salary]]-$L$139)/100)*$N$139, IF(Tabella1353[[#This Row],[Taxable salary]]&lt;$L$141,M175+((Tabella1353[[#This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21772.313674695772</v>
      </c>
      <c r="AB40" s="27">
        <f ca="1">IF(Tabella1353[[#This Row],[Taxable salary]]&lt;$L$159,Tabella1353[[#This Row],[Taxable salary]]*M193,IF(Tabella1353[[#This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18439.55951882292</v>
      </c>
      <c r="AC40" s="27">
        <f ca="1">IF(Tabella1353[[#This Row],[Taxable salary]]&lt;$L$178,Tabella1353[[#This Row],[Taxable salary]]*M212,IF(Tabella1353[[#This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salary]]&gt;L234,Tabella1353[[#This Row],[Taxable salary]]*$M$194))))))))))))))))))</f>
        <v>14634.571046684858</v>
      </c>
      <c r="AD4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29685.840565507773</v>
      </c>
      <c r="AE4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43346.695768065489</v>
      </c>
      <c r="AF4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30732.599198038199</v>
      </c>
      <c r="AG4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23415.313674695772</v>
      </c>
      <c r="AH4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salary]]*M337))))))))))))</f>
        <v>21070562701.595924</v>
      </c>
      <c r="AI40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23838.258289702178</v>
      </c>
      <c r="AJ4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44283.879122044324</v>
      </c>
      <c r="AK4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39513.341826049116</v>
      </c>
      <c r="AL4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45435.369977402457</v>
      </c>
      <c r="AM4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16946.833272061063</v>
      </c>
      <c r="AN4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14908.502414154435</v>
      </c>
      <c r="AO4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38855.642978835305</v>
      </c>
      <c r="AP40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8488.0512070772184</v>
      </c>
      <c r="AQ40" s="27">
        <f ca="1">Tabella1353[[#This Row],[Taxable salary]]*$M$501</f>
        <v>5268.4455768065482</v>
      </c>
      <c r="AR4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28973.650672436019</v>
      </c>
      <c r="AS40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30559.513407375172</v>
      </c>
      <c r="AT40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20905.313674695772</v>
      </c>
      <c r="AU40" s="27">
        <f ca="1">Tabella1353[[#This Row],[Taxable salary]]*$M$604</f>
        <v>20781.090886292495</v>
      </c>
      <c r="AV4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35342.170244723056</v>
      </c>
      <c r="AW4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salary]]*M686)))))))))))))</f>
        <v>0</v>
      </c>
      <c r="AX4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29269.142093369715</v>
      </c>
    </row>
    <row r="41" spans="3:50">
      <c r="C41" s="87"/>
      <c r="J41" s="80">
        <v>56</v>
      </c>
      <c r="K41" s="27">
        <f ca="1">'Income and Pension'!K57</f>
        <v>402098.43190470315</v>
      </c>
      <c r="L41" s="27">
        <f>SUM('Income and Pension'!$K130,'Partner Income and Pension'!L131)</f>
        <v>33742.532214360384</v>
      </c>
      <c r="M41" s="27">
        <f>SUM('Income and Pension'!$Q130,'Partner Income and Pension'!R131)</f>
        <v>67356.118969428731</v>
      </c>
      <c r="N41" s="27">
        <f>IF(SUMIF('CF Timeline'!$C$4:$BC$4,Tabella245[[#This Row],[Age]],'CF Timeline'!$C$43:$BC$43)&lt;7258, SUMIF('CF Timeline'!$C$4:$BC$4,Tabella245[[#This Row],[Age]],'CF Timeline'!$C$43:$BC$43), 7258)</f>
        <v>0</v>
      </c>
      <c r="O41" s="27">
        <f ca="1">Tabella245[[#This Row],[Salary and Pension]]-Tabella245[[#This Row],[1° Pillar deductions]]-Tabella245[[#This Row],[2° Pillar deductions]]-Tabella245[[#This Row],[3° Pillar deductions]]</f>
        <v>300999.78072091402</v>
      </c>
      <c r="P41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26417.271055160651</v>
      </c>
      <c r="Q41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27678.112063844444</v>
      </c>
      <c r="R41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22029.517765100682</v>
      </c>
      <c r="S41" s="107">
        <f ca="1">Tabella245[[#This Row],[Federal taxes]]+Tabella245[[#This Row],[Cantonal taxes]]+Tabella245[[#This Row],[Comunal taxes]]</f>
        <v>76124.90088410578</v>
      </c>
      <c r="W41" s="27">
        <f ca="1">Tabella245[[#This Row],[Taxable salary]]</f>
        <v>300999.78072091402</v>
      </c>
      <c r="X4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35819.729213216327</v>
      </c>
      <c r="Y4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28242.971493718822</v>
      </c>
      <c r="Z4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25584.981361277692</v>
      </c>
      <c r="AA41" s="27">
        <f ca="1">IF(Tabella1353[[#This Row],[Taxable salary]]&lt;$L$140,$M$139+((Tabella1353[[#This Row],[Taxable salary]]-$L$139)/100)*$N$139, IF(Tabella1353[[#This Row],[Taxable salary]]&lt;$L$141,M176+((Tabella1353[[#This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22436.982457673119</v>
      </c>
      <c r="AB41" s="27">
        <f ca="1">IF(Tabella1353[[#This Row],[Taxable salary]]&lt;$L$159,Tabella1353[[#This Row],[Taxable salary]]*M194,IF(Tabella1353[[#This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18962.986185417583</v>
      </c>
      <c r="AC41" s="27">
        <f ca="1">IF(Tabella1353[[#This Row],[Taxable salary]]&lt;$L$178,Tabella1353[[#This Row],[Taxable salary]]*M213,IF(Tabella1353[[#This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salary]]&gt;L235,Tabella1353[[#This Row],[Taxable salary]]*$M$194))))))))))))))))))</f>
        <v>15049.989036045701</v>
      </c>
      <c r="AD4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30624.685221463282</v>
      </c>
      <c r="AE4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44842.200529764523</v>
      </c>
      <c r="AF4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31604.976975695972</v>
      </c>
      <c r="AG4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24079.982457673123</v>
      </c>
      <c r="AH4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salary]]*M338))))))))))))</f>
        <v>0</v>
      </c>
      <c r="AI41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24690.114525390396</v>
      </c>
      <c r="AJ4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44306.519402464488</v>
      </c>
      <c r="AK4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40634.970397323392</v>
      </c>
      <c r="AL4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47013.958336973665</v>
      </c>
      <c r="AM4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17427.887303740921</v>
      </c>
      <c r="AN4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15390.387281813011</v>
      </c>
      <c r="AO4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39966.470682386207</v>
      </c>
      <c r="AP41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8728.9936409065067</v>
      </c>
      <c r="AQ41" s="27">
        <f ca="1">Tabella1353[[#This Row],[Taxable salary]]*$M$501</f>
        <v>5417.9960529764521</v>
      </c>
      <c r="AR4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29796.178291370488</v>
      </c>
      <c r="AS41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31514.974782905112</v>
      </c>
      <c r="AT41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21569.982457673119</v>
      </c>
      <c r="AU41" s="27">
        <f ca="1">Tabella1353[[#This Row],[Taxable salary]]*$M$604</f>
        <v>21370.984431184894</v>
      </c>
      <c r="AV4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36629.966011741672</v>
      </c>
      <c r="AW4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salary]]*M687)))))))))))))</f>
        <v>0</v>
      </c>
      <c r="AX4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30099.978072091402</v>
      </c>
    </row>
    <row r="42" spans="3:50">
      <c r="C42" s="87"/>
      <c r="J42" s="80">
        <v>57</v>
      </c>
      <c r="K42" s="27">
        <f ca="1">'Income and Pension'!K58</f>
        <v>413805.88590884011</v>
      </c>
      <c r="L42" s="27">
        <f>SUM('Income and Pension'!$K131,'Partner Income and Pension'!L132)</f>
        <v>34713.272227258742</v>
      </c>
      <c r="M42" s="27">
        <f>SUM('Income and Pension'!$Q131,'Partner Income and Pension'!R132)</f>
        <v>69567.931657045236</v>
      </c>
      <c r="N42" s="27">
        <f>IF(SUMIF('CF Timeline'!$C$4:$BC$4,Tabella245[[#This Row],[Age]],'CF Timeline'!$C$43:$BC$43)&lt;7258, SUMIF('CF Timeline'!$C$4:$BC$4,Tabella245[[#This Row],[Age]],'CF Timeline'!$C$43:$BC$43), 7258)</f>
        <v>0</v>
      </c>
      <c r="O42" s="27">
        <f ca="1">Tabella245[[#This Row],[Salary and Pension]]-Tabella245[[#This Row],[1° Pillar deductions]]-Tabella245[[#This Row],[2° Pillar deductions]]-Tabella245[[#This Row],[3° Pillar deductions]]</f>
        <v>309524.68202453607</v>
      </c>
      <c r="P42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27542.558027238763</v>
      </c>
      <c r="Q42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28764.184489925894</v>
      </c>
      <c r="R42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22893.942757287958</v>
      </c>
      <c r="S42" s="107">
        <f ca="1">Tabella245[[#This Row],[Federal taxes]]+Tabella245[[#This Row],[Cantonal taxes]]+Tabella245[[#This Row],[Comunal taxes]]</f>
        <v>79200.685274452611</v>
      </c>
      <c r="W42" s="27">
        <f ca="1">Tabella245[[#This Row],[Taxable salary]]</f>
        <v>309524.68202453607</v>
      </c>
      <c r="X4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37016.625356244862</v>
      </c>
      <c r="Y4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29351.208663189689</v>
      </c>
      <c r="Z4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26309.597972085568</v>
      </c>
      <c r="AA42" s="27">
        <f ca="1">IF(Tabella1353[[#This Row],[Taxable salary]]&lt;$L$140,$M$139+((Tabella1353[[#This Row],[Taxable salary]]-$L$139)/100)*$N$139, IF(Tabella1353[[#This Row],[Taxable salary]]&lt;$L$141,M177+((Tabella1353[[#This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23118.974561962888</v>
      </c>
      <c r="AB42" s="27">
        <f ca="1">IF(Tabella1353[[#This Row],[Taxable salary]]&lt;$L$159,Tabella1353[[#This Row],[Taxable salary]]*M195,IF(Tabella1353[[#This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19500.054967545773</v>
      </c>
      <c r="AC42" s="27">
        <f ca="1">IF(Tabella1353[[#This Row],[Taxable salary]]&lt;$L$178,Tabella1353[[#This Row],[Taxable salary]]*M214,IF(Tabella1353[[#This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salary]]&gt;L236,Tabella1353[[#This Row],[Taxable salary]]*$M$194))))))))))))))))))</f>
        <v>15476.234101226804</v>
      </c>
      <c r="AD4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31587.999068772573</v>
      </c>
      <c r="AE4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46376.682764416495</v>
      </c>
      <c r="AF4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32500.091612576285</v>
      </c>
      <c r="AG4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24761.974561962885</v>
      </c>
      <c r="AH4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salary]]*M339))))))))))))</f>
        <v>0</v>
      </c>
      <c r="AI42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25565.253552993403</v>
      </c>
      <c r="AJ4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44329.74975851686</v>
      </c>
      <c r="AK4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41785.832073312369</v>
      </c>
      <c r="AL4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48633.689584661857</v>
      </c>
      <c r="AM4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17921.47908922064</v>
      </c>
      <c r="AN4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15884.831557423093</v>
      </c>
      <c r="AO4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41102.409223539362</v>
      </c>
      <c r="AP42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8976.2157787115466</v>
      </c>
      <c r="AQ42" s="27">
        <f ca="1">Tabella1353[[#This Row],[Taxable salary]]*$M$501</f>
        <v>5571.444276441649</v>
      </c>
      <c r="AR4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30640.143520429072</v>
      </c>
      <c r="AS42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32495.338432821645</v>
      </c>
      <c r="AT42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22251.974561962888</v>
      </c>
      <c r="AU42" s="27">
        <f ca="1">Tabella1353[[#This Row],[Taxable salary]]*$M$604</f>
        <v>21976.252423742058</v>
      </c>
      <c r="AV4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37951.325713803089</v>
      </c>
      <c r="AW4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salary]]*M688)))))))))))))</f>
        <v>0</v>
      </c>
      <c r="AX4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30952.468202453609</v>
      </c>
    </row>
    <row r="43" spans="3:50">
      <c r="C43" s="87"/>
      <c r="J43" s="80">
        <v>58</v>
      </c>
      <c r="K43" s="27">
        <f ca="1">'Income and Pension'!K59</f>
        <v>425818.80112801213</v>
      </c>
      <c r="L43" s="27">
        <f>SUM('Income and Pension'!$K132,'Partner Income and Pension'!L133)</f>
        <v>35709.278075631191</v>
      </c>
      <c r="M43" s="27">
        <f>SUM('Income and Pension'!$Q132,'Partner Income and Pension'!R133)</f>
        <v>71837.312071058419</v>
      </c>
      <c r="N43" s="27">
        <f>IF(SUMIF('CF Timeline'!$C$4:$BC$4,Tabella245[[#This Row],[Age]],'CF Timeline'!$C$43:$BC$43)&lt;7258, SUMIF('CF Timeline'!$C$4:$BC$4,Tabella245[[#This Row],[Age]],'CF Timeline'!$C$43:$BC$43), 7258)</f>
        <v>0</v>
      </c>
      <c r="O43" s="27">
        <f ca="1">Tabella245[[#This Row],[Salary and Pension]]-Tabella245[[#This Row],[1° Pillar deductions]]-Tabella245[[#This Row],[2° Pillar deductions]]-Tabella245[[#This Row],[3° Pillar deductions]]</f>
        <v>318272.21098132251</v>
      </c>
      <c r="P43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28697.231849534572</v>
      </c>
      <c r="Q43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29878.619679020489</v>
      </c>
      <c r="R43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23780.942193506104</v>
      </c>
      <c r="S43" s="107">
        <f ca="1">Tabella245[[#This Row],[Federal taxes]]+Tabella245[[#This Row],[Cantonal taxes]]+Tabella245[[#This Row],[Comunal taxes]]</f>
        <v>82356.793722061164</v>
      </c>
      <c r="W43" s="27">
        <f ca="1">Tabella245[[#This Row],[Taxable salary]]</f>
        <v>318272.21098132251</v>
      </c>
      <c r="X4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38244.778421777679</v>
      </c>
      <c r="Y4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30488.387427571928</v>
      </c>
      <c r="Z4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27053.137933412414</v>
      </c>
      <c r="AA43" s="27">
        <f ca="1">IF(Tabella1353[[#This Row],[Taxable salary]]&lt;$L$140,$M$139+((Tabella1353[[#This Row],[Taxable salary]]-$L$139)/100)*$N$139, IF(Tabella1353[[#This Row],[Taxable salary]]&lt;$L$141,M178+((Tabella1353[[#This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23818.7768785058</v>
      </c>
      <c r="AB43" s="27">
        <f ca="1">IF(Tabella1353[[#This Row],[Taxable salary]]&lt;$L$159,Tabella1353[[#This Row],[Taxable salary]]*M196,IF(Tabella1353[[#This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20369.421502804642</v>
      </c>
      <c r="AC43" s="27">
        <f ca="1">IF(Tabella1353[[#This Row],[Taxable salary]]&lt;$L$178,Tabella1353[[#This Row],[Taxable salary]]*M220,IF(Tabella1353[[#This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salary]]&gt;L237,Tabella1353[[#This Row],[Taxable salary]]*$M$194))))))))))))))))))</f>
        <v>15913.610549066127</v>
      </c>
      <c r="AD4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32576.46984088944</v>
      </c>
      <c r="AE4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47951.237976638055</v>
      </c>
      <c r="AF4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33418.582153038864</v>
      </c>
      <c r="AG4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25461.7768785058</v>
      </c>
      <c r="AH4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salary]]*M340))))))))))))</f>
        <v>0</v>
      </c>
      <c r="AI43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26464.3534253455</v>
      </c>
      <c r="AJ4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72295.433996022242</v>
      </c>
      <c r="AK4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42966.748482478542</v>
      </c>
      <c r="AL4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50295.720086451278</v>
      </c>
      <c r="AM4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18427.961015818575</v>
      </c>
      <c r="AN4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16392.188236916707</v>
      </c>
      <c r="AO4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42292.947914557997</v>
      </c>
      <c r="AP43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9229.8941184583528</v>
      </c>
      <c r="AQ43" s="27">
        <f ca="1">Tabella1353[[#This Row],[Taxable salary]]*$M$501</f>
        <v>5728.8997976638047</v>
      </c>
      <c r="AR4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31506.148887150928</v>
      </c>
      <c r="AS43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33418.582153038864</v>
      </c>
      <c r="AT43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22951.7768785058</v>
      </c>
      <c r="AU43" s="27">
        <f ca="1">Tabella1353[[#This Row],[Taxable salary]]*$M$604</f>
        <v>22597.326979673897</v>
      </c>
      <c r="AV4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39307.192702104992</v>
      </c>
      <c r="AW4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salary]]*M689)))))))))))))</f>
        <v>0</v>
      </c>
      <c r="AX4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31827.221098132253</v>
      </c>
    </row>
    <row r="44" spans="3:50">
      <c r="C44" s="87"/>
      <c r="J44" s="80">
        <v>59</v>
      </c>
      <c r="K44" s="27">
        <f ca="1">'Income and Pension'!K60</f>
        <v>438145.75293176027</v>
      </c>
      <c r="L44" s="27">
        <f>SUM('Income and Pension'!$K133,'Partner Income and Pension'!L134)</f>
        <v>36731.255664240263</v>
      </c>
      <c r="M44" s="27">
        <f>SUM('Income and Pension'!$Q133,'Partner Income and Pension'!R134)</f>
        <v>74165.868602066446</v>
      </c>
      <c r="N44" s="27">
        <f>IF(SUMIF('CF Timeline'!$C$4:$BC$4,Tabella245[[#This Row],[Age]],'CF Timeline'!$C$43:$BC$43)&lt;7258, SUMIF('CF Timeline'!$C$4:$BC$4,Tabella245[[#This Row],[Age]],'CF Timeline'!$C$43:$BC$43), 7258)</f>
        <v>0</v>
      </c>
      <c r="O44" s="27">
        <f ca="1">Tabella245[[#This Row],[Salary and Pension]]-Tabella245[[#This Row],[1° Pillar deductions]]-Tabella245[[#This Row],[2° Pillar deductions]]-Tabella245[[#This Row],[3° Pillar deductions]]</f>
        <v>327248.62866545352</v>
      </c>
      <c r="P44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29882.118983839864</v>
      </c>
      <c r="Q44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31022.215291978777</v>
      </c>
      <c r="R44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24691.150946676986</v>
      </c>
      <c r="S44" s="107">
        <f ca="1">Tabella245[[#This Row],[Federal taxes]]+Tabella245[[#This Row],[Cantonal taxes]]+Tabella245[[#This Row],[Comunal taxes]]</f>
        <v>85595.485222495627</v>
      </c>
      <c r="W44" s="27">
        <f ca="1">Tabella245[[#This Row],[Taxable salary]]</f>
        <v>327248.62866545352</v>
      </c>
      <c r="X4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39505.067464629676</v>
      </c>
      <c r="Y4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31655.321726508955</v>
      </c>
      <c r="Z4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27816.133436563552</v>
      </c>
      <c r="AA44" s="27">
        <f ca="1">IF(Tabella1353[[#This Row],[Taxable salary]]&lt;$L$140,$M$139+((Tabella1353[[#This Row],[Taxable salary]]-$L$139)/100)*$N$139, IF(Tabella1353[[#This Row],[Taxable salary]]&lt;$L$141,M179+((Tabella1353[[#This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24536.890293236283</v>
      </c>
      <c r="AB44" s="27">
        <f ca="1">IF(Tabella1353[[#This Row],[Taxable salary]]&lt;$L$159,Tabella1353[[#This Row],[Taxable salary]]*M197,IF(Tabella1353[[#This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20943.912234589025</v>
      </c>
      <c r="AC44" s="27">
        <f ca="1">IF(Tabella1353[[#This Row],[Taxable salary]]&lt;$L$178,Tabella1353[[#This Row],[Taxable salary]]*M221,IF(Tabella1353[[#This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salary]]&gt;L238,Tabella1353[[#This Row],[Taxable salary]]*$M$194))))))))))))))))))</f>
        <v>16362.431433272677</v>
      </c>
      <c r="AD4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33599.5236678617</v>
      </c>
      <c r="AE4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49566.993159781632</v>
      </c>
      <c r="AF4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34361.106009872616</v>
      </c>
      <c r="AG4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26179.890293236283</v>
      </c>
      <c r="AH4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salary]]*M341))))))))))))</f>
        <v>0</v>
      </c>
      <c r="AI44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27388.112453142749</v>
      </c>
      <c r="AJ4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72320.792375979901</v>
      </c>
      <c r="AK4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44178.564869836227</v>
      </c>
      <c r="AL4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52001.239446436171</v>
      </c>
      <c r="AM4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18947.695599729759</v>
      </c>
      <c r="AN4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16912.820462596304</v>
      </c>
      <c r="AO4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43514.638361368226</v>
      </c>
      <c r="AP44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9490.2102312981533</v>
      </c>
      <c r="AQ44" s="27">
        <f ca="1">Tabella1353[[#This Row],[Taxable salary]]*$M$501</f>
        <v>5890.4753159781631</v>
      </c>
      <c r="AR4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32394.814237879898</v>
      </c>
      <c r="AS44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34361.106009872623</v>
      </c>
      <c r="AT44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23669.890293236283</v>
      </c>
      <c r="AU44" s="27">
        <f ca="1">Tabella1353[[#This Row],[Taxable salary]]*$M$604</f>
        <v>23234.652635247199</v>
      </c>
      <c r="AV4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40698.537443145295</v>
      </c>
      <c r="AW4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salary]]*M690)))))))))))))</f>
        <v>0</v>
      </c>
      <c r="AX4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32724.862866545354</v>
      </c>
    </row>
    <row r="45" spans="3:50">
      <c r="C45" s="87"/>
      <c r="J45" s="80">
        <v>60</v>
      </c>
      <c r="K45" s="27">
        <f ca="1">'Income and Pension'!K61</f>
        <v>450795.56278739212</v>
      </c>
      <c r="L45" s="27">
        <f>SUM('Income and Pension'!$K134,'Partner Income and Pension'!L135)</f>
        <v>37779.931055063425</v>
      </c>
      <c r="M45" s="27">
        <f>SUM('Income and Pension'!$Q134,'Partner Income and Pension'!R135)</f>
        <v>76555.255568498949</v>
      </c>
      <c r="N45" s="27">
        <f>IF(SUMIF('CF Timeline'!$C$4:$BC$4,Tabella245[[#This Row],[Age]],'CF Timeline'!$C$43:$BC$43)&lt;7258, SUMIF('CF Timeline'!$C$4:$BC$4,Tabella245[[#This Row],[Age]],'CF Timeline'!$C$43:$BC$43), 7258)</f>
        <v>0</v>
      </c>
      <c r="O45" s="27">
        <f ca="1">Tabella245[[#This Row],[Salary and Pension]]-Tabella245[[#This Row],[1° Pillar deductions]]-Tabella245[[#This Row],[2° Pillar deductions]]-Tabella245[[#This Row],[3° Pillar deductions]]</f>
        <v>336460.3761638297</v>
      </c>
      <c r="P45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31098.06965362552</v>
      </c>
      <c r="Q4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32195.791923271903</v>
      </c>
      <c r="R4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25625.222143012332</v>
      </c>
      <c r="S45" s="107">
        <f ca="1">Tabella245[[#This Row],[Federal taxes]]+Tabella245[[#This Row],[Cantonal taxes]]+Tabella245[[#This Row],[Comunal taxes]]</f>
        <v>88919.083719909759</v>
      </c>
      <c r="W45" s="27">
        <f ca="1">Tabella245[[#This Row],[Taxable salary]]</f>
        <v>336460.3761638297</v>
      </c>
      <c r="X4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40798.39681340169</v>
      </c>
      <c r="Y4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32852.848901297861</v>
      </c>
      <c r="Z4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28599.131973925527</v>
      </c>
      <c r="AA45" s="27">
        <f ca="1">IF(Tabella1353[[#This Row],[Taxable salary]]&lt;$L$140,$M$139+((Tabella1353[[#This Row],[Taxable salary]]-$L$139)/100)*$N$139, IF(Tabella1353[[#This Row],[Taxable salary]]&lt;$L$141,M180+((Tabella1353[[#This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25273.830093106379</v>
      </c>
      <c r="AB45" s="27">
        <f ca="1">IF(Tabella1353[[#This Row],[Taxable salary]]&lt;$L$159,Tabella1353[[#This Row],[Taxable salary]]*M198,IF(Tabella1353[[#This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21533.464074485102</v>
      </c>
      <c r="AC45" s="27" t="b">
        <f ca="1">IF(Tabella1353[[#This Row],[Taxable salary]]&lt;$L$178,Tabella1353[[#This Row],[Taxable salary]]*M222,IF(Tabella1353[[#This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salary]]&gt;L239,Tabella1353[[#This Row],[Taxable salary]]*$M$194))))))))))))))))))</f>
        <v>0</v>
      </c>
      <c r="AD4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34649.662882676581</v>
      </c>
      <c r="AE4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51225.107709489348</v>
      </c>
      <c r="AF4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35328.33949720212</v>
      </c>
      <c r="AG4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26916.830093106375</v>
      </c>
      <c r="AH4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salary]]*M342))))))))))))</f>
        <v>0</v>
      </c>
      <c r="AI4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28337.249814227689</v>
      </c>
      <c r="AJ4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72346.815562662814</v>
      </c>
      <c r="AK4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45422.150782117009</v>
      </c>
      <c r="AL4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53751.471471127647</v>
      </c>
      <c r="AM4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19481.055779885741</v>
      </c>
      <c r="AN4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17447.101817502124</v>
      </c>
      <c r="AO4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44768.357195897224</v>
      </c>
      <c r="AP4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9757.3509087510611</v>
      </c>
      <c r="AQ45" s="27">
        <f ca="1">Tabella1353[[#This Row],[Taxable salary]]*$M$501</f>
        <v>6056.2867709489337</v>
      </c>
      <c r="AR4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33306.77724021914</v>
      </c>
      <c r="AS4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35328.33949720212</v>
      </c>
      <c r="AT4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24406.830093106379</v>
      </c>
      <c r="AU45" s="27">
        <f ca="1">Tabella1353[[#This Row],[Taxable salary]]*$M$604</f>
        <v>23888.686707631907</v>
      </c>
      <c r="AV4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42126.358305393602</v>
      </c>
      <c r="AW4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salary]]*M691)))))))))))))</f>
        <v>0</v>
      </c>
      <c r="AX4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33646.037616382971</v>
      </c>
    </row>
    <row r="46" spans="3:50">
      <c r="C46" s="87"/>
      <c r="J46" s="80">
        <v>61</v>
      </c>
      <c r="K46" s="27">
        <f ca="1">'Income and Pension'!K62</f>
        <v>463777.30538877117</v>
      </c>
      <c r="L46" s="27">
        <f>SUM('Income and Pension'!$K135,'Partner Income and Pension'!L136)</f>
        <v>23090.789767977032</v>
      </c>
      <c r="M46" s="27">
        <f>SUM('Income and Pension'!$Q135,'Partner Income and Pension'!R136)</f>
        <v>47849.126053618558</v>
      </c>
      <c r="N46" s="27">
        <f>IF(SUMIF('CF Timeline'!$C$4:$BC$4,Tabella245[[#This Row],[Age]],'CF Timeline'!$C$43:$BC$43)&lt;7258, SUMIF('CF Timeline'!$C$4:$BC$4,Tabella245[[#This Row],[Age]],'CF Timeline'!$C$43:$BC$43), 7258)</f>
        <v>0</v>
      </c>
      <c r="O46" s="27">
        <f ca="1">Tabella245[[#This Row],[Salary and Pension]]-Tabella245[[#This Row],[1° Pillar deductions]]-Tabella245[[#This Row],[2° Pillar deductions]]-Tabella245[[#This Row],[3° Pillar deductions]]</f>
        <v>392837.38956717559</v>
      </c>
      <c r="P46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38539.835422867174</v>
      </c>
      <c r="Q46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39378.223430858168</v>
      </c>
      <c r="R46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31341.851302111605</v>
      </c>
      <c r="S46" s="107">
        <f ca="1">Tabella245[[#This Row],[Federal taxes]]+Tabella245[[#This Row],[Cantonal taxes]]+Tabella245[[#This Row],[Comunal taxes]]</f>
        <v>109259.91015583696</v>
      </c>
      <c r="W46" s="27">
        <f ca="1">Tabella245[[#This Row],[Taxable salary]]</f>
        <v>392837.38956717559</v>
      </c>
      <c r="X4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48858.343003333779</v>
      </c>
      <c r="Y4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40181.860643732827</v>
      </c>
      <c r="Z4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33391.178113209928</v>
      </c>
      <c r="AA46" s="27">
        <f ca="1">IF(Tabella1353[[#This Row],[Taxable salary]]&lt;$L$140,$M$139+((Tabella1353[[#This Row],[Taxable salary]]-$L$139)/100)*$N$139, IF(Tabella1353[[#This Row],[Taxable salary]]&lt;$L$141,M181+((Tabella1353[[#This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29783.991165374046</v>
      </c>
      <c r="AB46" s="27">
        <f ca="1">IF(Tabella1353[[#This Row],[Taxable salary]]&lt;$L$159,Tabella1353[[#This Row],[Taxable salary]]*M199,IF(Tabella1353[[#This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25141.592932299238</v>
      </c>
      <c r="AC46" s="27" t="b">
        <f ca="1">IF(Tabella1353[[#This Row],[Taxable salary]]&lt;$L$178,Tabella1353[[#This Row],[Taxable salary]]*M223,IF(Tabella1353[[#This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salary]]&gt;L240,Tabella1353[[#This Row],[Taxable salary]]*$M$194))))))))))))))))))</f>
        <v>0</v>
      </c>
      <c r="AD4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41076.642410658016</v>
      </c>
      <c r="AE4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61372.970122091603</v>
      </c>
      <c r="AF4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43212.112852389313</v>
      </c>
      <c r="AG4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31426.991165374049</v>
      </c>
      <c r="AH46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salary]]*M343))))))))))))</f>
        <v>0</v>
      </c>
      <c r="AI46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34169.929933708125</v>
      </c>
      <c r="AJ4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72506.080625527276</v>
      </c>
      <c r="AK4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53033.047591568706</v>
      </c>
      <c r="AL4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64463.104017763362</v>
      </c>
      <c r="AM4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22745.284855939466</v>
      </c>
      <c r="AN4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20716.968594896185</v>
      </c>
      <c r="AO4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52441.268720092601</v>
      </c>
      <c r="AP46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11392.284297448092</v>
      </c>
      <c r="AQ46" s="27">
        <f ca="1">Tabella1353[[#This Row],[Taxable salary]]*$M$501</f>
        <v>7071.07301220916</v>
      </c>
      <c r="AR4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38888.101567150385</v>
      </c>
      <c r="AS46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41247.925904553435</v>
      </c>
      <c r="AT46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28916.991165374046</v>
      </c>
      <c r="AU46" s="27">
        <f ca="1">Tabella1353[[#This Row],[Taxable salary]]*$M$604</f>
        <v>27891.454659269464</v>
      </c>
      <c r="AV4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50864.795382912213</v>
      </c>
      <c r="AW4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salary]]*M692)))))))))))))</f>
        <v>0</v>
      </c>
      <c r="AX4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39283.738956717563</v>
      </c>
    </row>
    <row r="47" spans="3:50">
      <c r="C47" s="87"/>
      <c r="J47" s="80">
        <v>62</v>
      </c>
      <c r="K47" s="27">
        <f ca="1">'Income and Pension'!K63</f>
        <v>477100.31599285209</v>
      </c>
      <c r="L47" s="27">
        <f>SUM('Income and Pension'!$K136,'Partner Income and Pension'!L137)</f>
        <v>23794.673597712179</v>
      </c>
      <c r="M47" s="27">
        <f>SUM('Income and Pension'!$Q136,'Partner Income and Pension'!R137)</f>
        <v>49452.911994787246</v>
      </c>
      <c r="N47" s="27">
        <f>IF(SUMIF('CF Timeline'!$C$4:$BC$4,Tabella245[[#This Row],[Age]],'CF Timeline'!$C$43:$BC$43)&lt;7258, SUMIF('CF Timeline'!$C$4:$BC$4,Tabella245[[#This Row],[Age]],'CF Timeline'!$C$43:$BC$43), 7258)</f>
        <v>0</v>
      </c>
      <c r="O47" s="27">
        <f ca="1">Tabella245[[#This Row],[Salary and Pension]]-Tabella245[[#This Row],[1° Pillar deductions]]-Tabella245[[#This Row],[2° Pillar deductions]]-Tabella245[[#This Row],[3° Pillar deductions]]</f>
        <v>403852.73040035268</v>
      </c>
      <c r="P47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39993.860412846552</v>
      </c>
      <c r="Q47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40781.577853004928</v>
      </c>
      <c r="R47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32458.80686259576</v>
      </c>
      <c r="S47" s="107">
        <f ca="1">Tabella245[[#This Row],[Federal taxes]]+Tabella245[[#This Row],[Cantonal taxes]]+Tabella245[[#This Row],[Comunal taxes]]</f>
        <v>113234.24512844725</v>
      </c>
      <c r="W47" s="27">
        <f ca="1">Tabella245[[#This Row],[Taxable salary]]</f>
        <v>403852.73040035268</v>
      </c>
      <c r="X4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50491.367281852283</v>
      </c>
      <c r="Y4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41613.854952045847</v>
      </c>
      <c r="Z4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34327.48208402998</v>
      </c>
      <c r="AA47" s="27">
        <f ca="1">IF(Tabella1353[[#This Row],[Taxable salary]]&lt;$L$140,$M$139+((Tabella1353[[#This Row],[Taxable salary]]-$L$139)/100)*$N$139, IF(Tabella1353[[#This Row],[Taxable salary]]&lt;$L$141,M182+((Tabella1353[[#This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30665.218432028214</v>
      </c>
      <c r="AB47" s="27">
        <f ca="1">IF(Tabella1353[[#This Row],[Taxable salary]]&lt;$L$159,Tabella1353[[#This Row],[Taxable salary]]*M200,IF(Tabella1353[[#This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25846.574745622573</v>
      </c>
      <c r="AC47" s="27">
        <f ca="1">IF(Tabella1353[[#This Row],[Taxable salary]]&lt;$L$178,Tabella1353[[#This Row],[Taxable salary]]*M224,IF(Tabella1353[[#This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salary]]&gt;L241,Tabella1353[[#This Row],[Taxable salary]]*$M$194))))))))))))))))))</f>
        <v>20192.636520017637</v>
      </c>
      <c r="AD4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42332.391265640203</v>
      </c>
      <c r="AE4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63355.731472063489</v>
      </c>
      <c r="AF4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44423.800344038798</v>
      </c>
      <c r="AG4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32308.218432028214</v>
      </c>
      <c r="AH47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salary]]*M344))))))))))))</f>
        <v>0</v>
      </c>
      <c r="AI47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35314.023251050836</v>
      </c>
      <c r="AJ4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72537.198963381001</v>
      </c>
      <c r="AK4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54520.118604047617</v>
      </c>
      <c r="AL4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66556.018776067009</v>
      </c>
      <c r="AM4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23383.07309018042</v>
      </c>
      <c r="AN4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21355.858363220454</v>
      </c>
      <c r="AO4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53940.456607487999</v>
      </c>
      <c r="AP47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11711.729181610228</v>
      </c>
      <c r="AQ47" s="27">
        <f ca="1">Tabella1353[[#This Row],[Taxable salary]]*$M$501</f>
        <v>7269.3491472063479</v>
      </c>
      <c r="AR4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39978.62030963492</v>
      </c>
      <c r="AS47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42404.536692037029</v>
      </c>
      <c r="AT47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29798.218432028214</v>
      </c>
      <c r="AU47" s="27">
        <f ca="1">Tabella1353[[#This Row],[Taxable salary]]*$M$604</f>
        <v>28673.543858425037</v>
      </c>
      <c r="AV4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52572.173212054666</v>
      </c>
      <c r="AW4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salary]]*M693)))))))))))))</f>
        <v>0</v>
      </c>
      <c r="AX4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40385.273040035274</v>
      </c>
    </row>
    <row r="48" spans="3:50">
      <c r="C48" s="87"/>
      <c r="J48" s="80">
        <v>63</v>
      </c>
      <c r="K48" s="27">
        <f ca="1">'Income and Pension'!K64</f>
        <v>490774.19797004288</v>
      </c>
      <c r="L48" s="27">
        <f>SUM('Income and Pension'!$K137,'Partner Income and Pension'!L138)</f>
        <v>24518.159986353305</v>
      </c>
      <c r="M48" s="27">
        <f>SUM('Income and Pension'!$Q137,'Partner Income and Pension'!R138)</f>
        <v>51101.361994222723</v>
      </c>
      <c r="N48" s="27">
        <f>IF(SUMIF('CF Timeline'!$C$4:$BC$4,Tabella245[[#This Row],[Age]],'CF Timeline'!$C$43:$BC$43)&lt;7258, SUMIF('CF Timeline'!$C$4:$BC$4,Tabella245[[#This Row],[Age]],'CF Timeline'!$C$43:$BC$43), 7258)</f>
        <v>0</v>
      </c>
      <c r="O48" s="27">
        <f ca="1">Tabella245[[#This Row],[Salary and Pension]]-Tabella245[[#This Row],[1° Pillar deductions]]-Tabella245[[#This Row],[2° Pillar deductions]]-Tabella245[[#This Row],[3° Pillar deductions]]</f>
        <v>415154.67598946684</v>
      </c>
      <c r="P48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41485.717230609618</v>
      </c>
      <c r="Q48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42221.445721058073</v>
      </c>
      <c r="R48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33604.824145331942</v>
      </c>
      <c r="S48" s="107">
        <f ca="1">Tabella245[[#This Row],[Federal taxes]]+Tabella245[[#This Row],[Cantonal taxes]]+Tabella245[[#This Row],[Comunal taxes]]</f>
        <v>117311.98709699963</v>
      </c>
      <c r="W48" s="27">
        <f ca="1">Tabella245[[#This Row],[Taxable salary]]</f>
        <v>415154.67598946684</v>
      </c>
      <c r="X4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52166.880715438456</v>
      </c>
      <c r="Y4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43083.10787863069</v>
      </c>
      <c r="Z4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35288.147459104686</v>
      </c>
      <c r="AA48" s="27">
        <f ca="1">IF(Tabella1353[[#This Row],[Taxable salary]]&lt;$L$140,$M$139+((Tabella1353[[#This Row],[Taxable salary]]-$L$139)/100)*$N$139, IF(Tabella1353[[#This Row],[Taxable salary]]&lt;$L$141,M183+((Tabella1353[[#This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31569.374079157347</v>
      </c>
      <c r="AB48" s="27">
        <f ca="1">IF(Tabella1353[[#This Row],[Taxable salary]]&lt;$L$159,Tabella1353[[#This Row],[Taxable salary]]*M201,IF(Tabella1353[[#This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26569.899263325879</v>
      </c>
      <c r="AC48" s="27">
        <f ca="1">IF(Tabella1353[[#This Row],[Taxable salary]]&lt;$L$178,Tabella1353[[#This Row],[Taxable salary]]*M225,IF(Tabella1353[[#This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salary]]&gt;L242,Tabella1353[[#This Row],[Taxable salary]]*$M$194))))))))))))))))))</f>
        <v>20757.733799473343</v>
      </c>
      <c r="AD4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43620.813062799221</v>
      </c>
      <c r="AE4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65412.005058051363</v>
      </c>
      <c r="AF4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45667.014358841356</v>
      </c>
      <c r="AG4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33212.374079157351</v>
      </c>
      <c r="AH4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salary]]*M345))))))))))))</f>
        <v>0</v>
      </c>
      <c r="AI48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36489.300240201264</v>
      </c>
      <c r="AJ4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72569.126959670248</v>
      </c>
      <c r="AK4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56045.881258578025</v>
      </c>
      <c r="AL4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68867.481957788041</v>
      </c>
      <c r="AM4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24037.45573979013</v>
      </c>
      <c r="AN4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22011.371207389078</v>
      </c>
      <c r="AO4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55489.238092140105</v>
      </c>
      <c r="AP48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12039.485603694538</v>
      </c>
      <c r="AQ48" s="27">
        <f ca="1">Tabella1353[[#This Row],[Taxable salary]]*$M$501</f>
        <v>7472.7841678104023</v>
      </c>
      <c r="AR4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41097.512922957219</v>
      </c>
      <c r="AS48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43591.24097889402</v>
      </c>
      <c r="AT48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30702.374079157347</v>
      </c>
      <c r="AU48" s="27">
        <f ca="1">Tabella1353[[#This Row],[Taxable salary]]*$M$604</f>
        <v>29475.981995252143</v>
      </c>
      <c r="AV4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54323.974778367359</v>
      </c>
      <c r="AW4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salary]]*M694)))))))))))))</f>
        <v>0</v>
      </c>
      <c r="AX4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41515.467598946685</v>
      </c>
    </row>
    <row r="49" spans="3:50">
      <c r="C49" s="87"/>
      <c r="J49" s="80">
        <v>64</v>
      </c>
      <c r="K49" s="27">
        <f ca="1">'Income and Pension'!K65</f>
        <v>504808.83057465818</v>
      </c>
      <c r="L49" s="27">
        <f>SUM('Income and Pension'!$K138,'Partner Income and Pension'!L139)</f>
        <v>25261.828429864883</v>
      </c>
      <c r="M49" s="27">
        <f>SUM('Income and Pension'!$Q138,'Partner Income and Pension'!R139)</f>
        <v>52795.796422476946</v>
      </c>
      <c r="N49" s="27">
        <f>IF(SUMIF('CF Timeline'!$C$4:$BC$4,Tabella245[[#This Row],[Age]],'CF Timeline'!$C$43:$BC$43)&lt;7258, SUMIF('CF Timeline'!$C$4:$BC$4,Tabella245[[#This Row],[Age]],'CF Timeline'!$C$43:$BC$43), 7258)</f>
        <v>0</v>
      </c>
      <c r="O49" s="27">
        <f ca="1">Tabella245[[#This Row],[Salary and Pension]]-Tabella245[[#This Row],[1° Pillar deductions]]-Tabella245[[#This Row],[2° Pillar deductions]]-Tabella245[[#This Row],[3° Pillar deductions]]</f>
        <v>426751.20572231634</v>
      </c>
      <c r="P49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43016.459155345758</v>
      </c>
      <c r="Q49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43698.843609023104</v>
      </c>
      <c r="R49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34780.712260242879</v>
      </c>
      <c r="S49" s="107">
        <f ca="1">Tabella245[[#This Row],[Federal taxes]]+Tabella245[[#This Row],[Cantonal taxes]]+Tabella245[[#This Row],[Comunal taxes]]</f>
        <v>121496.01502461173</v>
      </c>
      <c r="W49" s="27">
        <f ca="1">Tabella245[[#This Row],[Taxable salary]]</f>
        <v>426751.20572231634</v>
      </c>
      <c r="X4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53886.066248333394</v>
      </c>
      <c r="Y4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44590.656743901127</v>
      </c>
      <c r="Z4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36273.852486396892</v>
      </c>
      <c r="AA49" s="27">
        <f ca="1">IF(Tabella1353[[#This Row],[Taxable salary]]&lt;$L$140,$M$139+((Tabella1353[[#This Row],[Taxable salary]]-$L$139)/100)*$N$139, IF(Tabella1353[[#This Row],[Taxable salary]]&lt;$L$141,M184+((Tabella1353[[#This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32497.096457785308</v>
      </c>
      <c r="AB49" s="27">
        <f ca="1">IF(Tabella1353[[#This Row],[Taxable salary]]&lt;$L$159,Tabella1353[[#This Row],[Taxable salary]]*M202,IF(Tabella1353[[#This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27312.077166228246</v>
      </c>
      <c r="AC49" s="27">
        <f ca="1">IF(Tabella1353[[#This Row],[Taxable salary]]&lt;$L$178,Tabella1353[[#This Row],[Taxable salary]]*M226,IF(Tabella1353[[#This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salary]]&gt;L243,Tabella1353[[#This Row],[Taxable salary]]*$M$194))))))))))))))))))</f>
        <v>21337.560286115819</v>
      </c>
      <c r="AD4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44947.259863788691</v>
      </c>
      <c r="AE4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67557.363058628514</v>
      </c>
      <c r="AF4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46942.632629454798</v>
      </c>
      <c r="AG4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34140.096457785308</v>
      </c>
      <c r="AH4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salary]]*M346))))))))))))</f>
        <v>0</v>
      </c>
      <c r="AI49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37696.660731075943</v>
      </c>
      <c r="AJ4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72601.88715616554</v>
      </c>
      <c r="AK4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57611.412772512711</v>
      </c>
      <c r="AL4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71302.753201686428</v>
      </c>
      <c r="AM4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24708.894811322116</v>
      </c>
      <c r="AN4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22683.969931894346</v>
      </c>
      <c r="AO4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57096.517113113048</v>
      </c>
      <c r="AP49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salary]]*$M$487,IF(K519&lt;$L$489,Tabella1353[[#This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12375.784965947174</v>
      </c>
      <c r="AQ49" s="27">
        <f ca="1">Tabella1353[[#This Row],[Taxable salary]]*$M$501</f>
        <v>7681.5217030016938</v>
      </c>
      <c r="AR4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42245.56936650932</v>
      </c>
      <c r="AS49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44808.876600843214</v>
      </c>
      <c r="AT49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31630.096457785308</v>
      </c>
      <c r="AU49" s="27">
        <f ca="1">Tabella1353[[#This Row],[Taxable salary]]*$M$604</f>
        <v>30299.335606284458</v>
      </c>
      <c r="AV4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56121.43688695904</v>
      </c>
      <c r="AW4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salary]]*M695)))))))))))))</f>
        <v>0</v>
      </c>
      <c r="AX4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42675.120572231637</v>
      </c>
    </row>
    <row r="50" spans="3:50">
      <c r="C50" s="87"/>
      <c r="J50" s="80">
        <v>65</v>
      </c>
      <c r="K50" s="27">
        <f ca="1">'Income and Pension'!K66</f>
        <v>519214.37694190815</v>
      </c>
      <c r="L50" s="27">
        <f>SUM('Income and Pension'!$K139,'Partner Income and Pension'!L140)</f>
        <v>26026.275809808551</v>
      </c>
      <c r="M50" s="27">
        <f>SUM('Income and Pension'!$Q139,'Partner Income and Pension'!R140)</f>
        <v>54537.575262854923</v>
      </c>
      <c r="N50" s="27">
        <f>IF(SUMIF('CF Timeline'!$C$4:$BC$4,Tabella245[[#This Row],[Age]],'CF Timeline'!$C$43:$BC$43)&lt;7258, SUMIF('CF Timeline'!$C$4:$BC$4,Tabella245[[#This Row],[Age]],'CF Timeline'!$C$43:$BC$43), 7258)</f>
        <v>0</v>
      </c>
      <c r="O50" s="27">
        <f ca="1">Tabella245[[#This Row],[Salary and Pension]]-Tabella245[[#This Row],[1° Pillar deductions]]-Tabella245[[#This Row],[2° Pillar deductions]]-Tabella245[[#This Row],[3° Pillar deductions]]</f>
        <v>438650.52586924465</v>
      </c>
      <c r="P50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44587.169414740296</v>
      </c>
      <c r="Q50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45214.816995741763</v>
      </c>
      <c r="R50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35987.303323141408</v>
      </c>
      <c r="S50" s="107">
        <f ca="1">Tabella245[[#This Row],[Federal taxes]]+Tabella245[[#This Row],[Cantonal taxes]]+Tabella245[[#This Row],[Comunal taxes]]</f>
        <v>125789.28973362347</v>
      </c>
      <c r="W50" s="27">
        <f ca="1">Tabella245[[#This Row],[Taxable salary]]</f>
        <v>438650.52586924465</v>
      </c>
      <c r="X5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55650.140460115523</v>
      </c>
      <c r="Y5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46137.568363001803</v>
      </c>
      <c r="Z5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37285.294698885795</v>
      </c>
      <c r="AA50" s="27">
        <f ca="1">IF(Tabella1353[[#This Row],[Taxable salary]]&lt;$L$140,$M$139+((Tabella1353[[#This Row],[Taxable salary]]-$L$139)/100)*$N$139, IF(Tabella1353[[#This Row],[Taxable salary]]&lt;$L$141,M185+((Tabella1353[[#This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33449.042069539573</v>
      </c>
      <c r="AB50" s="27">
        <f ca="1">IF(Tabella1353[[#This Row],[Taxable salary]]&lt;$L$159,Tabella1353[[#This Row],[Taxable salary]]*M203,IF(Tabella1353[[#This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28073.63365563166</v>
      </c>
      <c r="AC50" s="27">
        <f ca="1">IF(Tabella1353[[#This Row],[Taxable salary]]&lt;$L$178,Tabella1353[[#This Row],[Taxable salary]]*M227,IF(Tabella1353[[#This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salary]]&gt;L244,Tabella1353[[#This Row],[Taxable salary]]*$M$194))))))))))))))))))</f>
        <v>21932.526293462233</v>
      </c>
      <c r="AD5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46327.581000832375</v>
      </c>
      <c r="AE5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69758.737285810261</v>
      </c>
      <c r="AF5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48251.55784561691</v>
      </c>
      <c r="AG5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35092.042069539573</v>
      </c>
      <c r="AH5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salary]]*M347))))))))))))</f>
        <v>0</v>
      </c>
      <c r="AI50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38937.031134679513</v>
      </c>
      <c r="AJ5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72635.502735580623</v>
      </c>
      <c r="AK5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59217.820992348032</v>
      </c>
      <c r="AL5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73801.610432541376</v>
      </c>
      <c r="AM5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25397.865447829266</v>
      </c>
      <c r="AN5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23374.130500416191</v>
      </c>
      <c r="AO5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58745.762885477307</v>
      </c>
      <c r="AP50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12720.865250208095</v>
      </c>
      <c r="AQ50" s="27">
        <f ca="1">Tabella1353[[#This Row],[Taxable salary]]*$M$501</f>
        <v>7895.7094656464033</v>
      </c>
      <c r="AR5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43423.602061055222</v>
      </c>
      <c r="AS50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46058.305216270688</v>
      </c>
      <c r="AT50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32582.042069539573</v>
      </c>
      <c r="AU50" s="27">
        <f ca="1">Tabella1353[[#This Row],[Taxable salary]]*$M$604</f>
        <v>31144.187336716368</v>
      </c>
      <c r="AV5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57965.831509732918</v>
      </c>
      <c r="AW5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salary]]*M696)))))))))))))</f>
        <v>0</v>
      </c>
      <c r="AX5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43865.052586924467</v>
      </c>
    </row>
    <row r="51" spans="3:50">
      <c r="C51" s="87"/>
      <c r="J51" s="80">
        <v>66</v>
      </c>
      <c r="K51" s="27">
        <f ca="1">'Income and Pension'!K67</f>
        <v>302191.18510921486</v>
      </c>
      <c r="L51" s="27">
        <f>SUM('Income and Pension'!$K140,'Partner Income and Pension'!L141)</f>
        <v>0</v>
      </c>
      <c r="M51" s="27">
        <f>SUM('Income and Pension'!$Q140,'Partner Income and Pension'!R141)</f>
        <v>0</v>
      </c>
      <c r="N51" s="27">
        <f>IF(SUMIF('CF Timeline'!$C$4:$BC$4,Tabella245[[#This Row],[Age]],'CF Timeline'!$C$43:$BC$43)&lt;7258, SUMIF('CF Timeline'!$C$4:$BC$4,Tabella245[[#This Row],[Age]],'CF Timeline'!$C$43:$BC$43), 7258)</f>
        <v>0</v>
      </c>
      <c r="O51" s="27">
        <f ca="1">Tabella245[[#This Row],[Salary and Pension]]-Tabella245[[#This Row],[1° Pillar deductions]]-Tabella245[[#This Row],[2° Pillar deductions]]-Tabella245[[#This Row],[3° Pillar deductions]]</f>
        <v>302191.18510921486</v>
      </c>
      <c r="P51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26574.536434416361</v>
      </c>
      <c r="Q51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27829.896982913971</v>
      </c>
      <c r="R51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22150.326170074386</v>
      </c>
      <c r="S51" s="107">
        <f ca="1">Tabella245[[#This Row],[Federal taxes]]+Tabella245[[#This Row],[Cantonal taxes]]+Tabella245[[#This Row],[Comunal taxes]]</f>
        <v>76554.759587404726</v>
      </c>
      <c r="W51" s="27">
        <f ca="1">Tabella245[[#This Row],[Taxable salary]]</f>
        <v>302191.18510921486</v>
      </c>
      <c r="X5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35987.002389333764</v>
      </c>
      <c r="Y5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28397.854064197931</v>
      </c>
      <c r="Z5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25686.250734283265</v>
      </c>
      <c r="AA51" s="27">
        <f ca="1">IF(Tabella1353[[#This Row],[Taxable salary]]&lt;$L$140,$M$139+((Tabella1353[[#This Row],[Taxable salary]]-$L$139)/100)*$N$139, IF(Tabella1353[[#This Row],[Taxable salary]]&lt;$L$141,M186+((Tabella1353[[#This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22532.294808737188</v>
      </c>
      <c r="AB51" s="27">
        <f ca="1">IF(Tabella1353[[#This Row],[Taxable salary]]&lt;$L$159,Tabella1353[[#This Row],[Taxable salary]]*M204,IF(Tabella1353[[#This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19038.044661880536</v>
      </c>
      <c r="AC51" s="27" t="b">
        <f ca="1">IF(Tabella1353[[#This Row],[Taxable salary]]&lt;$L$178,Tabella1353[[#This Row],[Taxable salary]]*M228,IF(Tabella1353[[#This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salary]]&gt;L245,Tabella1353[[#This Row],[Taxable salary]]*$M$194))))))))))))))))))</f>
        <v>0</v>
      </c>
      <c r="AD5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30759.313917341278</v>
      </c>
      <c r="AE5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45056.653319658675</v>
      </c>
      <c r="AF5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31730.074436467559</v>
      </c>
      <c r="AG5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24175.294808737188</v>
      </c>
      <c r="AH5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salary]]*M348))))))))))))</f>
        <v>0</v>
      </c>
      <c r="AI51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24812.355165730212</v>
      </c>
      <c r="AJ5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44309.765979422613</v>
      </c>
      <c r="AK5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40795.809989744012</v>
      </c>
      <c r="AL5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47240.325170750824</v>
      </c>
      <c r="AM5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17496.86961782354</v>
      </c>
      <c r="AN5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15459.488736334461</v>
      </c>
      <c r="AO5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40125.761449102029</v>
      </c>
      <c r="AP51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8763.5443681672314</v>
      </c>
      <c r="AQ51" s="27">
        <f ca="1">Tabella1353[[#This Row],[Taxable salary]]*$M$501</f>
        <v>5439.441331965867</v>
      </c>
      <c r="AR5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29914.127325812271</v>
      </c>
      <c r="AS51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31651.986287559706</v>
      </c>
      <c r="AT51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21665.294808737188</v>
      </c>
      <c r="AU51" s="27">
        <f ca="1">Tabella1353[[#This Row],[Taxable salary]]*$M$604</f>
        <v>21455.574142754253</v>
      </c>
      <c r="AV5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36814.633691928306</v>
      </c>
      <c r="AW5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salary]]*M697)))))))))))))</f>
        <v>0</v>
      </c>
      <c r="AX5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30219.118510921486</v>
      </c>
    </row>
    <row r="52" spans="3:50">
      <c r="C52" s="87"/>
      <c r="J52" s="80">
        <v>67</v>
      </c>
      <c r="K52" s="27">
        <f ca="1">'Income and Pension'!K68</f>
        <v>180796.64471606095</v>
      </c>
      <c r="L52" s="27">
        <f>SUM('Income and Pension'!$K141,'Partner Income and Pension'!L142)</f>
        <v>0</v>
      </c>
      <c r="M52" s="27">
        <f>SUM('Income and Pension'!$Q141,'Partner Income and Pension'!R142)</f>
        <v>0</v>
      </c>
      <c r="N52" s="27">
        <f>IF(SUMIF('CF Timeline'!$C$4:$BC$4,Tabella245[[#This Row],[Age]],'CF Timeline'!$C$43:$BC$43)&lt;7258, SUMIF('CF Timeline'!$C$4:$BC$4,Tabella245[[#This Row],[Age]],'CF Timeline'!$C$43:$BC$43), 7258)</f>
        <v>0</v>
      </c>
      <c r="O52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2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2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2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2" s="107">
        <f ca="1">Tabella245[[#This Row],[Federal taxes]]+Tabella245[[#This Row],[Cantonal taxes]]+Tabella245[[#This Row],[Comunal taxes]]</f>
        <v>36255.561335796105</v>
      </c>
      <c r="W52" s="27">
        <f ca="1">Tabella245[[#This Row],[Taxable salary]]</f>
        <v>180796.64471606095</v>
      </c>
      <c r="X5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2" s="27">
        <f ca="1">IF(Tabella1353[[#This Row],[Taxable salary]]&lt;$L$140,$M$139+((Tabella1353[[#This Row],[Taxable salary]]-$L$139)/100)*$N$139, IF(Tabella1353[[#This Row],[Taxable salary]]&lt;$L$141,M187+((Tabella1353[[#This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2" s="27">
        <f ca="1">IF(Tabella1353[[#This Row],[Taxable salary]]&lt;$L$159,Tabella1353[[#This Row],[Taxable salary]]*M205,IF(Tabella1353[[#This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2" s="27">
        <f ca="1">IF(Tabella1353[[#This Row],[Taxable salary]]&lt;$L$178,Tabella1353[[#This Row],[Taxable salary]]*M229,IF(Tabella1353[[#This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salary]]&gt;L246,Tabella1353[[#This Row],[Taxable salary]]*$M$194))))))))))))))))))</f>
        <v>7051.0691439263774</v>
      </c>
      <c r="AD5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salary]]*M349))))))))))))</f>
        <v>5243.1026967657681</v>
      </c>
      <c r="AI52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2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2" s="27">
        <f ca="1">Tabella1353[[#This Row],[Taxable salary]]*$M$501</f>
        <v>3254.3396048890968</v>
      </c>
      <c r="AR5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2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2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2" s="27">
        <f ca="1">Tabella1353[[#This Row],[Taxable salary]]*$M$604</f>
        <v>12836.561774840327</v>
      </c>
      <c r="AV5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salary]]*M698)))))))))))))</f>
        <v>24407.547036668231</v>
      </c>
      <c r="AX5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3" spans="3:50">
      <c r="C53" s="87"/>
      <c r="J53" s="80">
        <v>68</v>
      </c>
      <c r="K53" s="27">
        <f ca="1">'Income and Pension'!K69</f>
        <v>180796.64471606095</v>
      </c>
      <c r="L53" s="27">
        <f>SUM('Income and Pension'!$K142,'Partner Income and Pension'!L143)</f>
        <v>0</v>
      </c>
      <c r="M53" s="27">
        <f>SUM('Income and Pension'!$Q142,'Partner Income and Pension'!R143)</f>
        <v>0</v>
      </c>
      <c r="N53" s="27">
        <f>IF(SUMIF('CF Timeline'!$C$4:$BC$4,Tabella245[[#This Row],[Age]],'CF Timeline'!$C$43:$BC$43)&lt;7258, SUMIF('CF Timeline'!$C$4:$BC$4,Tabella245[[#This Row],[Age]],'CF Timeline'!$C$43:$BC$43), 7258)</f>
        <v>0</v>
      </c>
      <c r="O53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3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3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3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3" s="107">
        <f ca="1">Tabella245[[#This Row],[Federal taxes]]+Tabella245[[#This Row],[Cantonal taxes]]+Tabella245[[#This Row],[Comunal taxes]]</f>
        <v>36255.561335796105</v>
      </c>
      <c r="W53" s="27">
        <f ca="1">Tabella245[[#This Row],[Taxable salary]]</f>
        <v>180796.64471606095</v>
      </c>
      <c r="X5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3" s="27">
        <f ca="1">IF(Tabella1353[[#This Row],[Taxable salary]]&lt;$L$140,$M$139+((Tabella1353[[#This Row],[Taxable salary]]-$L$139)/100)*$N$139, IF(Tabella1353[[#This Row],[Taxable salary]]&lt;$L$141,M188+((Tabella1353[[#This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3" s="27">
        <f ca="1">IF(Tabella1353[[#This Row],[Taxable salary]]&lt;$L$159,Tabella1353[[#This Row],[Taxable salary]]*M206,IF(Tabella1353[[#This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3" s="27">
        <f ca="1">IF(Tabella1353[[#This Row],[Taxable salary]]&lt;$L$178,Tabella1353[[#This Row],[Taxable salary]]*M230,IF(Tabella1353[[#This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salary]]&gt;L247,Tabella1353[[#This Row],[Taxable salary]]*$M$194))))))))))))))))))</f>
        <v>7051.0691439263774</v>
      </c>
      <c r="AD5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salary]]*M350))))))))))))</f>
        <v>5243.1026967657681</v>
      </c>
      <c r="AI53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3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3" s="27">
        <f ca="1">Tabella1353[[#This Row],[Taxable salary]]*$M$501</f>
        <v>3254.3396048890968</v>
      </c>
      <c r="AR5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3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3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3" s="27">
        <f ca="1">Tabella1353[[#This Row],[Taxable salary]]*$M$604</f>
        <v>12836.561774840327</v>
      </c>
      <c r="AV5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salary]]*M699)))))))))))))</f>
        <v>24407.547036668231</v>
      </c>
      <c r="AX5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4" spans="3:50">
      <c r="C54" s="87"/>
      <c r="J54" s="80">
        <v>69</v>
      </c>
      <c r="K54" s="27">
        <f ca="1">'Income and Pension'!K70</f>
        <v>180796.64471606095</v>
      </c>
      <c r="L54" s="27">
        <f>SUM('Income and Pension'!$K143,'Partner Income and Pension'!L144)</f>
        <v>0</v>
      </c>
      <c r="M54" s="27">
        <f>SUM('Income and Pension'!$Q143,'Partner Income and Pension'!R144)</f>
        <v>0</v>
      </c>
      <c r="N54" s="27">
        <f>IF(SUMIF('CF Timeline'!$C$4:$BC$4,Tabella245[[#This Row],[Age]],'CF Timeline'!$C$43:$BC$43)&lt;7258, SUMIF('CF Timeline'!$C$4:$BC$4,Tabella245[[#This Row],[Age]],'CF Timeline'!$C$43:$BC$43), 7258)</f>
        <v>0</v>
      </c>
      <c r="O54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4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4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4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4" s="107">
        <f ca="1">Tabella245[[#This Row],[Federal taxes]]+Tabella245[[#This Row],[Cantonal taxes]]+Tabella245[[#This Row],[Comunal taxes]]</f>
        <v>36255.561335796105</v>
      </c>
      <c r="W54" s="27">
        <f ca="1">Tabella245[[#This Row],[Taxable salary]]</f>
        <v>180796.64471606095</v>
      </c>
      <c r="X5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4" s="27">
        <f ca="1">IF(Tabella1353[[#This Row],[Taxable salary]]&lt;$L$140,$M$139+((Tabella1353[[#This Row],[Taxable salary]]-$L$139)/100)*$N$139, IF(Tabella1353[[#This Row],[Taxable salary]]&lt;$L$141,M189+((Tabella1353[[#This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4" s="27">
        <f ca="1">IF(Tabella1353[[#This Row],[Taxable salary]]&lt;$L$159,Tabella1353[[#This Row],[Taxable salary]]*M207,IF(Tabella1353[[#This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4" s="27">
        <f ca="1">IF(Tabella1353[[#This Row],[Taxable salary]]&lt;$L$178,Tabella1353[[#This Row],[Taxable salary]]*M231,IF(Tabella1353[[#This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salary]]&gt;L248,Tabella1353[[#This Row],[Taxable salary]]*$M$194))))))))))))))))))</f>
        <v>7051.0691439263774</v>
      </c>
      <c r="AD5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salary]]*M351))))))))))))</f>
        <v>5243.1026967657681</v>
      </c>
      <c r="AI54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4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4971.9077296916766</v>
      </c>
      <c r="AQ54" s="27">
        <f ca="1">Tabella1353[[#This Row],[Taxable salary]]*$M$501</f>
        <v>3254.3396048890968</v>
      </c>
      <c r="AR5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4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4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4" s="27">
        <f ca="1">Tabella1353[[#This Row],[Taxable salary]]*$M$604</f>
        <v>12836.561774840327</v>
      </c>
      <c r="AV5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salary]]*M700)))))))))))))</f>
        <v>24407.547036668231</v>
      </c>
      <c r="AX5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5" spans="3:50">
      <c r="C55" s="87"/>
      <c r="J55" s="80">
        <v>70</v>
      </c>
      <c r="K55" s="27">
        <f ca="1">'Income and Pension'!K71</f>
        <v>180796.64471606095</v>
      </c>
      <c r="L55" s="27">
        <f>SUM('Income and Pension'!$K144,'Partner Income and Pension'!L145)</f>
        <v>0</v>
      </c>
      <c r="M55" s="27">
        <f>SUM('Income and Pension'!$Q144,'Partner Income and Pension'!R145)</f>
        <v>0</v>
      </c>
      <c r="N55" s="27">
        <f>IF(SUMIF('CF Timeline'!$C$4:$BC$4,Tabella245[[#This Row],[Age]],'CF Timeline'!$C$43:$BC$43)&lt;7258, SUMIF('CF Timeline'!$C$4:$BC$4,Tabella245[[#This Row],[Age]],'CF Timeline'!$C$43:$BC$43), 7258)</f>
        <v>0</v>
      </c>
      <c r="O55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5" s="83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5" s="104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5" s="83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5" s="107">
        <f ca="1">Tabella245[[#This Row],[Federal taxes]]+Tabella245[[#This Row],[Cantonal taxes]]+Tabella245[[#This Row],[Comunal taxes]]</f>
        <v>36255.561335796105</v>
      </c>
      <c r="W55" s="27">
        <f ca="1">Tabella245[[#This Row],[Taxable salary]]</f>
        <v>180796.64471606095</v>
      </c>
      <c r="X5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5" s="27">
        <f ca="1">IF(Tabella1353[[#This Row],[Taxable salary]]&lt;$L$140,$M$139+((Tabella1353[[#This Row],[Taxable salary]]-$L$139)/100)*$N$139, IF(Tabella1353[[#This Row],[Taxable salary]]&lt;$L$141,M190+((Tabella1353[[#This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5" s="27">
        <f ca="1">IF(Tabella1353[[#This Row],[Taxable salary]]&lt;$L$159,Tabella1353[[#This Row],[Taxable salary]]*M208,IF(Tabella1353[[#This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5" s="27">
        <f ca="1">IF(Tabella1353[[#This Row],[Taxable salary]]&lt;$L$178,Tabella1353[[#This Row],[Taxable salary]]*M232,IF(Tabella1353[[#This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salary]]&gt;L249,Tabella1353[[#This Row],[Taxable salary]]*$M$194))))))))))))))))))</f>
        <v>7051.0691439263774</v>
      </c>
      <c r="AD5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salary]]*M352))))))))))))</f>
        <v>5243.1026967657681</v>
      </c>
      <c r="AI55" s="83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5" s="83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4971.9077296916766</v>
      </c>
      <c r="AQ55" s="27">
        <f ca="1">Tabella1353[[#This Row],[Taxable salary]]*$M$501</f>
        <v>3254.3396048890968</v>
      </c>
      <c r="AR5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5" s="83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5" s="83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5" s="27">
        <f ca="1">Tabella1353[[#This Row],[Taxable salary]]*$M$604</f>
        <v>12836.561774840327</v>
      </c>
      <c r="AV5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salary]]*M701)))))))))))))</f>
        <v>24407.547036668231</v>
      </c>
      <c r="AX5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6" spans="3:50">
      <c r="J56" s="80">
        <v>71</v>
      </c>
      <c r="K56" s="115">
        <f ca="1">'Income and Pension'!K72</f>
        <v>180796.64471606095</v>
      </c>
      <c r="L56" s="115">
        <f>SUM('Income and Pension'!$K145,'Partner Income and Pension'!L146)</f>
        <v>0</v>
      </c>
      <c r="M56" s="115">
        <f>SUM('Income and Pension'!$Q145,'Partner Income and Pension'!R146)</f>
        <v>0</v>
      </c>
      <c r="N56" s="115">
        <f>IF(SUMIF('CF Timeline'!$C$4:$BC$4,Tabella245[[#This Row],[Age]],'CF Timeline'!$C$43:$BC$43)&lt;7258, SUMIF('CF Timeline'!$C$4:$BC$4,Tabella245[[#This Row],[Age]],'CF Timeline'!$C$43:$BC$43), 7258)</f>
        <v>0</v>
      </c>
      <c r="O56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6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6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6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6" s="176">
        <f ca="1">Tabella245[[#This Row],[Federal taxes]]+Tabella245[[#This Row],[Cantonal taxes]]+Tabella245[[#This Row],[Comunal taxes]]</f>
        <v>36255.561335796105</v>
      </c>
      <c r="W56" s="27">
        <f ca="1">Tabella245[[#This Row],[Taxable salary]]</f>
        <v>180796.64471606095</v>
      </c>
      <c r="X56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6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6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6" s="27">
        <f ca="1">IF(Tabella1353[[#This Row],[Taxable salary]]&lt;$L$140,$M$139+((Tabella1353[[#This Row],[Taxable salary]]-$L$139)/100)*$N$139, IF(Tabella1353[[#This Row],[Taxable salary]]&lt;$L$141,M191+((Tabella1353[[#This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6" s="27">
        <f ca="1">IF(Tabella1353[[#This Row],[Taxable salary]]&lt;$L$159,Tabella1353[[#This Row],[Taxable salary]]*M209,IF(Tabella1353[[#This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6" s="27">
        <f ca="1">IF(Tabella1353[[#This Row],[Taxable salary]]&lt;$L$178,Tabella1353[[#This Row],[Taxable salary]]*M228,IF(Tabella1353[[#This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salary]]&gt;L245,Tabella1353[[#This Row],[Taxable salary]]*$M$194))))))))))))))))))</f>
        <v>7051.0691439263774</v>
      </c>
      <c r="AD56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6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6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6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6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salary]]*M353))))))))))))</f>
        <v>5243.1026967657681</v>
      </c>
      <c r="AI56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6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6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6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6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6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6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6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salary]]*$M$487,IF(K526&lt;$L$489,Tabella1353[[#This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6" s="27">
        <f ca="1">Tabella1353[[#This Row],[Taxable salary]]*$M$501</f>
        <v>3254.3396048890968</v>
      </c>
      <c r="AR56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6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6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6" s="27">
        <f ca="1">Tabella1353[[#This Row],[Taxable salary]]*$M$604</f>
        <v>12836.561774840327</v>
      </c>
      <c r="AV56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6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salary]]*M702)))))))))))))</f>
        <v>24407.547036668231</v>
      </c>
      <c r="AX56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7" spans="3:50">
      <c r="J57" s="80">
        <v>72</v>
      </c>
      <c r="K57" s="115">
        <f ca="1">'Income and Pension'!K73</f>
        <v>180796.64471606095</v>
      </c>
      <c r="L57" s="115">
        <f>SUM('Income and Pension'!$K146,'Partner Income and Pension'!L147)</f>
        <v>0</v>
      </c>
      <c r="M57" s="115">
        <f>SUM('Income and Pension'!$Q146,'Partner Income and Pension'!R147)</f>
        <v>0</v>
      </c>
      <c r="N57" s="115">
        <f>IF(SUMIF('CF Timeline'!$C$4:$BC$4,Tabella245[[#This Row],[Age]],'CF Timeline'!$C$43:$BC$43)&lt;7258, SUMIF('CF Timeline'!$C$4:$BC$4,Tabella245[[#This Row],[Age]],'CF Timeline'!$C$43:$BC$43), 7258)</f>
        <v>0</v>
      </c>
      <c r="O57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7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7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7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7" s="176">
        <f ca="1">Tabella245[[#This Row],[Federal taxes]]+Tabella245[[#This Row],[Cantonal taxes]]+Tabella245[[#This Row],[Comunal taxes]]</f>
        <v>36255.561335796105</v>
      </c>
      <c r="W57" s="27">
        <f ca="1">Tabella245[[#This Row],[Taxable salary]]</f>
        <v>180796.64471606095</v>
      </c>
      <c r="X57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7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7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7" s="27">
        <f ca="1">IF(Tabella1353[[#This Row],[Taxable salary]]&lt;$L$140,$M$139+((Tabella1353[[#This Row],[Taxable salary]]-$L$139)/100)*$N$139, IF(Tabella1353[[#This Row],[Taxable salary]]&lt;$L$141,M192+((Tabella1353[[#This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7" s="27">
        <f ca="1">IF(Tabella1353[[#This Row],[Taxable salary]]&lt;$L$159,Tabella1353[[#This Row],[Taxable salary]]*M210,IF(Tabella1353[[#This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7" s="27">
        <f ca="1">IF(Tabella1353[[#This Row],[Taxable salary]]&lt;$L$178,Tabella1353[[#This Row],[Taxable salary]]*M229,IF(Tabella1353[[#This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salary]]&gt;L246,Tabella1353[[#This Row],[Taxable salary]]*$M$194))))))))))))))))))</f>
        <v>7051.0691439263774</v>
      </c>
      <c r="AD57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7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7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7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7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salary]]*M354))))))))))))</f>
        <v>5243.1026967657681</v>
      </c>
      <c r="AI57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7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7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7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7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7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7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7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salary]]*$M$487,IF(K527&lt;$L$489,Tabella1353[[#This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7" s="27">
        <f ca="1">Tabella1353[[#This Row],[Taxable salary]]*$M$501</f>
        <v>3254.3396048890968</v>
      </c>
      <c r="AR57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7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7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7" s="27">
        <f ca="1">Tabella1353[[#This Row],[Taxable salary]]*$M$604</f>
        <v>12836.561774840327</v>
      </c>
      <c r="AV57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7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salary]]*M703)))))))))))))</f>
        <v>24407.547036668231</v>
      </c>
      <c r="AX57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8" spans="3:50">
      <c r="J58" s="80">
        <v>73</v>
      </c>
      <c r="K58" s="115">
        <f ca="1">'Income and Pension'!K74</f>
        <v>180796.64471606095</v>
      </c>
      <c r="L58" s="115">
        <f>SUM('Income and Pension'!$K147,'Partner Income and Pension'!L148)</f>
        <v>0</v>
      </c>
      <c r="M58" s="115">
        <f>SUM('Income and Pension'!$Q147,'Partner Income and Pension'!R148)</f>
        <v>0</v>
      </c>
      <c r="N58" s="115">
        <f>IF(SUMIF('CF Timeline'!$C$4:$BC$4,Tabella245[[#This Row],[Age]],'CF Timeline'!$C$43:$BC$43)&lt;7258, SUMIF('CF Timeline'!$C$4:$BC$4,Tabella245[[#This Row],[Age]],'CF Timeline'!$C$43:$BC$43), 7258)</f>
        <v>0</v>
      </c>
      <c r="O58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8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8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8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8" s="176">
        <f ca="1">Tabella245[[#This Row],[Federal taxes]]+Tabella245[[#This Row],[Cantonal taxes]]+Tabella245[[#This Row],[Comunal taxes]]</f>
        <v>36255.561335796105</v>
      </c>
      <c r="W58" s="27">
        <f ca="1">Tabella245[[#This Row],[Taxable salary]]</f>
        <v>180796.64471606095</v>
      </c>
      <c r="X58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8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8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8" s="27">
        <f ca="1">IF(Tabella1353[[#This Row],[Taxable salary]]&lt;$L$140,$M$139+((Tabella1353[[#This Row],[Taxable salary]]-$L$139)/100)*$N$139, IF(Tabella1353[[#This Row],[Taxable salary]]&lt;$L$141,M193+((Tabella1353[[#This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8" s="27">
        <f ca="1">IF(Tabella1353[[#This Row],[Taxable salary]]&lt;$L$159,Tabella1353[[#This Row],[Taxable salary]]*M211,IF(Tabella1353[[#This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8" s="27">
        <f ca="1">IF(Tabella1353[[#This Row],[Taxable salary]]&lt;$L$178,Tabella1353[[#This Row],[Taxable salary]]*M230,IF(Tabella1353[[#This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salary]]&gt;L247,Tabella1353[[#This Row],[Taxable salary]]*$M$194))))))))))))))))))</f>
        <v>7051.0691439263774</v>
      </c>
      <c r="AD58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8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8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8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8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salary]]*M355))))))))))))</f>
        <v>5243.1026967657681</v>
      </c>
      <c r="AI58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8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8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8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8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8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8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8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salary]]*$M$487,IF(K528&lt;$L$489,Tabella1353[[#This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8" s="27">
        <f ca="1">Tabella1353[[#This Row],[Taxable salary]]*$M$501</f>
        <v>3254.3396048890968</v>
      </c>
      <c r="AR58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8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8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8" s="27">
        <f ca="1">Tabella1353[[#This Row],[Taxable salary]]*$M$604</f>
        <v>12836.561774840327</v>
      </c>
      <c r="AV58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8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salary]]*M704)))))))))))))</f>
        <v>24407.547036668231</v>
      </c>
      <c r="AX58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59" spans="3:50">
      <c r="J59" s="80">
        <v>74</v>
      </c>
      <c r="K59" s="115">
        <f ca="1">'Income and Pension'!K75</f>
        <v>180796.64471606095</v>
      </c>
      <c r="L59" s="115">
        <f>SUM('Income and Pension'!$K148,'Partner Income and Pension'!L149)</f>
        <v>0</v>
      </c>
      <c r="M59" s="115">
        <f>SUM('Income and Pension'!$Q148,'Partner Income and Pension'!R149)</f>
        <v>0</v>
      </c>
      <c r="N59" s="115">
        <f>IF(SUMIF('CF Timeline'!$C$4:$BC$4,Tabella245[[#This Row],[Age]],'CF Timeline'!$C$43:$BC$43)&lt;7258, SUMIF('CF Timeline'!$C$4:$BC$4,Tabella245[[#This Row],[Age]],'CF Timeline'!$C$43:$BC$43), 7258)</f>
        <v>0</v>
      </c>
      <c r="O59" s="27">
        <f ca="1">Tabella245[[#This Row],[Salary and Pension]]-Tabella245[[#This Row],[1° Pillar deductions]]-Tabella245[[#This Row],[2° Pillar deductions]]-Tabella245[[#This Row],[3° Pillar deductions]]</f>
        <v>180796.64471606095</v>
      </c>
      <c r="P59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59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59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59" s="176">
        <f ca="1">Tabella245[[#This Row],[Federal taxes]]+Tabella245[[#This Row],[Cantonal taxes]]+Tabella245[[#This Row],[Comunal taxes]]</f>
        <v>36255.561335796105</v>
      </c>
      <c r="W59" s="27">
        <f ca="1">Tabella245[[#This Row],[Taxable salary]]</f>
        <v>180796.64471606095</v>
      </c>
      <c r="X59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59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59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59" s="27">
        <f ca="1">IF(Tabella1353[[#This Row],[Taxable salary]]&lt;$L$140,$M$139+((Tabella1353[[#This Row],[Taxable salary]]-$L$139)/100)*$N$139, IF(Tabella1353[[#This Row],[Taxable salary]]&lt;$L$141,M194+((Tabella1353[[#This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59" s="27">
        <f ca="1">IF(Tabella1353[[#This Row],[Taxable salary]]&lt;$L$159,Tabella1353[[#This Row],[Taxable salary]]*M212,IF(Tabella1353[[#This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59" s="27">
        <f ca="1">IF(Tabella1353[[#This Row],[Taxable salary]]&lt;$L$178,Tabella1353[[#This Row],[Taxable salary]]*M231,IF(Tabella1353[[#This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salary]]&gt;L248,Tabella1353[[#This Row],[Taxable salary]]*$M$194))))))))))))))))))</f>
        <v>7051.0691439263774</v>
      </c>
      <c r="AD59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59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59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59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59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salary]]*M356))))))))))))</f>
        <v>5243.1026967657681</v>
      </c>
      <c r="AI59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59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59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59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59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59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59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59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salary]]*$M$487,IF(K529&lt;$L$489,Tabella1353[[#This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59" s="27">
        <f ca="1">Tabella1353[[#This Row],[Taxable salary]]*$M$501</f>
        <v>3254.3396048890968</v>
      </c>
      <c r="AR59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59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59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59" s="27">
        <f ca="1">Tabella1353[[#This Row],[Taxable salary]]*$M$604</f>
        <v>12836.561774840327</v>
      </c>
      <c r="AV59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59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salary]]*M705)))))))))))))</f>
        <v>24407.547036668231</v>
      </c>
      <c r="AX59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0" spans="3:50">
      <c r="J60" s="80">
        <v>75</v>
      </c>
      <c r="K60" s="115">
        <f ca="1">'Income and Pension'!K76</f>
        <v>180796.64471606095</v>
      </c>
      <c r="L60" s="115">
        <f>SUM('Income and Pension'!$K149,'Partner Income and Pension'!L150)</f>
        <v>0</v>
      </c>
      <c r="M60" s="115">
        <f>SUM('Income and Pension'!$Q149,'Partner Income and Pension'!R150)</f>
        <v>0</v>
      </c>
      <c r="N60" s="115">
        <f>IF(SUMIF('CF Timeline'!$C$4:$BC$4,Tabella245[[#This Row],[Age]],'CF Timeline'!$C$43:$BC$43)&lt;7258, SUMIF('CF Timeline'!$C$4:$BC$4,Tabella245[[#This Row],[Age]],'CF Timeline'!$C$43:$BC$43), 7258)</f>
        <v>0</v>
      </c>
      <c r="O60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0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0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0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0" s="176">
        <f ca="1">Tabella245[[#This Row],[Federal taxes]]+Tabella245[[#This Row],[Cantonal taxes]]+Tabella245[[#This Row],[Comunal taxes]]</f>
        <v>36255.561335796105</v>
      </c>
      <c r="W60" s="27">
        <f ca="1">Tabella245[[#This Row],[Taxable salary]]</f>
        <v>180796.64471606095</v>
      </c>
      <c r="X60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0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0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0" s="27">
        <f ca="1">IF(Tabella1353[[#This Row],[Taxable salary]]&lt;$L$140,$M$139+((Tabella1353[[#This Row],[Taxable salary]]-$L$139)/100)*$N$139, IF(Tabella1353[[#This Row],[Taxable salary]]&lt;$L$141,M195+((Tabella1353[[#This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0" s="27">
        <f ca="1">IF(Tabella1353[[#This Row],[Taxable salary]]&lt;$L$159,Tabella1353[[#This Row],[Taxable salary]]*M213,IF(Tabella1353[[#This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0" s="27">
        <f ca="1">IF(Tabella1353[[#This Row],[Taxable salary]]&lt;$L$178,Tabella1353[[#This Row],[Taxable salary]]*M232,IF(Tabella1353[[#This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salary]]&gt;L249,Tabella1353[[#This Row],[Taxable salary]]*$M$194))))))))))))))))))</f>
        <v>7051.0691439263774</v>
      </c>
      <c r="AD60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0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0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0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0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salary]]*M357))))))))))))</f>
        <v>5243.1026967657681</v>
      </c>
      <c r="AI60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0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0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0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0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0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0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0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salary]]*$M$487,IF(K530&lt;$L$489,Tabella1353[[#This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0" s="27">
        <f ca="1">Tabella1353[[#This Row],[Taxable salary]]*$M$501</f>
        <v>3254.3396048890968</v>
      </c>
      <c r="AR60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0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0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0" s="27">
        <f ca="1">Tabella1353[[#This Row],[Taxable salary]]*$M$604</f>
        <v>12836.561774840327</v>
      </c>
      <c r="AV60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0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salary]]*M706)))))))))))))</f>
        <v>24407.547036668231</v>
      </c>
      <c r="AX60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1" spans="3:50">
      <c r="J61" s="80">
        <v>76</v>
      </c>
      <c r="K61" s="115">
        <f ca="1">'Income and Pension'!K77</f>
        <v>180796.64471606095</v>
      </c>
      <c r="L61" s="115">
        <f>SUM('Income and Pension'!$K150,'Partner Income and Pension'!L151)</f>
        <v>0</v>
      </c>
      <c r="M61" s="115">
        <f>SUM('Income and Pension'!$Q150,'Partner Income and Pension'!R151)</f>
        <v>0</v>
      </c>
      <c r="N61" s="115">
        <f>IF(SUMIF('CF Timeline'!$C$4:$BC$4,Tabella245[[#This Row],[Age]],'CF Timeline'!$C$43:$BC$43)&lt;7258, SUMIF('CF Timeline'!$C$4:$BC$4,Tabella245[[#This Row],[Age]],'CF Timeline'!$C$43:$BC$43), 7258)</f>
        <v>0</v>
      </c>
      <c r="O61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1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1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1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1" s="176">
        <f ca="1">Tabella245[[#This Row],[Federal taxes]]+Tabella245[[#This Row],[Cantonal taxes]]+Tabella245[[#This Row],[Comunal taxes]]</f>
        <v>36255.561335796105</v>
      </c>
      <c r="W61" s="27">
        <f ca="1">Tabella245[[#This Row],[Taxable salary]]</f>
        <v>180796.64471606095</v>
      </c>
      <c r="X61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1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1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1" s="27">
        <f ca="1">IF(Tabella1353[[#This Row],[Taxable salary]]&lt;$L$140,$M$139+((Tabella1353[[#This Row],[Taxable salary]]-$L$139)/100)*$N$139, IF(Tabella1353[[#This Row],[Taxable salary]]&lt;$L$141,M196+((Tabella1353[[#This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1" s="27">
        <f ca="1">IF(Tabella1353[[#This Row],[Taxable salary]]&lt;$L$159,Tabella1353[[#This Row],[Taxable salary]]*M214,IF(Tabella1353[[#This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1" s="27">
        <f ca="1">IF(Tabella1353[[#This Row],[Taxable salary]]&lt;$L$178,Tabella1353[[#This Row],[Taxable salary]]*M233,IF(Tabella1353[[#This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salary]]&gt;L250,Tabella1353[[#This Row],[Taxable salary]]*$M$194))))))))))))))))))</f>
        <v>7051.0691439263774</v>
      </c>
      <c r="AD61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1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1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1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1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salary]]*M358))))))))))))</f>
        <v>5243.1026967657681</v>
      </c>
      <c r="AI61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1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1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1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1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1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1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1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salary]]*$M$487,IF(K531&lt;$L$489,Tabella1353[[#This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1" s="27">
        <f ca="1">Tabella1353[[#This Row],[Taxable salary]]*$M$501</f>
        <v>3254.3396048890968</v>
      </c>
      <c r="AR61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1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1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1" s="27">
        <f ca="1">Tabella1353[[#This Row],[Taxable salary]]*$M$604</f>
        <v>12836.561774840327</v>
      </c>
      <c r="AV61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1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salary]]*M707)))))))))))))</f>
        <v>24407.547036668231</v>
      </c>
      <c r="AX61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2" spans="3:50">
      <c r="J62" s="80">
        <v>77</v>
      </c>
      <c r="K62" s="115">
        <f ca="1">'Income and Pension'!K78</f>
        <v>180796.64471606095</v>
      </c>
      <c r="L62" s="115">
        <f>SUM('Income and Pension'!$K151,'Partner Income and Pension'!L152)</f>
        <v>0</v>
      </c>
      <c r="M62" s="115">
        <f>SUM('Income and Pension'!$Q151,'Partner Income and Pension'!R152)</f>
        <v>0</v>
      </c>
      <c r="N62" s="115">
        <f>IF(SUMIF('CF Timeline'!$C$4:$BC$4,Tabella245[[#This Row],[Age]],'CF Timeline'!$C$43:$BC$43)&lt;7258, SUMIF('CF Timeline'!$C$4:$BC$4,Tabella245[[#This Row],[Age]],'CF Timeline'!$C$43:$BC$43), 7258)</f>
        <v>0</v>
      </c>
      <c r="O62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2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2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2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2" s="176">
        <f ca="1">Tabella245[[#This Row],[Federal taxes]]+Tabella245[[#This Row],[Cantonal taxes]]+Tabella245[[#This Row],[Comunal taxes]]</f>
        <v>36255.561335796105</v>
      </c>
      <c r="W62" s="27">
        <f ca="1">Tabella245[[#This Row],[Taxable salary]]</f>
        <v>180796.64471606095</v>
      </c>
      <c r="X62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2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2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2" s="27">
        <f ca="1">IF(Tabella1353[[#This Row],[Taxable salary]]&lt;$L$140,$M$139+((Tabella1353[[#This Row],[Taxable salary]]-$L$139)/100)*$N$139, IF(Tabella1353[[#This Row],[Taxable salary]]&lt;$L$141,M197+((Tabella1353[[#This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2" s="27">
        <f ca="1">IF(Tabella1353[[#This Row],[Taxable salary]]&lt;$L$159,Tabella1353[[#This Row],[Taxable salary]]*M215,IF(Tabella1353[[#This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2" s="27">
        <f ca="1">IF(Tabella1353[[#This Row],[Taxable salary]]&lt;$L$178,Tabella1353[[#This Row],[Taxable salary]]*M234,IF(Tabella1353[[#This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salary]]&gt;L251,Tabella1353[[#This Row],[Taxable salary]]*$M$194))))))))))))))))))</f>
        <v>7051.0691439263774</v>
      </c>
      <c r="AD62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2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2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2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2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salary]]*M359))))))))))))</f>
        <v>5243.1026967657681</v>
      </c>
      <c r="AI62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2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2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2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2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2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2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2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salary]]*$M$487,IF(K532&lt;$L$489,Tabella1353[[#This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2" s="27">
        <f ca="1">Tabella1353[[#This Row],[Taxable salary]]*$M$501</f>
        <v>3254.3396048890968</v>
      </c>
      <c r="AR62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2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2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2" s="27">
        <f ca="1">Tabella1353[[#This Row],[Taxable salary]]*$M$604</f>
        <v>12836.561774840327</v>
      </c>
      <c r="AV62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2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salary]]*M708)))))))))))))</f>
        <v>24407.547036668231</v>
      </c>
      <c r="AX62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3" spans="3:50">
      <c r="J63" s="80">
        <v>78</v>
      </c>
      <c r="K63" s="115">
        <f ca="1">'Income and Pension'!K79</f>
        <v>180796.64471606095</v>
      </c>
      <c r="L63" s="115">
        <f>SUM('Income and Pension'!$K152,'Partner Income and Pension'!L153)</f>
        <v>0</v>
      </c>
      <c r="M63" s="115">
        <f>SUM('Income and Pension'!$Q152,'Partner Income and Pension'!R153)</f>
        <v>0</v>
      </c>
      <c r="N63" s="115">
        <f>IF(SUMIF('CF Timeline'!$C$4:$BC$4,Tabella245[[#This Row],[Age]],'CF Timeline'!$C$43:$BC$43)&lt;7258, SUMIF('CF Timeline'!$C$4:$BC$4,Tabella245[[#This Row],[Age]],'CF Timeline'!$C$43:$BC$43), 7258)</f>
        <v>0</v>
      </c>
      <c r="O63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3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3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3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3" s="176">
        <f ca="1">Tabella245[[#This Row],[Federal taxes]]+Tabella245[[#This Row],[Cantonal taxes]]+Tabella245[[#This Row],[Comunal taxes]]</f>
        <v>36255.561335796105</v>
      </c>
      <c r="W63" s="27">
        <f ca="1">Tabella245[[#This Row],[Taxable salary]]</f>
        <v>180796.64471606095</v>
      </c>
      <c r="X63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3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3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3" s="27">
        <f ca="1">IF(Tabella1353[[#This Row],[Taxable salary]]&lt;$L$140,$M$139+((Tabella1353[[#This Row],[Taxable salary]]-$L$139)/100)*$N$139, IF(Tabella1353[[#This Row],[Taxable salary]]&lt;$L$141,M198+((Tabella1353[[#This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3" s="27">
        <f ca="1">IF(Tabella1353[[#This Row],[Taxable salary]]&lt;$L$159,Tabella1353[[#This Row],[Taxable salary]]*M216,IF(Tabella1353[[#This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3" s="27">
        <f ca="1">IF(Tabella1353[[#This Row],[Taxable salary]]&lt;$L$178,Tabella1353[[#This Row],[Taxable salary]]*M235,IF(Tabella1353[[#This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salary]]&gt;L252,Tabella1353[[#This Row],[Taxable salary]]*$M$194))))))))))))))))))</f>
        <v>7051.0691439263774</v>
      </c>
      <c r="AD63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3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3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3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3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salary]]*M360))))))))))))</f>
        <v>5243.1026967657681</v>
      </c>
      <c r="AI63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3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3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3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3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3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3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3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salary]]*$M$487,IF(K533&lt;$L$489,Tabella1353[[#This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3" s="27">
        <f ca="1">Tabella1353[[#This Row],[Taxable salary]]*$M$501</f>
        <v>3254.3396048890968</v>
      </c>
      <c r="AR63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3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3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3" s="27">
        <f ca="1">Tabella1353[[#This Row],[Taxable salary]]*$M$604</f>
        <v>12836.561774840327</v>
      </c>
      <c r="AV63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3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salary]]*M709)))))))))))))</f>
        <v>24407.547036668231</v>
      </c>
      <c r="AX63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4" spans="3:50">
      <c r="J64" s="80">
        <v>79</v>
      </c>
      <c r="K64" s="115">
        <f ca="1">'Income and Pension'!K80</f>
        <v>180796.64471606095</v>
      </c>
      <c r="L64" s="115">
        <f>SUM('Income and Pension'!$K153,'Partner Income and Pension'!L154)</f>
        <v>0</v>
      </c>
      <c r="M64" s="115">
        <f>SUM('Income and Pension'!$Q153,'Partner Income and Pension'!R154)</f>
        <v>0</v>
      </c>
      <c r="N64" s="115">
        <f>IF(SUMIF('CF Timeline'!$C$4:$BC$4,Tabella245[[#This Row],[Age]],'CF Timeline'!$C$43:$BC$43)&lt;7258, SUMIF('CF Timeline'!$C$4:$BC$4,Tabella245[[#This Row],[Age]],'CF Timeline'!$C$43:$BC$43), 7258)</f>
        <v>0</v>
      </c>
      <c r="O64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4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4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4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4" s="176">
        <f ca="1">Tabella245[[#This Row],[Federal taxes]]+Tabella245[[#This Row],[Cantonal taxes]]+Tabella245[[#This Row],[Comunal taxes]]</f>
        <v>36255.561335796105</v>
      </c>
      <c r="W64" s="27">
        <f ca="1">Tabella245[[#This Row],[Taxable salary]]</f>
        <v>180796.64471606095</v>
      </c>
      <c r="X64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4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4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4" s="27">
        <f ca="1">IF(Tabella1353[[#This Row],[Taxable salary]]&lt;$L$140,$M$139+((Tabella1353[[#This Row],[Taxable salary]]-$L$139)/100)*$N$139, IF(Tabella1353[[#This Row],[Taxable salary]]&lt;$L$141,M199+((Tabella1353[[#This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4" s="27">
        <f ca="1">IF(Tabella1353[[#This Row],[Taxable salary]]&lt;$L$159,Tabella1353[[#This Row],[Taxable salary]]*M217,IF(Tabella1353[[#This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4" s="27">
        <f ca="1">IF(Tabella1353[[#This Row],[Taxable salary]]&lt;$L$178,Tabella1353[[#This Row],[Taxable salary]]*M236,IF(Tabella1353[[#This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salary]]&gt;L253,Tabella1353[[#This Row],[Taxable salary]]*$M$194))))))))))))))))))</f>
        <v>7051.0691439263774</v>
      </c>
      <c r="AD64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4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4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4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4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salary]]*M361))))))))))))</f>
        <v>5243.1026967657681</v>
      </c>
      <c r="AI64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4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4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4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4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4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4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4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salary]]*$M$487,IF(K534&lt;$L$489,Tabella1353[[#This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4" s="27">
        <f ca="1">Tabella1353[[#This Row],[Taxable salary]]*$M$501</f>
        <v>3254.3396048890968</v>
      </c>
      <c r="AR64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4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4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4" s="27">
        <f ca="1">Tabella1353[[#This Row],[Taxable salary]]*$M$604</f>
        <v>12836.561774840327</v>
      </c>
      <c r="AV64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4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salary]]*M710)))))))))))))</f>
        <v>24407.547036668231</v>
      </c>
      <c r="AX64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5" spans="2:50">
      <c r="J65" s="80">
        <v>80</v>
      </c>
      <c r="K65" s="115">
        <f ca="1">'Income and Pension'!K81</f>
        <v>180796.64471606095</v>
      </c>
      <c r="L65" s="115">
        <f>SUM('Income and Pension'!$K154,'Partner Income and Pension'!L155)</f>
        <v>0</v>
      </c>
      <c r="M65" s="115">
        <f>SUM('Income and Pension'!$Q154,'Partner Income and Pension'!R155)</f>
        <v>0</v>
      </c>
      <c r="N65" s="115">
        <f>IF(SUMIF('CF Timeline'!$C$4:$BC$4,Tabella245[[#This Row],[Age]],'CF Timeline'!$C$43:$BC$43)&lt;7258, SUMIF('CF Timeline'!$C$4:$BC$4,Tabella245[[#This Row],[Age]],'CF Timeline'!$C$43:$BC$43), 7258)</f>
        <v>0</v>
      </c>
      <c r="O65" s="27">
        <f ca="1">Tabella245[[#This Row],[Salary and Pension]]-Tabella245[[#This Row],[1° Pillar deductions]]-Tabella245[[#This Row],[2° Pillar deductions]]-Tabella245[[#This Row],[3° Pillar deductions]]</f>
        <v>180796.64471606095</v>
      </c>
      <c r="P65" s="115">
        <f ca="1">IF(Tabella245[[#This Row],[Taxable salary]]&lt;=$C$16,$C$15,IF(Tabella245[[#This Row],[Taxable salary]]&lt;=$C$17,((Tabella245[[#This Row],[Taxable salary]]-$C$16)/$D$15)*$E$16,IF(Tabella245[[#This Row],[Taxable salary]]&lt;=$C$18,$D$17+((Tabella245[[#This Row],[Taxable salary]]-$C$17)/$D$15)*$E$17,IF(Tabella245[[#This Row],[Taxable salary]]&lt;=$C$19,$D$18+((Tabella245[[#This Row],[Taxable salary]]-$C$18)/$D$15)*$E$18,IF(Tabella245[[#This Row],[Taxable salary]]&lt;=$C$20,$D$19+((Tabella245[[#This Row],[Taxable salary]]-$C$19)/$D$15)*$E$19,IF(Tabella245[[#This Row],[Taxable salary]]&lt;=$C$21,$D$20+((Tabella245[[#This Row],[Taxable salary]]-$C$20)/$D$15)*$E$20,IF(Tabella245[[#This Row],[Taxable salary]]&lt;=$C$22,$D$21+((Tabella245[[#This Row],[Taxable salary]]-$C$21)/$D$15)*$E$21,IF(Tabella245[[#This Row],[Taxable salary]]&lt;=$C$23,$D$22+((Tabella245[[#This Row],[Taxable salary]]-$C$22)/$D$15)*$E$22,IF(Tabella245[[#This Row],[Taxable salary]]&lt;=$C$24,$D$23+((Tabella245[[#This Row],[Taxable salary]]-$C$23)/$D$15)*$E$23,IF(Tabella245[[#This Row],[Taxable salary]]&lt;=$C$25,$D$24+((Tabella245[[#This Row],[Taxable salary]]-$C$24)/$D$15)*$E$24,IF(Tabella245[[#This Row],[Taxable salary]]=$C$25,$D$25,IF(Tabella245[[#This Row],[Taxable salary]]&gt;=$C$26,$D$26+((Tabella245[[#This Row],[Taxable salary]]-$C$26)/$D$15)*$E$26))))))))))))</f>
        <v>10590.130918766705</v>
      </c>
      <c r="Q65" s="106">
        <f ca="1">IF($C$11="TI",Tabella1353[[#This Row],[TI]]*($E$7/100),IF($C$11="ZH",Tabella1353[[#This Row],[ZH]]*($E$7/100),IF($C$11="SG",Tabella1353[[#This Row],[SG]]*($E$7/100),IF($C$11="ZG",Tabella1353[[#This Row],[ZG]]*($E$7/100),IF($C$11="BE",Tabella1353[[#This Row],[BE]]*($E$7/100),IF($C$11="SZ",Tabella1353[[#This Row],[SZ]]*($E$7/100),IF($C$11="GR",Tabella1353[[#This Row],[GR]]*($E$7/100),IF($C$11="GE",Tabella1353[[#This Row],[GE]]*($E$7/100),IF($C$11="AG",Tabella1353[[#This Row],[AG]]*($E$7/100),IF($C$11="AI",Tabella1353[[#This Row],[AI]]*($E$7/100),IF($C$11="AR",Tabella1353[[#This Row],[AR]]*($E$7/100),IF($C$11="BL",Tabella1353[[#This Row],[BL]]*($E$7/100),IF($C$11="BS",Tabella1353[[#This Row],[BS]]*($E$7/100),IF($C$11="FR",Tabella1353[[#This Row],[FR]]*($E$7/100),IF($C$11="GL",Tabella1353[[#This Row],[GL]]*($E$7/100),IF($C$11="JU",Tabella1353[[#This Row],[JU]]*($E$7/100),IF($C$11="LU",Tabella1353[[#This Row],[LU]]*($E$7/100),IF($C$11="NE",Tabella1353[[#This Row],[NE]]*($E$7/100),IF($C$11="NW",Tabella1353[[#This Row],[NW]]*($E$7/100),IF($C$11="OW",Tabella1353[[#This Row],[OW]]*($E$7/100),IF($C$11="SH",Tabella1353[[#This Row],[SH]]*($E$7/100),IF($C$11="SO",Tabella1353[[#This Row],[SO]]*($E$7/100),IF($C$11="TG",Tabella1353[[#This Row],[TG]]*($E$7/100),IF($C$11="UR",Tabella1353[[#This Row],[UR]]*($E$7/100),IF($C$11="VD",Tabella1353[[#This Row],[VD]]*($E$7/100),IF($C$11="VS",Tabella1353[[#This Row],[VS Canton]]*($E$7/100)))))))))))))))))))))))))))</f>
        <v>14290.978300391371</v>
      </c>
      <c r="R65" s="115">
        <f ca="1">IF($C$11="TI",Tabella1353[[#This Row],[TI]]*($E$8/100),IF($C$11="ZH",Tabella1353[[#This Row],[ZH]]*($E$8/100),IF($C$11="SG",Tabella1353[[#This Row],[SG]]*($E$8/100),IF($C$11="ZG",Tabella1353[[#This Row],[ZG]]*($E$8/100),IF($C$11="BE",Tabella1353[[#This Row],[BE]]*($E$8/100),IF($C$11="SZ",Tabella1353[[#This Row],[SZ]]*($E$8/100),IF($C$11="GR",Tabella1353[[#This Row],[GR]]*($E$8/100),IF($C$11="GE",Tabella1353[[#This Row],[GE]]*($E$8/100),IF($C$11="AG",Tabella1353[[#This Row],[AG]]*($E$8/100),IF($C$11="AI",Tabella1353[[#This Row],[AI]]*($E$8/100),IF($C$11="AR",Tabella1353[[#This Row],[AR]]*($E$8/100),IF($C$11="BL",Tabella1353[[#This Row],[BL]]*($E$8/100),IF($C$11="BS",Tabella1353[[#This Row],[BS]]*($E$8/100),IF($C$11="FR",Tabella1353[[#This Row],[FR]]*($E$8/100),IF($C$11="GL",Tabella1353[[#This Row],[GL]]*($E$8/100),IF($C$11="JU",Tabella1353[[#This Row],[JU]]*($E$8/100),IF($C$11="LU",Tabella1353[[#This Row],[LU]]*($E$8/100),IF($C$11="NE",Tabella1353[[#This Row],[NE]]*($E$8/100),IF($C$11="NW",Tabella1353[[#This Row],[NW]]*($E$8/100),IF($C$11="OW",Tabella1353[[#This Row],[OW]]*($E$8/100),IF($C$11="SH",Tabella1353[[#This Row],[SH]]*($E$8/100),IF($C$11="SO",Tabella1353[[#This Row],[SO]]*($E$8/100),IF($C$11="TG",Tabella1353[[#This Row],[TG]]*($E$8/100),IF($C$11="UR",Tabella1353[[#This Row],[UR]]*($E$8/100),IF($C$11="VD",Tabella1353[[#This Row],[VD]]*($E$8/100),IF($C$11="VS",Tabella1353[[#This Row],[VS commun]]*($E$8/100)))))))))))))))))))))))))))</f>
        <v>11374.452116638031</v>
      </c>
      <c r="S65" s="176">
        <f ca="1">Tabella245[[#This Row],[Federal taxes]]+Tabella245[[#This Row],[Cantonal taxes]]+Tabella245[[#This Row],[Comunal taxes]]</f>
        <v>36255.561335796105</v>
      </c>
      <c r="W65" s="27">
        <f ca="1">Tabella245[[#This Row],[Taxable salary]]</f>
        <v>180796.64471606095</v>
      </c>
      <c r="X65" s="27">
        <f ca="1">IF(Tabella1353[[#This Row],[Taxable salary]]&lt;$L$83,$M$82, IF(Tabella1353[[#This Row],[Taxable salary]]&lt;$L$84,$M$83+((Tabella1353[[#This Row],[Taxable salary]]-$L$83)/100)*$N$83, IF(Tabella1353[[#This Row],[Taxable salary]]&lt;$L$85,$M$84+((Tabella1353[[#This Row],[Taxable salary]]-$L$84)/100)*$N$84, IF(Tabella1353[[#This Row],[Taxable salary]]&lt;$L$86,$M$85+((Tabella1353[[#This Row],[Taxable salary]]-$L$85)/100)*$N$85, IF(Tabella1353[[#This Row],[Taxable salary]]&lt;$L$87,$M$86+((Tabella1353[[#This Row],[Taxable salary]]-$L$86)/100)*$N$86,IF(Tabella1353[[#This Row],[Taxable salary]]&lt;$L$88,$M$87+((Tabella1353[[#This Row],[Taxable salary]]-$L$87)/100)*$N$87,IF(Tabella1353[[#This Row],[Taxable salary]]&lt;$L$89,$M$88+((Tabella1353[[#This Row],[Taxable salary]]-$L$88)/100)*$N$88,IF(Tabella1353[[#This Row],[Taxable salary]]&lt;$L$90,$M$89+((Tabella1353[[#This Row],[Taxable salary]]-$L$89)/100)*$N$89,IF(Tabella1353[[#This Row],[Taxable salary]]&lt;$L$91,$M$90+((Tabella1353[[#This Row],[Taxable salary]]-$L$90)/100)*$N$90,IF(Tabella1353[[#This Row],[Taxable salary]]&lt;$L$92,$M$91+((Tabella1353[[#This Row],[Taxable salary]]-$L$91)/100)*$N$91,IF(Tabella1353[[#This Row],[Taxable salary]]&lt;$L$93,$M$92+((Tabella1353[[#This Row],[Taxable salary]]-$L$92)/100)*$N$92,IF(Tabella1353[[#This Row],[Taxable salary]]&lt;$L$94,$M$93+((Tabella1353[[#This Row],[Taxable salary]]-$L$93)/100)*$N$93,IF(Tabella1353[[#This Row],[Taxable salary]]&lt;$L$95,$M$94+((Tabella1353[[#This Row],[Taxable salary]]-$L$94)/100)*$N$94,IF(Tabella1353[[#This Row],[Taxable salary]]&lt;$L$96,$M$95+((Tabella1353[[#This Row],[Taxable salary]]-$L$95)/100)*$N$95, IF(Tabella1353[[#This Row],[Taxable salary]]&gt;=$L$96,$M$96+((Tabella1353[[#This Row],[Taxable salary]]-$L$96)/100)*$N$96)))))))))))))))</f>
        <v>19358.60112886077</v>
      </c>
      <c r="Y65" s="27">
        <f ca="1">IF(Tabella1353[[#This Row],[Taxable salary]]&lt;$L$102,$M$101,IF(Tabella1353[[#This Row],[Taxable salary]]&lt;$L$103,$M$102+((Tabella1353[[#This Row],[Taxable salary]]-$L$102)/100)*$N$102,IF(Tabella1353[[#This Row],[Taxable salary]]&lt;$L$104,$M$103+((Tabella1353[[#This Row],[Taxable salary]]-$L$103)/100)*$N$103,IF(Tabella1353[[#This Row],[Taxable salary]]&lt;$L$105,$M$104+((Tabella1353[[#This Row],[Taxable salary]]-$L$104)/100)*$N$104,IF(Tabella1353[[#This Row],[Taxable salary]]&lt;$L$106,$M$105+((Tabella1353[[#This Row],[Taxable salary]]-$L$105)/100)*$N$105,IF(Tabella1353[[#This Row],[Taxable salary]]&lt;$L$107,$M$106+((Tabella1353[[#This Row],[Taxable salary]]-$L$106)/100)*$N$106,IF(Tabella1353[[#This Row],[Taxable salary]]&lt;$L$108,$M$107+((Tabella1353[[#This Row],[Taxable salary]]-$L$107)/100)*$N$107,IF(Tabella1353[[#This Row],[Taxable salary]]&lt;$L$109,$M$108+((Tabella1353[[#This Row],[Taxable salary]]-$L$108)/100)*$N$108,IF(Tabella1353[[#This Row],[Taxable salary]]&lt;$L$110,$M$109+((Tabella1353[[#This Row],[Taxable salary]]-$L$109)/100)*$N$109,IF(Tabella1353[[#This Row],[Taxable salary]]&lt;$L$111,$M$110+((Tabella1353[[#This Row],[Taxable salary]]-$L$110)/100)*$N$110,IF(Tabella1353[[#This Row],[Taxable salary]]&lt;$L$112,$M$111+((Tabella1353[[#This Row],[Taxable salary]]-$L$111)/100)*$N$111,IF(Tabella1353[[#This Row],[Taxable salary]]&lt;$L$113,$M$112+((Tabella1353[[#This Row],[Taxable salary]]-$L$112)/100)*$N$112,IF(Tabella1353[[#This Row],[Taxable salary]]&gt;=$L$113,$M$113+((Tabella1353[[#This Row],[Taxable salary]]-$L$113)/100)*$N$113)))))))))))))</f>
        <v>14582.630918766705</v>
      </c>
      <c r="Z65" s="27">
        <f ca="1">IF(Tabella1353[[#This Row],[Taxable salary]]&lt;$L$121,Tabella1353[[#This Row],[Taxable salary]]*0,IF(Tabella1353[[#This Row],[Taxable salary]]&lt;$L$122,Tabella1353[[#This Row],[Taxable salary]]*$M$121, IF(Tabella1353[[#This Row],[Taxable salary]]&lt;$L$123,Tabella1353[[#This Row],[Taxable salary]]*$M$122,IF(Tabella1353[[#This Row],[Taxable salary]]&lt;$L$124,Tabella1353[[#This Row],[Taxable salary]]*$M$123,IF(Tabella1353[[#This Row],[Taxable salary]]&lt;$L$125,Tabella1353[[#This Row],[Taxable salary]]*$M$124,IF(Tabella1353[[#This Row],[Taxable salary]]&lt;$L$126,Tabella1353[[#This Row],[Taxable salary]]*$M$125,IF(Tabella1353[[#This Row],[Taxable salary]]&gt;$L$126,Tabella1353[[#This Row],[Taxable salary]]*$M$126)))))))</f>
        <v>16994.884603309729</v>
      </c>
      <c r="AA65" s="27">
        <f ca="1">IF(Tabella1353[[#This Row],[Taxable salary]]&lt;$L$140,$M$139+((Tabella1353[[#This Row],[Taxable salary]]-$L$139)/100)*$N$139, IF(Tabella1353[[#This Row],[Taxable salary]]&lt;$L$141,M200+((Tabella1353[[#This Row],[Taxable salary]]-$L$140)/100)*$N$140, IF(Tabella1353[[#This Row],[Taxable salary]]&lt;$L$142,$M$141+((Tabella1353[[#This Row],[Taxable salary]]-$L$141)/100)*$N$141, IF(Tabella1353[[#This Row],[Taxable salary]]&lt;$L$143,$M$142+((Tabella1353[[#This Row],[Taxable salary]]-$L$142)/100)*$N$142, IF(Tabella1353[[#This Row],[Taxable salary]]&lt;$L$144,$M$143+((Tabella1353[[#This Row],[Taxable salary]]-$L$143)/100)*$N$143,IF(Tabella1353[[#This Row],[Taxable salary]]&lt;$L$145,$M$144+((Tabella1353[[#This Row],[Taxable salary]]-$L$144)/100)*$N$144,IF(Tabella1353[[#This Row],[Taxable salary]]&lt;$L$146,$M$145+((Tabella1353[[#This Row],[Taxable salary]]-$L$145)/100)*$N$145,IF(Tabella1353[[#This Row],[Taxable salary]]&lt;$L$147,$M$146+((Tabella1353[[#This Row],[Taxable salary]]-$L$146)/100)*$N$146,IF(Tabella1353[[#This Row],[Taxable salary]]&lt;$L$148,$M$147+((Tabella1353[[#This Row],[Taxable salary]]-$L$147)/100)*$N$147,IF(Tabella1353[[#This Row],[Taxable salary]]&lt;$L$149,$M$148+((Tabella1353[[#This Row],[Taxable salary]]-$L$148)/100)*$N$148,IF(Tabella1353[[#This Row],[Taxable salary]]&lt;$L$150,$M$149+((Tabella1353[[#This Row],[Taxable salary]]-$L$149)/100)*$N$149,IF(Tabella1353[[#This Row],[Taxable salary]]&lt;$L$151,$M$150+((Tabella1353[[#This Row],[Taxable salary]]-$L$150)/100)*$N$150,IF(Tabella1353[[#This Row],[Taxable salary]]&lt;$L$152,$M$151+((Tabella1353[[#This Row],[Taxable salary]]-$L$151)/100)*$N$151,IF(Tabella1353[[#This Row],[Taxable salary]]&lt;$L$153,$M$152+((Tabella1353[[#This Row],[Taxable salary]]-$L$152)/100)*$N$152, IF(Tabella1353[[#This Row],[Taxable salary]]&gt;=$L$153,$M$153+((Tabella1353[[#This Row],[Taxable salary]]-$L$153)/100)*$N$153)))))))))))))))</f>
        <v>12820.731577284876</v>
      </c>
      <c r="AB65" s="27">
        <f ca="1">IF(Tabella1353[[#This Row],[Taxable salary]]&lt;$L$159,Tabella1353[[#This Row],[Taxable salary]]*M218,IF(Tabella1353[[#This Row],[Taxable salary]]&lt;$L$160,Tabella1353[[#This Row],[Taxable salary]]*$M$159,IF(Tabella1353[[#This Row],[Taxable salary]]&lt;$L$161,Tabella1353[[#This Row],[Taxable salary]]*$M$160,IF(Tabella1353[[#This Row],[Taxable salary]]&lt;$L$162,Tabella1353[[#This Row],[Taxable salary]]*$M$161,IF(Tabella1353[[#This Row],[Taxable salary]]&lt;$L$163,Tabella1353[[#This Row],[Taxable salary]]*$M$162,IF(Tabella1353[[#This Row],[Taxable salary]]&lt;$L$164,Tabella1353[[#This Row],[Taxable salary]]*$M$163,IF(Tabella1353[[#This Row],[Taxable salary]]&lt;$L$165,Tabella1353[[#This Row],[Taxable salary]]*$M$164,IF(Tabella1353[[#This Row],[Taxable salary]]&lt;$L$166,Tabella1353[[#This Row],[Taxable salary]]*$M$165,IF(Tabella1353[[#This Row],[Taxable salary]]&lt;$L$167,Tabella1353[[#This Row],[Taxable salary]]*$M$166,IF(Tabella1353[[#This Row],[Taxable salary]]&lt;$L$168,Tabella1353[[#This Row],[Taxable salary]]*$M$167,IF(Tabella1353[[#This Row],[Taxable salary]]&lt;$L$169,Tabella1353[[#This Row],[Taxable salary]]*$M$168,IF(Tabella1353[[#This Row],[Taxable salary]]&lt;$L$170,Tabella1353[[#This Row],[Taxable salary]]*$M$169,IF(Tabella1353[[#This Row],[Taxable salary]]&lt;$L$171,Tabella1353[[#This Row],[Taxable salary]]*$M$170,IF(Tabella1353[[#This Row],[Taxable salary]]&gt;$L$171,Tabella1353[[#This Row],[Taxable salary]]*$M$171))))))))))))))</f>
        <v>10938.197005321686</v>
      </c>
      <c r="AC65" s="27">
        <f ca="1">IF(Tabella1353[[#This Row],[Taxable salary]]&lt;$L$178,Tabella1353[[#This Row],[Taxable salary]]*M237,IF(Tabella1353[[#This Row],[Taxable salary]]&lt;$L$179,Tabella1353[[#This Row],[Taxable salary]]*$M$178,IF(Tabella1353[[#This Row],[Taxable salary]]&lt;$L$180,Tabella1353[[#This Row],[Taxable salary]]*$M$179,IF(Tabella1353[[#This Row],[Taxable salary]]&lt;$L$181,Tabella1353[[#This Row],[Taxable salary]]*$M$180,IF(Tabella1353[[#This Row],[Taxable salary]]&lt;$L$182,Tabella1353[[#This Row],[Taxable salary]]*$M$181,IF(Tabella1353[[#This Row],[Taxable salary]]&lt;$L$183,Tabella1353[[#This Row],[Taxable salary]]*$M$182,IF(Tabella1353[[#This Row],[Taxable salary]]&lt;$L$184,Tabella1353[[#This Row],[Taxable salary]]*$M$183,IF(Tabella1353[[#This Row],[Taxable salary]]&lt;$L$185,Tabella1353[[#This Row],[Taxable salary]]*$M$184,IF(Tabella1353[[#This Row],[Taxable salary]]&lt;$L$186,Tabella1353[[#This Row],[Taxable salary]]*$M$185,IF(Tabella1353[[#This Row],[Taxable salary]]&lt;$L$187,Tabella1353[[#This Row],[Taxable salary]]*$M$186,IF(Tabella1353[[#This Row],[Taxable salary]]&lt;$L$188,Tabella1353[[#This Row],[Taxable salary]]*$M$187,IF(Tabella1353[[#This Row],[Taxable salary]]&lt;$L$189,Tabella1353[[#This Row],[Taxable salary]]*$M$188,IF(Tabella1353[[#This Row],[Taxable salary]]&lt;$L$190,Tabella1353[[#This Row],[Taxable salary]]*$M$189,IF(Tabella1353[[#This Row],[Taxable salary]]&lt;$L$191,Tabella1353[[#This Row],[Taxable salary]]*$M$190,IF(Tabella1353[[#This Row],[Taxable salary]]&lt;$L$192,Tabella1353[[#This Row],[Taxable salary]]*$M$191,IF(Tabella1353[[#This Row],[Taxable salary]]&lt;$L$193,Tabella1353[[#This Row],[Taxable salary]]*$M$192,IF(Tabella1353[[#This Row],[Taxable salary]]&lt;$L$194,Tabella1353[[#This Row],[Taxable salary]]*$M$193,IF(Tabella1353[[#This Row],[Taxable salary]]&gt;L254,Tabella1353[[#This Row],[Taxable salary]]*$M$194))))))))))))))))))</f>
        <v>7051.0691439263774</v>
      </c>
      <c r="AD65" s="27">
        <f ca="1">IF(Tabella1353[[#This Row],[Taxable salary]]&lt;$L$200,$M$199,IF(Tabella1353[[#This Row],[Taxable salary]]&lt;$L$201,$M$200+((Tabella1353[[#This Row],[Taxable salary]]-$L$200)/100)*$N$200,IF(Tabella1353[[#This Row],[Taxable salary]]&lt;$L$202,$M$201+((Tabella1353[[#This Row],[Taxable salary]]-$L$201)/100)*$N$201,IF(Tabella1353[[#This Row],[Taxable salary]]&lt;$L$203,$M$202+((Tabella1353[[#This Row],[Taxable salary]]-$L$202)/100)*$N$202,IF(Tabella1353[[#This Row],[Taxable salary]]&lt;$L$204,$M$203+((Tabella1353[[#This Row],[Taxable salary]]-$L$203)/100)*$N$203,IF(Tabella1353[[#This Row],[Taxable salary]]&lt;$L$205,$M$204+((Tabella1353[[#This Row],[Taxable salary]]-$L$204)/100)*$N$204,IF(Tabella1353[[#This Row],[Taxable salary]]&lt;$L$206,$M$205+((Tabella1353[[#This Row],[Taxable salary]]-$L$205)/100)*$N$205,IF(Tabella1353[[#This Row],[Taxable salary]]&lt;$L$207,$M$206+((Tabella1353[[#This Row],[Taxable salary]]-$L$206)/100)*$N$206,IF(Tabella1353[[#This Row],[Taxable salary]]&lt;$L$208,$M$207+((Tabella1353[[#This Row],[Taxable salary]]-$L$207)/100)*$N$207,IF(Tabella1353[[#This Row],[Taxable salary]]&lt;$L$209,$M$208+((Tabella1353[[#This Row],[Taxable salary]]-$L$208)/100)*$N$208,IF(Tabella1353[[#This Row],[Taxable salary]]&lt;$L$210,$M$209+((Tabella1353[[#This Row],[Taxable salary]]-$L$209)/100)*$N$209,IF(Tabella1353[[#This Row],[Taxable salary]]&lt;$L$211,$M$210+((Tabella1353[[#This Row],[Taxable salary]]-$L$210)/100)*$N$210,IF(Tabella1353[[#This Row],[Taxable salary]]&lt;$L$212,$M$211+((Tabella1353[[#This Row],[Taxable salary]]-$L$211)/100)*$N$211,IF(Tabella1353[[#This Row],[Taxable salary]]&lt;$L$213,$M$212+((Tabella1353[[#This Row],[Taxable salary]]-$L$212)/100)*$N$212,IF(Tabella1353[[#This Row],[Taxable salary]]&lt;$L$213,$M$212+((Tabella1353[[#This Row],[Taxable salary]]-$L$212)/100)*$N$212,IF(Tabella1353[[#This Row],[Taxable salary]]&lt;$L$214,$M$213+((Tabella1353[[#This Row],[Taxable salary]]-$L$213)/100)*$N$213,IF(Tabella1353[[#This Row],[Taxable salary]]&lt;$L$215,$M$214+((Tabella1353[[#This Row],[Taxable salary]]-$L$214)/100)*$N$214,IF(Tabella1353[[#This Row],[Taxable salary]]&lt;$L$216,$M$215+((Tabella1353[[#This Row],[Taxable salary]]-$L$215)/100)*$N$215,IF(Tabella1353[[#This Row],[Taxable salary]]&lt;$L$217,$M$216+((Tabella1353[[#This Row],[Taxable salary]]-$L$216)/100)*$N$216,IF(Tabella1353[[#This Row],[Taxable salary]]&lt;$L$218,$M$217+((Tabella1353[[#This Row],[Taxable salary]]-$L$217)/100)*$N$217,IF(Tabella1353[[#This Row],[Taxable salary]]&gt;=$L$218,$M$218+((Tabella1353[[#This Row],[Taxable salary]]-$L$218)/100)*$N$218)))))))))))))))))))))</f>
        <v>17073.464208198828</v>
      </c>
      <c r="AE65" s="27">
        <f ca="1">IF(Tabella1353[[#This Row],[Taxable salary]]&lt;$L$224,$M$223,IF(Tabella1353[[#This Row],[Taxable salary]]&lt;$L$225,$M$224+((Tabella1353[[#This Row],[Taxable salary]]-$L$224)/100)*$N$224,IF(Tabella1353[[#This Row],[Taxable salary]]&lt;$L$226,$M$225+((Tabella1353[[#This Row],[Taxable salary]]-$L$225)/100)*$N$225,IF(Tabella1353[[#This Row],[Taxable salary]]&lt;$L$227,$M$226+((Tabella1353[[#This Row],[Taxable salary]]-$L$226)/100)*$N$226,IF(Tabella1353[[#This Row],[Taxable salary]]&lt;$L$228,$M$227+((Tabella1353[[#This Row],[Taxable salary]]-$L$227)/100)*$N$227,IF(Tabella1353[[#This Row],[Taxable salary]]&lt;$L$229,$M$228+((Tabella1353[[#This Row],[Taxable salary]]-$L$228)/100)*$N$228,IF(Tabella1353[[#This Row],[Taxable salary]]&lt;$L$230,$M$229+((Tabella1353[[#This Row],[Taxable salary]]-$L$229)/100)*$N$229,IF(Tabella1353[[#This Row],[Taxable salary]]&lt;$L$231,$M$230+((Tabella1353[[#This Row],[Taxable salary]]-$L$230)/100)*$N$230,IF(Tabella1353[[#This Row],[Taxable salary]]&lt;$L$232,$M$231+((Tabella1353[[#This Row],[Taxable salary]]-$L$231)/100)*$N$231,IF(Tabella1353[[#This Row],[Taxable salary]]&lt;$L$233,$M$232+((Tabella1353[[#This Row],[Taxable salary]]-$L$232)/100)*$N$232,IF(Tabella1353[[#This Row],[Taxable salary]]&lt;$L$234,$M$233+((Tabella1353[[#This Row],[Taxable salary]]-$L$233)/100)*$N$233,IF(Tabella1353[[#This Row],[Taxable salary]]&lt;$L$235,$M$234+((Tabella1353[[#This Row],[Taxable salary]]-$L$234)/100)*$N$234,IF(Tabella1353[[#This Row],[Taxable salary]]&lt;$L$236,$M$235+((Tabella1353[[#This Row],[Taxable salary]]-$L$235)/100)*$N$235,IF(Tabella1353[[#This Row],[Taxable salary]]&lt;$L$237,$M$236+((Tabella1353[[#This Row],[Taxable salary]]-$L$236)/100)*$N$236,IF(Tabella1353[[#This Row],[Taxable salary]]&lt;$L$238,$M$237+((Tabella1353[[#This Row],[Taxable salary]]-$L$237)/100)*$N$237,IF(Tabella1353[[#This Row],[Taxable salary]]&lt;$L$239,$M$238+((Tabella1353[[#This Row],[Taxable salary]]-$L$238)/100)*$N$238,IF(Tabella1353[[#This Row],[Taxable salary]]&lt;$L$240,$M$239+((Tabella1353[[#This Row],[Taxable salary]]-$L$239)/100)*$N$239,IF(Tabella1353[[#This Row],[Taxable salary]]&gt;=$L$240,$M$240+((Tabella1353[[#This Row],[Taxable salary]]-$L$240)/100)*$N$240))))))))))))))))))</f>
        <v>24278.661378150056</v>
      </c>
      <c r="AF65" s="27">
        <f ca="1">IF(Tabella1353[[#This Row],[Taxable salary]]&lt;$L$248,Tabella1353[[#This Row],[Taxable salary]]*$M$247,IF(Tabella1353[[#This Row],[Taxable salary]]&lt;$L$249,Tabella1353[[#This Row],[Taxable salary]]*$M$248,IF(Tabella1353[[#This Row],[Taxable salary]]&lt;$L$250,Tabella1353[[#This Row],[Taxable salary]]*$M$249,IF(Tabella1353[[#This Row],[Taxable salary]]&lt;$L$251,Tabella1353[[#This Row],[Taxable salary]]*$M$250,IF(Tabella1353[[#This Row],[Taxable salary]]&lt;$L$252,Tabella1353[[#This Row],[Taxable salary]]*$M$251,IF(Tabella1353[[#This Row],[Taxable salary]]&lt;$L$253,Tabella1353[[#This Row],[Taxable salary]]*$M$252,IF(Tabella1353[[#This Row],[Taxable salary]]&lt;$L$254,Tabella1353[[#This Row],[Taxable salary]]*$M$253,IF(Tabella1353[[#This Row],[Taxable salary]]&lt;$L$255,Tabella1353[[#This Row],[Taxable salary]]*$M$254,IF(Tabella1353[[#This Row],[Taxable salary]]&lt;$L$256,Tabella1353[[#This Row],[Taxable salary]]*$M$255,IF(Tabella1353[[#This Row],[Taxable salary]]&lt;$L$257,Tabella1353[[#This Row],[Taxable salary]]*$M$256,IF(Tabella1353[[#This Row],[Taxable salary]]&lt;$L$258,Tabella1353[[#This Row],[Taxable salary]]*$M$257,IF(Tabella1353[[#This Row],[Taxable salary]]&lt;$L$259,Tabella1353[[#This Row],[Taxable salary]]*$M$258,IF(Tabella1353[[#This Row],[Taxable salary]]&lt;$L$260,Tabella1353[[#This Row],[Taxable salary]]*$M$259,IF(Tabella1353[[#This Row],[Taxable salary]]&lt;$L$261,Tabella1353[[#This Row],[Taxable salary]]*$M$260,IF(Tabella1353[[#This Row],[Taxable salary]]&gt;$L$261,Tabella1353[[#This Row],[Taxable salary]]*$M$261)))))))))))))))</f>
        <v>18983.647695186399</v>
      </c>
      <c r="AG65" s="27">
        <f ca="1">IF(Tabella1353[[#This Row],[Taxable salary]]&lt;$L$270,Tabella1353[[#This Row],[Taxable salary]]*$M$269,IF(Tabella1353[[#This Row],[Taxable salary]]&lt;$L$271,Tabella1353[[#This Row],[Taxable salary]]*$M$270,IF(Tabella1353[[#This Row],[Taxable salary]]&lt;$L$272,Tabella1353[[#This Row],[Taxable salary]]*$M$271,IF(Tabella1353[[#This Row],[Taxable salary]]&lt;$L$273,Tabella1353[[#This Row],[Taxable salary]]*$M$272,IF(Tabella1353[[#This Row],[Taxable salary]]&lt;$L$274,Tabella1353[[#This Row],[Taxable salary]]*$M$273,IF(Tabella1353[[#This Row],[Taxable salary]]&lt;$L$275,Tabella1353[[#This Row],[Taxable salary]]*$M$274,IF(Tabella1353[[#This Row],[Taxable salary]]&lt;$L$276,Tabella1353[[#This Row],[Taxable salary]]*$M$275,IF(Tabella1353[[#This Row],[Taxable salary]]&lt;$L$277,Tabella1353[[#This Row],[Taxable salary]]*$M$276,IF(Tabella1353[[#This Row],[Taxable salary]]&lt;$L$278,Tabella1353[[#This Row],[Taxable salary]]*$M$277,IF(Tabella1353[[#This Row],[Taxable salary]]&lt;$L$279,Tabella1353[[#This Row],[Taxable salary]]*$M$278,IF(Tabella1353[[#This Row],[Taxable salary]]&lt;$L$280,Tabella1353[[#This Row],[Taxable salary]]*$M$279,IF(Tabella1353[[#This Row],[Taxable salary]]&lt;$L$281,Tabella1353[[#This Row],[Taxable salary]]*$M$280,IF(Tabella1353[[#This Row],[Taxable salary]]&lt;$L$282,Tabella1353[[#This Row],[Taxable salary]]*$M$281,IF(Tabella1353[[#This Row],[Taxable salary]]&gt;$L$282,Tabella1353[[#This Row],[Taxable salary]]*$M$282))))))))))))))</f>
        <v>15367.714800865182</v>
      </c>
      <c r="AH65" s="27">
        <f ca="1">IF(Tabella1353[[#This Row],[Taxable salary]]&lt;$L$292,Tabella1353[[#This Row],[Taxable salary]]*$M$291,IF(Tabella1353[[#This Row],[Taxable salary]]&lt;$L$293,Tabella1353[[#This Row],[Taxable salary]]*$M$292,IF(Tabella1353[[#This Row],[Taxable salary]]&lt;$L$294,Tabella1353[[#This Row],[Taxable salary]]*$M$293,IF(Tabella1353[[#This Row],[Taxable salary]]&lt;$L$295,Tabella1353[[#This Row],[Taxable salary]]*$M$294,IF(Tabella1353[[#This Row],[Taxable salary]]&lt;$L$296,Tabella1353[[#This Row],[Taxable salary]]*$M$295,IF(Tabella1353[[#This Row],[Taxable salary]]&lt;$L$297,Tabella1353[[#This Row],[Taxable salary]]*$M$296,IF(Tabella1353[[#This Row],[Taxable salary]]&lt;$L$298,Tabella1353[[#This Row],[Taxable salary]]*$M$297,IF(Tabella1353[[#This Row],[Taxable salary]]&lt;$L$299,Tabella1353[[#This Row],[Taxable salary]]*$M$298,IF(Tabella1353[[#This Row],[Taxable salary]]&lt;$L$300,Tabella1353[[#This Row],[Taxable salary]]*$M$299,IF(Tabella1353[[#This Row],[Taxable salary]]&lt;$L$301,Tabella1353[[#This Row],[Taxable salary]]*$M$300,IF(Tabella1353[[#This Row],[Taxable salary]]&lt;$L$302,Tabella1353[[#This Row],[Taxable salary]]*$M$301,IF(Tabella1353[[#This Row],[Taxable salary]]&gt;$L$302,Tabella1353[[#This Row],[Taxable salary]]*M362))))))))))))</f>
        <v>5243.1026967657681</v>
      </c>
      <c r="AI65" s="27">
        <f ca="1">IF(Tabella1353[[#This Row],[Taxable salary]]&lt;=0,0,IF(Tabella1353[[#This Row],[Taxable salary]]&lt;=16500,
-0.826281*Tabella1353[[#This Row],[Taxable salary]]+0.08972*Tabella1353[[#This Row],[Taxable salary]]*(LOG(Tabella1353[[#This Row],[Taxable salary]])-1)+818.725099,IF(Tabella1353[[#This Row],[Taxable salary]]&lt;=44000,
-0.327919*Tabella1353[[#This Row],[Taxable salary]]+0.043109*Tabella1353[[#This Row],[Taxable salary]]*(LOG(Tabella1353[[#This Row],[Taxable salary]])-1)+(-1232.14815),IF(Tabella1353[[#This Row],[Taxable salary]]&lt;=1265000,
0.051298*Tabella1353[[#This Row],[Taxable salary]]+0.010441*Tabella1353[[#This Row],[Taxable salary]]*(LOG(Tabella1353[[#This Row],[Taxable salary]])-1)+(-4825.535525),IF(Tabella1353[[#This Row],[Taxable salary]]&gt;1265000,
232436.77+0.1862*(Tabella1353[[#This Row],[Taxable salary]]-1265000))))))</f>
        <v>12485.259506099999</v>
      </c>
      <c r="AJ65" s="27">
        <f ca="1">IF(Tabella1353[[#This Row],[Taxable salary]]&lt;$L$336,Tabella1353[[#This Row],[Taxable salary]]*$N$335,IF(Tabella1353[[#This Row],[Taxable salary]]&lt;$L$337,$M$336+((Tabella1353[[#This Row],[Taxable salary]]-$L$336)/100)*$N$336,IF(Tabella1353[[#This Row],[Taxable salary]]&gt;=$L$337,$M$337+((Tabella1353[[#This Row],[Taxable salary]]-$L$336)/100)*$N$337)))</f>
        <v>37967.295390372798</v>
      </c>
      <c r="AK65" s="27">
        <f ca="1">IF(Tabella1353[[#This Row],[Taxable salary]]&lt;$L$355,Tabella1353[[#This Row],[Taxable salary]]*$M$354,IF(Tabella1353[[#This Row],[Taxable salary]]&lt;$L$356,Tabella1353[[#This Row],[Taxable salary]]*$M$355,IF(Tabella1353[[#This Row],[Taxable salary]]&lt;$L$357,Tabella1353[[#This Row],[Taxable salary]]*$M$356,IF(Tabella1353[[#This Row],[Taxable salary]]&lt;$L$358,Tabella1353[[#This Row],[Taxable salary]]*$M$357,IF(Tabella1353[[#This Row],[Taxable salary]]&lt;$L$359,Tabella1353[[#This Row],[Taxable salary]]*$M$358,IF(Tabella1353[[#This Row],[Taxable salary]]&lt;$L$360,Tabella1353[[#This Row],[Taxable salary]]*$M$359,IF(Tabella1353[[#This Row],[Taxable salary]]&lt;$L$361,Tabella1353[[#This Row],[Taxable salary]]*$M$360,IF(Tabella1353[[#This Row],[Taxable salary]]&lt;$L$362,Tabella1353[[#This Row],[Taxable salary]]*$M$361,IF(Tabella1353[[#This Row],[Taxable salary]]&lt;$L$363,Tabella1353[[#This Row],[Taxable salary]]*$M$362,IF(Tabella1353[[#This Row],[Taxable salary]]&lt;$L$364,Tabella1353[[#This Row],[Taxable salary]]*$M$363,IF(Tabella1353[[#This Row],[Taxable salary]]&lt;$L$365,Tabella1353[[#This Row],[Taxable salary]]*$M$364,IF(Tabella1353[[#This Row],[Taxable salary]]&gt;$L$365,Tabella1353[[#This Row],[Taxable salary]]*$M$365))))))))))))</f>
        <v>22671.899247394045</v>
      </c>
      <c r="AL65" s="27">
        <f ca="1">IF(Tabella1353[[#This Row],[Taxable salary]]&lt;$L$377,$M$376,IF(Tabella1353[[#This Row],[Taxable salary]]&lt;$L$378,$M$377+((Tabella1353[[#This Row],[Taxable salary]]-$L$377)/100)*$N$377,IF(Tabella1353[[#This Row],[Taxable salary]]&lt;$L$379,$M$378+((Tabella1353[[#This Row],[Taxable salary]]-$L$378)/100)*$N$378,IF(Tabella1353[[#This Row],[Taxable salary]]&lt;$L$380,$M$379+((Tabella1353[[#This Row],[Taxable salary]]-$L$379)/100)*$N$379,IF(Tabella1353[[#This Row],[Taxable salary]]&lt;$L$381,$M$380+((Tabella1353[[#This Row],[Taxable salary]]-$L$380)/100)*$N$380,IF(Tabella1353[[#This Row],[Taxable salary]]&lt;$L$382,$M$381+((Tabella1353[[#This Row],[Taxable salary]]-$L$381)/100)*$N$381,IF(Tabella1353[[#This Row],[Taxable salary]]&lt;$L$383,$M$382+((Tabella1353[[#This Row],[Taxable salary]]-$L$382)/100)*$N$382,IF(Tabella1353[[#This Row],[Taxable salary]]&lt;$L$384,$M$383+((Tabella1353[[#This Row],[Taxable salary]]-$L$383)/100)*$N$383,IF(Tabella1353[[#This Row],[Taxable salary]]&lt;$L$385,$M$384+((Tabella1353[[#This Row],[Taxable salary]]-$L$384)/100)*$N$384,IF(Tabella1353[[#This Row],[Taxable salary]]&gt;=$L$385,$M$385+((Tabella1353[[#This Row],[Taxable salary]]-$L$385)/100)*$N$385))))))))))</f>
        <v>25281.412825310668</v>
      </c>
      <c r="AM65" s="27">
        <f ca="1">IF(Tabella1353[[#This Row],[Taxable salary]]&lt;$L$401,Tabella1353[[#This Row],[Taxable salary]]*$M$400,IF(Tabella1353[[#This Row],[Taxable salary]]&lt;$L$402,Tabella1353[[#This Row],[Taxable salary]]*$M$401,IF(Tabella1353[[#This Row],[Taxable salary]]&lt;$L$403,Tabella1353[[#This Row],[Taxable salary]]*$M$402,IF(Tabella1353[[#This Row],[Taxable salary]]&lt;$L$404,Tabella1353[[#This Row],[Taxable salary]]*$M$403,IF(Tabella1353[[#This Row],[Taxable salary]]&lt;$L$405,Tabella1353[[#This Row],[Taxable salary]]*$M$404,IF(Tabella1353[[#This Row],[Taxable salary]]&lt;$L$406,Tabella1353[[#This Row],[Taxable salary]]*$M$405,IF(Tabella1353[[#This Row],[Taxable salary]]&gt;$L$406,Tabella1353[[#This Row],[Taxable salary]]*$M$406)))))))</f>
        <v>10052.293446212989</v>
      </c>
      <c r="AN65" s="27">
        <f ca="1">IF(Tabella1353[[#This Row],[Taxable salary]]&lt;$L$423,$M$422,IF(Tabella1353[[#This Row],[Taxable salary]]&lt;$L$424,$M$423+((Tabella1353[[#This Row],[Taxable salary]]-$L$423)/100)*$N$423,IF(Tabella1353[[#This Row],[Taxable salary]]&lt;$L$425,$M$424+((Tabella1353[[#This Row],[Taxable salary]]-$L$424)/100)*$N$424,IF(Tabella1353[[#This Row],[Taxable salary]]&lt;$L$426,$M$425+((Tabella1353[[#This Row],[Taxable salary]]-$L$425)/100)*$N$425,IF(Tabella1353[[#This Row],[Taxable salary]]&lt;$L$427,$M$426+((Tabella1353[[#This Row],[Taxable salary]]-$L$426)/100)*$N$426,IF(Tabella1353[[#This Row],[Taxable salary]]&lt;$L$428,$M$427+((Tabella1353[[#This Row],[Taxable salary]]-$L$427)/100)*$N$427,IF(Tabella1353[[#This Row],[Taxable salary]]&lt;$L$429,$M$428+((Tabella1353[[#This Row],[Taxable salary]]-$L$428)/100)*$N$428,IF(Tabella1353[[#This Row],[Taxable salary]]&lt;$L$430,$M$429+((Tabella1353[[#This Row],[Taxable salary]]-$L$429)/100)*$N$429,IF(Tabella1353[[#This Row],[Taxable salary]]&lt;$L$431,$M$430+((Tabella1353[[#This Row],[Taxable salary]]-$L$430)/100)*$N$430,IF(Tabella1353[[#This Row],[Taxable salary]]&lt;$L$432,$M$431+((Tabella1353[[#This Row],[Taxable salary]]-$L$431)/100)*$N$431,IF(Tabella1353[[#This Row],[Taxable salary]]&lt;$L$433,$M$432+((Tabella1353[[#This Row],[Taxable salary]]-$L$432)/100)*$N$432,IF(Tabella1353[[#This Row],[Taxable salary]]&gt;=$L$433,$M$433+((Tabella1353[[#This Row],[Taxable salary]]-$L$433)/100)*$N$433))))))))))))</f>
        <v>8438.8154593833533</v>
      </c>
      <c r="AO65" s="27">
        <f ca="1">IF(Tabella1353[[#This Row],[Taxable salary]]&lt;$L$447,$M$446,IF(Tabella1353[[#This Row],[Taxable salary]]&lt;$L$448,$M$447+((Tabella1353[[#This Row],[Taxable salary]]-$L$447)/100)*$N$447,IF(Tabella1353[[#This Row],[Taxable salary]]&lt;$L$449,$M$448+((Tabella1353[[#This Row],[Taxable salary]]-$L$448)/100)*$N$448,IF(Tabella1353[[#This Row],[Taxable salary]]&lt;$L$450,$M$449+((Tabella1353[[#This Row],[Taxable salary]]-$L$449)/100)*$N$449,IF(Tabella1353[[#This Row],[Taxable salary]]&lt;$L$451,$M$450+((Tabella1353[[#This Row],[Taxable salary]]-$L$450)/100)*$N$450,IF(Tabella1353[[#This Row],[Taxable salary]]&lt;$L$452,$M$451+((Tabella1353[[#This Row],[Taxable salary]]-$L$451)/100)*$N$451,IF(Tabella1353[[#This Row],[Taxable salary]]&lt;$L$453,$M$452+((Tabella1353[[#This Row],[Taxable salary]]-$L$452)/100)*$N$452,IF(Tabella1353[[#This Row],[Taxable salary]]&lt;$L$454,$M$453+((Tabella1353[[#This Row],[Taxable salary]]-$L$453)/100)*$N$453,IF(Tabella1353[[#This Row],[Taxable salary]]&lt;$L$455,$M$454+((Tabella1353[[#This Row],[Taxable salary]]-$L$454)/100)*$N$454,IF(Tabella1353[[#This Row],[Taxable salary]]&lt;$L$456,$M$455+((Tabella1353[[#This Row],[Taxable salary]]-$L$455)/100)*$N$455,IF(Tabella1353[[#This Row],[Taxable salary]]&lt;$L$457,$M$456+((Tabella1353[[#This Row],[Taxable salary]]-$L$456)/100)*$N$456,IF(Tabella1353[[#This Row],[Taxable salary]]&lt;$L$458,$M$457+((Tabella1353[[#This Row],[Taxable salary]]-$L$457)/100)*$N$457,IF(Tabella1353[[#This Row],[Taxable salary]]&lt;$L$459,$M$458+((Tabella1353[[#This Row],[Taxable salary]]-$L$458)/100)*$N$458,IF(Tabella1353[[#This Row],[Taxable salary]]&lt;$L$460,$M$459+((Tabella1353[[#This Row],[Taxable salary]]-$L$459)/100)*$N$459,IF(Tabella1353[[#This Row],[Taxable salary]]&lt;$L$461,$M$460+((Tabella1353[[#This Row],[Taxable salary]]-$L$460)/100)*$N$460,IF(Tabella1353[[#This Row],[Taxable salary]]&lt;$L$462,$M$461+((Tabella1353[[#This Row],[Taxable salary]]-$L$461)/100)*$N$461,IF(Tabella1353[[#This Row],[Taxable salary]]&lt;$L$463,$M$462+((Tabella1353[[#This Row],[Taxable salary]]-$L$462)/100)*$N$462,IF(Tabella1353[[#This Row],[Taxable salary]]&lt;$L$464,$M$463+((Tabella1353[[#This Row],[Taxable salary]]-$L$463)/100)*$N$463,IF(Tabella1353[[#This Row],[Taxable salary]]&lt;$L$465,$M$464+((Tabella1353[[#This Row],[Taxable salary]]-$L$464)/100)*$N$464,IF(Tabella1353[[#This Row],[Taxable salary]]&lt;$L$466,$M$465+((Tabella1353[[#This Row],[Taxable salary]]-$L$465)/100)*$N$465,IF(Tabella1353[[#This Row],[Taxable salary]]&lt;$L$467,$M$466+((Tabella1353[[#This Row],[Taxable salary]]-$L$466)/100)*$N$466,IF(Tabella1353[[#This Row],[Taxable salary]]&lt;$L$468,$M$467+((Tabella1353[[#This Row],[Taxable salary]]-$L$467)/100)*$N$467,IF(Tabella1353[[#This Row],[Taxable salary]]&lt;$L$469,$M$468+((Tabella1353[[#This Row],[Taxable salary]]-$L$468)/100)*$N$468,IF(Tabella1353[[#This Row],[Taxable salary]]&lt;$L$470,$M$469+((Tabella1353[[#This Row],[Taxable salary]]-$L$469)/100)*$N$469,IF(Tabella1353[[#This Row],[Taxable salary]]&gt;=$L$470,$M$470+((Tabella1353[[#This Row],[Taxable salary]]-$L$470)/100)*$N$470)))))))))))))))))))))))))</f>
        <v>22658.38069613402</v>
      </c>
      <c r="AP65" s="27">
        <f ca="1">IF(Tabella1353[[#This Row],[Taxable salary]]&lt;$L$477,Tabella1353[[#This Row],[Taxable salary]]*$M$476,IF(Tabella1353[[#This Row],[Taxable salary]]&lt;$L$478,Tabella1353[[#This Row],[Taxable salary]]*$M$477,IF(Tabella1353[[#This Row],[Taxable salary]]&lt;$L$479,Tabella1353[[#This Row],[Taxable salary]]*$M$478,IF(Tabella1353[[#This Row],[Taxable salary]]&lt;$L$480,Tabella1353[[#This Row],[Taxable salary]]*$M$479,IF(Tabella1353[[#This Row],[Taxable salary]]&lt;$L$481,Tabella1353[[#This Row],[Taxable salary]]*$M$480,IF(Tabella1353[[#This Row],[Taxable salary]]&lt;$L$482,Tabella1353[[#This Row],[Taxable salary]]*$M$481,IF(Tabella1353[[#This Row],[Taxable salary]]&lt;$L$483,Tabella1353[[#This Row],[Taxable salary]]*$M$482,IF(Tabella1353[[#This Row],[Taxable salary]]&lt;$L$484,Tabella1353[[#This Row],[Taxable salary]]*$M$483,IF(Tabella1353[[#This Row],[Taxable salary]]&lt;$L$485,Tabella1353[[#This Row],[Taxable salary]]*$M$484,IF(Tabella1353[[#This Row],[Taxable salary]]&lt;$L$486,Tabella1353[[#This Row],[Taxable salary]]*$M$485,IF(Tabella1353[[#This Row],[Taxable salary]]&lt;$L$487,Tabella1353[[#This Row],[Taxable salary]]*$M$486,IF(Tabella1353[[#This Row],[Taxable salary]]&lt;$L$488,Tabella1353[[#This Row],[Taxable salary]]*$M$487,IF(K535&lt;$L$489,Tabella1353[[#This Row],[Taxable salary]]*$M$488,IF(Tabella1353[[#This Row],[Taxable salary]]&lt;$L$490,Tabella1353[[#This Row],[Taxable salary]]*$M$489,IF(Tabella1353[[#This Row],[Taxable salary]]&lt;$L$491,Tabella1353[[#This Row],[Taxable salary]]*$M$490,IF(Tabella1353[[#This Row],[Taxable salary]]&lt;$L$492,Tabella1353[[#This Row],[Taxable salary]]*$M$491,IF(Tabella1353[[#This Row],[Taxable salary]]&lt;$L$493,Tabella1353[[#This Row],[Taxable salary]]*$M$492,IF(Tabella1353[[#This Row],[Taxable salary]]&gt;$L$493,Tabella1353[[#This Row],[Taxable salary]]*$M$493))))))))))))))))))</f>
        <v>5243.1026967657681</v>
      </c>
      <c r="AQ65" s="27">
        <f ca="1">Tabella1353[[#This Row],[Taxable salary]]*$M$501</f>
        <v>3254.3396048890968</v>
      </c>
      <c r="AR65" s="27">
        <f ca="1">IF(Tabella1353[[#This Row],[Taxable salary]]&lt;$L$527,$M$526,IF(Tabella1353[[#This Row],[Taxable salary]]&lt;$L$528,$M$527+((Tabella1353[[#This Row],[Taxable salary]]-$L$527)/100)*$N$527,IF(Tabella1353[[#This Row],[Taxable salary]]&lt;$L$529,$M$528+((Tabella1353[[#This Row],[Taxable salary]]-$L$528)/100)*$N$528,IF(Tabella1353[[#This Row],[Taxable salary]]&lt;$L$530,$M$529+((Tabella1353[[#This Row],[Taxable salary]]-$L$529)/100)*$N$529,IF(Tabella1353[[#This Row],[Taxable salary]]&lt;$L$531,$M$530+((Tabella1353[[#This Row],[Taxable salary]]-$L$530)/100)*$N$530,IF(Tabella1353[[#This Row],[Taxable salary]]&lt;$L$532,$M$531+((Tabella1353[[#This Row],[Taxable salary]]-$L$531)/100)*$N$531,IF(Tabella1353[[#This Row],[Taxable salary]]&lt;$L$533,$M$532+((Tabella1353[[#This Row],[Taxable salary]]-$L$532)/100)*$N$532,IF(Tabella1353[[#This Row],[Taxable salary]]&lt;$L$534,$M$533+((Tabella1353[[#This Row],[Taxable salary]]-$L$533)/100)*$N$533,IF(Tabella1353[[#This Row],[Taxable salary]]&lt;$L$535,$M$534+((Tabella1353[[#This Row],[Taxable salary]]-$L$534)/100)*$N$534,IF(Tabella1353[[#This Row],[Taxable salary]]&lt;$L$536,$M$535+((Tabella1353[[#This Row],[Taxable salary]]-$L$535)/100)*$N$535,IF(Tabella1353[[#This Row],[Taxable salary]]&lt;$L$537,$M$536+((Tabella1353[[#This Row],[Taxable salary]]-$L$536)/100)*$N$536,IF(Tabella1353[[#This Row],[Taxable salary]]&lt;$L$538,$M$537+((Tabella1353[[#This Row],[Taxable salary]]-$L$537)/100)*$N$537,IF(Tabella1353[[#This Row],[Taxable salary]]&lt;$L$539,$M$538+((Tabella1353[[#This Row],[Taxable salary]]-$L$538)/100)*$N$538,IF(Tabella1353[[#This Row],[Taxable salary]]&lt;$L$540,$M$539+((Tabella1353[[#This Row],[Taxable salary]]-$L$539)/100)*$N$539,IF(Tabella1353[[#This Row],[Taxable salary]]&gt;=$L$540,$M$540+((Tabella1353[[#This Row],[Taxable salary]]-$L$540)/100)*$N$540)))))))))))))))</f>
        <v>17280.597365927315</v>
      </c>
      <c r="AS65" s="27">
        <f ca="1">IF(Tabella1353[[#This Row],[Taxable salary]]&lt;$L$557,$M$556,IF(Tabella1353[[#This Row],[Taxable salary]]&lt;$L$558,$M$557+((Tabella1353[[#This Row],[Taxable salary]]-$L$557)/100)*$N$557,IF(Tabella1353[[#This Row],[Taxable salary]]&lt;$L$559,$M$558+((Tabella1353[[#This Row],[Taxable salary]]-$L$558)/100)*$N$558,IF(Tabella1353[[#This Row],[Taxable salary]]&lt;$L$560,$M$559+((Tabella1353[[#This Row],[Taxable salary]]-$L$559)/100)*$N$559,IF(Tabella1353[[#This Row],[Taxable salary]]&lt;$L$561,$M$560+((Tabella1353[[#This Row],[Taxable salary]]-$L$560)/100)*$N$560,IF(Tabella1353[[#This Row],[Taxable salary]]&lt;$L$562,$M$561+((Tabella1353[[#This Row],[Taxable salary]]-$L$561)/100)*$N$561,IF(Tabella1353[[#This Row],[Taxable salary]]&lt;$L$563,$M$562+((Tabella1353[[#This Row],[Taxable salary]]-$L$562)/100)*$N$562,IF(Tabella1353[[#This Row],[Taxable salary]]&lt;$L$564,$M$563+((Tabella1353[[#This Row],[Taxable salary]]-$L$563)/100)*$N$563,IF(Tabella1353[[#This Row],[Taxable salary]]&lt;$L$565,$M$564+((Tabella1353[[#This Row],[Taxable salary]]-$L$564)/100)*$N$564,IF(Tabella1353[[#This Row],[Taxable salary]]&lt;$L$566,$M$565+((Tabella1353[[#This Row],[Taxable salary]]-$L$565)/100)*$N$565,IF(Tabella1353[[#This Row],[Taxable salary]]&gt;=$L$566,$M$566+((Tabella1353[[#This Row],[Taxable salary]]-$L$566)/100)*$N$566)))))))))))</f>
        <v>17691.614142347011</v>
      </c>
      <c r="AT65" s="27">
        <f ca="1">IF(Tabella1353[[#This Row],[Taxable salary]]&lt;$L$581,$M$580,IF(Tabella1353[[#This Row],[Taxable salary]]&lt;$L$582,$M$581+((Tabella1353[[#This Row],[Taxable salary]]-$L$581)/100)*$N$581,IF(Tabella1353[[#This Row],[Taxable salary]]&lt;$L$583,$M$582+((Tabella1353[[#This Row],[Taxable salary]]-$L$582)/100)*$N$582,IF(Tabella1353[[#This Row],[Taxable salary]]&lt;$L$584,$M$583+((Tabella1353[[#This Row],[Taxable salary]]-$L$583)/100)*$N$583,IF(Tabella1353[[#This Row],[Taxable salary]]&lt;$L$585,$M$584+((Tabella1353[[#This Row],[Taxable salary]]-$L$584)/100)*$N$584,IF(Tabella1353[[#This Row],[Taxable salary]]&lt;$L$586,$M$585+((Tabella1353[[#This Row],[Taxable salary]]-$L$585)/100)*$N$585,IF(Tabella1353[[#This Row],[Taxable salary]]&lt;$L$587,$M$586+((Tabella1353[[#This Row],[Taxable salary]]-$L$586)/100)*$N$586,IF(Tabella1353[[#This Row],[Taxable salary]]&lt;$L$588,$M$587+((Tabella1353[[#This Row],[Taxable salary]]-$L$587)/100)*$N$587,IF(Tabella1353[[#This Row],[Taxable salary]]&gt;=$L$588,$M$588+((Tabella1353[[#This Row],[Taxable salary]]-$L$588)/100)*$N$588)))))))))</f>
        <v>11953.731577284876</v>
      </c>
      <c r="AU65" s="27">
        <f ca="1">Tabella1353[[#This Row],[Taxable salary]]*$M$604</f>
        <v>12836.561774840327</v>
      </c>
      <c r="AV65" s="27">
        <f ca="1">IF(Tabella1353[[#This Row],[Taxable salary]]&lt;$L$615,$M$614,IF(Tabella1353[[#This Row],[Taxable salary]]&lt;$L$616,$M$615+((Tabella1353[[#This Row],[Taxable salary]]-$L$615)/100)*$N$615,IF(Tabella1353[[#This Row],[Taxable salary]]&lt;$L$617,$M$616+((Tabella1353[[#This Row],[Taxable salary]]-$L$616)/100)*$N$616,IF(Tabella1353[[#This Row],[Taxable salary]]&lt;$L$618,$M$617+((Tabella1353[[#This Row],[Taxable salary]]-$L$617)/100)*$N$617,IF(Tabella1353[[#This Row],[Taxable salary]]&lt;$L$619,$M$618+((Tabella1353[[#This Row],[Taxable salary]]-$L$618)/100)*$N$618,IF(Tabella1353[[#This Row],[Taxable salary]]&lt;$L$620,$M$619+((Tabella1353[[#This Row],[Taxable salary]]-$L$619)/100)*$N$619,IF(Tabella1353[[#This Row],[Taxable salary]]&lt;$L$621,$M$620+((Tabella1353[[#This Row],[Taxable salary]]-$L$620)/100)*$N$620,IF(Tabella1353[[#This Row],[Taxable salary]]&lt;$L$622,$M$621+((Tabella1353[[#This Row],[Taxable salary]]-$L$621)/100)*$N$621,IF(Tabella1353[[#This Row],[Taxable salary]]&lt;$L$623,$M$622+((Tabella1353[[#This Row],[Taxable salary]]-$L$622)/100)*$N$622,IF(Tabella1353[[#This Row],[Taxable salary]]&lt;$L$624,$M$623+((Tabella1353[[#This Row],[Taxable salary]]-$L$623)/100)*$N$623,IF(Tabella1353[[#This Row],[Taxable salary]]&lt;$L$625,$M$624+((Tabella1353[[#This Row],[Taxable salary]]-$L$624)/100)*$N$624,IF(Tabella1353[[#This Row],[Taxable salary]]&lt;$L$626,$M$625+((Tabella1353[[#This Row],[Taxable salary]]-$L$625)/100)*$N$625,IF(Tabella1353[[#This Row],[Taxable salary]]&lt;$L$627,$M$626+((Tabella1353[[#This Row],[Taxable salary]]-$L$626)/100)*$N$626,IF(Tabella1353[[#This Row],[Taxable salary]]&lt;$L$628,$M$627+((Tabella1353[[#This Row],[Taxable salary]]-$L$627)/100)*$N$627,IF(Tabella1353[[#This Row],[Taxable salary]]&lt;$L$629,$M$628+((Tabella1353[[#This Row],[Taxable salary]]-$L$628)/100)*$N$628,IF(Tabella1353[[#This Row],[Taxable salary]]&lt;$L$630,$M$629+((Tabella1353[[#This Row],[Taxable salary]]-$L$629)/100)*$N$629,IF(Tabella1353[[#This Row],[Taxable salary]]&lt;$L$631,$M$630+((Tabella1353[[#This Row],[Taxable salary]]-$L$630)/100)*$N$630,IF(Tabella1353[[#This Row],[Taxable salary]]&lt;$L$632,$M$631+((Tabella1353[[#This Row],[Taxable salary]]-$L$631)/100)*$N$631,IF(Tabella1353[[#This Row],[Taxable salary]]&lt;$L$633,$M$632+((Tabella1353[[#This Row],[Taxable salary]]-$L$632)/100)*$N$632,IF(Tabella1353[[#This Row],[Taxable salary]]&gt;=$L$633,$M$633+((Tabella1353[[#This Row],[Taxable salary]]-$L$633)/100)*$N$633))))))))))))))))))))</f>
        <v>19131.547036668228</v>
      </c>
      <c r="AW65" s="27">
        <f ca="1">IF(Tabella1353[[#This Row],[Taxable salary]]&lt;$L$640,Tabella1353[[#This Row],[Taxable salary]]*$M$639,IF(Tabella1353[[#This Row],[Taxable salary]]&lt;$L$641,Tabella1353[[#This Row],[Taxable salary]]*$M$640,IF(Tabella1353[[#This Row],[Taxable salary]]&lt;$L$642,Tabella1353[[#This Row],[Taxable salary]]*$M$641,IF(Tabella1353[[#This Row],[Taxable salary]]&lt;$L$643,Tabella1353[[#This Row],[Taxable salary]]*$M$642,IF(Tabella1353[[#This Row],[Taxable salary]]&lt;$L$644,Tabella1353[[#This Row],[Taxable salary]]*$M$643,IF(Tabella1353[[#This Row],[Taxable salary]]&lt;$L$645,Tabella1353[[#This Row],[Taxable salary]]*$M$644,IF(Tabella1353[[#This Row],[Taxable salary]]&lt;$L$646,Tabella1353[[#This Row],[Taxable salary]]*$M$645,IF(Tabella1353[[#This Row],[Taxable salary]]&lt;$L$647,Tabella1353[[#This Row],[Taxable salary]]*$M$646,IF(Tabella1353[[#This Row],[Taxable salary]]&lt;$L$648,Tabella1353[[#This Row],[Taxable salary]]*$M$647,IF(Tabella1353[[#This Row],[Taxable salary]]&lt;$L$649,Tabella1353[[#This Row],[Taxable salary]]*$M$648,IF(Tabella1353[[#This Row],[Taxable salary]]&lt;$L$650,Tabella1353[[#This Row],[Taxable salary]]*$M$649,IF(Tabella1353[[#This Row],[Taxable salary]]&lt;$L$651,Tabella1353[[#This Row],[Taxable salary]]*$M$650,IF(Tabella1353[[#This Row],[Taxable salary]]&gt;$L$651,Tabella1353[[#This Row],[Taxable salary]]*M711)))))))))))))</f>
        <v>24407.547036668231</v>
      </c>
      <c r="AX65" s="83">
        <f ca="1">IF(Tabella1353[[#This Row],[Taxable salary]]&lt;$L$660,Tabella1353[[#This Row],[Taxable salary]]*$M$659,IF(Tabella1353[[#This Row],[Taxable salary]]&lt;$L$661,Tabella1353[[#This Row],[Taxable salary]]*$M$660,IF(Tabella1353[[#This Row],[Taxable salary]]&lt;$L$662,Tabella1353[[#This Row],[Taxable salary]]*$M$661,IF(Tabella1353[[#This Row],[Taxable salary]]&lt;$L$663,Tabella1353[[#This Row],[Taxable salary]]*$M$662,IF(Tabella1353[[#This Row],[Taxable salary]]&lt;$L$664,Tabella1353[[#This Row],[Taxable salary]]*$M$663,IF(Tabella1353[[#This Row],[Taxable salary]]&lt;$L$665,Tabella1353[[#This Row],[Taxable salary]]*$M$664,IF(Tabella1353[[#This Row],[Taxable salary]]&lt;$L$666,Tabella1353[[#This Row],[Taxable salary]]*$M$665,IF(Tabella1353[[#This Row],[Taxable salary]]&lt;$L$667,Tabella1353[[#This Row],[Taxable salary]]*$M$666,IF(Tabella1353[[#This Row],[Taxable salary]]&lt;$L$668,Tabella1353[[#This Row],[Taxable salary]]*$M$667,IF(Tabella1353[[#This Row],[Taxable salary]]&lt;$L$669,Tabella1353[[#This Row],[Taxable salary]]*$M$668,IF(Tabella1353[[#This Row],[Taxable salary]]&lt;$L$670,Tabella1353[[#This Row],[Taxable salary]]*$M$669,IF(Tabella1353[[#This Row],[Taxable salary]]&lt;$L$671,Tabella1353[[#This Row],[Taxable salary]]*$M$670,IF(Tabella1353[[#This Row],[Taxable salary]]&gt;$L$671,Tabella1353[[#This Row],[Taxable salary]]*$M$671)))))))))))))</f>
        <v>17898.867826890037</v>
      </c>
    </row>
    <row r="66" spans="2:50">
      <c r="J66" s="2" t="s">
        <v>135</v>
      </c>
      <c r="K66" s="2">
        <f ca="1">SUBTOTAL(109,Tabella245[Salary and Pension])</f>
        <v>14938214.120165734</v>
      </c>
      <c r="L66" s="2"/>
      <c r="M66" s="2"/>
      <c r="N66" s="2"/>
      <c r="O66" s="2"/>
      <c r="P66" s="2"/>
      <c r="Q66" s="106"/>
      <c r="R66" s="2"/>
      <c r="S66" s="2"/>
    </row>
    <row r="67" spans="2:50">
      <c r="J67" s="2"/>
      <c r="K67" s="2"/>
      <c r="L67" s="2"/>
      <c r="M67" s="2"/>
      <c r="N67" s="2"/>
      <c r="O67" s="2"/>
      <c r="P67" s="2"/>
      <c r="Q67" s="106"/>
      <c r="R67" s="2"/>
      <c r="S67" s="2"/>
    </row>
    <row r="68" spans="2:50">
      <c r="J68" s="2"/>
      <c r="K68" s="2"/>
      <c r="L68" s="2"/>
      <c r="M68" s="2"/>
      <c r="N68" s="2"/>
      <c r="O68" s="2"/>
      <c r="P68" s="2"/>
      <c r="Q68" s="106"/>
      <c r="R68" s="2"/>
      <c r="S68" s="2"/>
    </row>
    <row r="69" spans="2:50">
      <c r="J69" s="2"/>
      <c r="K69" s="2"/>
      <c r="L69" s="2"/>
      <c r="M69" s="2"/>
      <c r="N69" s="2"/>
      <c r="O69" s="2"/>
      <c r="P69" s="2"/>
      <c r="Q69" s="106"/>
      <c r="R69" s="2"/>
      <c r="S69" s="2"/>
    </row>
    <row r="70" spans="2:50">
      <c r="J70" s="2"/>
      <c r="K70" s="2"/>
      <c r="L70" s="2"/>
      <c r="M70" s="2"/>
      <c r="N70" s="2"/>
      <c r="O70" s="2"/>
      <c r="P70" s="2"/>
      <c r="Q70" s="106"/>
      <c r="R70" s="2"/>
      <c r="S70" s="2"/>
    </row>
    <row r="71" spans="2:50">
      <c r="J71" s="2"/>
      <c r="K71" s="2"/>
      <c r="L71" s="2"/>
      <c r="M71" s="2"/>
      <c r="N71" s="2"/>
      <c r="O71" s="2"/>
      <c r="P71" s="2"/>
      <c r="Q71" s="106"/>
      <c r="R71" s="2"/>
      <c r="S71" s="2"/>
    </row>
    <row r="72" spans="2:50">
      <c r="J72" s="2"/>
      <c r="K72" s="2"/>
      <c r="L72" s="2"/>
      <c r="M72" s="2"/>
      <c r="N72" s="2"/>
      <c r="O72" s="2"/>
      <c r="P72" s="2"/>
      <c r="Q72" s="106"/>
      <c r="R72" s="2"/>
      <c r="S72" s="2"/>
    </row>
    <row r="74" spans="2:50">
      <c r="B74" s="68" t="s">
        <v>2515</v>
      </c>
      <c r="C74" s="89" t="s">
        <v>82</v>
      </c>
      <c r="D74" s="89" t="s">
        <v>2511</v>
      </c>
      <c r="E74" s="89" t="s">
        <v>90</v>
      </c>
      <c r="F74" s="89"/>
    </row>
    <row r="75" spans="2:50">
      <c r="B75" s="90" t="s">
        <v>18</v>
      </c>
      <c r="C75" s="13" t="s">
        <v>2516</v>
      </c>
      <c r="D75" s="13" t="s">
        <v>2517</v>
      </c>
      <c r="E75" s="13" t="s">
        <v>2518</v>
      </c>
      <c r="F75" s="95" t="s">
        <v>2509</v>
      </c>
    </row>
    <row r="76" spans="2:50">
      <c r="B76" s="80" t="s">
        <v>136</v>
      </c>
      <c r="C76" s="91" t="s">
        <v>1687</v>
      </c>
      <c r="D76" s="93">
        <v>98</v>
      </c>
      <c r="E76" s="93">
        <v>102</v>
      </c>
      <c r="F76" s="103">
        <f>IFERROR(INDEX(Tabella951[PLZ],MATCH(Tabella848[[#This Row],[Colonna2]],Tabella951[Ortschaftsname],0)), "Name not found")</f>
        <v>8134</v>
      </c>
    </row>
    <row r="77" spans="2:50">
      <c r="B77" s="92" t="s">
        <v>136</v>
      </c>
      <c r="C77" s="91" t="s">
        <v>1802</v>
      </c>
      <c r="D77" s="93">
        <v>98</v>
      </c>
      <c r="E77" s="93">
        <v>91</v>
      </c>
      <c r="F77" s="103">
        <v>8904</v>
      </c>
    </row>
    <row r="78" spans="2:50">
      <c r="B78" s="92" t="s">
        <v>136</v>
      </c>
      <c r="C78" s="91" t="s">
        <v>1787</v>
      </c>
      <c r="D78" s="93">
        <v>98</v>
      </c>
      <c r="E78" s="93">
        <v>92</v>
      </c>
      <c r="F78" s="103">
        <f>IFERROR(INDEX(Tabella951[PLZ],MATCH(Tabella848[[#This Row],[Colonna2]],Tabella951[Ortschaftsname],0)), "Name not found")</f>
        <v>8914</v>
      </c>
    </row>
    <row r="79" spans="2:50">
      <c r="B79" s="92" t="s">
        <v>136</v>
      </c>
      <c r="C79" s="91" t="s">
        <v>1700</v>
      </c>
      <c r="D79" s="93">
        <v>98</v>
      </c>
      <c r="E79" s="93">
        <v>124</v>
      </c>
      <c r="F79" s="103">
        <f>IFERROR(INDEX(Tabella951[PLZ],MATCH(Tabella848[[#This Row],[Colonna2]],Tabella951[Ortschaftsname],0)), "Name not found")</f>
        <v>8910</v>
      </c>
    </row>
    <row r="80" spans="2:50">
      <c r="B80" s="92" t="s">
        <v>136</v>
      </c>
      <c r="C80" s="91" t="s">
        <v>1821</v>
      </c>
      <c r="D80" s="93">
        <v>98</v>
      </c>
      <c r="E80" s="93">
        <v>114</v>
      </c>
      <c r="F80" s="103">
        <f>IFERROR(INDEX(Tabella951[PLZ],MATCH(Tabella848[[#This Row],[Colonna2]],Tabella951[Ortschaftsname],0)), "Name not found")</f>
        <v>8479</v>
      </c>
      <c r="K80" s="68" t="s">
        <v>2519</v>
      </c>
      <c r="L80" s="21" t="s">
        <v>82</v>
      </c>
      <c r="M80" s="21" t="s">
        <v>2511</v>
      </c>
      <c r="N80" s="21" t="s">
        <v>90</v>
      </c>
    </row>
    <row r="81" spans="2:14">
      <c r="B81" s="92" t="s">
        <v>136</v>
      </c>
      <c r="C81" s="91" t="s">
        <v>1782</v>
      </c>
      <c r="D81" s="93">
        <v>98</v>
      </c>
      <c r="E81" s="93">
        <v>114</v>
      </c>
      <c r="F81" s="103">
        <f>IFERROR(INDEX(Tabella951[PLZ],MATCH(Tabella848[[#This Row],[Colonna2]],Tabella951[Ortschaftsname],0)), "Name not found")</f>
        <v>8450</v>
      </c>
      <c r="K81" s="94">
        <v>100000</v>
      </c>
      <c r="L81" s="11" t="s">
        <v>2512</v>
      </c>
      <c r="M81" s="11" t="s">
        <v>2513</v>
      </c>
      <c r="N81" s="11" t="s">
        <v>2514</v>
      </c>
    </row>
    <row r="82" spans="2:14">
      <c r="B82" s="92" t="s">
        <v>136</v>
      </c>
      <c r="C82" s="91" t="s">
        <v>1756</v>
      </c>
      <c r="D82" s="93">
        <v>98</v>
      </c>
      <c r="E82" s="93">
        <v>106</v>
      </c>
      <c r="F82" s="103">
        <f>IFERROR(INDEX(Tabella951[PLZ],MATCH(Tabella848[[#This Row],[Colonna2]],Tabella951[Ortschaftsname],0)), "Name not found")</f>
        <v>8184</v>
      </c>
      <c r="K82" s="26"/>
      <c r="L82" s="4">
        <v>0</v>
      </c>
      <c r="M82" s="4">
        <v>0</v>
      </c>
      <c r="N82" s="4">
        <v>0</v>
      </c>
    </row>
    <row r="83" spans="2:14">
      <c r="B83" s="92" t="s">
        <v>136</v>
      </c>
      <c r="C83" s="91" t="s">
        <v>2520</v>
      </c>
      <c r="D83" s="93">
        <v>98</v>
      </c>
      <c r="E83" s="93">
        <v>128</v>
      </c>
      <c r="F83" s="103">
        <f>IFERROR(INDEX(Tabella951[PLZ],MATCH(Tabella848[[#This Row],[Colonna2]],Tabella951[Ortschaftsname],0)), "Name not found")</f>
        <v>8164</v>
      </c>
      <c r="K83" s="2"/>
      <c r="L83" s="4">
        <v>12200</v>
      </c>
      <c r="M83" s="4">
        <v>0</v>
      </c>
      <c r="N83" s="4">
        <v>0.16</v>
      </c>
    </row>
    <row r="84" spans="2:14">
      <c r="B84" s="92" t="s">
        <v>136</v>
      </c>
      <c r="C84" s="91" t="s">
        <v>1702</v>
      </c>
      <c r="D84" s="93">
        <v>98</v>
      </c>
      <c r="E84" s="93">
        <v>114</v>
      </c>
      <c r="F84" s="103">
        <f>IFERROR(INDEX(Tabella951[PLZ],MATCH(Tabella848[[#This Row],[Colonna2]],Tabella951[Ortschaftsname],0)), "Name not found")</f>
        <v>8303</v>
      </c>
      <c r="K84" s="2"/>
      <c r="L84" s="4">
        <v>12300</v>
      </c>
      <c r="M84" s="4">
        <v>20</v>
      </c>
      <c r="N84" s="4">
        <v>5.2320000000000002</v>
      </c>
    </row>
    <row r="85" spans="2:14">
      <c r="B85" s="92" t="s">
        <v>136</v>
      </c>
      <c r="C85" s="91" t="s">
        <v>1745</v>
      </c>
      <c r="D85" s="93">
        <v>98</v>
      </c>
      <c r="E85" s="93">
        <v>120</v>
      </c>
      <c r="F85" s="103">
        <f>IFERROR(INDEX(Tabella951[PLZ],MATCH(Tabella848[[#This Row],[Colonna2]],Tabella951[Ortschaftsname],0)), "Name not found")</f>
        <v>8494</v>
      </c>
      <c r="K85" s="2"/>
      <c r="L85" s="4">
        <v>17100</v>
      </c>
      <c r="M85" s="4">
        <v>271</v>
      </c>
      <c r="N85" s="4">
        <v>5.9489999999999998</v>
      </c>
    </row>
    <row r="86" spans="2:14">
      <c r="B86" s="92" t="s">
        <v>136</v>
      </c>
      <c r="C86" s="91" t="s">
        <v>1816</v>
      </c>
      <c r="D86" s="93">
        <v>98</v>
      </c>
      <c r="E86" s="93">
        <v>110</v>
      </c>
      <c r="F86" s="103">
        <v>8463</v>
      </c>
      <c r="K86" s="2"/>
      <c r="L86" s="4">
        <v>20500</v>
      </c>
      <c r="M86" s="4">
        <v>473</v>
      </c>
      <c r="N86" s="4">
        <v>3.9239999999999999</v>
      </c>
    </row>
    <row r="87" spans="2:14">
      <c r="B87" s="92" t="s">
        <v>136</v>
      </c>
      <c r="C87" s="91" t="s">
        <v>2521</v>
      </c>
      <c r="D87" s="93">
        <v>98</v>
      </c>
      <c r="E87" s="93">
        <v>98</v>
      </c>
      <c r="F87" s="103">
        <f>IFERROR(INDEX(Tabella951[PLZ],MATCH(Tabella848[[#This Row],[Colonna2]],Tabella951[Ortschaftsname],0)), "Name not found")</f>
        <v>8415</v>
      </c>
      <c r="K87" s="2"/>
      <c r="L87" s="4">
        <v>25600</v>
      </c>
      <c r="M87" s="4">
        <v>673</v>
      </c>
      <c r="N87" s="4">
        <v>7.4989999999999997</v>
      </c>
    </row>
    <row r="88" spans="2:14">
      <c r="B88" s="92" t="s">
        <v>136</v>
      </c>
      <c r="C88" s="91" t="s">
        <v>1725</v>
      </c>
      <c r="D88" s="93">
        <v>98</v>
      </c>
      <c r="E88" s="93">
        <v>112</v>
      </c>
      <c r="F88" s="103">
        <v>8903</v>
      </c>
      <c r="K88" s="2"/>
      <c r="L88" s="4">
        <v>29600</v>
      </c>
      <c r="M88" s="4">
        <v>973</v>
      </c>
      <c r="N88" s="4">
        <v>9.4610000000000003</v>
      </c>
    </row>
    <row r="89" spans="2:14">
      <c r="B89" s="92" t="s">
        <v>136</v>
      </c>
      <c r="C89" s="91" t="s">
        <v>1737</v>
      </c>
      <c r="D89" s="93">
        <v>98</v>
      </c>
      <c r="E89" s="93">
        <v>110</v>
      </c>
      <c r="F89" s="103">
        <f>IFERROR(INDEX(Tabella951[PLZ],MATCH(Tabella848[[#This Row],[Colonna2]],Tabella951[Ortschaftsname],0)), "Name not found")</f>
        <v>8906</v>
      </c>
      <c r="K89" s="2"/>
      <c r="L89" s="4">
        <v>39200</v>
      </c>
      <c r="M89" s="4">
        <v>1881</v>
      </c>
      <c r="N89" s="4">
        <v>10.377000000000001</v>
      </c>
    </row>
    <row r="90" spans="2:14">
      <c r="B90" s="92" t="s">
        <v>136</v>
      </c>
      <c r="C90" s="91" t="s">
        <v>1801</v>
      </c>
      <c r="D90" s="93">
        <v>98</v>
      </c>
      <c r="E90" s="93">
        <v>94</v>
      </c>
      <c r="F90" s="103">
        <f>IFERROR(INDEX(Tabella951[PLZ],MATCH(Tabella848[[#This Row],[Colonna2]],Tabella951[Ortschaftsname],0)), "Name not found")</f>
        <v>8113</v>
      </c>
      <c r="K90" s="2"/>
      <c r="L90" s="4">
        <v>51800</v>
      </c>
      <c r="M90" s="4">
        <v>3189</v>
      </c>
      <c r="N90" s="4">
        <v>10.988</v>
      </c>
    </row>
    <row r="91" spans="2:14">
      <c r="B91" s="92" t="s">
        <v>136</v>
      </c>
      <c r="C91" s="91" t="s">
        <v>1784</v>
      </c>
      <c r="D91" s="93">
        <v>98</v>
      </c>
      <c r="E91" s="93">
        <v>89</v>
      </c>
      <c r="F91" s="103">
        <f>IFERROR(INDEX(Tabella951[PLZ],MATCH(Tabella848[[#This Row],[Colonna2]],Tabella951[Ortschaftsname],0)), "Name not found")</f>
        <v>8311</v>
      </c>
      <c r="K91" s="2"/>
      <c r="L91" s="4">
        <v>57200</v>
      </c>
      <c r="M91" s="4">
        <v>3782</v>
      </c>
      <c r="N91" s="4">
        <v>11.8</v>
      </c>
    </row>
    <row r="92" spans="2:14">
      <c r="B92" s="92" t="s">
        <v>136</v>
      </c>
      <c r="C92" s="91" t="s">
        <v>1721</v>
      </c>
      <c r="D92" s="93">
        <v>98</v>
      </c>
      <c r="E92" s="93">
        <v>118</v>
      </c>
      <c r="F92" s="103">
        <f>IFERROR(INDEX(Tabella951[PLZ],MATCH(Tabella848[[#This Row],[Colonna2]],Tabella951[Ortschaftsname],0)), "Name not found")</f>
        <v>8608</v>
      </c>
      <c r="K92" s="2"/>
      <c r="L92" s="4">
        <v>71800</v>
      </c>
      <c r="M92" s="4">
        <v>5505</v>
      </c>
      <c r="N92" s="4">
        <v>11.597</v>
      </c>
    </row>
    <row r="93" spans="2:14">
      <c r="B93" s="92" t="s">
        <v>136</v>
      </c>
      <c r="C93" s="91" t="s">
        <v>1812</v>
      </c>
      <c r="D93" s="93">
        <v>98</v>
      </c>
      <c r="E93" s="93">
        <v>106</v>
      </c>
      <c r="F93" s="103">
        <f>IFERROR(INDEX(Tabella951[PLZ],MATCH(Tabella848[[#This Row],[Colonna2]],Tabella951[Ortschaftsname],0)), "Name not found")</f>
        <v>8414</v>
      </c>
      <c r="K93" s="2"/>
      <c r="L93" s="4">
        <v>89900</v>
      </c>
      <c r="M93" s="4">
        <v>7604</v>
      </c>
      <c r="N93" s="4">
        <v>12.47</v>
      </c>
    </row>
    <row r="94" spans="2:14">
      <c r="B94" s="92" t="s">
        <v>136</v>
      </c>
      <c r="C94" s="91" t="s">
        <v>1727</v>
      </c>
      <c r="D94" s="93">
        <v>98</v>
      </c>
      <c r="E94" s="93">
        <v>105</v>
      </c>
      <c r="F94" s="103">
        <v>8107</v>
      </c>
      <c r="K94" s="2"/>
      <c r="L94" s="46">
        <v>112000</v>
      </c>
      <c r="M94" s="46">
        <v>10360</v>
      </c>
      <c r="N94" s="46">
        <v>13.08</v>
      </c>
    </row>
    <row r="95" spans="2:14">
      <c r="B95" s="92" t="s">
        <v>136</v>
      </c>
      <c r="C95" s="91" t="s">
        <v>2522</v>
      </c>
      <c r="D95" s="93">
        <v>98</v>
      </c>
      <c r="E95" s="93">
        <v>106</v>
      </c>
      <c r="F95" s="103">
        <f>IFERROR(INDEX(Tabella951[PLZ],MATCH(Tabella848[[#This Row],[Colonna2]],Tabella951[Ortschaftsname],0)), "Name not found")</f>
        <v>8344</v>
      </c>
      <c r="K95" s="2"/>
      <c r="L95" s="46">
        <v>224100</v>
      </c>
      <c r="M95" s="46">
        <v>25023</v>
      </c>
      <c r="N95" s="46">
        <v>14.04</v>
      </c>
    </row>
    <row r="96" spans="2:14">
      <c r="B96" s="92" t="s">
        <v>136</v>
      </c>
      <c r="C96" s="91" t="s">
        <v>1685</v>
      </c>
      <c r="D96" s="93">
        <v>98</v>
      </c>
      <c r="E96" s="93">
        <v>110</v>
      </c>
      <c r="F96" s="103">
        <f>IFERROR(INDEX(Tabella951[PLZ],MATCH(Tabella848[[#This Row],[Colonna2]],Tabella951[Ortschaftsname],0)), "Name not found")</f>
        <v>8180</v>
      </c>
      <c r="K96" s="2"/>
      <c r="L96" s="46">
        <v>374400</v>
      </c>
      <c r="M96" s="46">
        <v>46125</v>
      </c>
      <c r="N96" s="46">
        <v>14.824999999999999</v>
      </c>
    </row>
    <row r="97" spans="2:14">
      <c r="B97" s="92" t="s">
        <v>136</v>
      </c>
      <c r="C97" s="91" t="s">
        <v>1788</v>
      </c>
      <c r="D97" s="93">
        <v>98</v>
      </c>
      <c r="E97" s="93">
        <v>111</v>
      </c>
      <c r="F97" s="103">
        <f>IFERROR(INDEX(Tabella951[PLZ],MATCH(Tabella848[[#This Row],[Colonna2]],Tabella951[Ortschaftsname],0)), "Name not found")</f>
        <v>8447</v>
      </c>
      <c r="K97" s="2"/>
      <c r="L97" s="36">
        <f>IF(K81&lt;$L$83,$M$82, IF(K81&lt;$L$84,$M$83+((K81-$L$83)/100)*$N$83, IF(K81&lt;$L$85,$M$84+((K81-$L$84)/100)*$N$84, IF(K81&lt;$L$86,$M$85+((K81-$L$85)/100)*$N$85, IF(K81&lt;$L$87,$M$86+((K81-$L$86)/100)*$N$86,IF(K81&lt;$L$88,$M$87+((K81-$L$87)/100)*$N$87,IF(K81&lt;$L$89,$M$88+((K81-$L$88)/100)*$N$88,IF(K81&lt;$L$90,$M$89+((K81-$L$89)/100)*$N$89,IF(K81&lt;$L$91,$M$90+((K81-$L$90)/100)*$N$90,IF(K81&lt;$L$92,$M$91+((K81-$L$91)/100)*$N$91,IF(K81&lt;$L$93,M92+((K81-$L$92)/100)*$N$92,IF(K81&lt;$L$94,$M$93+((K81-$L$93)/100)*$N$93,IF(K81&lt;$L$95,M94+((K81-$L$94)/100)*$N$94,IF(K81&lt;$L$96,$M$95+((K81-$L$95)/100)*$N$95, IF(K81&gt;=$L$96,$M$96+((K81-$L$96)/100)*$N$96)))))))))))))))</f>
        <v>8863.4699999999993</v>
      </c>
      <c r="M97" s="2"/>
      <c r="N97" s="2"/>
    </row>
    <row r="98" spans="2:14">
      <c r="B98" s="92" t="s">
        <v>136</v>
      </c>
      <c r="C98" s="91" t="s">
        <v>1730</v>
      </c>
      <c r="D98" s="93">
        <v>98</v>
      </c>
      <c r="E98" s="93">
        <v>105</v>
      </c>
      <c r="F98" s="103">
        <f>IFERROR(INDEX(Tabella951[PLZ],MATCH(Tabella848[[#This Row],[Colonna2]],Tabella951[Ortschaftsname],0)), "Name not found")</f>
        <v>8157</v>
      </c>
    </row>
    <row r="99" spans="2:14">
      <c r="B99" s="92" t="s">
        <v>136</v>
      </c>
      <c r="C99" s="91" t="s">
        <v>1679</v>
      </c>
      <c r="D99" s="93">
        <v>98</v>
      </c>
      <c r="E99" s="93">
        <v>123</v>
      </c>
      <c r="F99" s="103">
        <f>IFERROR(INDEX(Tabella951[PLZ],MATCH(Tabella848[[#This Row],[Colonna2]],Tabella951[Ortschaftsname],0)), "Name not found")</f>
        <v>8953</v>
      </c>
      <c r="K99" s="68" t="s">
        <v>2523</v>
      </c>
      <c r="L99" s="21" t="s">
        <v>82</v>
      </c>
      <c r="M99" s="21" t="s">
        <v>2511</v>
      </c>
      <c r="N99" s="21" t="s">
        <v>90</v>
      </c>
    </row>
    <row r="100" spans="2:14">
      <c r="B100" s="92" t="s">
        <v>136</v>
      </c>
      <c r="C100" s="91" t="s">
        <v>1717</v>
      </c>
      <c r="D100" s="93">
        <v>98</v>
      </c>
      <c r="E100" s="93">
        <v>105</v>
      </c>
      <c r="F100" s="103">
        <f>IFERROR(INDEX(Tabella951[PLZ],MATCH(Tabella848[[#This Row],[Colonna2]],Tabella951[Ortschaftsname],0)), "Name not found")</f>
        <v>8305</v>
      </c>
      <c r="K100" s="94">
        <v>100000</v>
      </c>
      <c r="L100" s="11" t="s">
        <v>2512</v>
      </c>
      <c r="M100" s="11" t="s">
        <v>2513</v>
      </c>
      <c r="N100" s="11" t="s">
        <v>2514</v>
      </c>
    </row>
    <row r="101" spans="2:14">
      <c r="B101" s="92" t="s">
        <v>136</v>
      </c>
      <c r="C101" s="91" t="s">
        <v>1795</v>
      </c>
      <c r="D101" s="93">
        <v>98</v>
      </c>
      <c r="E101" s="93">
        <v>83</v>
      </c>
      <c r="F101" s="103">
        <f>IFERROR(INDEX(Tabella951[PLZ],MATCH(Tabella848[[#This Row],[Colonna2]],Tabella951[Ortschaftsname],0)), "Name not found")</f>
        <v>8474</v>
      </c>
      <c r="K101" s="26"/>
      <c r="L101" s="4">
        <v>0</v>
      </c>
      <c r="M101" s="4">
        <v>0</v>
      </c>
      <c r="N101" s="4">
        <v>0</v>
      </c>
    </row>
    <row r="102" spans="2:14">
      <c r="B102" s="92" t="s">
        <v>136</v>
      </c>
      <c r="C102" s="91" t="s">
        <v>1820</v>
      </c>
      <c r="D102" s="93">
        <v>98</v>
      </c>
      <c r="E102" s="93">
        <v>104</v>
      </c>
      <c r="F102" s="103">
        <f>IFERROR(INDEX(Tabella951[PLZ],MATCH(Tabella848[[#This Row],[Colonna2]],Tabella951[Ortschaftsname],0)), "Name not found")</f>
        <v>8458</v>
      </c>
      <c r="K102" s="2"/>
      <c r="L102" s="4">
        <v>6900</v>
      </c>
      <c r="M102" s="4">
        <v>0</v>
      </c>
      <c r="N102" s="4">
        <v>2</v>
      </c>
    </row>
    <row r="103" spans="2:14">
      <c r="B103" s="92" t="s">
        <v>136</v>
      </c>
      <c r="C103" s="91" t="s">
        <v>1810</v>
      </c>
      <c r="D103" s="93">
        <v>98</v>
      </c>
      <c r="E103" s="93">
        <v>105</v>
      </c>
      <c r="F103" s="103">
        <f>IFERROR(INDEX(Tabella951[PLZ],MATCH(Tabella848[[#This Row],[Colonna2]],Tabella951[Ortschaftsname],0)), "Name not found")</f>
        <v>8471</v>
      </c>
      <c r="K103" s="2"/>
      <c r="L103" s="4">
        <f>L102+4900</f>
        <v>11800</v>
      </c>
      <c r="M103" s="4">
        <v>98</v>
      </c>
      <c r="N103" s="4">
        <v>3</v>
      </c>
    </row>
    <row r="104" spans="2:14">
      <c r="B104" s="92" t="s">
        <v>136</v>
      </c>
      <c r="C104" s="91" t="s">
        <v>1755</v>
      </c>
      <c r="D104" s="93">
        <v>98</v>
      </c>
      <c r="E104" s="93">
        <v>108</v>
      </c>
      <c r="F104" s="103">
        <f>IFERROR(INDEX(Tabella951[PLZ],MATCH(Tabella848[[#This Row],[Colonna2]],Tabella951[Ortschaftsname],0)), "Name not found")</f>
        <v>8108</v>
      </c>
      <c r="K104" s="2"/>
      <c r="L104" s="4">
        <f>L103+4800</f>
        <v>16600</v>
      </c>
      <c r="M104" s="4">
        <v>242</v>
      </c>
      <c r="N104" s="4">
        <v>4</v>
      </c>
    </row>
    <row r="105" spans="2:14">
      <c r="B105" s="92" t="s">
        <v>136</v>
      </c>
      <c r="C105" s="91" t="s">
        <v>1790</v>
      </c>
      <c r="D105" s="93">
        <v>98</v>
      </c>
      <c r="E105" s="93">
        <v>122</v>
      </c>
      <c r="F105" s="103">
        <v>8114</v>
      </c>
      <c r="K105" s="2"/>
      <c r="L105" s="4">
        <f>L104+7900</f>
        <v>24500</v>
      </c>
      <c r="M105" s="4">
        <v>558</v>
      </c>
      <c r="N105" s="4">
        <v>5</v>
      </c>
    </row>
    <row r="106" spans="2:14">
      <c r="B106" s="92" t="s">
        <v>136</v>
      </c>
      <c r="C106" s="91" t="s">
        <v>1817</v>
      </c>
      <c r="D106" s="93">
        <v>98</v>
      </c>
      <c r="E106" s="93">
        <v>116</v>
      </c>
      <c r="F106" s="103">
        <f>IFERROR(INDEX(Tabella951[PLZ],MATCH(Tabella848[[#This Row],[Colonna2]],Tabella951[Ortschaftsname],0)), "Name not found")</f>
        <v>8421</v>
      </c>
      <c r="K106" s="2"/>
      <c r="L106" s="4">
        <f>L105+9600</f>
        <v>34100</v>
      </c>
      <c r="M106" s="4">
        <v>1038</v>
      </c>
      <c r="N106" s="4">
        <v>6</v>
      </c>
    </row>
    <row r="107" spans="2:14">
      <c r="B107" s="92" t="s">
        <v>136</v>
      </c>
      <c r="C107" s="91" t="s">
        <v>1677</v>
      </c>
      <c r="D107" s="93">
        <v>98</v>
      </c>
      <c r="E107" s="93">
        <v>96</v>
      </c>
      <c r="F107" s="103">
        <f>IFERROR(INDEX(Tabella951[PLZ],MATCH(Tabella848[[#This Row],[Colonna2]],Tabella951[Ortschaftsname],0)), "Name not found")</f>
        <v>8600</v>
      </c>
      <c r="K107" s="2"/>
      <c r="L107" s="4">
        <f>L106+11000</f>
        <v>45100</v>
      </c>
      <c r="M107" s="4">
        <v>1698</v>
      </c>
      <c r="N107" s="4">
        <v>7</v>
      </c>
    </row>
    <row r="108" spans="2:14">
      <c r="B108" s="92" t="s">
        <v>136</v>
      </c>
      <c r="C108" s="91" t="s">
        <v>1718</v>
      </c>
      <c r="D108" s="93">
        <v>98</v>
      </c>
      <c r="E108" s="93">
        <v>113</v>
      </c>
      <c r="F108" s="103">
        <f>IFERROR(INDEX(Tabella951[PLZ],MATCH(Tabella848[[#This Row],[Colonna2]],Tabella951[Ortschaftsname],0)), "Name not found")</f>
        <v>8635</v>
      </c>
      <c r="K108" s="2"/>
      <c r="L108" s="4">
        <f>L107+12900</f>
        <v>58000</v>
      </c>
      <c r="M108" s="4">
        <v>2601</v>
      </c>
      <c r="N108" s="4">
        <v>8</v>
      </c>
    </row>
    <row r="109" spans="2:14">
      <c r="B109" s="92" t="s">
        <v>136</v>
      </c>
      <c r="C109" s="91" t="s">
        <v>1714</v>
      </c>
      <c r="D109" s="93">
        <v>98</v>
      </c>
      <c r="E109" s="93">
        <v>101</v>
      </c>
      <c r="F109" s="103">
        <v>8132</v>
      </c>
      <c r="K109" s="2"/>
      <c r="L109" s="4">
        <f>L108+17400</f>
        <v>75400</v>
      </c>
      <c r="M109" s="4">
        <v>3993</v>
      </c>
      <c r="N109" s="4">
        <v>9</v>
      </c>
    </row>
    <row r="110" spans="2:14">
      <c r="B110" s="92" t="s">
        <v>136</v>
      </c>
      <c r="C110" s="91" t="s">
        <v>1741</v>
      </c>
      <c r="D110" s="93">
        <v>98</v>
      </c>
      <c r="E110" s="93">
        <v>113</v>
      </c>
      <c r="F110" s="103">
        <f>IFERROR(INDEX(Tabella951[PLZ],MATCH(Tabella848[[#This Row],[Colonna2]],Tabella951[Ortschaftsname],0)), "Name not found")</f>
        <v>8193</v>
      </c>
      <c r="K110" s="2"/>
      <c r="L110" s="4">
        <f>L109+33600</f>
        <v>109000</v>
      </c>
      <c r="M110" s="4">
        <v>7017</v>
      </c>
      <c r="N110" s="4">
        <v>10</v>
      </c>
    </row>
    <row r="111" spans="2:14">
      <c r="B111" s="92" t="s">
        <v>136</v>
      </c>
      <c r="C111" s="91" t="s">
        <v>1746</v>
      </c>
      <c r="D111" s="93">
        <v>98</v>
      </c>
      <c r="E111" s="93">
        <v>119</v>
      </c>
      <c r="F111" s="103">
        <f>IFERROR(INDEX(Tabella951[PLZ],MATCH(Tabella848[[#This Row],[Colonna2]],Tabella951[Ortschaftsname],0)), "Name not found")</f>
        <v>8353</v>
      </c>
      <c r="K111" s="2"/>
      <c r="L111" s="4">
        <f>L110+33200</f>
        <v>142200</v>
      </c>
      <c r="M111" s="4">
        <v>10337</v>
      </c>
      <c r="N111" s="4">
        <v>11</v>
      </c>
    </row>
    <row r="112" spans="2:14">
      <c r="B112" s="92" t="s">
        <v>136</v>
      </c>
      <c r="C112" s="91" t="s">
        <v>1815</v>
      </c>
      <c r="D112" s="93">
        <v>98</v>
      </c>
      <c r="E112" s="93">
        <v>115</v>
      </c>
      <c r="F112" s="103">
        <f>IFERROR(INDEX(Tabella951[PLZ],MATCH(Tabella848[[#This Row],[Colonna2]],Tabella951[Ortschaftsname],0)), "Name not found")</f>
        <v>8548</v>
      </c>
      <c r="K112" s="2"/>
      <c r="L112" s="4">
        <f>L111+52700</f>
        <v>194900</v>
      </c>
      <c r="M112" s="4">
        <v>16134</v>
      </c>
      <c r="N112" s="4">
        <v>12</v>
      </c>
    </row>
    <row r="113" spans="2:14">
      <c r="B113" s="92" t="s">
        <v>136</v>
      </c>
      <c r="C113" s="91" t="s">
        <v>1765</v>
      </c>
      <c r="D113" s="93">
        <v>98</v>
      </c>
      <c r="E113" s="93">
        <v>120</v>
      </c>
      <c r="F113" s="103">
        <f>IFERROR(INDEX(Tabella951[PLZ],MATCH(Tabella848[[#This Row],[Colonna2]],Tabella951[Ortschaftsname],0)), "Name not found")</f>
        <v>8352</v>
      </c>
      <c r="K113" s="2"/>
      <c r="L113" s="46">
        <f>L112+68400</f>
        <v>263300</v>
      </c>
      <c r="M113" s="46">
        <v>23342</v>
      </c>
      <c r="N113" s="46">
        <v>13</v>
      </c>
    </row>
    <row r="114" spans="2:14">
      <c r="B114" s="92" t="s">
        <v>136</v>
      </c>
      <c r="C114" s="91" t="s">
        <v>1709</v>
      </c>
      <c r="D114" s="93">
        <v>98</v>
      </c>
      <c r="E114" s="93">
        <v>114</v>
      </c>
      <c r="F114" s="103">
        <f>IFERROR(INDEX(Tabella951[PLZ],MATCH(Tabella848[[#This Row],[Colonna2]],Tabella951[Ortschaftsname],0)), "Name not found")</f>
        <v>8424</v>
      </c>
      <c r="K114" s="2"/>
      <c r="L114" s="46"/>
      <c r="M114" s="46"/>
      <c r="N114" s="46"/>
    </row>
    <row r="115" spans="2:14">
      <c r="B115" s="92" t="s">
        <v>136</v>
      </c>
      <c r="C115" s="91" t="s">
        <v>1735</v>
      </c>
      <c r="D115" s="93">
        <v>98</v>
      </c>
      <c r="E115" s="93">
        <v>76</v>
      </c>
      <c r="F115" s="103">
        <v>8703</v>
      </c>
      <c r="K115" s="2"/>
      <c r="L115" s="46"/>
      <c r="M115" s="46"/>
      <c r="N115" s="46"/>
    </row>
    <row r="116" spans="2:14">
      <c r="B116" s="92" t="s">
        <v>136</v>
      </c>
      <c r="C116" s="91" t="s">
        <v>1724</v>
      </c>
      <c r="D116" s="93">
        <v>98</v>
      </c>
      <c r="E116" s="93">
        <v>109</v>
      </c>
      <c r="F116" s="103">
        <f>IFERROR(INDEX(Tabella951[PLZ],MATCH(Tabella848[[#This Row],[Colonna2]],Tabella951[Ortschaftsname],0)), "Name not found")</f>
        <v>8320</v>
      </c>
      <c r="K116" s="2"/>
      <c r="L116" s="36">
        <f>IF(K100&lt;$L$102,$M$101,IF(K100&lt;$L$103,$M$102+((K100-$L$102)/100)*$N$102,IF(K100&lt;$L$104,$M$103+((K100-$L$103)/100)*$N$103,IF(K100&lt;$L$105,$M$104+((K100-$L$104)/100)*$N$104,IF(K100&lt;$L$106,$M$105+((K100-$L$105)/100)*$N$105,IF(K100&lt;$L$107,$M$106+((K100-$L$106)/100)*$N$106,IF(K100&lt;$L$108,$M$107+((K100-$L$107)/100)*$N$107,IF(K100&lt;$L$109,$M$108+((K100-$L$108)/100)*$N$108,IF(K100&lt;$L$110,$M$109+((K100-$L$109)/100)*$N$109,IF(K100&lt;$L$111,$M$110+((K100-$L$110)/100)*$N$110,IF(K100&lt;$L$112,$M$111+((K100-$L$111)/100)*$N$111,IF(K100&lt;$L$113,$M$112+((K100-$L$112)/100)*$N$112,IF(K100&gt;=$L$113,$M$113+((K100-$L$113)/100)*$N$113)))))))))))))</f>
        <v>6207</v>
      </c>
      <c r="M116" s="2"/>
      <c r="N116" s="2"/>
    </row>
    <row r="117" spans="2:14">
      <c r="B117" s="92" t="s">
        <v>136</v>
      </c>
      <c r="C117" s="91" t="s">
        <v>1763</v>
      </c>
      <c r="D117" s="93">
        <v>98</v>
      </c>
      <c r="E117" s="93">
        <v>114</v>
      </c>
      <c r="F117" s="103">
        <f>IFERROR(INDEX(Tabella951[PLZ],MATCH(Tabella848[[#This Row],[Colonna2]],Tabella951[Ortschaftsname],0)), "Name not found")</f>
        <v>8245</v>
      </c>
    </row>
    <row r="118" spans="2:14">
      <c r="B118" s="92" t="s">
        <v>136</v>
      </c>
      <c r="C118" s="91" t="s">
        <v>1775</v>
      </c>
      <c r="D118" s="93">
        <v>98</v>
      </c>
      <c r="E118" s="93">
        <v>122</v>
      </c>
      <c r="F118" s="103">
        <f>IFERROR(INDEX(Tabella951[PLZ],MATCH(Tabella848[[#This Row],[Colonna2]],Tabella951[Ortschaftsname],0)), "Name not found")</f>
        <v>8497</v>
      </c>
      <c r="K118" s="68" t="s">
        <v>2524</v>
      </c>
      <c r="L118" s="21" t="s">
        <v>82</v>
      </c>
      <c r="M118" s="21" t="s">
        <v>2511</v>
      </c>
      <c r="N118" s="21" t="s">
        <v>90</v>
      </c>
    </row>
    <row r="119" spans="2:14">
      <c r="B119" s="92" t="s">
        <v>136</v>
      </c>
      <c r="C119" s="91" t="s">
        <v>1800</v>
      </c>
      <c r="D119" s="93">
        <v>98</v>
      </c>
      <c r="E119" s="93">
        <v>107</v>
      </c>
      <c r="F119" s="103">
        <f>IFERROR(INDEX(Tabella951[PLZ],MATCH(Tabella848[[#This Row],[Colonna2]],Tabella951[Ortschaftsname],0)), "Name not found")</f>
        <v>8416</v>
      </c>
      <c r="K119" s="94">
        <v>100000</v>
      </c>
      <c r="L119" s="11" t="s">
        <v>2512</v>
      </c>
      <c r="M119" s="11" t="s">
        <v>2525</v>
      </c>
      <c r="N119" s="11"/>
    </row>
    <row r="120" spans="2:14">
      <c r="B120" s="92" t="s">
        <v>136</v>
      </c>
      <c r="C120" s="91" t="s">
        <v>1797</v>
      </c>
      <c r="D120" s="93">
        <v>98</v>
      </c>
      <c r="E120" s="93">
        <v>111</v>
      </c>
      <c r="F120" s="103">
        <f>IFERROR(INDEX(Tabella951[PLZ],MATCH(Tabella848[[#This Row],[Colonna2]],Tabella951[Ortschaftsname],0)), "Name not found")</f>
        <v>8247</v>
      </c>
      <c r="K120" s="26"/>
      <c r="L120" s="4">
        <v>0</v>
      </c>
      <c r="M120" s="39">
        <v>0</v>
      </c>
      <c r="N120" s="4"/>
    </row>
    <row r="121" spans="2:14">
      <c r="B121" s="92" t="s">
        <v>136</v>
      </c>
      <c r="C121" s="91" t="s">
        <v>1778</v>
      </c>
      <c r="D121" s="93">
        <v>98</v>
      </c>
      <c r="E121" s="93">
        <v>99</v>
      </c>
      <c r="F121" s="103">
        <v>8427</v>
      </c>
      <c r="K121" s="2"/>
      <c r="L121" s="4">
        <v>11500</v>
      </c>
      <c r="M121" s="39">
        <v>0.04</v>
      </c>
      <c r="N121" s="4"/>
    </row>
    <row r="122" spans="2:14">
      <c r="B122" s="92" t="s">
        <v>136</v>
      </c>
      <c r="C122" s="91" t="s">
        <v>1712</v>
      </c>
      <c r="D122" s="93">
        <v>98</v>
      </c>
      <c r="E122" s="93">
        <v>99</v>
      </c>
      <c r="F122" s="103">
        <f>IFERROR(INDEX(Tabella951[PLZ],MATCH(Tabella848[[#This Row],[Colonna2]],Tabella951[Ortschaftsname],0)), "Name not found")</f>
        <v>8117</v>
      </c>
      <c r="K122" s="2"/>
      <c r="L122" s="4">
        <f>L121+4200</f>
        <v>15700</v>
      </c>
      <c r="M122" s="39">
        <v>0.06</v>
      </c>
      <c r="N122" s="4"/>
    </row>
    <row r="123" spans="2:14">
      <c r="B123" s="92" t="s">
        <v>136</v>
      </c>
      <c r="C123" s="91" t="s">
        <v>1744</v>
      </c>
      <c r="D123" s="93">
        <v>98</v>
      </c>
      <c r="E123" s="93">
        <v>110</v>
      </c>
      <c r="F123" s="103">
        <f>IFERROR(INDEX(Tabella951[PLZ],MATCH(Tabella848[[#This Row],[Colonna2]],Tabella951[Ortschaftsname],0)), "Name not found")</f>
        <v>8954</v>
      </c>
      <c r="K123" s="2"/>
      <c r="L123" s="4">
        <f>L122+17700</f>
        <v>33400</v>
      </c>
      <c r="M123" s="39">
        <v>0.08</v>
      </c>
      <c r="N123" s="4"/>
    </row>
    <row r="124" spans="2:14">
      <c r="B124" s="92" t="s">
        <v>136</v>
      </c>
      <c r="C124" s="91" t="s">
        <v>1740</v>
      </c>
      <c r="D124" s="93">
        <v>98</v>
      </c>
      <c r="E124" s="93">
        <v>120</v>
      </c>
      <c r="F124" s="103">
        <f>IFERROR(INDEX(Tabella951[PLZ],MATCH(Tabella848[[#This Row],[Colonna2]],Tabella951[Ortschaftsname],0)), "Name not found")</f>
        <v>8192</v>
      </c>
      <c r="K124" s="2"/>
      <c r="L124" s="4">
        <f>L123+26100</f>
        <v>59500</v>
      </c>
      <c r="M124" s="39">
        <v>9.1999999999999998E-2</v>
      </c>
      <c r="N124" s="4"/>
    </row>
    <row r="125" spans="2:14">
      <c r="B125" s="92" t="s">
        <v>136</v>
      </c>
      <c r="C125" s="91" t="s">
        <v>1706</v>
      </c>
      <c r="D125" s="93">
        <v>98</v>
      </c>
      <c r="E125" s="93">
        <v>117</v>
      </c>
      <c r="F125" s="103">
        <v>8625</v>
      </c>
      <c r="K125" s="2"/>
      <c r="L125" s="4">
        <f>L124+37500</f>
        <v>97000</v>
      </c>
      <c r="M125" s="39">
        <v>9.4E-2</v>
      </c>
      <c r="N125" s="4"/>
    </row>
    <row r="126" spans="2:14">
      <c r="B126" s="92" t="s">
        <v>136</v>
      </c>
      <c r="C126" s="91" t="s">
        <v>1739</v>
      </c>
      <c r="D126" s="93">
        <v>98</v>
      </c>
      <c r="E126" s="93">
        <v>94</v>
      </c>
      <c r="F126" s="103">
        <f>IFERROR(INDEX(Tabella951[PLZ],MATCH(Tabella848[[#This Row],[Colonna2]],Tabella951[Ortschaftsname],0)), "Name not found")</f>
        <v>8606</v>
      </c>
      <c r="K126" s="2"/>
      <c r="L126" s="4">
        <f>L125+163800</f>
        <v>260800</v>
      </c>
      <c r="M126" s="39">
        <v>8.5000000000000006E-2</v>
      </c>
      <c r="N126" s="4"/>
    </row>
    <row r="127" spans="2:14">
      <c r="B127" s="92" t="s">
        <v>136</v>
      </c>
      <c r="C127" s="91" t="s">
        <v>1767</v>
      </c>
      <c r="D127" s="93">
        <v>98</v>
      </c>
      <c r="E127" s="93">
        <v>113</v>
      </c>
      <c r="F127" s="103">
        <f>IFERROR(INDEX(Tabella951[PLZ],MATCH(Tabella848[[#This Row],[Colonna2]],Tabella951[Ortschaftsname],0)), "Name not found")</f>
        <v>8627</v>
      </c>
      <c r="K127" s="2"/>
      <c r="L127" s="4"/>
      <c r="M127" s="4"/>
      <c r="N127" s="4"/>
    </row>
    <row r="128" spans="2:14">
      <c r="B128" s="92" t="s">
        <v>136</v>
      </c>
      <c r="C128" s="91" t="s">
        <v>1805</v>
      </c>
      <c r="D128" s="93">
        <v>98</v>
      </c>
      <c r="E128" s="93">
        <v>118</v>
      </c>
      <c r="F128" s="103">
        <v>8523</v>
      </c>
      <c r="K128" s="2"/>
      <c r="L128" s="4"/>
      <c r="M128" s="4"/>
      <c r="N128" s="4"/>
    </row>
    <row r="129" spans="2:14">
      <c r="B129" s="92" t="s">
        <v>136</v>
      </c>
      <c r="C129" s="91" t="s">
        <v>1762</v>
      </c>
      <c r="D129" s="93">
        <v>98</v>
      </c>
      <c r="E129" s="93">
        <v>112</v>
      </c>
      <c r="F129" s="103">
        <f>IFERROR(INDEX(Tabella951[PLZ],MATCH(Tabella848[[#This Row],[Colonna2]],Tabella951[Ortschaftsname],0)), "Name not found")</f>
        <v>8915</v>
      </c>
      <c r="K129" s="2"/>
      <c r="L129" s="4"/>
      <c r="M129" s="4"/>
      <c r="N129" s="4"/>
    </row>
    <row r="130" spans="2:14">
      <c r="B130" s="92" t="s">
        <v>136</v>
      </c>
      <c r="C130" s="91" t="s">
        <v>1761</v>
      </c>
      <c r="D130" s="93">
        <v>98</v>
      </c>
      <c r="E130" s="93">
        <v>100</v>
      </c>
      <c r="F130" s="103">
        <f>IFERROR(INDEX(Tabella951[PLZ],MATCH(Tabella848[[#This Row],[Colonna2]],Tabella951[Ortschaftsname],0)), "Name not found")</f>
        <v>8908</v>
      </c>
      <c r="K130" s="2"/>
      <c r="L130" s="4"/>
      <c r="M130" s="4"/>
      <c r="N130" s="4"/>
    </row>
    <row r="131" spans="2:14">
      <c r="B131" s="92" t="s">
        <v>136</v>
      </c>
      <c r="C131" s="91" t="s">
        <v>1781</v>
      </c>
      <c r="D131" s="93">
        <v>98</v>
      </c>
      <c r="E131" s="93">
        <v>102</v>
      </c>
      <c r="F131" s="103">
        <f>IFERROR(INDEX(Tabella951[PLZ],MATCH(Tabella848[[#This Row],[Colonna2]],Tabella951[Ortschaftsname],0)), "Name not found")</f>
        <v>8444</v>
      </c>
      <c r="K131" s="2"/>
      <c r="L131" s="4"/>
      <c r="M131" s="4"/>
      <c r="N131" s="4"/>
    </row>
    <row r="132" spans="2:14">
      <c r="B132" s="92" t="s">
        <v>136</v>
      </c>
      <c r="C132" s="91" t="s">
        <v>1728</v>
      </c>
      <c r="D132" s="93">
        <v>98</v>
      </c>
      <c r="E132" s="93">
        <v>75</v>
      </c>
      <c r="F132" s="103">
        <f>IFERROR(INDEX(Tabella951[PLZ],MATCH(Tabella848[[#This Row],[Colonna2]],Tabella951[Ortschaftsname],0)), "Name not found")</f>
        <v>8704</v>
      </c>
      <c r="K132" s="2"/>
      <c r="L132" s="46"/>
      <c r="M132" s="46"/>
      <c r="N132" s="46"/>
    </row>
    <row r="133" spans="2:14">
      <c r="B133" s="92" t="s">
        <v>136</v>
      </c>
      <c r="C133" s="91" t="s">
        <v>1769</v>
      </c>
      <c r="D133" s="93">
        <v>98</v>
      </c>
      <c r="E133" s="93">
        <v>96</v>
      </c>
      <c r="F133" s="103">
        <f>IFERROR(INDEX(Tabella951[PLZ],MATCH(Tabella848[[#This Row],[Colonna2]],Tabella951[Ortschaftsname],0)), "Name not found")</f>
        <v>8442</v>
      </c>
      <c r="K133" s="2"/>
      <c r="L133" s="46"/>
      <c r="M133" s="46"/>
      <c r="N133" s="46"/>
    </row>
    <row r="134" spans="2:14">
      <c r="B134" s="92" t="s">
        <v>136</v>
      </c>
      <c r="C134" s="91" t="s">
        <v>1703</v>
      </c>
      <c r="D134" s="93">
        <v>98</v>
      </c>
      <c r="E134" s="93">
        <v>112</v>
      </c>
      <c r="F134" s="103">
        <f>IFERROR(INDEX(Tabella951[PLZ],MATCH(Tabella848[[#This Row],[Colonna2]],Tabella951[Ortschaftsname],0)), "Name not found")</f>
        <v>8340</v>
      </c>
      <c r="K134" s="2"/>
      <c r="L134" s="46"/>
      <c r="M134" s="46"/>
      <c r="N134" s="46"/>
    </row>
    <row r="135" spans="2:14">
      <c r="B135" s="92" t="s">
        <v>136</v>
      </c>
      <c r="C135" s="91" t="s">
        <v>1764</v>
      </c>
      <c r="D135" s="93">
        <v>98</v>
      </c>
      <c r="E135" s="93">
        <v>113</v>
      </c>
      <c r="F135" s="103">
        <f>IFERROR(INDEX(Tabella951[PLZ],MATCH(Tabella848[[#This Row],[Colonna2]],Tabella951[Ortschaftsname],0)), "Name not found")</f>
        <v>8335</v>
      </c>
      <c r="K135" s="2"/>
      <c r="L135" s="36">
        <f>IF(K119&lt;$L$121,K119*M120,IF(K119&lt;$L$122,K$119*$M$121, IF(K119&lt;$L$123,K119*$M$122,IF(K119&lt;$L$124,K119*$M$123,IF(K119&lt;$L$125,K119*$M$124,IF(K119&lt;$L$126,K119*$M$125,IF(K119&gt;$L$126,K119*$M$126)))))))</f>
        <v>9400</v>
      </c>
      <c r="M135" s="2"/>
      <c r="N135" s="2"/>
    </row>
    <row r="136" spans="2:14">
      <c r="B136" s="92" t="s">
        <v>136</v>
      </c>
      <c r="C136" s="91" t="s">
        <v>1789</v>
      </c>
      <c r="D136" s="93">
        <v>98</v>
      </c>
      <c r="E136" s="93">
        <v>116</v>
      </c>
      <c r="F136" s="103">
        <f>IFERROR(INDEX(Tabella951[PLZ],MATCH(Tabella848[[#This Row],[Colonna2]],Tabella951[Ortschaftsname],0)), "Name not found")</f>
        <v>8182</v>
      </c>
    </row>
    <row r="137" spans="2:14">
      <c r="B137" s="92" t="s">
        <v>136</v>
      </c>
      <c r="C137" s="91" t="s">
        <v>1711</v>
      </c>
      <c r="D137" s="93">
        <v>98</v>
      </c>
      <c r="E137" s="93">
        <v>113</v>
      </c>
      <c r="F137" s="103">
        <f>IFERROR(INDEX(Tabella951[PLZ],MATCH(Tabella848[[#This Row],[Colonna2]],Tabella951[Ortschaftsname],0)), "Name not found")</f>
        <v>8634</v>
      </c>
      <c r="K137" s="68" t="s">
        <v>2526</v>
      </c>
      <c r="L137" s="21" t="s">
        <v>82</v>
      </c>
      <c r="M137" s="21" t="s">
        <v>2511</v>
      </c>
      <c r="N137" s="21" t="s">
        <v>90</v>
      </c>
    </row>
    <row r="138" spans="2:14">
      <c r="B138" s="92" t="s">
        <v>136</v>
      </c>
      <c r="C138" s="91" t="s">
        <v>1683</v>
      </c>
      <c r="D138" s="93">
        <v>98</v>
      </c>
      <c r="E138" s="93">
        <v>90</v>
      </c>
      <c r="F138" s="103">
        <f>IFERROR(INDEX(Tabella951[PLZ],MATCH(Tabella848[[#This Row],[Colonna2]],Tabella951[Ortschaftsname],0)), "Name not found")</f>
        <v>8810</v>
      </c>
      <c r="K138" s="94">
        <v>100000</v>
      </c>
      <c r="L138" s="11" t="s">
        <v>2512</v>
      </c>
      <c r="M138" s="11" t="s">
        <v>2513</v>
      </c>
      <c r="N138" s="11" t="s">
        <v>2514</v>
      </c>
    </row>
    <row r="139" spans="2:14">
      <c r="B139" s="92" t="s">
        <v>136</v>
      </c>
      <c r="C139" s="91" t="s">
        <v>1772</v>
      </c>
      <c r="D139" s="93">
        <v>98</v>
      </c>
      <c r="E139" s="93">
        <v>110</v>
      </c>
      <c r="F139" s="103">
        <f>IFERROR(INDEX(Tabella951[PLZ],MATCH(Tabella848[[#This Row],[Colonna2]],Tabella951[Ortschaftsname],0)), "Name not found")</f>
        <v>8181</v>
      </c>
      <c r="K139" s="26"/>
      <c r="L139" s="4">
        <v>0</v>
      </c>
      <c r="M139" s="4">
        <v>0</v>
      </c>
      <c r="N139" s="4">
        <v>0.5</v>
      </c>
    </row>
    <row r="140" spans="2:14">
      <c r="B140" s="92" t="s">
        <v>136</v>
      </c>
      <c r="C140" s="91" t="s">
        <v>1809</v>
      </c>
      <c r="D140" s="93">
        <v>98</v>
      </c>
      <c r="E140" s="93">
        <v>108</v>
      </c>
      <c r="F140" s="103">
        <f>IFERROR(INDEX(Tabella951[PLZ],MATCH(Tabella848[[#This Row],[Colonna2]],Tabella951[Ortschaftsname],0)), "Name not found")</f>
        <v>8194</v>
      </c>
      <c r="K140" s="2"/>
      <c r="L140" s="4">
        <v>1100</v>
      </c>
      <c r="M140" s="4">
        <v>6</v>
      </c>
      <c r="N140" s="4">
        <v>1</v>
      </c>
    </row>
    <row r="141" spans="2:14">
      <c r="B141" s="92" t="s">
        <v>136</v>
      </c>
      <c r="C141" s="91" t="s">
        <v>1813</v>
      </c>
      <c r="D141" s="93">
        <v>98</v>
      </c>
      <c r="E141" s="93">
        <v>115</v>
      </c>
      <c r="F141" s="103">
        <f>IFERROR(INDEX(Tabella951[PLZ],MATCH(Tabella848[[#This Row],[Colonna2]],Tabella951[Ortschaftsname],0)), "Name not found")</f>
        <v>8115</v>
      </c>
      <c r="K141" s="2"/>
      <c r="L141" s="4">
        <v>3300</v>
      </c>
      <c r="M141" s="4">
        <v>28</v>
      </c>
      <c r="N141" s="4">
        <v>2</v>
      </c>
    </row>
    <row r="142" spans="2:14">
      <c r="B142" s="92" t="s">
        <v>136</v>
      </c>
      <c r="C142" s="91" t="s">
        <v>1692</v>
      </c>
      <c r="D142" s="93">
        <v>98</v>
      </c>
      <c r="E142" s="93">
        <v>110</v>
      </c>
      <c r="F142" s="103">
        <v>8307</v>
      </c>
      <c r="K142" s="2"/>
      <c r="L142" s="4">
        <v>6100</v>
      </c>
      <c r="M142" s="4">
        <v>84</v>
      </c>
      <c r="N142" s="4">
        <v>3</v>
      </c>
    </row>
    <row r="143" spans="2:14">
      <c r="B143" s="92" t="s">
        <v>136</v>
      </c>
      <c r="C143" s="91" t="s">
        <v>1804</v>
      </c>
      <c r="D143" s="93">
        <v>98</v>
      </c>
      <c r="E143" s="93">
        <v>102</v>
      </c>
      <c r="F143" s="103">
        <f>IFERROR(INDEX(Tabella951[PLZ],MATCH(Tabella848[[#This Row],[Colonna2]],Tabella951[Ortschaftsname],0)), "Name not found")</f>
        <v>8926</v>
      </c>
      <c r="K143" s="2"/>
      <c r="L143" s="4">
        <v>10000</v>
      </c>
      <c r="M143" s="4">
        <v>201</v>
      </c>
      <c r="N143" s="4">
        <v>3.25</v>
      </c>
    </row>
    <row r="144" spans="2:14">
      <c r="B144" s="92" t="s">
        <v>136</v>
      </c>
      <c r="C144" s="91" t="s">
        <v>1713</v>
      </c>
      <c r="D144" s="93">
        <v>98</v>
      </c>
      <c r="E144" s="93">
        <v>72</v>
      </c>
      <c r="F144" s="103">
        <v>8802</v>
      </c>
      <c r="K144" s="2"/>
      <c r="L144" s="4">
        <v>15100</v>
      </c>
      <c r="M144" s="4">
        <v>366</v>
      </c>
      <c r="N144" s="4">
        <v>3.5</v>
      </c>
    </row>
    <row r="145" spans="2:14">
      <c r="B145" s="92" t="s">
        <v>136</v>
      </c>
      <c r="C145" s="91" t="s">
        <v>1783</v>
      </c>
      <c r="D145" s="93">
        <v>98</v>
      </c>
      <c r="E145" s="93">
        <v>112</v>
      </c>
      <c r="F145" s="103">
        <f>IFERROR(INDEX(Tabella951[PLZ],MATCH(Tabella848[[#This Row],[Colonna2]],Tabella951[Ortschaftsname],0)), "Name not found")</f>
        <v>8451</v>
      </c>
      <c r="K145" s="2"/>
      <c r="L145" s="4">
        <v>20800</v>
      </c>
      <c r="M145" s="4">
        <v>566</v>
      </c>
      <c r="N145" s="4">
        <v>4</v>
      </c>
    </row>
    <row r="146" spans="2:14">
      <c r="B146" s="92" t="s">
        <v>136</v>
      </c>
      <c r="C146" s="91" t="s">
        <v>1686</v>
      </c>
      <c r="D146" s="93">
        <v>98</v>
      </c>
      <c r="E146" s="93">
        <v>103</v>
      </c>
      <c r="F146" s="103">
        <f>IFERROR(INDEX(Tabella951[PLZ],MATCH(Tabella848[[#This Row],[Colonna2]],Tabella951[Ortschaftsname],0)), "Name not found")</f>
        <v>8302</v>
      </c>
      <c r="K146" s="2"/>
      <c r="L146" s="4">
        <v>26500</v>
      </c>
      <c r="M146" s="4">
        <v>794</v>
      </c>
      <c r="N146" s="4">
        <v>4.5</v>
      </c>
    </row>
    <row r="147" spans="2:14">
      <c r="B147" s="92" t="s">
        <v>136</v>
      </c>
      <c r="C147" s="91" t="s">
        <v>1779</v>
      </c>
      <c r="D147" s="93">
        <v>98</v>
      </c>
      <c r="E147" s="93">
        <v>116</v>
      </c>
      <c r="F147" s="103">
        <f>IFERROR(INDEX(Tabella951[PLZ],MATCH(Tabella848[[#This Row],[Colonna2]],Tabella951[Ortschaftsname],0)), "Name not found")</f>
        <v>8934</v>
      </c>
      <c r="K147" s="2"/>
      <c r="L147" s="4">
        <v>34400</v>
      </c>
      <c r="M147" s="4">
        <v>1149</v>
      </c>
      <c r="N147" s="4">
        <v>5.5</v>
      </c>
    </row>
    <row r="148" spans="2:14">
      <c r="B148" s="92" t="s">
        <v>136</v>
      </c>
      <c r="C148" s="91" t="s">
        <v>1695</v>
      </c>
      <c r="D148" s="93">
        <v>98</v>
      </c>
      <c r="E148" s="93">
        <v>73</v>
      </c>
      <c r="F148" s="103">
        <v>8700</v>
      </c>
      <c r="K148" s="2"/>
      <c r="L148" s="4">
        <v>45700</v>
      </c>
      <c r="M148" s="4">
        <v>1771</v>
      </c>
      <c r="N148" s="4">
        <v>5.5</v>
      </c>
    </row>
    <row r="149" spans="2:14">
      <c r="B149" s="92" t="s">
        <v>136</v>
      </c>
      <c r="C149" s="91" t="s">
        <v>1719</v>
      </c>
      <c r="D149" s="93">
        <v>98</v>
      </c>
      <c r="E149" s="93">
        <v>106</v>
      </c>
      <c r="F149" s="103">
        <f>IFERROR(INDEX(Tabella951[PLZ],MATCH(Tabella848[[#This Row],[Colonna2]],Tabella951[Ortschaftsname],0)), "Name not found")</f>
        <v>8135</v>
      </c>
      <c r="K149" s="2"/>
      <c r="L149" s="4">
        <v>58800</v>
      </c>
      <c r="M149" s="4">
        <v>2491</v>
      </c>
      <c r="N149" s="4">
        <v>6.5</v>
      </c>
    </row>
    <row r="150" spans="2:14">
      <c r="B150" s="92" t="s">
        <v>136</v>
      </c>
      <c r="C150" s="91" t="s">
        <v>1793</v>
      </c>
      <c r="D150" s="93">
        <v>98</v>
      </c>
      <c r="E150" s="93">
        <v>104</v>
      </c>
      <c r="F150" s="103">
        <v>8248</v>
      </c>
      <c r="K150" s="2"/>
      <c r="L150" s="4">
        <v>73600</v>
      </c>
      <c r="M150" s="4">
        <v>3453</v>
      </c>
      <c r="N150" s="4">
        <v>8</v>
      </c>
    </row>
    <row r="151" spans="2:14">
      <c r="B151" s="92" t="s">
        <v>136</v>
      </c>
      <c r="C151" s="91" t="s">
        <v>1733</v>
      </c>
      <c r="D151" s="93">
        <v>98</v>
      </c>
      <c r="E151" s="93">
        <v>106</v>
      </c>
      <c r="F151" s="103">
        <f>IFERROR(INDEX(Tabella951[PLZ],MATCH(Tabella848[[#This Row],[Colonna2]],Tabella951[Ortschaftsname],0)), "Name not found")</f>
        <v>8315</v>
      </c>
      <c r="K151" s="2"/>
      <c r="L151" s="46">
        <v>93400</v>
      </c>
      <c r="M151" s="46">
        <v>5037</v>
      </c>
      <c r="N151" s="46">
        <v>10</v>
      </c>
    </row>
    <row r="152" spans="2:14">
      <c r="B152" s="92" t="s">
        <v>136</v>
      </c>
      <c r="C152" s="91" t="s">
        <v>1777</v>
      </c>
      <c r="D152" s="93">
        <v>98</v>
      </c>
      <c r="E152" s="93">
        <v>92</v>
      </c>
      <c r="F152" s="103">
        <f>IFERROR(INDEX(Tabella951[PLZ],MATCH(Tabella848[[#This Row],[Colonna2]],Tabella951[Ortschaftsname],0)), "Name not found")</f>
        <v>8426</v>
      </c>
      <c r="K152" s="2"/>
      <c r="L152" s="46">
        <v>118300</v>
      </c>
      <c r="M152" s="46">
        <v>7527</v>
      </c>
      <c r="N152" s="46">
        <v>9</v>
      </c>
    </row>
    <row r="153" spans="2:14">
      <c r="B153" s="92" t="s">
        <v>136</v>
      </c>
      <c r="C153" s="91" t="s">
        <v>1786</v>
      </c>
      <c r="D153" s="93">
        <v>98</v>
      </c>
      <c r="E153" s="93">
        <v>107</v>
      </c>
      <c r="F153" s="103">
        <f>IFERROR(INDEX(Tabella951[PLZ],MATCH(Tabella848[[#This Row],[Colonna2]],Tabella951[Ortschaftsname],0)), "Name not found")</f>
        <v>8460</v>
      </c>
      <c r="K153" s="2"/>
      <c r="L153" s="46">
        <v>147700</v>
      </c>
      <c r="M153" s="46">
        <v>10173</v>
      </c>
      <c r="N153" s="46">
        <v>8</v>
      </c>
    </row>
    <row r="154" spans="2:14">
      <c r="B154" s="92" t="s">
        <v>136</v>
      </c>
      <c r="C154" s="91" t="s">
        <v>2527</v>
      </c>
      <c r="D154" s="93">
        <v>98</v>
      </c>
      <c r="E154" s="93">
        <v>130</v>
      </c>
      <c r="F154" s="103">
        <f>IFERROR(INDEX(Tabella951[PLZ],MATCH(Tabella848[[#This Row],[Colonna2]],Tabella951[Ortschaftsname],0)), "Name not found")</f>
        <v>8933</v>
      </c>
      <c r="K154" s="2"/>
      <c r="L154" s="36">
        <f>IF(K138&lt;$L$140,$M$139+((K138-$L$139)/100)*$N$139, IF(K138&lt;$L$141,M140+((K138-$L$140)/100)*$N$140, IF(K138&lt;$L$142,$M$141+((K138-$L$141)/100)*$N$141, IF(K138&lt;$L$143,$M$142+((K138-$L$142)/100)*$N$142, IF(K138&lt;$L$144,$M$143+((K138-$L$143)/100)*$N$143,IF(K138&lt;$L$145,$M$144+((K138-$L$144)/100)*$N$144,IF(K138&lt;$L$146,$M$145+((K138-$L$145)/100)*$N$145,IF(K138&lt;$L$147,$M$146+((K138-$L$146)/100)*$N$146,IF(K138&lt;$L$148,$M$147+((K138-$L$147)/100)*$N$147,IF(K138&lt;$L$149,$M$148+((K138-$L$148)/100)*$N$148,IF(K138&lt;$L$150,$M$149+((K138-$L$149)/100)*$N$149,IF(K138&lt;$L$151,$M$150+((K138-$L$150)/100)*$N$150,IF(K138&lt;$L$152,$M$151+((K138-$L$151)/100)*$N$151,IF(K138&lt;$L$153,$M$152+((K138-$L$152)/100)*$N$152, IF(K138&gt;=$L$153,$M$153+((K138-$L$153)/100)*$N$153)))))))))))))))</f>
        <v>5697</v>
      </c>
      <c r="M154" s="2"/>
      <c r="N154" s="2"/>
    </row>
    <row r="155" spans="2:14">
      <c r="B155" s="92" t="s">
        <v>136</v>
      </c>
      <c r="C155" s="91" t="s">
        <v>1705</v>
      </c>
      <c r="D155" s="93">
        <v>98</v>
      </c>
      <c r="E155" s="93">
        <v>85</v>
      </c>
      <c r="F155" s="103">
        <f>IFERROR(INDEX(Tabella951[PLZ],MATCH(Tabella848[[#This Row],[Colonna2]],Tabella951[Ortschaftsname],0)), "Name not found")</f>
        <v>8124</v>
      </c>
    </row>
    <row r="156" spans="2:14">
      <c r="B156" s="92" t="s">
        <v>136</v>
      </c>
      <c r="C156" s="91" t="s">
        <v>1696</v>
      </c>
      <c r="D156" s="93">
        <v>98</v>
      </c>
      <c r="E156" s="93">
        <v>79</v>
      </c>
      <c r="F156" s="103">
        <f>IFERROR(INDEX(Tabella951[PLZ],MATCH(Tabella848[[#This Row],[Colonna2]],Tabella951[Ortschaftsname],0)), "Name not found")</f>
        <v>8706</v>
      </c>
      <c r="K156" s="68" t="s">
        <v>2528</v>
      </c>
      <c r="L156" s="21" t="s">
        <v>82</v>
      </c>
      <c r="M156" s="21" t="s">
        <v>2511</v>
      </c>
      <c r="N156" s="21" t="s">
        <v>90</v>
      </c>
    </row>
    <row r="157" spans="2:14">
      <c r="B157" s="92" t="s">
        <v>136</v>
      </c>
      <c r="C157" s="91" t="s">
        <v>1747</v>
      </c>
      <c r="D157" s="93">
        <v>98</v>
      </c>
      <c r="E157" s="93">
        <v>98</v>
      </c>
      <c r="F157" s="103">
        <f>IFERROR(INDEX(Tabella951[PLZ],MATCH(Tabella848[[#This Row],[Colonna2]],Tabella951[Ortschaftsname],0)), "Name not found")</f>
        <v>8932</v>
      </c>
      <c r="K157" s="94">
        <v>100000</v>
      </c>
      <c r="L157" s="11" t="s">
        <v>2512</v>
      </c>
      <c r="M157" s="11" t="s">
        <v>2525</v>
      </c>
      <c r="N157" s="11"/>
    </row>
    <row r="158" spans="2:14">
      <c r="B158" s="92" t="s">
        <v>136</v>
      </c>
      <c r="C158" s="91" t="s">
        <v>1704</v>
      </c>
      <c r="D158" s="93">
        <v>98</v>
      </c>
      <c r="E158" s="93">
        <v>93</v>
      </c>
      <c r="F158" s="103">
        <f>IFERROR(INDEX(Tabella951[PLZ],MATCH(Tabella848[[#This Row],[Colonna2]],Tabella951[Ortschaftsname],0)), "Name not found")</f>
        <v>8708</v>
      </c>
      <c r="K158" s="26"/>
      <c r="L158" s="4">
        <v>0</v>
      </c>
      <c r="M158" s="39">
        <v>1.95E-2</v>
      </c>
      <c r="N158" s="4"/>
    </row>
    <row r="159" spans="2:14">
      <c r="B159" s="92" t="s">
        <v>136</v>
      </c>
      <c r="C159" s="91" t="s">
        <v>1759</v>
      </c>
      <c r="D159" s="93">
        <v>98</v>
      </c>
      <c r="E159" s="93">
        <v>108</v>
      </c>
      <c r="F159" s="103">
        <f>IFERROR(INDEX(Tabella951[PLZ],MATCH(Tabella848[[#This Row],[Colonna2]],Tabella951[Ortschaftsname],0)), "Name not found")</f>
        <v>8617</v>
      </c>
      <c r="K159" s="2"/>
      <c r="L159" s="4">
        <v>3200</v>
      </c>
      <c r="M159" s="39">
        <v>2.9000000000000001E-2</v>
      </c>
      <c r="N159" s="4"/>
    </row>
    <row r="160" spans="2:14">
      <c r="B160" s="92" t="s">
        <v>136</v>
      </c>
      <c r="C160" s="91" t="s">
        <v>1770</v>
      </c>
      <c r="D160" s="93">
        <v>98</v>
      </c>
      <c r="E160" s="93">
        <v>77</v>
      </c>
      <c r="F160" s="103">
        <f>IFERROR(INDEX(Tabella951[PLZ],MATCH(Tabella848[[#This Row],[Colonna2]],Tabella951[Ortschaftsname],0)), "Name not found")</f>
        <v>8173</v>
      </c>
      <c r="K160" s="2"/>
      <c r="L160" s="4">
        <f>L159+3200</f>
        <v>6400</v>
      </c>
      <c r="M160" s="39">
        <v>3.5999999999999997E-2</v>
      </c>
      <c r="N160" s="4"/>
    </row>
    <row r="161" spans="2:14">
      <c r="B161" s="92" t="s">
        <v>136</v>
      </c>
      <c r="C161" s="91" t="s">
        <v>1736</v>
      </c>
      <c r="D161" s="93">
        <v>98</v>
      </c>
      <c r="E161" s="93">
        <v>105</v>
      </c>
      <c r="F161" s="103">
        <f>IFERROR(INDEX(Tabella951[PLZ],MATCH(Tabella848[[#This Row],[Colonna2]],Tabella951[Ortschaftsname],0)), "Name not found")</f>
        <v>8413</v>
      </c>
      <c r="K161" s="2"/>
      <c r="L161" s="4">
        <f>L160+9600</f>
        <v>16000</v>
      </c>
      <c r="M161" s="39">
        <v>4.1500000000000002E-2</v>
      </c>
      <c r="N161" s="4"/>
    </row>
    <row r="162" spans="2:14">
      <c r="B162" s="92" t="s">
        <v>136</v>
      </c>
      <c r="C162" s="91" t="s">
        <v>1743</v>
      </c>
      <c r="D162" s="93">
        <v>98</v>
      </c>
      <c r="E162" s="93">
        <v>106</v>
      </c>
      <c r="F162" s="103">
        <v>8172</v>
      </c>
      <c r="K162" s="2"/>
      <c r="L162" s="4">
        <f>L161+15800</f>
        <v>31800</v>
      </c>
      <c r="M162" s="39">
        <v>4.4499999999999998E-2</v>
      </c>
      <c r="N162" s="4"/>
    </row>
    <row r="163" spans="2:14">
      <c r="B163" s="92" t="s">
        <v>136</v>
      </c>
      <c r="C163" s="91" t="s">
        <v>1710</v>
      </c>
      <c r="D163" s="93">
        <v>98</v>
      </c>
      <c r="E163" s="93">
        <v>112</v>
      </c>
      <c r="F163" s="103">
        <f>IFERROR(INDEX(Tabella951[PLZ],MATCH(Tabella848[[#This Row],[Colonna2]],Tabella951[Ortschaftsname],0)), "Name not found")</f>
        <v>8155</v>
      </c>
      <c r="K163" s="2"/>
      <c r="L163" s="4">
        <f>L162+26300</f>
        <v>58100</v>
      </c>
      <c r="M163" s="39">
        <v>0.05</v>
      </c>
      <c r="N163" s="4"/>
    </row>
    <row r="164" spans="2:14">
      <c r="B164" s="92" t="s">
        <v>136</v>
      </c>
      <c r="C164" s="91" t="s">
        <v>2529</v>
      </c>
      <c r="D164" s="93">
        <v>98</v>
      </c>
      <c r="E164" s="93">
        <v>102</v>
      </c>
      <c r="F164" s="103">
        <f>IFERROR(INDEX(Tabella951[PLZ],MATCH(Tabella848[[#This Row],[Colonna2]],Tabella951[Ortschaftsname],0)), "Name not found")</f>
        <v>8166</v>
      </c>
      <c r="K164" s="2"/>
      <c r="L164" s="4">
        <f t="shared" ref="L164:L168" si="0">L163+26300</f>
        <v>84400</v>
      </c>
      <c r="M164" s="39">
        <v>5.6000000000000001E-2</v>
      </c>
      <c r="N164" s="4"/>
    </row>
    <row r="165" spans="2:14">
      <c r="B165" s="92" t="s">
        <v>136</v>
      </c>
      <c r="C165" s="91" t="s">
        <v>1734</v>
      </c>
      <c r="D165" s="93">
        <v>98</v>
      </c>
      <c r="E165" s="93">
        <v>90</v>
      </c>
      <c r="F165" s="103">
        <f>IFERROR(INDEX(Tabella951[PLZ],MATCH(Tabella848[[#This Row],[Colonna2]],Tabella951[Ortschaftsname],0)), "Name not found")</f>
        <v>8309</v>
      </c>
      <c r="K165" s="2"/>
      <c r="L165" s="4">
        <f t="shared" si="0"/>
        <v>110700</v>
      </c>
      <c r="M165" s="39">
        <v>5.7500000000000002E-2</v>
      </c>
      <c r="N165" s="4"/>
    </row>
    <row r="166" spans="2:14">
      <c r="B166" s="92" t="s">
        <v>136</v>
      </c>
      <c r="C166" s="91" t="s">
        <v>1808</v>
      </c>
      <c r="D166" s="93">
        <v>98</v>
      </c>
      <c r="E166" s="93">
        <v>122</v>
      </c>
      <c r="F166" s="103">
        <f>IFERROR(INDEX(Tabella951[PLZ],MATCH(Tabella848[[#This Row],[Colonna2]],Tabella951[Ortschaftsname],0)), "Name not found")</f>
        <v>8425</v>
      </c>
      <c r="K166" s="2"/>
      <c r="L166" s="4">
        <f t="shared" si="0"/>
        <v>137000</v>
      </c>
      <c r="M166" s="39">
        <v>5.8999999999999997E-2</v>
      </c>
      <c r="N166" s="4"/>
    </row>
    <row r="167" spans="2:14">
      <c r="B167" s="92" t="s">
        <v>136</v>
      </c>
      <c r="C167" s="91" t="s">
        <v>1723</v>
      </c>
      <c r="D167" s="93">
        <v>98</v>
      </c>
      <c r="E167" s="93">
        <v>109</v>
      </c>
      <c r="F167" s="103">
        <f>IFERROR(INDEX(Tabella951[PLZ],MATCH(Tabella848[[#This Row],[Colonna2]],Tabella951[Ortschaftsname],0)), "Name not found")</f>
        <v>8102</v>
      </c>
      <c r="K167" s="2"/>
      <c r="L167" s="4">
        <f t="shared" si="0"/>
        <v>163300</v>
      </c>
      <c r="M167" s="39">
        <v>6.0499999999999998E-2</v>
      </c>
      <c r="N167" s="4"/>
    </row>
    <row r="168" spans="2:14">
      <c r="B168" s="92" t="s">
        <v>136</v>
      </c>
      <c r="C168" s="91" t="s">
        <v>1722</v>
      </c>
      <c r="D168" s="93">
        <v>98</v>
      </c>
      <c r="E168" s="93">
        <v>117</v>
      </c>
      <c r="F168" s="103">
        <v>8154</v>
      </c>
      <c r="K168" s="2"/>
      <c r="L168" s="4">
        <f t="shared" si="0"/>
        <v>189600</v>
      </c>
      <c r="M168" s="39">
        <v>6.1499999999999999E-2</v>
      </c>
      <c r="N168" s="4"/>
    </row>
    <row r="169" spans="2:14">
      <c r="B169" s="92" t="s">
        <v>136</v>
      </c>
      <c r="C169" s="91" t="s">
        <v>2530</v>
      </c>
      <c r="D169" s="93">
        <v>98</v>
      </c>
      <c r="E169" s="93">
        <v>88</v>
      </c>
      <c r="F169" s="103">
        <f>IFERROR(INDEX(Tabella951[PLZ],MATCH(Tabella848[[#This Row],[Colonna2]],Tabella951[Ortschaftsname],0)), "Name not found")</f>
        <v>8942</v>
      </c>
      <c r="K169" s="2"/>
      <c r="L169" s="4">
        <f>L168+36800</f>
        <v>226400</v>
      </c>
      <c r="M169" s="39">
        <v>6.3E-2</v>
      </c>
      <c r="N169" s="4"/>
    </row>
    <row r="170" spans="2:14">
      <c r="B170" s="92" t="s">
        <v>136</v>
      </c>
      <c r="C170" s="91" t="s">
        <v>1791</v>
      </c>
      <c r="D170" s="93">
        <v>98</v>
      </c>
      <c r="E170" s="93">
        <v>96</v>
      </c>
      <c r="F170" s="103">
        <f>IFERROR(INDEX(Tabella951[PLZ],MATCH(Tabella848[[#This Row],[Colonna2]],Tabella951[Ortschaftsname],0)), "Name not found")</f>
        <v>8165</v>
      </c>
      <c r="K170" s="2"/>
      <c r="L170" s="4">
        <f>L169+85000</f>
        <v>311400</v>
      </c>
      <c r="M170" s="39">
        <v>6.4000000000000001E-2</v>
      </c>
      <c r="N170" s="46"/>
    </row>
    <row r="171" spans="2:14">
      <c r="B171" s="92" t="s">
        <v>136</v>
      </c>
      <c r="C171" s="91" t="s">
        <v>1738</v>
      </c>
      <c r="D171" s="93">
        <v>98</v>
      </c>
      <c r="E171" s="93">
        <v>121</v>
      </c>
      <c r="F171" s="103">
        <f>IFERROR(INDEX(Tabella951[PLZ],MATCH(Tabella848[[#This Row],[Colonna2]],Tabella951[Ortschaftsname],0)), "Name not found")</f>
        <v>8912</v>
      </c>
      <c r="K171" s="2"/>
      <c r="L171" s="4">
        <f>L170+148700</f>
        <v>460100</v>
      </c>
      <c r="M171" s="39">
        <v>6.5000000000000002E-2</v>
      </c>
      <c r="N171" s="46"/>
    </row>
    <row r="172" spans="2:14">
      <c r="B172" s="92" t="s">
        <v>136</v>
      </c>
      <c r="C172" s="91" t="s">
        <v>1749</v>
      </c>
      <c r="D172" s="93">
        <v>98</v>
      </c>
      <c r="E172" s="93">
        <v>116</v>
      </c>
      <c r="F172" s="103">
        <f>IFERROR(INDEX(Tabella951[PLZ],MATCH(Tabella848[[#This Row],[Colonna2]],Tabella951[Ortschaftsname],0)), "Name not found")</f>
        <v>8618</v>
      </c>
      <c r="K172" s="2"/>
      <c r="L172" s="46"/>
      <c r="M172" s="46"/>
      <c r="N172" s="46"/>
    </row>
    <row r="173" spans="2:14">
      <c r="B173" s="92" t="s">
        <v>136</v>
      </c>
      <c r="C173" s="91" t="s">
        <v>1776</v>
      </c>
      <c r="D173" s="93">
        <v>98</v>
      </c>
      <c r="E173" s="93">
        <v>105</v>
      </c>
      <c r="F173" s="103">
        <f>IFERROR(INDEX(Tabella951[PLZ],MATCH(Tabella848[[#This Row],[Colonna2]],Tabella951[Ortschaftsname],0)), "Name not found")</f>
        <v>8955</v>
      </c>
      <c r="K173" s="2"/>
      <c r="L173" s="36">
        <f>IF(K157&lt;$L$159,K157*M158,IF(K157&lt;$L$160,K157*$M$159,IF(K157&lt;$L$161,K157*$M$160,IF(K157&lt;L162,K157*$M$161,IF(K157&lt;$L$163,K157*$M$162,IF(K157&lt;$L$164,K157*$M$163,IF(K157&lt;$L$165,K157*$M$164,IF(K157&lt;$L$166,K157*$M$165,IF(K157&lt;$L$167,K157*$M$166,IF(K157&lt;$L$168,K157*$M$167,IF(K157&lt;$L$169,K157*$M$168,IF(K157&lt;$L$170,K157*$M$169,IF(K157&lt;$L$171,K157*$M$170,IF(K157&gt;$L$171,K157*$M$171))))))))))))))</f>
        <v>5600</v>
      </c>
      <c r="M173" s="2"/>
      <c r="N173" s="2"/>
    </row>
    <row r="174" spans="2:14">
      <c r="B174" s="92" t="s">
        <v>136</v>
      </c>
      <c r="C174" s="91" t="s">
        <v>1684</v>
      </c>
      <c r="D174" s="93">
        <v>98</v>
      </c>
      <c r="E174" s="93">
        <v>94</v>
      </c>
      <c r="F174" s="103">
        <f>IFERROR(INDEX(Tabella951[PLZ],MATCH(Tabella848[[#This Row],[Colonna2]],Tabella951[Ortschaftsname],0)), "Name not found")</f>
        <v>8152</v>
      </c>
    </row>
    <row r="175" spans="2:14">
      <c r="B175" s="92" t="s">
        <v>136</v>
      </c>
      <c r="C175" s="91" t="s">
        <v>1794</v>
      </c>
      <c r="D175" s="93">
        <v>98</v>
      </c>
      <c r="E175" s="93">
        <v>99</v>
      </c>
      <c r="F175" s="103">
        <f>IFERROR(INDEX(Tabella951[PLZ],MATCH(Tabella848[[#This Row],[Colonna2]],Tabella951[Ortschaftsname],0)), "Name not found")</f>
        <v>8475</v>
      </c>
      <c r="K175" s="68" t="s">
        <v>2531</v>
      </c>
      <c r="L175" s="21" t="s">
        <v>82</v>
      </c>
      <c r="M175" s="21" t="s">
        <v>2511</v>
      </c>
      <c r="N175" s="21" t="s">
        <v>90</v>
      </c>
    </row>
    <row r="176" spans="2:14">
      <c r="B176" s="92" t="s">
        <v>136</v>
      </c>
      <c r="C176" s="91" t="s">
        <v>2532</v>
      </c>
      <c r="D176" s="93">
        <v>98</v>
      </c>
      <c r="E176" s="93">
        <v>112</v>
      </c>
      <c r="F176" s="103">
        <f>IFERROR(INDEX(Tabella951[PLZ],MATCH(Tabella848[[#This Row],[Colonna2]],Tabella951[Ortschaftsname],0)), "Name not found")</f>
        <v>8112</v>
      </c>
      <c r="K176" s="94">
        <v>100000</v>
      </c>
      <c r="L176" s="11" t="s">
        <v>2512</v>
      </c>
      <c r="M176" s="11" t="s">
        <v>2525</v>
      </c>
      <c r="N176" s="11"/>
    </row>
    <row r="177" spans="2:14">
      <c r="B177" s="92" t="s">
        <v>136</v>
      </c>
      <c r="C177" s="91" t="s">
        <v>1774</v>
      </c>
      <c r="D177" s="93">
        <v>98</v>
      </c>
      <c r="E177" s="93">
        <v>117</v>
      </c>
      <c r="F177" s="103">
        <f>IFERROR(INDEX(Tabella951[PLZ],MATCH(Tabella848[[#This Row],[Colonna2]],Tabella951[Ortschaftsname],0)), "Name not found")</f>
        <v>8913</v>
      </c>
      <c r="K177" s="26"/>
      <c r="L177" s="4">
        <v>0</v>
      </c>
      <c r="M177" s="39">
        <v>2.5000000000000001E-3</v>
      </c>
      <c r="N177" s="4"/>
    </row>
    <row r="178" spans="2:14">
      <c r="B178" s="92" t="s">
        <v>136</v>
      </c>
      <c r="C178" s="91" t="s">
        <v>1757</v>
      </c>
      <c r="D178" s="93">
        <v>98</v>
      </c>
      <c r="E178" s="93">
        <v>117</v>
      </c>
      <c r="F178" s="103">
        <f>IFERROR(INDEX(Tabella951[PLZ],MATCH(Tabella848[[#This Row],[Colonna2]],Tabella951[Ortschaftsname],0)), "Name not found")</f>
        <v>8422</v>
      </c>
      <c r="K178" s="2"/>
      <c r="L178" s="4">
        <v>1300</v>
      </c>
      <c r="M178" s="39">
        <v>5.0000000000000001E-3</v>
      </c>
      <c r="N178" s="4"/>
    </row>
    <row r="179" spans="2:14">
      <c r="B179" s="92" t="s">
        <v>136</v>
      </c>
      <c r="C179" s="91" t="s">
        <v>1701</v>
      </c>
      <c r="D179" s="93">
        <v>98</v>
      </c>
      <c r="E179" s="93">
        <v>110</v>
      </c>
      <c r="F179" s="103">
        <v>8330</v>
      </c>
      <c r="K179" s="2"/>
      <c r="L179" s="4">
        <f>L178+1100</f>
        <v>2400</v>
      </c>
      <c r="M179" s="39">
        <v>7.4999999999999997E-3</v>
      </c>
      <c r="N179" s="4"/>
    </row>
    <row r="180" spans="2:14">
      <c r="B180" s="92" t="s">
        <v>136</v>
      </c>
      <c r="C180" s="91" t="s">
        <v>1752</v>
      </c>
      <c r="D180" s="93">
        <v>98</v>
      </c>
      <c r="E180" s="93">
        <v>113</v>
      </c>
      <c r="F180" s="103">
        <f>IFERROR(INDEX(Tabella951[PLZ],MATCH(Tabella848[[#This Row],[Colonna2]],Tabella951[Ortschaftsname],0)), "Name not found")</f>
        <v>8197</v>
      </c>
      <c r="K180" s="2"/>
      <c r="L180" s="4">
        <f>L179+1000</f>
        <v>3400</v>
      </c>
      <c r="M180" s="39">
        <v>0.01</v>
      </c>
      <c r="N180" s="4"/>
    </row>
    <row r="181" spans="2:14">
      <c r="B181" s="92" t="s">
        <v>136</v>
      </c>
      <c r="C181" s="91" t="s">
        <v>2533</v>
      </c>
      <c r="D181" s="93">
        <v>98</v>
      </c>
      <c r="E181" s="93">
        <v>111</v>
      </c>
      <c r="F181" s="103">
        <f>IFERROR(INDEX(Tabella951[PLZ],MATCH(Tabella848[[#This Row],[Colonna2]],Tabella951[Ortschaftsname],0)), "Name not found")</f>
        <v>8158</v>
      </c>
      <c r="K181" s="2"/>
      <c r="L181" s="4">
        <f>L180+900</f>
        <v>4300</v>
      </c>
      <c r="M181" s="39">
        <v>1.2500000000000001E-2</v>
      </c>
      <c r="N181" s="4"/>
    </row>
    <row r="182" spans="2:14">
      <c r="B182" s="92" t="s">
        <v>136</v>
      </c>
      <c r="C182" s="91" t="s">
        <v>1690</v>
      </c>
      <c r="D182" s="93">
        <v>98</v>
      </c>
      <c r="E182" s="93">
        <v>118</v>
      </c>
      <c r="F182" s="103">
        <f>IFERROR(INDEX(Tabella951[PLZ],MATCH(Tabella848[[#This Row],[Colonna2]],Tabella951[Ortschaftsname],0)), "Name not found")</f>
        <v>8105</v>
      </c>
      <c r="K182" s="2"/>
      <c r="L182" s="4">
        <f>L181+900</f>
        <v>5200</v>
      </c>
      <c r="M182" s="39">
        <v>1.4999999999999999E-2</v>
      </c>
      <c r="N182" s="4"/>
    </row>
    <row r="183" spans="2:14">
      <c r="B183" s="92" t="s">
        <v>136</v>
      </c>
      <c r="C183" s="91" t="s">
        <v>1803</v>
      </c>
      <c r="D183" s="93">
        <v>98</v>
      </c>
      <c r="E183" s="93">
        <v>114</v>
      </c>
      <c r="F183" s="103">
        <f>IFERROR(INDEX(Tabella951[PLZ],MATCH(Tabella848[[#This Row],[Colonna2]],Tabella951[Ortschaftsname],0)), "Name not found")</f>
        <v>8462</v>
      </c>
      <c r="K183" s="2"/>
      <c r="L183" s="4">
        <f>L182+1000</f>
        <v>6200</v>
      </c>
      <c r="M183" s="39">
        <v>1.7500000000000002E-2</v>
      </c>
      <c r="N183" s="4"/>
    </row>
    <row r="184" spans="2:14">
      <c r="B184" s="92" t="s">
        <v>136</v>
      </c>
      <c r="C184" s="91" t="s">
        <v>1697</v>
      </c>
      <c r="D184" s="93">
        <v>98</v>
      </c>
      <c r="E184" s="93">
        <v>99</v>
      </c>
      <c r="F184" s="103">
        <f>IFERROR(INDEX(Tabella951[PLZ],MATCH(Tabella848[[#This Row],[Colonna2]],Tabella951[Ortschaftsname],0)), "Name not found")</f>
        <v>8805</v>
      </c>
      <c r="K184" s="2"/>
      <c r="L184" s="4">
        <f>L183+1100</f>
        <v>7300</v>
      </c>
      <c r="M184" s="39">
        <v>0.02</v>
      </c>
      <c r="N184" s="4"/>
    </row>
    <row r="185" spans="2:14">
      <c r="B185" s="92" t="s">
        <v>136</v>
      </c>
      <c r="C185" s="91" t="s">
        <v>1773</v>
      </c>
      <c r="D185" s="93">
        <v>98</v>
      </c>
      <c r="E185" s="93">
        <v>102</v>
      </c>
      <c r="F185" s="103">
        <v>8545</v>
      </c>
      <c r="K185" s="2"/>
      <c r="L185" s="4">
        <f>L184+1600</f>
        <v>8900</v>
      </c>
      <c r="M185" s="39">
        <v>2.2499999999999999E-2</v>
      </c>
      <c r="N185" s="4"/>
    </row>
    <row r="186" spans="2:14">
      <c r="B186" s="92" t="s">
        <v>136</v>
      </c>
      <c r="C186" s="91" t="s">
        <v>1806</v>
      </c>
      <c r="D186" s="93">
        <v>98</v>
      </c>
      <c r="E186" s="93">
        <v>122</v>
      </c>
      <c r="F186" s="103">
        <f>IFERROR(INDEX(Tabella951[PLZ],MATCH(Tabella848[[#This Row],[Colonna2]],Tabella951[Ortschaftsname],0)), "Name not found")</f>
        <v>8911</v>
      </c>
      <c r="K186" s="2"/>
      <c r="L186" s="4">
        <f>L185+2100</f>
        <v>11000</v>
      </c>
      <c r="M186" s="39">
        <v>2.5000000000000001E-2</v>
      </c>
      <c r="N186" s="4"/>
    </row>
    <row r="187" spans="2:14">
      <c r="B187" s="92" t="s">
        <v>136</v>
      </c>
      <c r="C187" s="91" t="s">
        <v>2534</v>
      </c>
      <c r="D187" s="93">
        <v>98</v>
      </c>
      <c r="E187" s="93">
        <v>103</v>
      </c>
      <c r="F187" s="103">
        <f>IFERROR(INDEX(Tabella951[PLZ],MATCH(Tabella848[[#This Row],[Colonna2]],Tabella951[Ortschaftsname],0)), "Name not found")</f>
        <v>8427</v>
      </c>
      <c r="K187" s="2"/>
      <c r="L187" s="4">
        <f>L186+3200</f>
        <v>14200</v>
      </c>
      <c r="M187" s="39">
        <v>2.75E-2</v>
      </c>
      <c r="N187" s="4"/>
    </row>
    <row r="188" spans="2:14">
      <c r="B188" s="92" t="s">
        <v>136</v>
      </c>
      <c r="C188" s="91" t="s">
        <v>1753</v>
      </c>
      <c r="D188" s="93">
        <v>98</v>
      </c>
      <c r="E188" s="93">
        <v>113</v>
      </c>
      <c r="F188" s="103">
        <f>IFERROR(INDEX(Tabella951[PLZ],MATCH(Tabella848[[#This Row],[Colonna2]],Tabella951[Ortschaftsname],0)), "Name not found")</f>
        <v>8332</v>
      </c>
      <c r="K188" s="2"/>
      <c r="L188" s="4">
        <f>L187+5300</f>
        <v>19500</v>
      </c>
      <c r="M188" s="39">
        <v>0.03</v>
      </c>
      <c r="N188" s="4"/>
    </row>
    <row r="189" spans="2:14">
      <c r="B189" s="92" t="s">
        <v>136</v>
      </c>
      <c r="C189" s="91" t="s">
        <v>1715</v>
      </c>
      <c r="D189" s="93">
        <v>98</v>
      </c>
      <c r="E189" s="93">
        <v>109</v>
      </c>
      <c r="F189" s="103">
        <f>IFERROR(INDEX(Tabella951[PLZ],MATCH(Tabella848[[#This Row],[Colonna2]],Tabella951[Ortschaftsname],0)), "Name not found")</f>
        <v>8153</v>
      </c>
      <c r="K189" s="2"/>
      <c r="L189" s="4">
        <f>L188+7400</f>
        <v>26900</v>
      </c>
      <c r="M189" s="39">
        <v>3.2500000000000001E-2</v>
      </c>
      <c r="N189" s="46"/>
    </row>
    <row r="190" spans="2:14">
      <c r="B190" s="92" t="s">
        <v>136</v>
      </c>
      <c r="C190" s="91" t="s">
        <v>1732</v>
      </c>
      <c r="D190" s="93">
        <v>98</v>
      </c>
      <c r="E190" s="93">
        <v>75</v>
      </c>
      <c r="F190" s="103">
        <f>IFERROR(INDEX(Tabella951[PLZ],MATCH(Tabella848[[#This Row],[Colonna2]],Tabella951[Ortschaftsname],0)), "Name not found")</f>
        <v>8803</v>
      </c>
      <c r="K190" s="2"/>
      <c r="L190" s="4">
        <f>L189+9500</f>
        <v>36400</v>
      </c>
      <c r="M190" s="39">
        <v>3.5000000000000003E-2</v>
      </c>
      <c r="N190" s="46"/>
    </row>
    <row r="191" spans="2:14">
      <c r="B191" s="92" t="s">
        <v>136</v>
      </c>
      <c r="C191" s="91" t="s">
        <v>1699</v>
      </c>
      <c r="D191" s="93">
        <v>98</v>
      </c>
      <c r="E191" s="93">
        <v>119</v>
      </c>
      <c r="F191" s="103">
        <v>8630</v>
      </c>
      <c r="K191" s="2"/>
      <c r="L191" s="4">
        <f>L190+10500</f>
        <v>46900</v>
      </c>
      <c r="M191" s="39">
        <v>3.6499999999999998E-2</v>
      </c>
      <c r="N191" s="46"/>
    </row>
    <row r="192" spans="2:14">
      <c r="B192" s="92" t="s">
        <v>136</v>
      </c>
      <c r="C192" s="91" t="s">
        <v>1819</v>
      </c>
      <c r="D192" s="93">
        <v>98</v>
      </c>
      <c r="E192" s="93">
        <v>125</v>
      </c>
      <c r="F192" s="103">
        <v>8418</v>
      </c>
      <c r="K192" s="2"/>
      <c r="L192" s="4">
        <f>L191+8400</f>
        <v>55300</v>
      </c>
      <c r="M192" s="39">
        <v>3.9E-2</v>
      </c>
      <c r="N192" s="2"/>
    </row>
    <row r="193" spans="2:14">
      <c r="B193" s="92" t="s">
        <v>136</v>
      </c>
      <c r="C193" s="91" t="s">
        <v>1818</v>
      </c>
      <c r="D193" s="93">
        <v>98</v>
      </c>
      <c r="E193" s="93">
        <v>108</v>
      </c>
      <c r="F193" s="103">
        <f>IFERROR(INDEX(Tabella951[PLZ],MATCH(Tabella848[[#This Row],[Colonna2]],Tabella951[Ortschaftsname],0)), "Name not found")</f>
        <v>8165</v>
      </c>
      <c r="K193" s="2"/>
      <c r="L193" s="4">
        <f>L192+175100</f>
        <v>230400</v>
      </c>
      <c r="M193" s="39">
        <v>7.0000000000000007E-2</v>
      </c>
      <c r="N193" s="2"/>
    </row>
    <row r="194" spans="2:14">
      <c r="B194" s="92" t="s">
        <v>136</v>
      </c>
      <c r="C194" s="91" t="s">
        <v>1688</v>
      </c>
      <c r="D194" s="93">
        <v>98</v>
      </c>
      <c r="E194" s="93">
        <v>111</v>
      </c>
      <c r="F194" s="103">
        <f>IFERROR(INDEX(Tabella951[PLZ],MATCH(Tabella848[[#This Row],[Colonna2]],Tabella951[Ortschaftsname],0)), "Name not found")</f>
        <v>8952</v>
      </c>
      <c r="K194" s="2"/>
      <c r="L194" s="4">
        <v>155500</v>
      </c>
      <c r="M194" s="39">
        <v>0.05</v>
      </c>
      <c r="N194" s="2"/>
    </row>
    <row r="195" spans="2:14">
      <c r="B195" s="92" t="s">
        <v>136</v>
      </c>
      <c r="C195" s="91" t="s">
        <v>2535</v>
      </c>
      <c r="D195" s="93">
        <v>98</v>
      </c>
      <c r="E195" s="93">
        <v>101</v>
      </c>
      <c r="F195" s="103">
        <f>IFERROR(INDEX(Tabella951[PLZ],MATCH(Tabella848[[#This Row],[Colonna2]],Tabella951[Ortschaftsname],0)), "Name not found")</f>
        <v>8603</v>
      </c>
      <c r="K195" s="2"/>
      <c r="L195" s="36">
        <f>IF(K176&lt;$L$178,K176*M177,IF(K176&lt;$L$179,K176*$M$178,IF(K176&lt;$L$180,K176*$M$179,IF(K176&lt;$L$181,K176*$M$180,IF(K176&lt;$L$182,K176*$M$181,IF(K176&lt;$L$183,K176*$M$182,IF(K176&lt;$L$184,K176*$M$183,IF(K176&lt;$L$185,K176*$M$184,IF(K176&lt;$L$186,K176*$M$185,IF(K176&lt;$L$187,K176*$M$186,IF(K176&lt;$L$188,K176*$M$187,IF(K176&lt;$L$189,K176*$M$188,IF(K176&lt;$L$190,K176*$M$189,IF(K176&lt;$L$191,K176*$M$190,IF(K176&lt;$L$192,K176*$M$191,IF(K176&lt;$L$193,K176*$M$192,IF(K176&lt;$L$194,K176*$M$193,IF(K176&gt;L194,K176*$M$194))))))))))))))))))</f>
        <v>3900</v>
      </c>
      <c r="M195" s="2"/>
      <c r="N195" s="2"/>
    </row>
    <row r="196" spans="2:14">
      <c r="B196" s="92" t="s">
        <v>136</v>
      </c>
      <c r="C196" s="91" t="s">
        <v>1799</v>
      </c>
      <c r="D196" s="93">
        <v>98</v>
      </c>
      <c r="E196" s="93">
        <v>99</v>
      </c>
      <c r="F196" s="103">
        <f>IFERROR(INDEX(Tabella951[PLZ],MATCH(Tabella848[[#This Row],[Colonna2]],Tabella951[Ortschaftsname],0)), "Name not found")</f>
        <v>8165</v>
      </c>
    </row>
    <row r="197" spans="2:14">
      <c r="B197" s="92" t="s">
        <v>136</v>
      </c>
      <c r="C197" s="91" t="s">
        <v>1796</v>
      </c>
      <c r="D197" s="93">
        <v>98</v>
      </c>
      <c r="E197" s="93">
        <v>113</v>
      </c>
      <c r="F197" s="103">
        <v>8607</v>
      </c>
      <c r="K197" s="68" t="s">
        <v>2536</v>
      </c>
      <c r="L197" s="21" t="s">
        <v>82</v>
      </c>
      <c r="M197" s="21" t="s">
        <v>2511</v>
      </c>
      <c r="N197" s="21" t="s">
        <v>90</v>
      </c>
    </row>
    <row r="198" spans="2:14">
      <c r="B198" s="92" t="s">
        <v>136</v>
      </c>
      <c r="C198" s="91" t="s">
        <v>1720</v>
      </c>
      <c r="D198" s="93">
        <v>98</v>
      </c>
      <c r="E198" s="93">
        <v>99</v>
      </c>
      <c r="F198" s="103">
        <f>IFERROR(INDEX(Tabella951[PLZ],MATCH(Tabella848[[#This Row],[Colonna2]],Tabella951[Ortschaftsname],0)), "Name not found")</f>
        <v>8472</v>
      </c>
      <c r="K198" s="94">
        <v>100000</v>
      </c>
      <c r="L198" s="11" t="s">
        <v>2512</v>
      </c>
      <c r="M198" s="11" t="s">
        <v>2513</v>
      </c>
      <c r="N198" s="11" t="s">
        <v>2514</v>
      </c>
    </row>
    <row r="199" spans="2:14">
      <c r="B199" s="92" t="s">
        <v>136</v>
      </c>
      <c r="C199" s="91" t="s">
        <v>1780</v>
      </c>
      <c r="D199" s="93">
        <v>98</v>
      </c>
      <c r="E199" s="93">
        <v>113</v>
      </c>
      <c r="F199" s="103">
        <v>8404</v>
      </c>
      <c r="K199" s="26"/>
      <c r="L199" s="4">
        <v>0</v>
      </c>
      <c r="M199" s="4">
        <v>0</v>
      </c>
      <c r="N199" s="4">
        <v>0</v>
      </c>
    </row>
    <row r="200" spans="2:14">
      <c r="B200" s="92" t="s">
        <v>136</v>
      </c>
      <c r="C200" s="91" t="s">
        <v>1760</v>
      </c>
      <c r="D200" s="93">
        <v>98</v>
      </c>
      <c r="E200" s="93">
        <v>102</v>
      </c>
      <c r="F200" s="103">
        <f>IFERROR(INDEX(Tabella951[PLZ],MATCH(Tabella848[[#This Row],[Colonna2]],Tabella951[Ortschaftsname],0)), "Name not found")</f>
        <v>8143</v>
      </c>
      <c r="K200" s="2"/>
      <c r="L200" s="4">
        <v>16430</v>
      </c>
      <c r="M200" s="4">
        <v>0</v>
      </c>
      <c r="N200" s="4">
        <v>2.5</v>
      </c>
    </row>
    <row r="201" spans="2:14">
      <c r="B201" s="92" t="s">
        <v>136</v>
      </c>
      <c r="C201" s="91" t="s">
        <v>1771</v>
      </c>
      <c r="D201" s="93">
        <v>98</v>
      </c>
      <c r="E201" s="93">
        <v>114</v>
      </c>
      <c r="F201" s="103">
        <v>8477</v>
      </c>
      <c r="K201" s="2"/>
      <c r="L201" s="4">
        <v>17490</v>
      </c>
      <c r="M201" s="4">
        <v>26.5</v>
      </c>
      <c r="N201" s="4">
        <v>4</v>
      </c>
    </row>
    <row r="202" spans="2:14">
      <c r="B202" s="92" t="s">
        <v>136</v>
      </c>
      <c r="C202" s="91" t="s">
        <v>1771</v>
      </c>
      <c r="D202" s="93">
        <v>98</v>
      </c>
      <c r="E202" s="93">
        <v>114</v>
      </c>
      <c r="F202" s="103">
        <v>8466</v>
      </c>
      <c r="K202" s="2"/>
      <c r="L202" s="4">
        <v>18550</v>
      </c>
      <c r="M202" s="4">
        <v>68.900000000000006</v>
      </c>
      <c r="N202" s="4">
        <v>5</v>
      </c>
    </row>
    <row r="203" spans="2:14">
      <c r="B203" s="92" t="s">
        <v>136</v>
      </c>
      <c r="C203" s="91" t="s">
        <v>1766</v>
      </c>
      <c r="D203" s="93">
        <v>98</v>
      </c>
      <c r="E203" s="93">
        <v>112</v>
      </c>
      <c r="F203" s="103">
        <f>IFERROR(INDEX(Tabella951[PLZ],MATCH(Tabella848[[#This Row],[Colonna2]],Tabella951[Ortschaftsname],0)), "Name not found")</f>
        <v>8162</v>
      </c>
      <c r="K203" s="2"/>
      <c r="L203" s="4">
        <v>19610</v>
      </c>
      <c r="M203" s="4">
        <v>121.9</v>
      </c>
      <c r="N203" s="4">
        <v>6</v>
      </c>
    </row>
    <row r="204" spans="2:14">
      <c r="B204" s="92" t="s">
        <v>136</v>
      </c>
      <c r="C204" s="91" t="s">
        <v>1694</v>
      </c>
      <c r="D204" s="93">
        <v>98</v>
      </c>
      <c r="E204" s="93">
        <v>78</v>
      </c>
      <c r="F204" s="103">
        <f>IFERROR(INDEX(Tabella951[PLZ],MATCH(Tabella848[[#This Row],[Colonna2]],Tabella951[Ortschaftsname],0)), "Name not found")</f>
        <v>8712</v>
      </c>
      <c r="K204" s="2"/>
      <c r="L204" s="4">
        <v>20670</v>
      </c>
      <c r="M204" s="4">
        <v>185.5</v>
      </c>
      <c r="N204" s="4">
        <v>6.5</v>
      </c>
    </row>
    <row r="205" spans="2:14">
      <c r="B205" s="92" t="s">
        <v>136</v>
      </c>
      <c r="C205" s="91" t="s">
        <v>1814</v>
      </c>
      <c r="D205" s="93">
        <v>98</v>
      </c>
      <c r="E205" s="93">
        <v>104</v>
      </c>
      <c r="F205" s="103">
        <f>IFERROR(INDEX(Tabella951[PLZ],MATCH(Tabella848[[#This Row],[Colonna2]],Tabella951[Ortschaftsname],0)), "Name not found")</f>
        <v>8478</v>
      </c>
      <c r="K205" s="2"/>
      <c r="L205" s="4">
        <v>21730</v>
      </c>
      <c r="M205" s="4">
        <v>254.4</v>
      </c>
      <c r="N205" s="4">
        <v>7</v>
      </c>
    </row>
    <row r="206" spans="2:14">
      <c r="B206" s="92" t="s">
        <v>136</v>
      </c>
      <c r="C206" s="91" t="s">
        <v>1691</v>
      </c>
      <c r="D206" s="93">
        <v>98</v>
      </c>
      <c r="E206" s="93">
        <v>83</v>
      </c>
      <c r="F206" s="103">
        <f>IFERROR(INDEX(Tabella951[PLZ],MATCH(Tabella848[[#This Row],[Colonna2]],Tabella951[Ortschaftsname],0)), "Name not found")</f>
        <v>8800</v>
      </c>
      <c r="K206" s="2"/>
      <c r="L206" s="4">
        <v>23850</v>
      </c>
      <c r="M206" s="4">
        <v>402.8</v>
      </c>
      <c r="N206" s="4">
        <v>8</v>
      </c>
    </row>
    <row r="207" spans="2:14">
      <c r="B207" s="92" t="s">
        <v>136</v>
      </c>
      <c r="C207" s="91" t="s">
        <v>2537</v>
      </c>
      <c r="D207" s="93">
        <v>98</v>
      </c>
      <c r="E207" s="93">
        <v>109</v>
      </c>
      <c r="F207" s="103">
        <f>IFERROR(INDEX(Tabella951[PLZ],MATCH(Tabella848[[#This Row],[Colonna2]],Tabella951[Ortschaftsname],0)), "Name not found")</f>
        <v>8467</v>
      </c>
      <c r="K207" s="2"/>
      <c r="L207" s="4">
        <v>30210</v>
      </c>
      <c r="M207" s="4">
        <v>911.6</v>
      </c>
      <c r="N207" s="4">
        <v>8.5</v>
      </c>
    </row>
    <row r="208" spans="2:14">
      <c r="B208" s="92" t="s">
        <v>136</v>
      </c>
      <c r="C208" s="91" t="s">
        <v>1807</v>
      </c>
      <c r="D208" s="93">
        <v>98</v>
      </c>
      <c r="E208" s="93">
        <v>110</v>
      </c>
      <c r="F208" s="103">
        <f>IFERROR(INDEX(Tabella951[PLZ],MATCH(Tabella848[[#This Row],[Colonna2]],Tabella951[Ortschaftsname],0)), "Name not found")</f>
        <v>8466</v>
      </c>
      <c r="K208" s="2"/>
      <c r="L208" s="4">
        <v>34450</v>
      </c>
      <c r="M208" s="4">
        <v>1272</v>
      </c>
      <c r="N208" s="4">
        <v>9</v>
      </c>
    </row>
    <row r="209" spans="2:14">
      <c r="B209" s="92" t="s">
        <v>136</v>
      </c>
      <c r="C209" s="91" t="s">
        <v>1750</v>
      </c>
      <c r="D209" s="93">
        <v>98</v>
      </c>
      <c r="E209" s="93">
        <v>122</v>
      </c>
      <c r="F209" s="103">
        <f>IFERROR(INDEX(Tabella951[PLZ],MATCH(Tabella848[[#This Row],[Colonna2]],Tabella951[Ortschaftsname],0)), "Name not found")</f>
        <v>8488</v>
      </c>
      <c r="K209" s="2"/>
      <c r="L209" s="4">
        <v>38690</v>
      </c>
      <c r="M209" s="4">
        <v>1653.6</v>
      </c>
      <c r="N209" s="4">
        <v>9.5</v>
      </c>
    </row>
    <row r="210" spans="2:14">
      <c r="B210" s="92" t="s">
        <v>136</v>
      </c>
      <c r="C210" s="91" t="s">
        <v>1729</v>
      </c>
      <c r="D210" s="93">
        <v>98</v>
      </c>
      <c r="E210" s="93">
        <v>84</v>
      </c>
      <c r="F210" s="103">
        <f>IFERROR(INDEX(Tabella951[PLZ],MATCH(Tabella848[[#This Row],[Colonna2]],Tabella951[Ortschaftsname],0)), "Name not found")</f>
        <v>8707</v>
      </c>
      <c r="K210" s="2"/>
      <c r="L210" s="4">
        <v>42930</v>
      </c>
      <c r="M210" s="4">
        <v>2056.4</v>
      </c>
      <c r="N210" s="4">
        <v>10.3</v>
      </c>
    </row>
    <row r="211" spans="2:14">
      <c r="B211" s="92" t="s">
        <v>136</v>
      </c>
      <c r="C211" s="91" t="s">
        <v>1754</v>
      </c>
      <c r="D211" s="93">
        <v>98</v>
      </c>
      <c r="E211" s="93">
        <v>80</v>
      </c>
      <c r="F211" s="103">
        <v>8142</v>
      </c>
      <c r="K211" s="2"/>
      <c r="L211" s="46">
        <v>64130</v>
      </c>
      <c r="M211" s="46">
        <v>4240</v>
      </c>
      <c r="N211" s="46">
        <v>10.6</v>
      </c>
    </row>
    <row r="212" spans="2:14">
      <c r="B212" s="92" t="s">
        <v>136</v>
      </c>
      <c r="C212" s="91" t="s">
        <v>1758</v>
      </c>
      <c r="D212" s="93">
        <v>98</v>
      </c>
      <c r="E212" s="93">
        <v>100</v>
      </c>
      <c r="F212" s="103">
        <f>IFERROR(INDEX(Tabella951[PLZ],MATCH(Tabella848[[#This Row],[Colonna2]],Tabella951[Ortschaftsname],0)), "Name not found")</f>
        <v>8103</v>
      </c>
      <c r="K212" s="2"/>
      <c r="L212" s="46">
        <v>85330</v>
      </c>
      <c r="M212" s="46">
        <v>6487.2</v>
      </c>
      <c r="N212" s="46">
        <v>10.7</v>
      </c>
    </row>
    <row r="213" spans="2:14">
      <c r="B213" s="92" t="s">
        <v>136</v>
      </c>
      <c r="C213" s="91" t="s">
        <v>1708</v>
      </c>
      <c r="D213" s="93">
        <v>98</v>
      </c>
      <c r="E213" s="93">
        <v>115</v>
      </c>
      <c r="F213" s="103">
        <f>IFERROR(INDEX(Tabella951[PLZ],MATCH(Tabella848[[#This Row],[Colonna2]],Tabella951[Ortschaftsname],0)), "Name not found")</f>
        <v>8902</v>
      </c>
      <c r="K213" s="2"/>
      <c r="L213" s="46">
        <v>106530</v>
      </c>
      <c r="M213" s="46">
        <v>8755.6</v>
      </c>
      <c r="N213" s="46">
        <v>11.2</v>
      </c>
    </row>
    <row r="214" spans="2:14">
      <c r="B214" s="92" t="s">
        <v>136</v>
      </c>
      <c r="C214" s="91" t="s">
        <v>1675</v>
      </c>
      <c r="D214" s="93">
        <v>98</v>
      </c>
      <c r="E214" s="93">
        <v>112</v>
      </c>
      <c r="F214" s="103">
        <f>IFERROR(INDEX(Tabella951[PLZ],MATCH(Tabella848[[#This Row],[Colonna2]],Tabella951[Ortschaftsname],0)), "Name not found")</f>
        <v>8610</v>
      </c>
      <c r="K214" s="2"/>
      <c r="L214" s="46">
        <v>212530</v>
      </c>
      <c r="M214" s="4">
        <v>20627.599999999999</v>
      </c>
      <c r="N214" s="4">
        <v>11.3</v>
      </c>
    </row>
    <row r="215" spans="2:14">
      <c r="B215" s="92" t="s">
        <v>136</v>
      </c>
      <c r="C215" s="91" t="s">
        <v>2538</v>
      </c>
      <c r="D215" s="93">
        <v>98</v>
      </c>
      <c r="E215" s="93">
        <v>111</v>
      </c>
      <c r="F215" s="103">
        <f>IFERROR(INDEX(Tabella951[PLZ],MATCH(Tabella848[[#This Row],[Colonna2]],Tabella951[Ortschaftsname],0)), "Name not found")</f>
        <v>8459</v>
      </c>
      <c r="K215" s="2"/>
      <c r="L215" s="46">
        <v>318530</v>
      </c>
      <c r="M215" s="46">
        <v>32605.599999999999</v>
      </c>
      <c r="N215" s="46">
        <v>11.4</v>
      </c>
    </row>
    <row r="216" spans="2:14">
      <c r="B216" s="92" t="s">
        <v>136</v>
      </c>
      <c r="C216" s="91" t="s">
        <v>1689</v>
      </c>
      <c r="D216" s="93">
        <v>98</v>
      </c>
      <c r="E216" s="93">
        <v>101</v>
      </c>
      <c r="F216" s="103">
        <f>IFERROR(INDEX(Tabella951[PLZ],MATCH(Tabella848[[#This Row],[Colonna2]],Tabella951[Ortschaftsname],0)), "Name not found")</f>
        <v>8604</v>
      </c>
      <c r="K216" s="2"/>
      <c r="L216" s="46">
        <v>424530</v>
      </c>
      <c r="M216" s="46">
        <v>44689.599999999999</v>
      </c>
      <c r="N216" s="46">
        <v>11.6</v>
      </c>
    </row>
    <row r="217" spans="2:14">
      <c r="B217" s="92" t="s">
        <v>136</v>
      </c>
      <c r="C217" s="91" t="s">
        <v>1707</v>
      </c>
      <c r="D217" s="93">
        <v>98</v>
      </c>
      <c r="E217" s="93">
        <v>122</v>
      </c>
      <c r="F217" s="103">
        <v>8636</v>
      </c>
      <c r="K217" s="2"/>
      <c r="L217" s="46">
        <v>758960</v>
      </c>
      <c r="M217" s="46">
        <v>83483.48</v>
      </c>
      <c r="N217" s="46">
        <v>11</v>
      </c>
    </row>
    <row r="218" spans="2:14">
      <c r="B218" s="92" t="s">
        <v>136</v>
      </c>
      <c r="C218" s="91" t="s">
        <v>1693</v>
      </c>
      <c r="D218" s="93">
        <v>98</v>
      </c>
      <c r="E218" s="93">
        <v>95</v>
      </c>
      <c r="F218" s="103">
        <f>IFERROR(INDEX(Tabella951[PLZ],MATCH(Tabella848[[#This Row],[Colonna2]],Tabella951[Ortschaftsname],0)), "Name not found")</f>
        <v>8304</v>
      </c>
      <c r="K218" s="2"/>
      <c r="L218" s="46">
        <v>758961</v>
      </c>
      <c r="M218" s="4">
        <v>83485.710000000006</v>
      </c>
      <c r="N218" s="4">
        <v>11</v>
      </c>
    </row>
    <row r="219" spans="2:14">
      <c r="B219" s="92" t="s">
        <v>136</v>
      </c>
      <c r="C219" s="91" t="s">
        <v>1716</v>
      </c>
      <c r="D219" s="93">
        <v>98</v>
      </c>
      <c r="E219" s="93">
        <v>101</v>
      </c>
      <c r="F219" s="103">
        <v>8602</v>
      </c>
      <c r="K219" s="2"/>
      <c r="L219" s="36">
        <f>IF(K198&lt;$L$200,$M$199,IF(K198&lt;$L$201,$M$200+((K198-$L$200)/100)*$N$200,IF(K198&lt;$L$202,$M$201+((K198-$L$201)/100)*$N$201,IF(K198&lt;$L$203,$M$202+((K198-$L$202)/100)*$N$202,IF(K198&lt;$L$204,$M$203+((K198-$L$203)/100)*$N$203,IF(K198&lt;$L$205,$M$204+((K198-$L$204)/100)*$N$204,IF(K198&lt;$L$206,$M$205+((K198-$L$205)/100)*$N$205,IF(K198&lt;$L$207,$M$206+((K198-$L$206)/100)*$N$206,IF(K198&lt;$L$208,$M$207+((K198-$L$207)/100)*$N$207,IF(K198&lt;$L$209,$M$208+((K198-$L$208)/100)*$N$208,IF(K198&lt;$L$210,$M$209+((K198-$L$209)/100)*$N$209,IF(K198&lt;$L$211,$M$210+((K198-$L$210)/100)*$N$210,IF(K198&lt;$L$212,$M$211+((K198-$L$211)/100)*$N$211,IF(K198&lt;$L$213,$M$212+((K198-$L$212)/100)*$N$212,IF(K198&lt;$L$213,$M$212+((K198-$L$212)/100)*$N$212,IF(K198&lt;$L$214,$M$213+((K198-$L$213)/100)*$N$213,IF(K198&lt;$L$215,$M$214+((K198-$L$214)/100)*$N$214,IF(K198&lt;$L$216,$M$215+((K198-$L$215)/100)*$N$215,IF(K198&lt;$L$217,$M$216+((K198-$L$216)/100)*$N$216,IF(K198&lt;$L$218,$M$217+((K198-$L$217)/100)*$N$217,IF(K198&gt;=$L$218,$M$218+((K198-$L$218)/100)*$N$218)))))))))))))))))))))</f>
        <v>8056.8899999999994</v>
      </c>
      <c r="M219" s="2"/>
      <c r="N219" s="2"/>
    </row>
    <row r="220" spans="2:14">
      <c r="B220" s="92" t="s">
        <v>136</v>
      </c>
      <c r="C220" s="91" t="s">
        <v>2539</v>
      </c>
      <c r="D220" s="93">
        <v>98</v>
      </c>
      <c r="E220" s="93">
        <v>116</v>
      </c>
      <c r="F220" s="103">
        <f>IFERROR(INDEX(Tabella951[PLZ],MATCH(Tabella848[[#This Row],[Colonna2]],Tabella951[Ortschaftsname],0)), "Name not found")</f>
        <v>8195</v>
      </c>
    </row>
    <row r="221" spans="2:14">
      <c r="B221" s="92" t="s">
        <v>136</v>
      </c>
      <c r="C221" s="91" t="s">
        <v>1792</v>
      </c>
      <c r="D221" s="93">
        <v>98</v>
      </c>
      <c r="E221" s="93">
        <v>96</v>
      </c>
      <c r="F221" s="103">
        <f>IFERROR(INDEX(Tabella951[PLZ],MATCH(Tabella848[[#This Row],[Colonna2]],Tabella951[Ortschaftsname],0)), "Name not found")</f>
        <v>8187</v>
      </c>
      <c r="K221" s="68" t="s">
        <v>2540</v>
      </c>
      <c r="L221" s="21" t="s">
        <v>82</v>
      </c>
      <c r="M221" s="21" t="s">
        <v>2511</v>
      </c>
      <c r="N221" s="21" t="s">
        <v>90</v>
      </c>
    </row>
    <row r="222" spans="2:14">
      <c r="B222" s="92" t="s">
        <v>136</v>
      </c>
      <c r="C222" s="91" t="s">
        <v>1748</v>
      </c>
      <c r="D222" s="93">
        <v>98</v>
      </c>
      <c r="E222" s="93">
        <v>103</v>
      </c>
      <c r="F222" s="103">
        <v>8104</v>
      </c>
      <c r="K222" s="94">
        <v>100000</v>
      </c>
      <c r="L222" s="11" t="s">
        <v>2512</v>
      </c>
      <c r="M222" s="11" t="s">
        <v>2513</v>
      </c>
      <c r="N222" s="11" t="s">
        <v>2514</v>
      </c>
    </row>
    <row r="223" spans="2:14">
      <c r="B223" s="92" t="s">
        <v>136</v>
      </c>
      <c r="C223" s="91" t="s">
        <v>1768</v>
      </c>
      <c r="D223" s="93">
        <v>98</v>
      </c>
      <c r="E223" s="93">
        <v>116</v>
      </c>
      <c r="F223" s="103">
        <f>IFERROR(INDEX(Tabella951[PLZ],MATCH(Tabella848[[#This Row],[Colonna2]],Tabella951[Ortschaftsname],0)), "Name not found")</f>
        <v>8484</v>
      </c>
      <c r="K223" s="26"/>
      <c r="L223" s="4">
        <v>0</v>
      </c>
      <c r="M223" s="4">
        <v>0</v>
      </c>
      <c r="N223" s="4">
        <v>0</v>
      </c>
    </row>
    <row r="224" spans="2:14">
      <c r="B224" s="92" t="s">
        <v>136</v>
      </c>
      <c r="C224" s="91" t="s">
        <v>2541</v>
      </c>
      <c r="D224" s="93">
        <v>98</v>
      </c>
      <c r="E224" s="93">
        <v>90</v>
      </c>
      <c r="F224" s="103">
        <v>8907</v>
      </c>
      <c r="K224" s="2"/>
      <c r="L224" s="4">
        <v>18480</v>
      </c>
      <c r="M224" s="4">
        <v>0</v>
      </c>
      <c r="N224" s="4">
        <v>8</v>
      </c>
    </row>
    <row r="225" spans="2:14">
      <c r="B225" s="92" t="s">
        <v>136</v>
      </c>
      <c r="C225" s="91" t="s">
        <v>1682</v>
      </c>
      <c r="D225" s="93">
        <v>98</v>
      </c>
      <c r="E225" s="93">
        <v>119</v>
      </c>
      <c r="F225" s="103">
        <v>8620</v>
      </c>
      <c r="K225" s="2"/>
      <c r="L225" s="4">
        <v>22265</v>
      </c>
      <c r="M225" s="4">
        <v>302.8</v>
      </c>
      <c r="N225" s="4">
        <v>9</v>
      </c>
    </row>
    <row r="226" spans="2:14">
      <c r="B226" s="92" t="s">
        <v>136</v>
      </c>
      <c r="C226" s="91" t="s">
        <v>1726</v>
      </c>
      <c r="D226" s="93">
        <v>98</v>
      </c>
      <c r="E226" s="93">
        <v>88</v>
      </c>
      <c r="F226" s="103">
        <f>IFERROR(INDEX(Tabella951[PLZ],MATCH(Tabella848[[#This Row],[Colonna2]],Tabella951[Ortschaftsname],0)), "Name not found")</f>
        <v>8542</v>
      </c>
      <c r="K226" s="2"/>
      <c r="L226" s="4">
        <v>24492</v>
      </c>
      <c r="M226" s="4">
        <v>503.25</v>
      </c>
      <c r="N226" s="4">
        <v>10</v>
      </c>
    </row>
    <row r="227" spans="2:14">
      <c r="B227" s="92" t="s">
        <v>136</v>
      </c>
      <c r="C227" s="91" t="s">
        <v>1798</v>
      </c>
      <c r="D227" s="93">
        <v>98</v>
      </c>
      <c r="E227" s="93">
        <v>99</v>
      </c>
      <c r="F227" s="103">
        <v>8196</v>
      </c>
      <c r="K227" s="2"/>
      <c r="L227" s="4">
        <v>26718</v>
      </c>
      <c r="M227" s="4">
        <v>725.85</v>
      </c>
      <c r="N227" s="4">
        <v>11</v>
      </c>
    </row>
    <row r="228" spans="2:14">
      <c r="B228" s="92" t="s">
        <v>136</v>
      </c>
      <c r="C228" s="91" t="s">
        <v>1785</v>
      </c>
      <c r="D228" s="93">
        <v>98</v>
      </c>
      <c r="E228" s="93">
        <v>125</v>
      </c>
      <c r="F228" s="103">
        <f>IFERROR(INDEX(Tabella951[PLZ],MATCH(Tabella848[[#This Row],[Colonna2]],Tabella951[Ortschaftsname],0)), "Name not found")</f>
        <v>8492</v>
      </c>
      <c r="K228" s="2"/>
      <c r="L228" s="4">
        <v>28944</v>
      </c>
      <c r="M228" s="4">
        <v>970.7</v>
      </c>
      <c r="N228" s="4">
        <v>12</v>
      </c>
    </row>
    <row r="229" spans="2:14">
      <c r="B229" s="92" t="s">
        <v>136</v>
      </c>
      <c r="C229" s="91" t="s">
        <v>1811</v>
      </c>
      <c r="D229" s="93">
        <v>98</v>
      </c>
      <c r="E229" s="93">
        <v>127</v>
      </c>
      <c r="F229" s="103">
        <f>IFERROR(INDEX(Tabella951[PLZ],MATCH(Tabella848[[#This Row],[Colonna2]],Tabella951[Ortschaftsname],0)), "Name not found")</f>
        <v>8489</v>
      </c>
      <c r="K229" s="2"/>
      <c r="L229" s="4">
        <v>34510</v>
      </c>
      <c r="M229" s="4">
        <v>1638.65</v>
      </c>
      <c r="N229" s="4">
        <v>13</v>
      </c>
    </row>
    <row r="230" spans="2:14">
      <c r="B230" s="92" t="s">
        <v>136</v>
      </c>
      <c r="C230" s="91" t="s">
        <v>1751</v>
      </c>
      <c r="D230" s="93">
        <v>98</v>
      </c>
      <c r="E230" s="93">
        <v>76</v>
      </c>
      <c r="F230" s="103">
        <f>IFERROR(INDEX(Tabella951[PLZ],MATCH(Tabella848[[#This Row],[Colonna2]],Tabella951[Ortschaftsname],0)), "Name not found")</f>
        <v>8185</v>
      </c>
      <c r="K230" s="2"/>
      <c r="L230" s="4">
        <v>38963</v>
      </c>
      <c r="M230" s="4">
        <v>2217.5</v>
      </c>
      <c r="N230" s="4">
        <v>14</v>
      </c>
    </row>
    <row r="231" spans="2:14">
      <c r="B231" s="92" t="s">
        <v>136</v>
      </c>
      <c r="C231" s="91" t="s">
        <v>1676</v>
      </c>
      <c r="D231" s="93">
        <v>98</v>
      </c>
      <c r="E231" s="93">
        <v>125</v>
      </c>
      <c r="F231" s="103">
        <f>IFERROR(INDEX(Tabella951[PLZ],MATCH(Tabella848[[#This Row],[Colonna2]],Tabella951[Ortschaftsname],0)), "Name not found")</f>
        <v>8405</v>
      </c>
      <c r="K231" s="2"/>
      <c r="L231" s="4">
        <v>43417</v>
      </c>
      <c r="M231" s="4">
        <v>2841.1</v>
      </c>
      <c r="N231" s="4">
        <v>14.5</v>
      </c>
    </row>
    <row r="232" spans="2:14">
      <c r="B232" s="92" t="s">
        <v>136</v>
      </c>
      <c r="C232" s="91" t="s">
        <v>1681</v>
      </c>
      <c r="D232" s="93">
        <v>98</v>
      </c>
      <c r="E232" s="93">
        <v>104</v>
      </c>
      <c r="F232" s="103">
        <f>IFERROR(INDEX(Tabella951[PLZ],MATCH(Tabella848[[#This Row],[Colonna2]],Tabella951[Ortschaftsname],0)), "Name not found")</f>
        <v>8820</v>
      </c>
      <c r="K232" s="2"/>
      <c r="L232" s="4">
        <v>47869</v>
      </c>
      <c r="M232" s="4">
        <v>3486.6</v>
      </c>
      <c r="N232" s="4">
        <v>15</v>
      </c>
    </row>
    <row r="233" spans="2:14">
      <c r="B233" s="92" t="s">
        <v>136</v>
      </c>
      <c r="C233" s="91" t="s">
        <v>1731</v>
      </c>
      <c r="D233" s="93">
        <v>98</v>
      </c>
      <c r="E233" s="93">
        <v>118</v>
      </c>
      <c r="F233" s="103">
        <v>8487</v>
      </c>
      <c r="K233" s="2"/>
      <c r="L233" s="4">
        <v>76812</v>
      </c>
      <c r="M233" s="4">
        <v>7828.05</v>
      </c>
      <c r="N233" s="4">
        <v>15.5</v>
      </c>
    </row>
    <row r="234" spans="2:14">
      <c r="B234" s="92" t="s">
        <v>136</v>
      </c>
      <c r="C234" s="91" t="s">
        <v>1698</v>
      </c>
      <c r="D234" s="93">
        <v>98</v>
      </c>
      <c r="E234" s="93">
        <v>76</v>
      </c>
      <c r="F234" s="103">
        <f>IFERROR(INDEX(Tabella951[PLZ],MATCH(Tabella848[[#This Row],[Colonna2]],Tabella951[Ortschaftsname],0)), "Name not found")</f>
        <v>8702</v>
      </c>
      <c r="K234" s="2"/>
      <c r="L234" s="4">
        <v>125794</v>
      </c>
      <c r="M234" s="4">
        <v>15420.3</v>
      </c>
      <c r="N234" s="4">
        <v>16</v>
      </c>
    </row>
    <row r="235" spans="2:14">
      <c r="B235" s="92" t="s">
        <v>136</v>
      </c>
      <c r="C235" s="91" t="s">
        <v>1742</v>
      </c>
      <c r="D235" s="93">
        <v>98</v>
      </c>
      <c r="E235" s="93">
        <v>77</v>
      </c>
      <c r="F235" s="103">
        <f>IFERROR(INDEX(Tabella951[PLZ],MATCH(Tabella848[[#This Row],[Colonna2]],Tabella951[Ortschaftsname],0)), "Name not found")</f>
        <v>8126</v>
      </c>
      <c r="K235" s="2"/>
      <c r="L235" s="46">
        <v>169209</v>
      </c>
      <c r="M235" s="46">
        <v>22366.7</v>
      </c>
      <c r="N235" s="46">
        <v>16.5</v>
      </c>
    </row>
    <row r="236" spans="2:14">
      <c r="B236" s="92" t="s">
        <v>136</v>
      </c>
      <c r="C236" s="91" t="s">
        <v>162</v>
      </c>
      <c r="D236" s="93">
        <v>98</v>
      </c>
      <c r="E236" s="93">
        <v>119</v>
      </c>
      <c r="F236" s="103">
        <f>IFERROR(INDEX(Tabella951[PLZ],MATCH(Tabella848[[#This Row],[Colonna2]],Tabella951[Ortschaftsname],0)), "Name not found")</f>
        <v>8052</v>
      </c>
      <c r="K236" s="2"/>
      <c r="L236" s="46">
        <v>191474</v>
      </c>
      <c r="M236" s="46">
        <v>26040.400000000001</v>
      </c>
      <c r="N236" s="46">
        <v>17</v>
      </c>
    </row>
    <row r="237" spans="2:14">
      <c r="B237" s="92" t="s">
        <v>138</v>
      </c>
      <c r="C237" s="91" t="s">
        <v>2229</v>
      </c>
      <c r="D237" s="93">
        <v>302.5</v>
      </c>
      <c r="E237" s="93">
        <v>165</v>
      </c>
      <c r="F237" s="103">
        <f>IFERROR(INDEX(Tabella951[PLZ],MATCH(Tabella848[[#This Row],[Colonna2]],Tabella951[Ortschaftsname],0)), "Name not found")</f>
        <v>3270</v>
      </c>
      <c r="K237" s="2"/>
      <c r="L237" s="46">
        <v>273851</v>
      </c>
      <c r="M237" s="46">
        <v>40044.5</v>
      </c>
      <c r="N237" s="46">
        <v>17.5</v>
      </c>
    </row>
    <row r="238" spans="2:14">
      <c r="B238" s="92" t="s">
        <v>138</v>
      </c>
      <c r="C238" s="91" t="s">
        <v>2230</v>
      </c>
      <c r="D238" s="93">
        <v>302.5</v>
      </c>
      <c r="E238" s="93">
        <v>157</v>
      </c>
      <c r="F238" s="103">
        <f>IFERROR(INDEX(Tabella951[PLZ],MATCH(Tabella848[[#This Row],[Colonna2]],Tabella951[Ortschaftsname],0)), "Name not found")</f>
        <v>4912</v>
      </c>
      <c r="K238" s="2"/>
      <c r="L238" s="46">
        <v>291662</v>
      </c>
      <c r="M238" s="4">
        <v>43161.4</v>
      </c>
      <c r="N238" s="4">
        <v>18</v>
      </c>
    </row>
    <row r="239" spans="2:14">
      <c r="B239" s="92" t="s">
        <v>138</v>
      </c>
      <c r="C239" s="91" t="s">
        <v>2254</v>
      </c>
      <c r="D239" s="93">
        <v>302.5</v>
      </c>
      <c r="E239" s="93">
        <v>199</v>
      </c>
      <c r="F239" s="103">
        <f>IFERROR(INDEX(Tabella951[PLZ],MATCH(Tabella848[[#This Row],[Colonna2]],Tabella951[Ortschaftsname],0)), "Name not found")</f>
        <v>3715</v>
      </c>
      <c r="K239" s="2"/>
      <c r="L239" s="46">
        <v>410776</v>
      </c>
      <c r="M239" s="46">
        <v>64601.95</v>
      </c>
      <c r="N239" s="46">
        <v>18.5</v>
      </c>
    </row>
    <row r="240" spans="2:14">
      <c r="B240" s="92" t="s">
        <v>138</v>
      </c>
      <c r="C240" s="91" t="s">
        <v>2368</v>
      </c>
      <c r="D240" s="93">
        <v>302.5</v>
      </c>
      <c r="E240" s="93">
        <v>190</v>
      </c>
      <c r="F240" s="103">
        <f>IFERROR(INDEX(Tabella951[PLZ],MATCH(Tabella848[[#This Row],[Colonna2]],Tabella951[Ortschaftsname],0)), "Name not found")</f>
        <v>3426</v>
      </c>
      <c r="K240" s="2"/>
      <c r="L240" s="46">
        <v>643436</v>
      </c>
      <c r="M240" s="46">
        <v>107644.05</v>
      </c>
      <c r="N240" s="46">
        <v>19</v>
      </c>
    </row>
    <row r="241" spans="2:14">
      <c r="B241" s="92" t="s">
        <v>138</v>
      </c>
      <c r="C241" s="91" t="s">
        <v>2307</v>
      </c>
      <c r="D241" s="93">
        <v>302.5</v>
      </c>
      <c r="E241" s="93">
        <v>179</v>
      </c>
      <c r="F241" s="103">
        <f>IFERROR(INDEX(Tabella951[PLZ],MATCH(Tabella848[[#This Row],[Colonna2]],Tabella951[Ortschaftsname],0)), "Name not found")</f>
        <v>2558</v>
      </c>
      <c r="K241" s="2"/>
      <c r="L241" s="46"/>
      <c r="M241" s="46"/>
      <c r="N241" s="46"/>
    </row>
    <row r="242" spans="2:14">
      <c r="B242" s="92" t="s">
        <v>138</v>
      </c>
      <c r="C242" s="91" t="s">
        <v>2298</v>
      </c>
      <c r="D242" s="93">
        <v>302.5</v>
      </c>
      <c r="E242" s="93">
        <v>179</v>
      </c>
      <c r="F242" s="103">
        <v>3703</v>
      </c>
      <c r="K242" s="2"/>
      <c r="L242" s="46"/>
      <c r="M242" s="4"/>
      <c r="N242" s="4"/>
    </row>
    <row r="243" spans="2:14">
      <c r="B243" s="92" t="s">
        <v>138</v>
      </c>
      <c r="C243" s="91" t="s">
        <v>2363</v>
      </c>
      <c r="D243" s="93">
        <v>302.5</v>
      </c>
      <c r="E243" s="93">
        <v>186</v>
      </c>
      <c r="F243" s="103">
        <f>IFERROR(INDEX(Tabella951[PLZ],MATCH(Tabella848[[#This Row],[Colonna2]],Tabella951[Ortschaftsname],0)), "Name not found")</f>
        <v>3416</v>
      </c>
      <c r="K243" s="2"/>
      <c r="L243" s="36">
        <f>IF(K222&lt;$L$224,$M$223,IF(K222&lt;$L$225,$M$224+((K222-$L$224)/100)*$N$224,IF(K222&lt;$L$226,$M$225+((K222-$L$225)/100)*$N$225,IF(K222&lt;$L$227,$M$226+((K222-$L$226)/100)*$N$226,IF(K222&lt;$L$228,$M$227+((K222-$L$227)/100)*$N$227,IF(K222&lt;$L$229,$M$228+((K222-$L$228)/100)*$N$228,IF(K222&lt;$L$230,$M$229+((K222-$L$229)/100)*$N$229,IF(K222&lt;$L$231,$M$230+((K222-$L$230)/100)*$N$230,IF(K222&lt;$L$232,$M$231+((K222-$L$231)/100)*$N$231,IF(K222&lt;$L$233,$M$232+((K222-$L$232)/100)*$N$232,IF(K222&lt;$L$234,$M$233+((K222-$L$233)/100)*$N$233,IF(K222&lt;$L$235,$M$234+((K222-$L$234)/100)*$N$234,IF(K222&lt;$L$236,$M$235+((K222-$L$235)/100)*$N$235,IF(K222&lt;$L$237,$M$236+((K222-$L$236)/100)*$N$236,IF(K222&lt;$L$238,$M$237+((K222-$L$237)/100)*$N$237,IF(K222&lt;$L$239,$M$238+((K222-$L$238)/100)*$N$238,IF(K222&lt;$L$240,$M$239+((K222-$L$239)/100)*$N$239,IF(K222&gt;=$L$240,$M$240+((K222-$L$240)/100)*$N$240))))))))))))))))))</f>
        <v>11422.19</v>
      </c>
      <c r="M243" s="2"/>
      <c r="N243" s="2"/>
    </row>
    <row r="244" spans="2:14">
      <c r="B244" s="92" t="s">
        <v>138</v>
      </c>
      <c r="C244" s="91" t="s">
        <v>2430</v>
      </c>
      <c r="D244" s="93">
        <v>302.5</v>
      </c>
      <c r="E244" s="93">
        <v>175</v>
      </c>
      <c r="F244" s="103">
        <f>IFERROR(INDEX(Tabella951[PLZ],MATCH(Tabella848[[#This Row],[Colonna2]],Tabella951[Ortschaftsname],0)), "Name not found")</f>
        <v>3473</v>
      </c>
    </row>
    <row r="245" spans="2:14">
      <c r="B245" s="92" t="s">
        <v>138</v>
      </c>
      <c r="C245" s="91" t="s">
        <v>2429</v>
      </c>
      <c r="D245" s="93">
        <v>302.5</v>
      </c>
      <c r="E245" s="93">
        <v>125</v>
      </c>
      <c r="F245" s="103">
        <v>3112</v>
      </c>
      <c r="K245" s="68" t="s">
        <v>2542</v>
      </c>
      <c r="L245" s="21" t="s">
        <v>82</v>
      </c>
      <c r="M245" s="21" t="s">
        <v>2511</v>
      </c>
      <c r="N245" s="21" t="s">
        <v>90</v>
      </c>
    </row>
    <row r="246" spans="2:14">
      <c r="B246" s="92" t="s">
        <v>138</v>
      </c>
      <c r="C246" s="91" t="s">
        <v>2399</v>
      </c>
      <c r="D246" s="93">
        <v>302.5</v>
      </c>
      <c r="E246" s="93">
        <v>185</v>
      </c>
      <c r="F246" s="103">
        <f>IFERROR(INDEX(Tabella951[PLZ],MATCH(Tabella848[[#This Row],[Colonna2]],Tabella951[Ortschaftsname],0)), "Name not found")</f>
        <v>3633</v>
      </c>
      <c r="K246" s="94">
        <v>100000</v>
      </c>
      <c r="L246" s="11" t="s">
        <v>2512</v>
      </c>
      <c r="M246" s="11" t="s">
        <v>2525</v>
      </c>
      <c r="N246" s="11"/>
    </row>
    <row r="247" spans="2:14">
      <c r="B247" s="92" t="s">
        <v>138</v>
      </c>
      <c r="C247" s="91" t="s">
        <v>2325</v>
      </c>
      <c r="D247" s="93">
        <v>302.5</v>
      </c>
      <c r="E247" s="93">
        <v>175</v>
      </c>
      <c r="F247" s="103">
        <f>IFERROR(INDEX(Tabella951[PLZ],MATCH(Tabella848[[#This Row],[Colonna2]],Tabella951[Ortschaftsname],0)), "Name not found")</f>
        <v>3296</v>
      </c>
      <c r="K247" s="26"/>
      <c r="L247" s="4">
        <v>0</v>
      </c>
      <c r="M247" s="39">
        <v>0</v>
      </c>
      <c r="N247" s="4"/>
    </row>
    <row r="248" spans="2:14">
      <c r="B248" s="92" t="s">
        <v>138</v>
      </c>
      <c r="C248" s="91" t="s">
        <v>2384</v>
      </c>
      <c r="D248" s="93">
        <v>302.5</v>
      </c>
      <c r="E248" s="93">
        <v>174</v>
      </c>
      <c r="F248" s="103">
        <v>3508</v>
      </c>
      <c r="K248" s="2"/>
      <c r="L248" s="4">
        <v>4200</v>
      </c>
      <c r="M248" s="39">
        <v>0.01</v>
      </c>
      <c r="N248" s="4"/>
    </row>
    <row r="249" spans="2:14">
      <c r="B249" s="92" t="s">
        <v>138</v>
      </c>
      <c r="C249" s="91" t="s">
        <v>2332</v>
      </c>
      <c r="D249" s="93">
        <v>302.5</v>
      </c>
      <c r="E249" s="93">
        <v>164</v>
      </c>
      <c r="F249" s="103">
        <f>IFERROR(INDEX(Tabella951[PLZ],MATCH(Tabella848[[#This Row],[Colonna2]],Tabella951[Ortschaftsname],0)), "Name not found")</f>
        <v>4536</v>
      </c>
      <c r="K249" s="2"/>
      <c r="L249" s="4">
        <f>L248+3800</f>
        <v>8000</v>
      </c>
      <c r="M249" s="39">
        <v>0.02</v>
      </c>
      <c r="N249" s="4"/>
    </row>
    <row r="250" spans="2:14">
      <c r="B250" s="92" t="s">
        <v>138</v>
      </c>
      <c r="C250" s="91" t="s">
        <v>2460</v>
      </c>
      <c r="D250" s="93">
        <v>302.5</v>
      </c>
      <c r="E250" s="93">
        <v>175</v>
      </c>
      <c r="F250" s="103">
        <f>IFERROR(INDEX(Tabella951[PLZ],MATCH(Tabella848[[#This Row],[Colonna2]],Tabella951[Ortschaftsname],0)), "Name not found")</f>
        <v>4944</v>
      </c>
      <c r="K250" s="2"/>
      <c r="L250" s="4">
        <f>L249+3800</f>
        <v>11800</v>
      </c>
      <c r="M250" s="39">
        <v>0.03</v>
      </c>
      <c r="N250" s="4"/>
    </row>
    <row r="251" spans="2:14">
      <c r="B251" s="92" t="s">
        <v>138</v>
      </c>
      <c r="C251" s="91" t="s">
        <v>2413</v>
      </c>
      <c r="D251" s="93">
        <v>302.5</v>
      </c>
      <c r="E251" s="93">
        <v>180</v>
      </c>
      <c r="F251" s="103">
        <f>IFERROR(INDEX(Tabella951[PLZ],MATCH(Tabella848[[#This Row],[Colonna2]],Tabella951[Ortschaftsname],0)), "Name not found")</f>
        <v>4913</v>
      </c>
      <c r="K251" s="2"/>
      <c r="L251" s="4">
        <f>L250+4200</f>
        <v>16000</v>
      </c>
      <c r="M251" s="39">
        <v>0.04</v>
      </c>
      <c r="N251" s="4"/>
    </row>
    <row r="252" spans="2:14">
      <c r="B252" s="92" t="s">
        <v>138</v>
      </c>
      <c r="C252" s="91" t="s">
        <v>2374</v>
      </c>
      <c r="D252" s="93">
        <v>302.5</v>
      </c>
      <c r="E252" s="93">
        <v>184</v>
      </c>
      <c r="F252" s="103">
        <v>3282</v>
      </c>
      <c r="K252" s="2"/>
      <c r="L252" s="4">
        <f>L251+4200</f>
        <v>20200</v>
      </c>
      <c r="M252" s="39">
        <v>0.05</v>
      </c>
      <c r="N252" s="4"/>
    </row>
    <row r="253" spans="2:14">
      <c r="B253" s="92" t="s">
        <v>138</v>
      </c>
      <c r="C253" s="91" t="s">
        <v>2355</v>
      </c>
      <c r="D253" s="93">
        <v>302.5</v>
      </c>
      <c r="E253" s="93">
        <v>198</v>
      </c>
      <c r="F253" s="103">
        <f>IFERROR(INDEX(Tabella951[PLZ],MATCH(Tabella848[[#This Row],[Colonna2]],Tabella951[Ortschaftsname],0)), "Name not found")</f>
        <v>3803</v>
      </c>
      <c r="K253" s="2"/>
      <c r="L253" s="4">
        <f>L252+5100</f>
        <v>25300</v>
      </c>
      <c r="M253" s="39">
        <v>0.06</v>
      </c>
      <c r="N253" s="4"/>
    </row>
    <row r="254" spans="2:14">
      <c r="B254" s="92" t="s">
        <v>138</v>
      </c>
      <c r="C254" s="91" t="s">
        <v>2320</v>
      </c>
      <c r="D254" s="93">
        <v>302.5</v>
      </c>
      <c r="E254" s="93">
        <v>130</v>
      </c>
      <c r="F254" s="103">
        <f>IFERROR(INDEX(Tabella951[PLZ],MATCH(Tabella848[[#This Row],[Colonna2]],Tabella951[Ortschaftsname],0)), "Name not found")</f>
        <v>2564</v>
      </c>
      <c r="K254" s="2"/>
      <c r="L254" s="4">
        <f>L253+7400</f>
        <v>32700</v>
      </c>
      <c r="M254" s="39">
        <v>7.0000000000000007E-2</v>
      </c>
      <c r="N254" s="4"/>
    </row>
    <row r="255" spans="2:14">
      <c r="B255" s="92" t="s">
        <v>138</v>
      </c>
      <c r="C255" s="91" t="s">
        <v>2196</v>
      </c>
      <c r="D255" s="93">
        <v>302.5</v>
      </c>
      <c r="E255" s="93">
        <v>140</v>
      </c>
      <c r="F255" s="103">
        <f>IFERROR(INDEX(Tabella951[PLZ],MATCH(Tabella848[[#This Row],[Colonna2]],Tabella951[Ortschaftsname],0)), "Name not found")</f>
        <v>3123</v>
      </c>
      <c r="K255" s="2"/>
      <c r="L255" s="4">
        <f>L254+8400</f>
        <v>41100</v>
      </c>
      <c r="M255" s="39">
        <v>0.08</v>
      </c>
      <c r="N255" s="4"/>
    </row>
    <row r="256" spans="2:14">
      <c r="B256" s="92" t="s">
        <v>138</v>
      </c>
      <c r="C256" s="91" t="s">
        <v>2543</v>
      </c>
      <c r="D256" s="93">
        <v>302.5</v>
      </c>
      <c r="E256" s="93">
        <v>193</v>
      </c>
      <c r="F256" s="103">
        <f>IFERROR(INDEX(Tabella951[PLZ],MATCH(Tabella848[[#This Row],[Colonna2]],Tabella951[Ortschaftsname],0)), "Name not found")</f>
        <v>2744</v>
      </c>
      <c r="K256" s="2"/>
      <c r="L256" s="4">
        <f>L255+9500</f>
        <v>50600</v>
      </c>
      <c r="M256" s="39">
        <v>8.5000000000000006E-2</v>
      </c>
      <c r="N256" s="4"/>
    </row>
    <row r="257" spans="2:14">
      <c r="B257" s="92" t="s">
        <v>138</v>
      </c>
      <c r="C257" s="91" t="s">
        <v>2544</v>
      </c>
      <c r="D257" s="93">
        <v>302.5</v>
      </c>
      <c r="E257" s="93">
        <v>110.00000000000001</v>
      </c>
      <c r="F257" s="103">
        <f>IFERROR(INDEX(Tabella951[PLZ],MATCH(Tabella848[[#This Row],[Colonna2]],Tabella951[Ortschaftsname],0)), "Name not found")</f>
        <v>3376</v>
      </c>
      <c r="K257" s="2"/>
      <c r="L257" s="4">
        <f>L256+11600</f>
        <v>62200</v>
      </c>
      <c r="M257" s="39">
        <v>0.09</v>
      </c>
      <c r="N257" s="4"/>
    </row>
    <row r="258" spans="2:14">
      <c r="B258" s="92" t="s">
        <v>138</v>
      </c>
      <c r="C258" s="91" t="s">
        <v>164</v>
      </c>
      <c r="D258" s="93">
        <v>302.5</v>
      </c>
      <c r="E258" s="93">
        <v>154</v>
      </c>
      <c r="F258" s="103">
        <f>IFERROR(INDEX(Tabella951[PLZ],MATCH(Tabella848[[#This Row],[Colonna2]],Tabella951[Ortschaftsname],0)), "Name not found")</f>
        <v>3004</v>
      </c>
      <c r="K258" s="2"/>
      <c r="L258" s="4">
        <f>L257+11600</f>
        <v>73800</v>
      </c>
      <c r="M258" s="39">
        <v>9.5000000000000001E-2</v>
      </c>
      <c r="N258" s="4"/>
    </row>
    <row r="259" spans="2:14">
      <c r="B259" s="92" t="s">
        <v>138</v>
      </c>
      <c r="C259" s="91" t="s">
        <v>2418</v>
      </c>
      <c r="D259" s="93">
        <v>302.5</v>
      </c>
      <c r="E259" s="93">
        <v>155</v>
      </c>
      <c r="F259" s="103">
        <f>IFERROR(INDEX(Tabella951[PLZ],MATCH(Tabella848[[#This Row],[Colonna2]],Tabella951[Ortschaftsname],0)), "Name not found")</f>
        <v>3366</v>
      </c>
      <c r="K259" s="2"/>
      <c r="L259" s="4">
        <f>L258+34800</f>
        <v>108600</v>
      </c>
      <c r="M259" s="39">
        <v>0.1</v>
      </c>
      <c r="N259" s="46"/>
    </row>
    <row r="260" spans="2:14">
      <c r="B260" s="92" t="s">
        <v>138</v>
      </c>
      <c r="C260" s="91" t="s">
        <v>2545</v>
      </c>
      <c r="D260" s="93">
        <v>302.5</v>
      </c>
      <c r="E260" s="93">
        <v>163</v>
      </c>
      <c r="F260" s="103">
        <f>IFERROR(INDEX(Tabella951[PLZ],MATCH(Tabella848[[#This Row],[Colonna2]],Tabella951[Ortschaftsname],0)), "Name not found")</f>
        <v>2502</v>
      </c>
      <c r="K260" s="2"/>
      <c r="L260" s="4">
        <f>L259+65400</f>
        <v>174000</v>
      </c>
      <c r="M260" s="39">
        <v>0.105</v>
      </c>
      <c r="N260" s="46"/>
    </row>
    <row r="261" spans="2:14">
      <c r="B261" s="92" t="s">
        <v>138</v>
      </c>
      <c r="C261" s="91" t="s">
        <v>2313</v>
      </c>
      <c r="D261" s="93">
        <v>302.5</v>
      </c>
      <c r="E261" s="93">
        <v>190</v>
      </c>
      <c r="F261" s="103">
        <f>IFERROR(INDEX(Tabella951[PLZ],MATCH(Tabella848[[#This Row],[Colonna2]],Tabella951[Ortschaftsname],0)), "Name not found")</f>
        <v>3507</v>
      </c>
      <c r="K261" s="2"/>
      <c r="L261" s="4">
        <f>L260+173900</f>
        <v>347900</v>
      </c>
      <c r="M261" s="39">
        <v>0.11</v>
      </c>
      <c r="N261" s="46"/>
    </row>
    <row r="262" spans="2:14">
      <c r="B262" s="92" t="s">
        <v>138</v>
      </c>
      <c r="C262" s="91" t="s">
        <v>2410</v>
      </c>
      <c r="D262" s="93">
        <v>302.5</v>
      </c>
      <c r="E262" s="93">
        <v>145</v>
      </c>
      <c r="F262" s="103">
        <f>IFERROR(INDEX(Tabella951[PLZ],MATCH(Tabella848[[#This Row],[Colonna2]],Tabella951[Ortschaftsname],0)), "Name not found")</f>
        <v>3368</v>
      </c>
      <c r="K262" s="2"/>
      <c r="L262" s="4"/>
      <c r="M262" s="39"/>
      <c r="N262" s="2"/>
    </row>
    <row r="263" spans="2:14">
      <c r="B263" s="92" t="s">
        <v>138</v>
      </c>
      <c r="C263" s="91" t="s">
        <v>2354</v>
      </c>
      <c r="D263" s="93">
        <v>302.5</v>
      </c>
      <c r="E263" s="93">
        <v>175</v>
      </c>
      <c r="F263" s="103">
        <f>IFERROR(INDEX(Tabella951[PLZ],MATCH(Tabella848[[#This Row],[Colonna2]],Tabella951[Ortschaftsname],0)), "Name not found")</f>
        <v>3638</v>
      </c>
      <c r="K263" s="2"/>
      <c r="L263" s="4"/>
      <c r="M263" s="39"/>
      <c r="N263" s="2"/>
    </row>
    <row r="264" spans="2:14">
      <c r="B264" s="92" t="s">
        <v>138</v>
      </c>
      <c r="C264" s="91" t="s">
        <v>2210</v>
      </c>
      <c r="D264" s="93">
        <v>302.5</v>
      </c>
      <c r="E264" s="93">
        <v>160</v>
      </c>
      <c r="F264" s="103">
        <f>IFERROR(INDEX(Tabella951[PLZ],MATCH(Tabella848[[#This Row],[Colonna2]],Tabella951[Ortschaftsname],0)), "Name not found")</f>
        <v>3065</v>
      </c>
      <c r="K264" s="2"/>
      <c r="L264" s="4"/>
      <c r="M264" s="39"/>
      <c r="N264" s="2"/>
    </row>
    <row r="265" spans="2:14">
      <c r="B265" s="92" t="s">
        <v>138</v>
      </c>
      <c r="C265" s="91" t="s">
        <v>2348</v>
      </c>
      <c r="D265" s="93">
        <v>302.5</v>
      </c>
      <c r="E265" s="93">
        <v>170</v>
      </c>
      <c r="F265" s="103">
        <f>IFERROR(INDEX(Tabella951[PLZ],MATCH(Tabella848[[#This Row],[Colonna2]],Tabella951[Ortschaftsname],0)), "Name not found")</f>
        <v>3766</v>
      </c>
      <c r="K265" s="2"/>
      <c r="L265" s="36">
        <f>IF(K246&lt;$L$248,K246*$M$247,IF(K246&lt;$L$249,K246*$M$248,IF(K246&lt;$L$250,K246*$M$249,IF(K246&lt;$L$251,K246*$M$250,IF(K246&lt;$L$252,K246*$M$251,IF(K246&lt;$L$253,K246*$M$252,IF(K246&lt;$L$254,K246*$M$253,IF(K246&lt;$L$255,K246*$M$254,IF(K246&lt;$L$256,K246*$M$255,IF(K246&lt;$L$257,K246*$M$256,IF(K246&lt;$L$258,K246*$M$257,IF(K246&lt;$L$259,K246*$M$258,IF(K246&lt;$L$260,K246*$M$259,IF(K246&lt;$L$261,K246*$M$260,IF(K246&gt;$L$261,K246*$M$261)))))))))))))))</f>
        <v>9500</v>
      </c>
      <c r="M265" s="2"/>
      <c r="N265" s="2"/>
    </row>
    <row r="266" spans="2:14">
      <c r="B266" s="92" t="s">
        <v>138</v>
      </c>
      <c r="C266" s="91" t="s">
        <v>2342</v>
      </c>
      <c r="D266" s="93">
        <v>302.5</v>
      </c>
      <c r="E266" s="93">
        <v>184</v>
      </c>
      <c r="F266" s="103">
        <f>IFERROR(INDEX(Tabella951[PLZ],MATCH(Tabella848[[#This Row],[Colonna2]],Tabella951[Ortschaftsname],0)), "Name not found")</f>
        <v>3533</v>
      </c>
    </row>
    <row r="267" spans="2:14">
      <c r="B267" s="92" t="s">
        <v>138</v>
      </c>
      <c r="C267" s="91" t="s">
        <v>2231</v>
      </c>
      <c r="D267" s="93">
        <v>302.5</v>
      </c>
      <c r="E267" s="93">
        <v>149</v>
      </c>
      <c r="F267" s="103">
        <v>3047</v>
      </c>
      <c r="K267" s="68" t="s">
        <v>2546</v>
      </c>
      <c r="L267" s="21" t="s">
        <v>82</v>
      </c>
      <c r="M267" s="21" t="s">
        <v>2511</v>
      </c>
      <c r="N267" s="21" t="s">
        <v>90</v>
      </c>
    </row>
    <row r="268" spans="2:14">
      <c r="B268" s="92" t="s">
        <v>138</v>
      </c>
      <c r="C268" s="91" t="s">
        <v>2451</v>
      </c>
      <c r="D268" s="93">
        <v>302.5</v>
      </c>
      <c r="E268" s="93">
        <v>176</v>
      </c>
      <c r="F268" s="103">
        <f>IFERROR(INDEX(Tabella951[PLZ],MATCH(Tabella848[[#This Row],[Colonna2]],Tabella951[Ortschaftsname],0)), "Name not found")</f>
        <v>3671</v>
      </c>
      <c r="K268" s="94">
        <v>100000</v>
      </c>
      <c r="L268" s="11" t="s">
        <v>2512</v>
      </c>
      <c r="M268" s="11" t="s">
        <v>2525</v>
      </c>
      <c r="N268" s="11"/>
    </row>
    <row r="269" spans="2:14">
      <c r="B269" s="92" t="s">
        <v>138</v>
      </c>
      <c r="C269" s="91" t="s">
        <v>2261</v>
      </c>
      <c r="D269" s="93">
        <v>302.5</v>
      </c>
      <c r="E269" s="93">
        <v>175</v>
      </c>
      <c r="F269" s="103">
        <v>3855</v>
      </c>
      <c r="K269" s="26"/>
      <c r="L269" s="4">
        <v>0</v>
      </c>
      <c r="M269" s="39">
        <v>0</v>
      </c>
      <c r="N269" s="4"/>
    </row>
    <row r="270" spans="2:14">
      <c r="B270" s="92" t="s">
        <v>138</v>
      </c>
      <c r="C270" s="91" t="s">
        <v>2449</v>
      </c>
      <c r="D270" s="93">
        <v>302.5</v>
      </c>
      <c r="E270" s="93">
        <v>164</v>
      </c>
      <c r="F270" s="103">
        <f>IFERROR(INDEX(Tabella951[PLZ],MATCH(Tabella848[[#This Row],[Colonna2]],Tabella951[Ortschaftsname],0)), "Name not found")</f>
        <v>3856</v>
      </c>
      <c r="K270" s="2"/>
      <c r="L270" s="4">
        <v>3000</v>
      </c>
      <c r="M270" s="39">
        <v>0.01</v>
      </c>
      <c r="N270" s="4"/>
    </row>
    <row r="271" spans="2:14">
      <c r="B271" s="92" t="s">
        <v>138</v>
      </c>
      <c r="C271" s="91" t="s">
        <v>2234</v>
      </c>
      <c r="D271" s="93">
        <v>302.5</v>
      </c>
      <c r="E271" s="93">
        <v>169</v>
      </c>
      <c r="F271" s="103">
        <v>2555</v>
      </c>
      <c r="K271" s="2"/>
      <c r="L271" s="4">
        <f>L270+3000</f>
        <v>6000</v>
      </c>
      <c r="M271" s="39">
        <v>0.02</v>
      </c>
      <c r="N271" s="4"/>
    </row>
    <row r="272" spans="2:14">
      <c r="B272" s="92" t="s">
        <v>138</v>
      </c>
      <c r="C272" s="91" t="s">
        <v>2428</v>
      </c>
      <c r="D272" s="93">
        <v>302.5</v>
      </c>
      <c r="E272" s="93">
        <v>190</v>
      </c>
      <c r="F272" s="103">
        <f>IFERROR(INDEX(Tabella951[PLZ],MATCH(Tabella848[[#This Row],[Colonna2]],Tabella951[Ortschaftsname],0)), "Name not found")</f>
        <v>3237</v>
      </c>
      <c r="K272" s="2"/>
      <c r="L272" s="4">
        <f>L271+3000</f>
        <v>9000</v>
      </c>
      <c r="M272" s="39">
        <v>0.03</v>
      </c>
      <c r="N272" s="4"/>
    </row>
    <row r="273" spans="2:14">
      <c r="B273" s="92" t="s">
        <v>138</v>
      </c>
      <c r="C273" s="91" t="s">
        <v>2326</v>
      </c>
      <c r="D273" s="93">
        <v>302.5</v>
      </c>
      <c r="E273" s="93">
        <v>180</v>
      </c>
      <c r="F273" s="103">
        <v>3615</v>
      </c>
      <c r="K273" s="2"/>
      <c r="L273" s="4">
        <f>L272+3000</f>
        <v>12000</v>
      </c>
      <c r="M273" s="39">
        <v>0.04</v>
      </c>
      <c r="N273" s="4"/>
    </row>
    <row r="274" spans="2:14">
      <c r="B274" s="92" t="s">
        <v>138</v>
      </c>
      <c r="C274" s="91" t="s">
        <v>2190</v>
      </c>
      <c r="D274" s="93">
        <v>302.5</v>
      </c>
      <c r="E274" s="93">
        <v>163</v>
      </c>
      <c r="F274" s="103">
        <f>IFERROR(INDEX(Tabella951[PLZ],MATCH(Tabella848[[#This Row],[Colonna2]],Tabella951[Ortschaftsname],0)), "Name not found")</f>
        <v>3400</v>
      </c>
      <c r="K274" s="2"/>
      <c r="L274" s="4">
        <f>L273+3000</f>
        <v>15000</v>
      </c>
      <c r="M274" s="39">
        <v>0.05</v>
      </c>
      <c r="N274" s="4"/>
    </row>
    <row r="275" spans="2:14">
      <c r="B275" s="92" t="s">
        <v>138</v>
      </c>
      <c r="C275" s="91" t="s">
        <v>2367</v>
      </c>
      <c r="D275" s="93">
        <v>302.5</v>
      </c>
      <c r="E275" s="93">
        <v>195</v>
      </c>
      <c r="F275" s="103">
        <f>IFERROR(INDEX(Tabella951[PLZ],MATCH(Tabella848[[#This Row],[Colonna2]],Tabella951[Ortschaftsname],0)), "Name not found")</f>
        <v>3664</v>
      </c>
      <c r="K275" s="2"/>
      <c r="L275" s="4">
        <f>L274+3000</f>
        <v>18000</v>
      </c>
      <c r="M275" s="39">
        <v>0.06</v>
      </c>
      <c r="N275" s="4"/>
    </row>
    <row r="276" spans="2:14">
      <c r="B276" s="92" t="s">
        <v>138</v>
      </c>
      <c r="C276" s="91" t="s">
        <v>2547</v>
      </c>
      <c r="D276" s="93">
        <v>302.5</v>
      </c>
      <c r="E276" s="93">
        <v>160</v>
      </c>
      <c r="F276" s="103">
        <v>4917</v>
      </c>
      <c r="K276" s="2"/>
      <c r="L276" s="4">
        <f>L275+4000</f>
        <v>22000</v>
      </c>
      <c r="M276" s="39">
        <v>7.0000000000000007E-2</v>
      </c>
      <c r="N276" s="4"/>
    </row>
    <row r="277" spans="2:14">
      <c r="B277" s="92" t="s">
        <v>138</v>
      </c>
      <c r="C277" s="91" t="s">
        <v>2372</v>
      </c>
      <c r="D277" s="93">
        <v>302.5</v>
      </c>
      <c r="E277" s="93">
        <v>164</v>
      </c>
      <c r="F277" s="103">
        <v>3323</v>
      </c>
      <c r="K277" s="2"/>
      <c r="L277" s="4">
        <f>L276+4000</f>
        <v>26000</v>
      </c>
      <c r="M277" s="39">
        <v>7.4999999999999997E-2</v>
      </c>
      <c r="N277" s="4"/>
    </row>
    <row r="278" spans="2:14">
      <c r="B278" s="92" t="s">
        <v>138</v>
      </c>
      <c r="C278" s="91" t="s">
        <v>2260</v>
      </c>
      <c r="D278" s="93">
        <v>302.5</v>
      </c>
      <c r="E278" s="93">
        <v>170</v>
      </c>
      <c r="F278" s="103">
        <f>IFERROR(INDEX(Tabella951[PLZ],MATCH(Tabella848[[#This Row],[Colonna2]],Tabella951[Ortschaftsname],0)), "Name not found")</f>
        <v>3315</v>
      </c>
      <c r="K278" s="2"/>
      <c r="L278" s="4">
        <f>L277+4000</f>
        <v>30000</v>
      </c>
      <c r="M278" s="39">
        <v>0.08</v>
      </c>
      <c r="N278" s="4"/>
    </row>
    <row r="279" spans="2:14">
      <c r="B279" s="92" t="s">
        <v>138</v>
      </c>
      <c r="C279" s="91" t="s">
        <v>2282</v>
      </c>
      <c r="D279" s="93">
        <v>302.5</v>
      </c>
      <c r="E279" s="93">
        <v>190</v>
      </c>
      <c r="F279" s="103">
        <v>3806</v>
      </c>
      <c r="K279" s="2"/>
      <c r="L279" s="4">
        <f>L278+10000</f>
        <v>40000</v>
      </c>
      <c r="M279" s="39">
        <v>8.5000000000000006E-2</v>
      </c>
      <c r="N279" s="4"/>
    </row>
    <row r="280" spans="2:14">
      <c r="B280" s="92" t="s">
        <v>138</v>
      </c>
      <c r="C280" s="91" t="s">
        <v>2393</v>
      </c>
      <c r="D280" s="93">
        <v>302.5</v>
      </c>
      <c r="E280" s="93">
        <v>135</v>
      </c>
      <c r="F280" s="103">
        <f>IFERROR(INDEX(Tabella951[PLZ],MATCH(Tabella848[[#This Row],[Colonna2]],Tabella951[Ortschaftsname],0)), "Name not found")</f>
        <v>3263</v>
      </c>
      <c r="K280" s="2"/>
      <c r="L280" s="4">
        <f>L279+34000</f>
        <v>74000</v>
      </c>
      <c r="M280" s="39">
        <v>0.09</v>
      </c>
      <c r="N280" s="4"/>
    </row>
    <row r="281" spans="2:14">
      <c r="B281" s="92" t="s">
        <v>138</v>
      </c>
      <c r="C281" s="91" t="s">
        <v>2458</v>
      </c>
      <c r="D281" s="93">
        <v>302.5</v>
      </c>
      <c r="E281" s="93">
        <v>155</v>
      </c>
      <c r="F281" s="103">
        <v>3179</v>
      </c>
      <c r="K281" s="2"/>
      <c r="L281" s="4">
        <f>L280+66000</f>
        <v>140000</v>
      </c>
      <c r="M281" s="39">
        <v>8.5000000000000006E-2</v>
      </c>
      <c r="N281" s="46"/>
    </row>
    <row r="282" spans="2:14">
      <c r="B282" s="92" t="s">
        <v>138</v>
      </c>
      <c r="C282" s="91" t="s">
        <v>2251</v>
      </c>
      <c r="D282" s="93">
        <v>302.5</v>
      </c>
      <c r="E282" s="93">
        <v>164</v>
      </c>
      <c r="F282" s="103">
        <f>IFERROR(INDEX(Tabella951[PLZ],MATCH(Tabella848[[#This Row],[Colonna2]],Tabella951[Ortschaftsname],0)), "Name not found")</f>
        <v>3294</v>
      </c>
      <c r="K282" s="2"/>
      <c r="L282" s="4">
        <f>L281+60000</f>
        <v>200000</v>
      </c>
      <c r="M282" s="39">
        <v>0.08</v>
      </c>
      <c r="N282" s="46"/>
    </row>
    <row r="283" spans="2:14">
      <c r="B283" s="92" t="s">
        <v>138</v>
      </c>
      <c r="C283" s="91" t="s">
        <v>2548</v>
      </c>
      <c r="D283" s="93">
        <v>302.5</v>
      </c>
      <c r="E283" s="93">
        <v>170</v>
      </c>
      <c r="F283" s="103">
        <f>IFERROR(INDEX(Tabella951[PLZ],MATCH(Tabella848[[#This Row],[Colonna2]],Tabella951[Ortschaftsname],0)), "Name not found")</f>
        <v>2735</v>
      </c>
      <c r="K283" s="2"/>
      <c r="L283" s="4"/>
      <c r="M283" s="39"/>
      <c r="N283" s="46"/>
    </row>
    <row r="284" spans="2:14">
      <c r="B284" s="92" t="s">
        <v>138</v>
      </c>
      <c r="C284" s="91" t="s">
        <v>2549</v>
      </c>
      <c r="D284" s="93">
        <v>302.5</v>
      </c>
      <c r="E284" s="93">
        <v>194</v>
      </c>
      <c r="F284" s="103">
        <v>2747</v>
      </c>
      <c r="K284" s="2"/>
      <c r="L284" s="4"/>
      <c r="M284" s="39"/>
      <c r="N284" s="2"/>
    </row>
    <row r="285" spans="2:14">
      <c r="B285" s="92" t="s">
        <v>138</v>
      </c>
      <c r="C285" s="91" t="s">
        <v>2319</v>
      </c>
      <c r="D285" s="93">
        <v>302.5</v>
      </c>
      <c r="E285" s="93">
        <v>179</v>
      </c>
      <c r="F285" s="103">
        <f>IFERROR(INDEX(Tabella951[PLZ],MATCH(Tabella848[[#This Row],[Colonna2]],Tabella951[Ortschaftsname],0)), "Name not found")</f>
        <v>2606</v>
      </c>
      <c r="K285" s="2"/>
      <c r="L285" s="4"/>
      <c r="M285" s="39"/>
      <c r="N285" s="2"/>
    </row>
    <row r="286" spans="2:14">
      <c r="B286" s="92" t="s">
        <v>138</v>
      </c>
      <c r="C286" s="91" t="s">
        <v>2453</v>
      </c>
      <c r="D286" s="93">
        <v>302.5</v>
      </c>
      <c r="E286" s="93">
        <v>204</v>
      </c>
      <c r="F286" s="103">
        <f>IFERROR(INDEX(Tabella951[PLZ],MATCH(Tabella848[[#This Row],[Colonna2]],Tabella951[Ortschaftsname],0)), "Name not found")</f>
        <v>2612</v>
      </c>
      <c r="K286" s="2"/>
      <c r="L286" s="4"/>
      <c r="M286" s="39"/>
      <c r="N286" s="2"/>
    </row>
    <row r="287" spans="2:14">
      <c r="B287" s="92" t="s">
        <v>138</v>
      </c>
      <c r="C287" s="91" t="s">
        <v>2409</v>
      </c>
      <c r="D287" s="93">
        <v>302.5</v>
      </c>
      <c r="E287" s="93">
        <v>199</v>
      </c>
      <c r="F287" s="103">
        <f>IFERROR(INDEX(Tabella951[PLZ],MATCH(Tabella848[[#This Row],[Colonna2]],Tabella951[Ortschaftsname],0)), "Name not found")</f>
        <v>2607</v>
      </c>
      <c r="K287" s="2"/>
      <c r="L287" s="36">
        <f>IF(K268&lt;$L$270,K268*$M$269,IF(K268&lt;$L$271,K268*$M$270,IF(K268&lt;$L$272,K268*$M$271,IF(K268&lt;$L$273,K268*$M$272,IF(K268&lt;$L$274,K268*$M$273,IF(K268&lt;$L$275,K268*$M$274,IF(K268&lt;$L$276,K268*$M$275,IF(K268&lt;$L$277,K268*$M$276,IF(K268&lt;$L$278,K268*$M$277,IF(K268&lt;$L$279,K268*$M$278,IF(K268&lt;$L$280,K268*$M$279,IF(K268&lt;$L$281,K268*$M$280,IF(K268&lt;$L$282,K268*$M$281,IF(K268&gt;$L$282,K268*$M$282))))))))))))))</f>
        <v>9000</v>
      </c>
      <c r="M287" s="2"/>
      <c r="N287" s="2"/>
    </row>
    <row r="288" spans="2:14">
      <c r="B288" s="92" t="s">
        <v>138</v>
      </c>
      <c r="C288" s="91" t="s">
        <v>2334</v>
      </c>
      <c r="D288" s="93">
        <v>302.5</v>
      </c>
      <c r="E288" s="93">
        <v>194</v>
      </c>
      <c r="F288" s="103">
        <f>IFERROR(INDEX(Tabella951[PLZ],MATCH(Tabella848[[#This Row],[Colonna2]],Tabella951[Ortschaftsname],0)), "Name not found")</f>
        <v>2738</v>
      </c>
    </row>
    <row r="289" spans="2:14">
      <c r="B289" s="92" t="s">
        <v>138</v>
      </c>
      <c r="C289" s="91" t="s">
        <v>2339</v>
      </c>
      <c r="D289" s="93">
        <v>302.5</v>
      </c>
      <c r="E289" s="93">
        <v>214</v>
      </c>
      <c r="F289" s="103">
        <f>IFERROR(INDEX(Tabella951[PLZ],MATCH(Tabella848[[#This Row],[Colonna2]],Tabella951[Ortschaftsname],0)), "Name not found")</f>
        <v>2608</v>
      </c>
      <c r="K289" s="68" t="s">
        <v>2550</v>
      </c>
      <c r="L289" s="21" t="s">
        <v>82</v>
      </c>
      <c r="M289" s="21" t="s">
        <v>2511</v>
      </c>
      <c r="N289" s="21" t="s">
        <v>90</v>
      </c>
    </row>
    <row r="290" spans="2:14">
      <c r="B290" s="92" t="s">
        <v>138</v>
      </c>
      <c r="C290" s="91" t="s">
        <v>2445</v>
      </c>
      <c r="D290" s="93">
        <v>302.5</v>
      </c>
      <c r="E290" s="93">
        <v>194</v>
      </c>
      <c r="F290" s="103">
        <f>IFERROR(INDEX(Tabella951[PLZ],MATCH(Tabella848[[#This Row],[Colonna2]],Tabella951[Ortschaftsname],0)), "Name not found")</f>
        <v>2746</v>
      </c>
      <c r="K290" s="94">
        <v>100000</v>
      </c>
      <c r="L290" s="11" t="s">
        <v>2512</v>
      </c>
      <c r="M290" s="11" t="s">
        <v>2525</v>
      </c>
      <c r="N290" s="11"/>
    </row>
    <row r="291" spans="2:14">
      <c r="B291" s="92" t="s">
        <v>138</v>
      </c>
      <c r="C291" s="91" t="s">
        <v>2551</v>
      </c>
      <c r="D291" s="93">
        <v>302.5</v>
      </c>
      <c r="E291" s="93">
        <v>89</v>
      </c>
      <c r="F291" s="103">
        <v>3053</v>
      </c>
      <c r="K291" s="26"/>
      <c r="L291" s="4">
        <v>0</v>
      </c>
      <c r="M291" s="39">
        <v>0</v>
      </c>
      <c r="N291" s="4"/>
    </row>
    <row r="292" spans="2:14">
      <c r="B292" s="92" t="s">
        <v>138</v>
      </c>
      <c r="C292" s="91" t="s">
        <v>2301</v>
      </c>
      <c r="D292" s="93">
        <v>302.5</v>
      </c>
      <c r="E292" s="93">
        <v>190</v>
      </c>
      <c r="F292" s="103">
        <f>IFERROR(INDEX(Tabella951[PLZ],MATCH(Tabella848[[#This Row],[Colonna2]],Tabella951[Ortschaftsname],0)), "Name not found")</f>
        <v>3754</v>
      </c>
      <c r="K292" s="2"/>
      <c r="L292" s="4">
        <v>8300</v>
      </c>
      <c r="M292" s="39">
        <v>6.0000000000000001E-3</v>
      </c>
      <c r="N292" s="4"/>
    </row>
    <row r="293" spans="2:14">
      <c r="B293" s="92" t="s">
        <v>138</v>
      </c>
      <c r="C293" s="91" t="s">
        <v>2377</v>
      </c>
      <c r="D293" s="93">
        <v>302.5</v>
      </c>
      <c r="E293" s="93">
        <v>180</v>
      </c>
      <c r="F293" s="103">
        <v>3264</v>
      </c>
      <c r="K293" s="2"/>
      <c r="L293" s="4">
        <f>L292+1600</f>
        <v>9900</v>
      </c>
      <c r="M293" s="39">
        <v>0.01</v>
      </c>
      <c r="N293" s="4"/>
    </row>
    <row r="294" spans="2:14">
      <c r="B294" s="92" t="s">
        <v>138</v>
      </c>
      <c r="C294" s="91" t="s">
        <v>2330</v>
      </c>
      <c r="D294" s="93">
        <v>302.5</v>
      </c>
      <c r="E294" s="93">
        <v>185</v>
      </c>
      <c r="F294" s="103">
        <f>IFERROR(INDEX(Tabella951[PLZ],MATCH(Tabella848[[#This Row],[Colonna2]],Tabella951[Ortschaftsname],0)), "Name not found")</f>
        <v>3293</v>
      </c>
      <c r="K294" s="2"/>
      <c r="L294" s="4">
        <f>L293+1600</f>
        <v>11500</v>
      </c>
      <c r="M294" s="39">
        <v>1.4999999999999999E-2</v>
      </c>
      <c r="N294" s="4"/>
    </row>
    <row r="295" spans="2:14">
      <c r="B295" s="92" t="s">
        <v>138</v>
      </c>
      <c r="C295" s="91" t="s">
        <v>2466</v>
      </c>
      <c r="D295" s="93">
        <v>302.5</v>
      </c>
      <c r="E295" s="93">
        <v>189</v>
      </c>
      <c r="F295" s="103">
        <f>IFERROR(INDEX(Tabella951[PLZ],MATCH(Tabella848[[#This Row],[Colonna2]],Tabella951[Ortschaftsname],0)), "Name not found")</f>
        <v>3707</v>
      </c>
      <c r="K295" s="2"/>
      <c r="L295" s="4">
        <f>L294+4200</f>
        <v>15700</v>
      </c>
      <c r="M295" s="39">
        <v>1.7999999999999999E-2</v>
      </c>
      <c r="N295" s="4"/>
    </row>
    <row r="296" spans="2:14">
      <c r="B296" s="92" t="s">
        <v>138</v>
      </c>
      <c r="C296" s="91" t="s">
        <v>2392</v>
      </c>
      <c r="D296" s="93">
        <v>302.5</v>
      </c>
      <c r="E296" s="93">
        <v>160</v>
      </c>
      <c r="F296" s="103">
        <f>IFERROR(INDEX(Tabella951[PLZ],MATCH(Tabella848[[#This Row],[Colonna2]],Tabella951[Ortschaftsname],0)), "Name not found")</f>
        <v>3763</v>
      </c>
      <c r="K296" s="2"/>
      <c r="L296" s="4">
        <f>L295+11500</f>
        <v>27200</v>
      </c>
      <c r="M296" s="39">
        <v>2.1999999999999999E-2</v>
      </c>
      <c r="N296" s="4"/>
    </row>
    <row r="297" spans="2:14">
      <c r="B297" s="92" t="s">
        <v>138</v>
      </c>
      <c r="C297" s="91" t="s">
        <v>2373</v>
      </c>
      <c r="D297" s="93">
        <v>302.5</v>
      </c>
      <c r="E297" s="93">
        <v>189</v>
      </c>
      <c r="F297" s="103">
        <f>IFERROR(INDEX(Tabella951[PLZ],MATCH(Tabella848[[#This Row],[Colonna2]],Tabella951[Ortschaftsname],0)), "Name not found")</f>
        <v>3465</v>
      </c>
      <c r="K297" s="2"/>
      <c r="L297" s="4">
        <f>L296+14600</f>
        <v>41800</v>
      </c>
      <c r="M297" s="39">
        <v>2.4E-2</v>
      </c>
      <c r="N297" s="4"/>
    </row>
    <row r="298" spans="2:14">
      <c r="B298" s="92" t="s">
        <v>138</v>
      </c>
      <c r="C298" s="91" t="s">
        <v>2286</v>
      </c>
      <c r="D298" s="93">
        <v>302.5</v>
      </c>
      <c r="E298" s="93">
        <v>180</v>
      </c>
      <c r="F298" s="103">
        <f>IFERROR(INDEX(Tabella951[PLZ],MATCH(Tabella848[[#This Row],[Colonna2]],Tabella951[Ortschaftsname],0)), "Name not found")</f>
        <v>3537</v>
      </c>
      <c r="K298" s="2"/>
      <c r="L298" s="4">
        <f>L297+12500</f>
        <v>54300</v>
      </c>
      <c r="M298" s="39">
        <v>2.5999999999999999E-2</v>
      </c>
      <c r="N298" s="4"/>
    </row>
    <row r="299" spans="2:14">
      <c r="B299" s="92" t="s">
        <v>138</v>
      </c>
      <c r="C299" s="91" t="s">
        <v>2552</v>
      </c>
      <c r="D299" s="93">
        <v>302.5</v>
      </c>
      <c r="E299" s="93">
        <v>170</v>
      </c>
      <c r="F299" s="103">
        <f>IFERROR(INDEX(Tabella951[PLZ],MATCH(Tabella848[[#This Row],[Colonna2]],Tabella951[Ortschaftsname],0)), "Name not found")</f>
        <v>3272</v>
      </c>
      <c r="K299" s="2"/>
      <c r="L299" s="4">
        <f>L298+19800</f>
        <v>74100</v>
      </c>
      <c r="M299" s="39">
        <v>2.7E-2</v>
      </c>
      <c r="N299" s="4"/>
    </row>
    <row r="300" spans="2:14">
      <c r="B300" s="92" t="s">
        <v>138</v>
      </c>
      <c r="C300" s="91" t="s">
        <v>2337</v>
      </c>
      <c r="D300" s="93">
        <v>302.5</v>
      </c>
      <c r="E300" s="93">
        <v>179</v>
      </c>
      <c r="F300" s="103">
        <f>IFERROR(INDEX(Tabella951[PLZ],MATCH(Tabella848[[#This Row],[Colonna2]],Tabella951[Ortschaftsname],0)), "Name not found")</f>
        <v>4952</v>
      </c>
      <c r="K300" s="2"/>
      <c r="L300" s="4">
        <f>L299+14600</f>
        <v>88700</v>
      </c>
      <c r="M300" s="39">
        <v>2.8000000000000001E-2</v>
      </c>
      <c r="N300" s="4"/>
    </row>
    <row r="301" spans="2:14">
      <c r="B301" s="92" t="s">
        <v>138</v>
      </c>
      <c r="C301" s="91" t="s">
        <v>2450</v>
      </c>
      <c r="D301" s="93">
        <v>302.5</v>
      </c>
      <c r="E301" s="93">
        <v>180</v>
      </c>
      <c r="F301" s="103">
        <f>IFERROR(INDEX(Tabella951[PLZ],MATCH(Tabella848[[#This Row],[Colonna2]],Tabella951[Ortschaftsname],0)), "Name not found")</f>
        <v>3619</v>
      </c>
      <c r="K301" s="2"/>
      <c r="L301" s="4">
        <f>L300+36500</f>
        <v>125200</v>
      </c>
      <c r="M301" s="39">
        <v>2.9000000000000001E-2</v>
      </c>
      <c r="N301" s="4"/>
    </row>
    <row r="302" spans="2:14">
      <c r="B302" s="92" t="s">
        <v>138</v>
      </c>
      <c r="C302" s="91" t="s">
        <v>2335</v>
      </c>
      <c r="D302" s="93">
        <v>302.5</v>
      </c>
      <c r="E302" s="93">
        <v>150</v>
      </c>
      <c r="F302" s="103">
        <f>IFERROR(INDEX(Tabella951[PLZ],MATCH(Tabella848[[#This Row],[Colonna2]],Tabella951[Ortschaftsname],0)), "Name not found")</f>
        <v>3235</v>
      </c>
      <c r="K302" s="2"/>
      <c r="L302" s="4">
        <f>L301+135600</f>
        <v>260800</v>
      </c>
      <c r="M302" s="39">
        <v>2.5999999999999999E-2</v>
      </c>
      <c r="N302" s="4"/>
    </row>
    <row r="303" spans="2:14">
      <c r="B303" s="92" t="s">
        <v>138</v>
      </c>
      <c r="C303" s="91" t="s">
        <v>2316</v>
      </c>
      <c r="D303" s="93">
        <v>302.5</v>
      </c>
      <c r="E303" s="93">
        <v>164</v>
      </c>
      <c r="F303" s="103">
        <f>IFERROR(INDEX(Tabella951[PLZ],MATCH(Tabella848[[#This Row],[Colonna2]],Tabella951[Ortschaftsname],0)), "Name not found")</f>
        <v>3762</v>
      </c>
      <c r="K303" s="2"/>
      <c r="L303" s="4"/>
      <c r="M303" s="39"/>
      <c r="N303" s="46"/>
    </row>
    <row r="304" spans="2:14">
      <c r="B304" s="92" t="s">
        <v>138</v>
      </c>
      <c r="C304" s="91" t="s">
        <v>2305</v>
      </c>
      <c r="D304" s="93">
        <v>302.5</v>
      </c>
      <c r="E304" s="93">
        <v>170</v>
      </c>
      <c r="F304" s="103">
        <f>IFERROR(INDEX(Tabella951[PLZ],MATCH(Tabella848[[#This Row],[Colonna2]],Tabella951[Ortschaftsname],0)), "Name not found")</f>
        <v>3423</v>
      </c>
      <c r="K304" s="2"/>
      <c r="L304" s="4"/>
      <c r="M304" s="39"/>
      <c r="N304" s="46"/>
    </row>
    <row r="305" spans="2:15">
      <c r="B305" s="92" t="s">
        <v>138</v>
      </c>
      <c r="C305" s="91" t="s">
        <v>2553</v>
      </c>
      <c r="D305" s="93">
        <v>302.5</v>
      </c>
      <c r="E305" s="93">
        <v>194</v>
      </c>
      <c r="F305" s="103">
        <f>IFERROR(INDEX(Tabella951[PLZ],MATCH(Tabella848[[#This Row],[Colonna2]],Tabella951[Ortschaftsname],0)), "Name not found")</f>
        <v>2743</v>
      </c>
      <c r="K305" s="2"/>
      <c r="L305" s="4"/>
      <c r="M305" s="39"/>
      <c r="N305" s="46"/>
    </row>
    <row r="306" spans="2:15">
      <c r="B306" s="92" t="s">
        <v>138</v>
      </c>
      <c r="C306" s="91" t="s">
        <v>2278</v>
      </c>
      <c r="D306" s="93">
        <v>302.5</v>
      </c>
      <c r="E306" s="93">
        <v>152</v>
      </c>
      <c r="F306" s="103">
        <f>IFERROR(INDEX(Tabella951[PLZ],MATCH(Tabella848[[#This Row],[Colonna2]],Tabella951[Ortschaftsname],0)), "Name not found")</f>
        <v>2533</v>
      </c>
      <c r="K306" s="2"/>
      <c r="L306" s="4"/>
      <c r="M306" s="39"/>
      <c r="N306" s="2"/>
    </row>
    <row r="307" spans="2:15">
      <c r="B307" s="92" t="s">
        <v>138</v>
      </c>
      <c r="C307" s="91" t="s">
        <v>2403</v>
      </c>
      <c r="D307" s="93">
        <v>302.5</v>
      </c>
      <c r="E307" s="93">
        <v>178</v>
      </c>
      <c r="F307" s="103">
        <v>3617</v>
      </c>
      <c r="K307" s="2"/>
      <c r="L307" s="4"/>
      <c r="M307" s="39"/>
      <c r="N307" s="2"/>
    </row>
    <row r="308" spans="2:15">
      <c r="B308" s="92" t="s">
        <v>138</v>
      </c>
      <c r="C308" s="91" t="s">
        <v>2554</v>
      </c>
      <c r="D308" s="93">
        <v>302.5</v>
      </c>
      <c r="E308" s="93">
        <v>169</v>
      </c>
      <c r="F308" s="103">
        <f>IFERROR(INDEX(Tabella951[PLZ],MATCH(Tabella848[[#This Row],[Colonna2]],Tabella951[Ortschaftsname],0)), "Name not found")</f>
        <v>4539</v>
      </c>
      <c r="K308" s="2"/>
      <c r="L308" s="4"/>
      <c r="M308" s="39"/>
      <c r="N308" s="2"/>
    </row>
    <row r="309" spans="2:15">
      <c r="B309" s="92" t="s">
        <v>138</v>
      </c>
      <c r="C309" s="91" t="s">
        <v>2351</v>
      </c>
      <c r="D309" s="93">
        <v>302.5</v>
      </c>
      <c r="E309" s="93">
        <v>175</v>
      </c>
      <c r="F309" s="103">
        <f>IFERROR(INDEX(Tabella951[PLZ],MATCH(Tabella848[[#This Row],[Colonna2]],Tabella951[Ortschaftsname],0)), "Name not found")</f>
        <v>3206</v>
      </c>
      <c r="K309" s="2"/>
      <c r="L309" s="36">
        <f>IF(K290&lt;$L$292,K290*$M$291,IF(K290&lt;$L$293,K290*$M$292,IF(K290&lt;$L$294,K290*$M$293,IF(K290&lt;$L$295,K290*$M$294,IF(K290&lt;$L$296,K290*$M$295,IF(K290&lt;$L$297,K290*$M$296,IF(K290&lt;$L$298,K290*$M$297,IF(K290&lt;$L$299,K290*$M$298,IF(K290&lt;$L$300,K290*$M$299,IF(K290&lt;$L$301,K290*$M$300,IF(K290&lt;$L$302,K290*$M$301,IF(K290&gt;$L$302,K290*M302))))))))))))</f>
        <v>2800</v>
      </c>
      <c r="M309" s="2"/>
      <c r="N309" s="2"/>
    </row>
    <row r="310" spans="2:15">
      <c r="B310" s="92" t="s">
        <v>138</v>
      </c>
      <c r="C310" s="91" t="s">
        <v>2438</v>
      </c>
      <c r="D310" s="93">
        <v>302.5</v>
      </c>
      <c r="E310" s="93">
        <v>180</v>
      </c>
      <c r="F310" s="103">
        <f>IFERROR(INDEX(Tabella951[PLZ],MATCH(Tabella848[[#This Row],[Colonna2]],Tabella951[Ortschaftsname],0)), "Name not found")</f>
        <v>2577</v>
      </c>
    </row>
    <row r="311" spans="2:15">
      <c r="B311" s="92" t="s">
        <v>138</v>
      </c>
      <c r="C311" s="91" t="s">
        <v>2405</v>
      </c>
      <c r="D311" s="93">
        <v>302.5</v>
      </c>
      <c r="E311" s="93">
        <v>170</v>
      </c>
      <c r="F311" s="103">
        <v>3634</v>
      </c>
      <c r="K311" s="68" t="s">
        <v>2555</v>
      </c>
      <c r="L311" s="21" t="s">
        <v>82</v>
      </c>
      <c r="M311" s="21" t="s">
        <v>2511</v>
      </c>
      <c r="N311" s="21" t="s">
        <v>90</v>
      </c>
      <c r="O311" s="21" t="s">
        <v>2505</v>
      </c>
    </row>
    <row r="312" spans="2:15">
      <c r="B312" s="92" t="s">
        <v>138</v>
      </c>
      <c r="C312" s="91" t="s">
        <v>2223</v>
      </c>
      <c r="D312" s="93">
        <v>302.5</v>
      </c>
      <c r="E312" s="93">
        <v>175</v>
      </c>
      <c r="F312" s="103">
        <f>IFERROR(INDEX(Tabella951[PLZ],MATCH(Tabella848[[#This Row],[Colonna2]],Tabella951[Ortschaftsname],0)), "Name not found")</f>
        <v>3312</v>
      </c>
      <c r="K312" s="94">
        <v>100000</v>
      </c>
      <c r="L312" s="11" t="s">
        <v>2556</v>
      </c>
      <c r="M312" s="11" t="s">
        <v>2557</v>
      </c>
      <c r="N312" s="11" t="s">
        <v>2558</v>
      </c>
      <c r="O312" s="11"/>
    </row>
    <row r="313" spans="2:15">
      <c r="B313" s="92" t="s">
        <v>138</v>
      </c>
      <c r="C313" s="91" t="s">
        <v>2353</v>
      </c>
      <c r="D313" s="93">
        <v>302.5</v>
      </c>
      <c r="E313" s="93">
        <v>160</v>
      </c>
      <c r="F313" s="103">
        <f>IFERROR(INDEX(Tabella951[PLZ],MATCH(Tabella848[[#This Row],[Colonna2]],Tabella951[Ortschaftsname],0)), "Name not found")</f>
        <v>3202</v>
      </c>
      <c r="K313" s="26"/>
      <c r="L313" s="4"/>
      <c r="M313" s="39"/>
      <c r="N313" s="4"/>
      <c r="O313" s="4"/>
    </row>
    <row r="314" spans="2:15">
      <c r="B314" s="92" t="s">
        <v>138</v>
      </c>
      <c r="C314" s="91" t="s">
        <v>2456</v>
      </c>
      <c r="D314" s="93">
        <v>302.5</v>
      </c>
      <c r="E314" s="93">
        <v>180</v>
      </c>
      <c r="F314" s="103">
        <f>IFERROR(INDEX(Tabella951[PLZ],MATCH(Tabella848[[#This Row],[Colonna2]],Tabella951[Ortschaftsname],0)), "Name not found")</f>
        <v>3510</v>
      </c>
      <c r="K314" s="4">
        <v>0</v>
      </c>
      <c r="L314" s="4">
        <v>0</v>
      </c>
      <c r="M314" s="4">
        <v>0</v>
      </c>
      <c r="N314" s="4">
        <v>0</v>
      </c>
      <c r="O314" s="4"/>
    </row>
    <row r="315" spans="2:15">
      <c r="B315" s="92" t="s">
        <v>138</v>
      </c>
      <c r="C315" s="91" t="s">
        <v>2205</v>
      </c>
      <c r="D315" s="93">
        <v>302.5</v>
      </c>
      <c r="E315" s="93">
        <v>185</v>
      </c>
      <c r="F315" s="103">
        <f>IFERROR(INDEX(Tabella951[PLZ],MATCH(Tabella848[[#This Row],[Colonna2]],Tabella951[Ortschaftsname],0)), "Name not found")</f>
        <v>3714</v>
      </c>
      <c r="K315" s="4">
        <v>16500</v>
      </c>
      <c r="L315" s="112">
        <v>-0.82628100000000004</v>
      </c>
      <c r="M315" s="113">
        <v>8.9719999999999994E-2</v>
      </c>
      <c r="N315" s="114">
        <v>818.725099</v>
      </c>
      <c r="O315" s="4"/>
    </row>
    <row r="316" spans="2:15">
      <c r="B316" s="92" t="s">
        <v>138</v>
      </c>
      <c r="C316" s="91" t="s">
        <v>2401</v>
      </c>
      <c r="D316" s="93">
        <v>302.5</v>
      </c>
      <c r="E316" s="93">
        <v>139</v>
      </c>
      <c r="F316" s="103">
        <f>IFERROR(INDEX(Tabella951[PLZ],MATCH(Tabella848[[#This Row],[Colonna2]],Tabella951[Ortschaftsname],0)), "Name not found")</f>
        <v>3238</v>
      </c>
      <c r="K316" s="4">
        <v>44000</v>
      </c>
      <c r="L316" s="112">
        <v>-0.32791900000000002</v>
      </c>
      <c r="M316" s="113">
        <v>4.3109000000000001E-2</v>
      </c>
      <c r="N316" s="114">
        <v>-1232.14815</v>
      </c>
      <c r="O316" s="4"/>
    </row>
    <row r="317" spans="2:15">
      <c r="B317" s="92" t="s">
        <v>138</v>
      </c>
      <c r="C317" s="91" t="s">
        <v>2382</v>
      </c>
      <c r="D317" s="93">
        <v>302.5</v>
      </c>
      <c r="E317" s="93">
        <v>119</v>
      </c>
      <c r="F317" s="103">
        <f>IFERROR(INDEX(Tabella951[PLZ],MATCH(Tabella848[[#This Row],[Colonna2]],Tabella951[Ortschaftsname],0)), "Name not found")</f>
        <v>3236</v>
      </c>
      <c r="K317" s="4">
        <v>110000</v>
      </c>
      <c r="L317" s="112">
        <v>5.1298000000000003E-2</v>
      </c>
      <c r="M317" s="113">
        <v>1.0441000000000001E-2</v>
      </c>
      <c r="N317" s="114">
        <v>-4825.5355250000002</v>
      </c>
      <c r="O317" s="4"/>
    </row>
    <row r="318" spans="2:15">
      <c r="B318" s="92" t="s">
        <v>138</v>
      </c>
      <c r="C318" s="91" t="s">
        <v>2357</v>
      </c>
      <c r="D318" s="93">
        <v>302.5</v>
      </c>
      <c r="E318" s="93">
        <v>154</v>
      </c>
      <c r="F318" s="103">
        <f>IFERROR(INDEX(Tabella951[PLZ],MATCH(Tabella848[[#This Row],[Colonna2]],Tabella951[Ortschaftsname],0)), "Name not found")</f>
        <v>3115</v>
      </c>
      <c r="K318" s="4">
        <v>1265000</v>
      </c>
      <c r="L318" s="112">
        <v>232436.77</v>
      </c>
      <c r="M318" s="113">
        <v>0.1862</v>
      </c>
      <c r="N318" s="4"/>
      <c r="O318" s="4"/>
    </row>
    <row r="319" spans="2:15">
      <c r="B319" s="92" t="s">
        <v>138</v>
      </c>
      <c r="C319" s="91" t="s">
        <v>2408</v>
      </c>
      <c r="D319" s="93">
        <v>302.5</v>
      </c>
      <c r="E319" s="93">
        <v>184</v>
      </c>
      <c r="F319" s="103">
        <f>IFERROR(INDEX(Tabella951[PLZ],MATCH(Tabella848[[#This Row],[Colonna2]],Tabella951[Ortschaftsname],0)), "Name not found")</f>
        <v>4955</v>
      </c>
      <c r="K319" s="2"/>
      <c r="L319" s="4"/>
      <c r="M319" s="39"/>
      <c r="N319" s="4"/>
      <c r="O319" s="4"/>
    </row>
    <row r="320" spans="2:15">
      <c r="B320" s="92" t="s">
        <v>138</v>
      </c>
      <c r="C320" s="91" t="s">
        <v>2559</v>
      </c>
      <c r="D320" s="93">
        <v>302.5</v>
      </c>
      <c r="E320" s="93">
        <v>150</v>
      </c>
      <c r="F320" s="103">
        <f>IFERROR(INDEX(Tabella951[PLZ],MATCH(Tabella848[[#This Row],[Colonna2]],Tabella951[Ortschaftsname],0)), "Name not found")</f>
        <v>3376</v>
      </c>
      <c r="K320" s="2"/>
      <c r="L320" s="4"/>
      <c r="M320" s="39"/>
      <c r="N320" s="4"/>
      <c r="O320" s="4"/>
    </row>
    <row r="321" spans="2:15">
      <c r="B321" s="92" t="s">
        <v>138</v>
      </c>
      <c r="C321" s="91" t="s">
        <v>2560</v>
      </c>
      <c r="D321" s="93">
        <v>302.5</v>
      </c>
      <c r="E321" s="93">
        <v>174</v>
      </c>
      <c r="F321" s="103">
        <f>IFERROR(INDEX(Tabella951[PLZ],MATCH(Tabella848[[#This Row],[Colonna2]],Tabella951[Ortschaftsname],0)), "Name not found")</f>
        <v>2745</v>
      </c>
      <c r="K321" s="2" t="s">
        <v>2561</v>
      </c>
      <c r="L321" s="4">
        <f>LOG($K$312)-1</f>
        <v>4</v>
      </c>
      <c r="M321" s="39"/>
      <c r="N321" s="4"/>
      <c r="O321" s="4"/>
    </row>
    <row r="322" spans="2:15">
      <c r="B322" s="92" t="s">
        <v>138</v>
      </c>
      <c r="C322" s="91" t="s">
        <v>2245</v>
      </c>
      <c r="D322" s="93">
        <v>302.5</v>
      </c>
      <c r="E322" s="93">
        <v>179</v>
      </c>
      <c r="F322" s="103">
        <f>IFERROR(INDEX(Tabella951[PLZ],MATCH(Tabella848[[#This Row],[Colonna2]],Tabella951[Ortschaftsname],0)), "Name not found")</f>
        <v>3818</v>
      </c>
      <c r="K322" s="2"/>
      <c r="L322" s="4"/>
      <c r="M322" s="39"/>
      <c r="N322" s="4"/>
      <c r="O322" s="4"/>
    </row>
    <row r="323" spans="2:15">
      <c r="B323" s="92" t="s">
        <v>138</v>
      </c>
      <c r="C323" s="91" t="s">
        <v>2265</v>
      </c>
      <c r="D323" s="93">
        <v>302.5</v>
      </c>
      <c r="E323" s="93">
        <v>169</v>
      </c>
      <c r="F323" s="103">
        <f>IFERROR(INDEX(Tabella951[PLZ],MATCH(Tabella848[[#This Row],[Colonna2]],Tabella951[Ortschaftsname],0)), "Name not found")</f>
        <v>3257</v>
      </c>
      <c r="K323" s="2"/>
      <c r="L323" s="4">
        <f>($L$317*$K$312+$M$317*$K$312*$L$321+$N$317)</f>
        <v>4480.6644750000005</v>
      </c>
      <c r="M323" s="39"/>
      <c r="N323" s="4"/>
      <c r="O323" s="4"/>
    </row>
    <row r="324" spans="2:15">
      <c r="B324" s="92" t="s">
        <v>138</v>
      </c>
      <c r="C324" s="91" t="s">
        <v>2237</v>
      </c>
      <c r="D324" s="93">
        <v>302.5</v>
      </c>
      <c r="E324" s="93">
        <v>162</v>
      </c>
      <c r="F324" s="103">
        <f>IFERROR(INDEX(Tabella951[PLZ],MATCH(Tabella848[[#This Row],[Colonna2]],Tabella951[Ortschaftsname],0)), "Name not found")</f>
        <v>3506</v>
      </c>
      <c r="K324" s="2"/>
      <c r="L324" s="4"/>
      <c r="M324" s="39"/>
      <c r="N324" s="4"/>
      <c r="O324" s="4"/>
    </row>
    <row r="325" spans="2:15">
      <c r="B325" s="92" t="s">
        <v>138</v>
      </c>
      <c r="C325" s="91" t="s">
        <v>2381</v>
      </c>
      <c r="D325" s="93">
        <v>302.5</v>
      </c>
      <c r="E325" s="93">
        <v>130</v>
      </c>
      <c r="F325" s="103">
        <v>3785</v>
      </c>
      <c r="K325" s="2"/>
      <c r="L325" s="4"/>
      <c r="M325" s="39"/>
      <c r="N325" s="46"/>
      <c r="O325" s="46"/>
    </row>
    <row r="326" spans="2:15">
      <c r="B326" s="92" t="s">
        <v>138</v>
      </c>
      <c r="C326" s="91" t="s">
        <v>2562</v>
      </c>
      <c r="D326" s="93">
        <v>302.5</v>
      </c>
      <c r="E326" s="93">
        <v>193</v>
      </c>
      <c r="F326" s="103">
        <f>IFERROR(INDEX(Tabella951[PLZ],MATCH(Tabella848[[#This Row],[Colonna2]],Tabella951[Ortschaftsname],0)), "Name not found")</f>
        <v>3814</v>
      </c>
      <c r="K326" s="2"/>
      <c r="L326" s="4"/>
      <c r="M326" s="39"/>
      <c r="N326" s="46"/>
      <c r="O326" s="46"/>
    </row>
    <row r="327" spans="2:15">
      <c r="B327" s="92" t="s">
        <v>138</v>
      </c>
      <c r="C327" s="91" t="s">
        <v>2328</v>
      </c>
      <c r="D327" s="93">
        <v>302.5</v>
      </c>
      <c r="E327" s="93">
        <v>189</v>
      </c>
      <c r="F327" s="103">
        <f>IFERROR(INDEX(Tabella951[PLZ],MATCH(Tabella848[[#This Row],[Colonna2]],Tabella951[Ortschaftsname],0)), "Name not found")</f>
        <v>3158</v>
      </c>
      <c r="K327" s="2"/>
      <c r="L327" s="36">
        <f>IF(K312&lt;=0,0,IF(K312&lt;=16500,
-0.826281*K312+0.08972*K312*(LOG(K312)-1)+818.725099,IF(K312&lt;=44000,
-0.327919*K312+0.043109*K312*(LOG(K312)-1)+(-1232.14815),IF(K312&lt;=110000,
0.051298*K312+0.010441*K312*(LOG(K312)-1)+(-4825.535525),IF(K312&gt;1265000,
232436.77+0.1862*(K312-1265000),
IF(K312=0,0))))))</f>
        <v>4480.6644750000005</v>
      </c>
      <c r="M327" s="39"/>
      <c r="N327" s="46"/>
      <c r="O327" s="46"/>
    </row>
    <row r="328" spans="2:15">
      <c r="B328" s="92" t="s">
        <v>138</v>
      </c>
      <c r="C328" s="91" t="s">
        <v>2563</v>
      </c>
      <c r="D328" s="93">
        <v>302.5</v>
      </c>
      <c r="E328" s="93">
        <v>190</v>
      </c>
      <c r="F328" s="103">
        <f>IFERROR(INDEX(Tabella951[PLZ],MATCH(Tabella848[[#This Row],[Colonna2]],Tabella951[Ortschaftsname],0)), "Name not found")</f>
        <v>3208</v>
      </c>
      <c r="K328" s="2"/>
      <c r="L328" s="4"/>
      <c r="M328" s="39"/>
      <c r="N328" s="2"/>
      <c r="O328" s="2"/>
    </row>
    <row r="329" spans="2:15">
      <c r="B329" s="92" t="s">
        <v>138</v>
      </c>
      <c r="C329" s="91" t="s">
        <v>2397</v>
      </c>
      <c r="D329" s="93">
        <v>302.5</v>
      </c>
      <c r="E329" s="93">
        <v>183</v>
      </c>
      <c r="F329" s="103">
        <f>IFERROR(INDEX(Tabella951[PLZ],MATCH(Tabella848[[#This Row],[Colonna2]],Tabella951[Ortschaftsname],0)), "Name not found")</f>
        <v>3663</v>
      </c>
      <c r="K329" s="2"/>
      <c r="L329" s="4" cm="1">
        <f t="array" ref="L329">IF(K312 &lt;= 16500, -0.826281*K312 + 0.08972*K312*(LOG(K312) - 1) + 818.725099,
IF(K312 &lt;= 44000, -0.327919*v + 0.043109*K312*(LOG(K312) - 1) - 1232.14815,
IF(K312 &lt;= 1265000, 0.051298*K312 + 0.010441*K312*(LOG(K312) - 1) - 4825.535525,
IF(K312 &gt; 1265000, 232436.77 + 0.1862*(K312 - 1265000), 0))))</f>
        <v>4480.6644750000005</v>
      </c>
      <c r="M329" s="39"/>
      <c r="N329" s="2"/>
      <c r="O329" s="2"/>
    </row>
    <row r="330" spans="2:15">
      <c r="B330" s="92" t="s">
        <v>138</v>
      </c>
      <c r="C330" s="91" t="s">
        <v>2564</v>
      </c>
      <c r="D330" s="93">
        <v>302.5</v>
      </c>
      <c r="E330" s="93">
        <v>165</v>
      </c>
      <c r="F330" s="103">
        <f>IFERROR(INDEX(Tabella951[PLZ],MATCH(Tabella848[[#This Row],[Colonna2]],Tabella951[Ortschaftsname],0)), "Name not found")</f>
        <v>3864</v>
      </c>
      <c r="K330" s="2"/>
      <c r="L330" s="4"/>
      <c r="M330" s="39"/>
      <c r="N330" s="2"/>
      <c r="O330" s="2"/>
    </row>
    <row r="331" spans="2:15">
      <c r="B331" s="92" t="s">
        <v>138</v>
      </c>
      <c r="C331" s="91" t="s">
        <v>2565</v>
      </c>
      <c r="D331" s="93">
        <v>302.5</v>
      </c>
      <c r="E331" s="93">
        <v>200</v>
      </c>
      <c r="F331" s="103">
        <f>IFERROR(INDEX(Tabella951[PLZ],MATCH(Tabella848[[#This Row],[Colonna2]],Tabella951[Ortschaftsname],0)), "Name not found")</f>
        <v>3815</v>
      </c>
      <c r="K331" s="2"/>
      <c r="L331" s="86">
        <f>IF(K312&lt;$K$315,$L$314,IF(K312&lt;$K$316,$L$315*K312+$M$315*K312*(LOG(K312-1))+($N$315), IF(K312&lt;$K$317,$L$316*K312+$M$316*K312*(LOG(K312-1))+($N$316), IF(K312&lt;$K$318,$L$317*K312+$M$317*(LOG(K312-1))*K312+($N$317), IF(K312&gt;=$K$318, $L$318+$M$318*(K312-$K$318))))))</f>
        <v>-12469.56687209443</v>
      </c>
      <c r="M331" s="2"/>
      <c r="N331" s="2"/>
      <c r="O331" s="2"/>
    </row>
    <row r="332" spans="2:15">
      <c r="B332" s="92" t="s">
        <v>138</v>
      </c>
      <c r="C332" s="91" t="s">
        <v>2417</v>
      </c>
      <c r="D332" s="93">
        <v>302.5</v>
      </c>
      <c r="E332" s="93">
        <v>185</v>
      </c>
      <c r="F332" s="103">
        <f>IFERROR(INDEX(Tabella951[PLZ],MATCH(Tabella848[[#This Row],[Colonna2]],Tabella951[Ortschaftsname],0)), "Name not found")</f>
        <v>3804</v>
      </c>
    </row>
    <row r="333" spans="2:15">
      <c r="B333" s="92" t="s">
        <v>138</v>
      </c>
      <c r="C333" s="91" t="s">
        <v>2566</v>
      </c>
      <c r="D333" s="93">
        <v>302.5</v>
      </c>
      <c r="E333" s="93">
        <v>150</v>
      </c>
      <c r="F333" s="103">
        <f>IFERROR(INDEX(Tabella951[PLZ],MATCH(Tabella848[[#This Row],[Colonna2]],Tabella951[Ortschaftsname],0)), "Name not found")</f>
        <v>2575</v>
      </c>
      <c r="K333" s="68" t="s">
        <v>2567</v>
      </c>
      <c r="L333" s="21" t="s">
        <v>82</v>
      </c>
      <c r="M333" s="21" t="s">
        <v>2511</v>
      </c>
      <c r="N333" s="21" t="s">
        <v>90</v>
      </c>
    </row>
    <row r="334" spans="2:15">
      <c r="B334" s="92" t="s">
        <v>138</v>
      </c>
      <c r="C334" s="91" t="s">
        <v>2255</v>
      </c>
      <c r="D334" s="93">
        <v>302.5</v>
      </c>
      <c r="E334" s="93">
        <v>179</v>
      </c>
      <c r="F334" s="103">
        <v>3415</v>
      </c>
      <c r="K334" s="94">
        <v>100000</v>
      </c>
      <c r="L334" s="11" t="s">
        <v>2512</v>
      </c>
      <c r="M334" s="11" t="s">
        <v>2513</v>
      </c>
      <c r="N334" s="11" t="s">
        <v>2514</v>
      </c>
    </row>
    <row r="335" spans="2:15">
      <c r="B335" s="92" t="s">
        <v>138</v>
      </c>
      <c r="C335" s="91" t="s">
        <v>2359</v>
      </c>
      <c r="D335" s="93">
        <v>302.5</v>
      </c>
      <c r="E335" s="93">
        <v>210</v>
      </c>
      <c r="F335" s="103">
        <v>6083</v>
      </c>
      <c r="K335" s="26"/>
      <c r="L335" s="4">
        <v>0</v>
      </c>
      <c r="M335" s="4">
        <v>0</v>
      </c>
      <c r="N335" s="39">
        <v>0.21</v>
      </c>
    </row>
    <row r="336" spans="2:15">
      <c r="B336" s="92" t="s">
        <v>138</v>
      </c>
      <c r="C336" s="91" t="s">
        <v>2412</v>
      </c>
      <c r="D336" s="93">
        <v>302.5</v>
      </c>
      <c r="E336" s="93">
        <v>189</v>
      </c>
      <c r="F336" s="103">
        <f>IFERROR(INDEX(Tabella951[PLZ],MATCH(Tabella848[[#This Row],[Colonna2]],Tabella951[Ortschaftsname],0)), "Name not found")</f>
        <v>3625</v>
      </c>
      <c r="K336" s="2"/>
      <c r="L336" s="4">
        <v>209800</v>
      </c>
      <c r="M336" s="4">
        <v>44058</v>
      </c>
      <c r="N336" s="39">
        <v>0.27250000000000002</v>
      </c>
    </row>
    <row r="337" spans="2:14">
      <c r="B337" s="92" t="s">
        <v>138</v>
      </c>
      <c r="C337" s="91" t="s">
        <v>2209</v>
      </c>
      <c r="D337" s="93">
        <v>302.5</v>
      </c>
      <c r="E337" s="93">
        <v>160</v>
      </c>
      <c r="F337" s="103">
        <f>IFERROR(INDEX(Tabella951[PLZ],MATCH(Tabella848[[#This Row],[Colonna2]],Tabella951[Ortschaftsname],0)), "Name not found")</f>
        <v>3627</v>
      </c>
      <c r="K337" s="2"/>
      <c r="L337" s="4">
        <v>312300</v>
      </c>
      <c r="M337" s="4">
        <v>71989</v>
      </c>
      <c r="N337" s="39">
        <v>0.28249999999999997</v>
      </c>
    </row>
    <row r="338" spans="2:14">
      <c r="B338" s="92" t="s">
        <v>138</v>
      </c>
      <c r="C338" s="91" t="s">
        <v>2366</v>
      </c>
      <c r="D338" s="93">
        <v>302.5</v>
      </c>
      <c r="E338" s="93">
        <v>146</v>
      </c>
      <c r="F338" s="103">
        <f>IFERROR(INDEX(Tabella951[PLZ],MATCH(Tabella848[[#This Row],[Colonna2]],Tabella951[Ortschaftsname],0)), "Name not found")</f>
        <v>3373</v>
      </c>
      <c r="K338" s="2"/>
      <c r="L338" s="4"/>
      <c r="M338" s="4"/>
      <c r="N338" s="4"/>
    </row>
    <row r="339" spans="2:14">
      <c r="B339" s="92" t="s">
        <v>138</v>
      </c>
      <c r="C339" s="91" t="s">
        <v>2324</v>
      </c>
      <c r="D339" s="93">
        <v>302.5</v>
      </c>
      <c r="E339" s="93">
        <v>184</v>
      </c>
      <c r="F339" s="103">
        <f>IFERROR(INDEX(Tabella951[PLZ],MATCH(Tabella848[[#This Row],[Colonna2]],Tabella951[Ortschaftsname],0)), "Name not found")</f>
        <v>3412</v>
      </c>
      <c r="K339" s="2"/>
      <c r="L339" s="4"/>
      <c r="M339" s="4"/>
      <c r="N339" s="4"/>
    </row>
    <row r="340" spans="2:14">
      <c r="B340" s="92" t="s">
        <v>138</v>
      </c>
      <c r="C340" s="91" t="s">
        <v>2568</v>
      </c>
      <c r="D340" s="93">
        <v>302.5</v>
      </c>
      <c r="E340" s="93">
        <v>180</v>
      </c>
      <c r="F340" s="103">
        <f>IFERROR(INDEX(Tabella951[PLZ],MATCH(Tabella848[[#This Row],[Colonna2]],Tabella951[Ortschaftsname],0)), "Name not found")</f>
        <v>3429</v>
      </c>
      <c r="K340" s="2"/>
      <c r="L340" s="4"/>
      <c r="M340" s="4"/>
      <c r="N340" s="4"/>
    </row>
    <row r="341" spans="2:14">
      <c r="B341" s="92" t="s">
        <v>138</v>
      </c>
      <c r="C341" s="91" t="s">
        <v>2427</v>
      </c>
      <c r="D341" s="93">
        <v>302.5</v>
      </c>
      <c r="E341" s="93">
        <v>170</v>
      </c>
      <c r="F341" s="103">
        <f>IFERROR(INDEX(Tabella951[PLZ],MATCH(Tabella848[[#This Row],[Colonna2]],Tabella951[Ortschaftsname],0)), "Name not found")</f>
        <v>3671</v>
      </c>
      <c r="K341" s="2"/>
      <c r="L341" s="4"/>
      <c r="M341" s="4"/>
      <c r="N341" s="4"/>
    </row>
    <row r="342" spans="2:14">
      <c r="B342" s="92" t="s">
        <v>138</v>
      </c>
      <c r="C342" s="91" t="s">
        <v>2569</v>
      </c>
      <c r="D342" s="93">
        <v>302.5</v>
      </c>
      <c r="E342" s="93">
        <v>190</v>
      </c>
      <c r="F342" s="103">
        <f>IFERROR(INDEX(Tabella951[PLZ],MATCH(Tabella848[[#This Row],[Colonna2]],Tabella951[Ortschaftsname],0)), "Name not found")</f>
        <v>3274</v>
      </c>
      <c r="K342" s="2"/>
      <c r="L342" s="4"/>
      <c r="M342" s="4"/>
      <c r="N342" s="4"/>
    </row>
    <row r="343" spans="2:14">
      <c r="B343" s="92" t="s">
        <v>138</v>
      </c>
      <c r="C343" s="91" t="s">
        <v>2204</v>
      </c>
      <c r="D343" s="93">
        <v>302.5</v>
      </c>
      <c r="E343" s="93">
        <v>165</v>
      </c>
      <c r="F343" s="103">
        <f>IFERROR(INDEX(Tabella951[PLZ],MATCH(Tabella848[[#This Row],[Colonna2]],Tabella951[Ortschaftsname],0)), "Name not found")</f>
        <v>3360</v>
      </c>
      <c r="K343" s="2"/>
      <c r="L343" s="4"/>
      <c r="M343" s="4"/>
      <c r="N343" s="4"/>
    </row>
    <row r="344" spans="2:14">
      <c r="B344" s="92" t="s">
        <v>138</v>
      </c>
      <c r="C344" s="91" t="s">
        <v>2240</v>
      </c>
      <c r="D344" s="93">
        <v>302.5</v>
      </c>
      <c r="E344" s="93">
        <v>155</v>
      </c>
      <c r="F344" s="103">
        <f>IFERROR(INDEX(Tabella951[PLZ],MATCH(Tabella848[[#This Row],[Colonna2]],Tabella951[Ortschaftsname],0)), "Name not found")</f>
        <v>3652</v>
      </c>
      <c r="K344" s="2"/>
      <c r="L344" s="4"/>
      <c r="M344" s="4"/>
      <c r="N344" s="4"/>
    </row>
    <row r="345" spans="2:14">
      <c r="B345" s="92" t="s">
        <v>138</v>
      </c>
      <c r="C345" s="91" t="s">
        <v>2284</v>
      </c>
      <c r="D345" s="93">
        <v>302.5</v>
      </c>
      <c r="E345" s="93">
        <v>159</v>
      </c>
      <c r="F345" s="103">
        <f>IFERROR(INDEX(Tabella951[PLZ],MATCH(Tabella848[[#This Row],[Colonna2]],Tabella951[Ortschaftsname],0)), "Name not found")</f>
        <v>3324</v>
      </c>
      <c r="K345" s="2"/>
      <c r="L345" s="4"/>
      <c r="M345" s="4"/>
      <c r="N345" s="4"/>
    </row>
    <row r="346" spans="2:14">
      <c r="B346" s="92" t="s">
        <v>138</v>
      </c>
      <c r="C346" s="91" t="s">
        <v>2443</v>
      </c>
      <c r="D346" s="93">
        <v>302.5</v>
      </c>
      <c r="E346" s="93">
        <v>164</v>
      </c>
      <c r="F346" s="103">
        <v>3858</v>
      </c>
      <c r="K346" s="2"/>
      <c r="L346" s="4"/>
      <c r="M346" s="4"/>
      <c r="N346" s="4"/>
    </row>
    <row r="347" spans="2:14">
      <c r="B347" s="92" t="s">
        <v>138</v>
      </c>
      <c r="C347" s="91" t="s">
        <v>2444</v>
      </c>
      <c r="D347" s="93">
        <v>302.5</v>
      </c>
      <c r="E347" s="93">
        <v>184</v>
      </c>
      <c r="F347" s="103">
        <v>3622</v>
      </c>
      <c r="K347" s="2"/>
      <c r="L347" s="46"/>
      <c r="M347" s="46"/>
      <c r="N347" s="46"/>
    </row>
    <row r="348" spans="2:14">
      <c r="B348" s="92" t="s">
        <v>138</v>
      </c>
      <c r="C348" s="91" t="s">
        <v>2570</v>
      </c>
      <c r="D348" s="93">
        <v>302.5</v>
      </c>
      <c r="E348" s="93">
        <v>170</v>
      </c>
      <c r="F348" s="103">
        <v>3623</v>
      </c>
      <c r="K348" s="2"/>
      <c r="L348" s="46"/>
      <c r="M348" s="46"/>
      <c r="N348" s="46"/>
    </row>
    <row r="349" spans="2:14">
      <c r="B349" s="92" t="s">
        <v>138</v>
      </c>
      <c r="C349" s="91" t="s">
        <v>2224</v>
      </c>
      <c r="D349" s="93">
        <v>302.5</v>
      </c>
      <c r="E349" s="93">
        <v>165</v>
      </c>
      <c r="F349" s="103">
        <f>IFERROR(INDEX(Tabella951[PLZ],MATCH(Tabella848[[#This Row],[Colonna2]],Tabella951[Ortschaftsname],0)), "Name not found")</f>
        <v>4950</v>
      </c>
      <c r="K349" s="2"/>
      <c r="L349" s="46"/>
      <c r="M349" s="46"/>
      <c r="N349" s="46"/>
    </row>
    <row r="350" spans="2:14">
      <c r="B350" s="92" t="s">
        <v>138</v>
      </c>
      <c r="C350" s="91" t="s">
        <v>2571</v>
      </c>
      <c r="D350" s="93">
        <v>302.5</v>
      </c>
      <c r="E350" s="93">
        <v>145</v>
      </c>
      <c r="F350" s="103">
        <f>IFERROR(INDEX(Tabella951[PLZ],MATCH(Tabella848[[#This Row],[Colonna2]],Tabella951[Ortschaftsname],0)), "Name not found")</f>
        <v>3510</v>
      </c>
      <c r="K350" s="2"/>
      <c r="L350" s="36">
        <f>IF(K334&lt;$L$336,K334*N335,IF(K334&lt;$L$337,$M$336+((K334-$L$336)/100)*$N$336,IF(K334&gt;=$L$337,$M$337+((K334-$L$336)/100)*$N$337)))</f>
        <v>21000</v>
      </c>
      <c r="M350" s="2"/>
      <c r="N350" s="2"/>
    </row>
    <row r="351" spans="2:14">
      <c r="B351" s="92" t="s">
        <v>138</v>
      </c>
      <c r="C351" s="91" t="s">
        <v>2572</v>
      </c>
      <c r="D351" s="93">
        <v>302.5</v>
      </c>
      <c r="E351" s="93">
        <v>175</v>
      </c>
      <c r="F351" s="103">
        <f>IFERROR(INDEX(Tabella951[PLZ],MATCH(Tabella848[[#This Row],[Colonna2]],Tabella951[Ortschaftsname],0)), "Name not found")</f>
        <v>3429</v>
      </c>
    </row>
    <row r="352" spans="2:14">
      <c r="B352" s="92" t="s">
        <v>138</v>
      </c>
      <c r="C352" s="91" t="s">
        <v>2462</v>
      </c>
      <c r="D352" s="93">
        <v>302.5</v>
      </c>
      <c r="E352" s="93">
        <v>150</v>
      </c>
      <c r="F352" s="103">
        <f>IFERROR(INDEX(Tabella951[PLZ],MATCH(Tabella848[[#This Row],[Colonna2]],Tabella951[Ortschaftsname],0)), "Name not found")</f>
        <v>3305</v>
      </c>
      <c r="K352" s="68" t="s">
        <v>2573</v>
      </c>
      <c r="L352" s="21" t="s">
        <v>82</v>
      </c>
      <c r="M352" s="21" t="s">
        <v>2511</v>
      </c>
      <c r="N352" s="21" t="s">
        <v>90</v>
      </c>
    </row>
    <row r="353" spans="2:14">
      <c r="B353" s="92" t="s">
        <v>138</v>
      </c>
      <c r="C353" s="91" t="s">
        <v>2424</v>
      </c>
      <c r="D353" s="93">
        <v>302.5</v>
      </c>
      <c r="E353" s="93">
        <v>175</v>
      </c>
      <c r="F353" s="103">
        <f>IFERROR(INDEX(Tabella951[PLZ],MATCH(Tabella848[[#This Row],[Colonna2]],Tabella951[Ortschaftsname],0)), "Name not found")</f>
        <v>3375</v>
      </c>
      <c r="K353" s="94">
        <v>100000</v>
      </c>
      <c r="L353" s="11" t="s">
        <v>2512</v>
      </c>
      <c r="M353" s="11" t="s">
        <v>2525</v>
      </c>
      <c r="N353" s="11"/>
    </row>
    <row r="354" spans="2:14">
      <c r="B354" s="92" t="s">
        <v>138</v>
      </c>
      <c r="C354" s="91" t="s">
        <v>2371</v>
      </c>
      <c r="D354" s="93">
        <v>302.5</v>
      </c>
      <c r="E354" s="93">
        <v>160</v>
      </c>
      <c r="F354" s="103">
        <f>IFERROR(INDEX(Tabella951[PLZ],MATCH(Tabella848[[#This Row],[Colonna2]],Tabella951[Ortschaftsname],0)), "Name not found")</f>
        <v>3862</v>
      </c>
      <c r="K354" s="26"/>
      <c r="L354" s="4">
        <v>0</v>
      </c>
      <c r="M354" s="39">
        <v>0.01</v>
      </c>
      <c r="N354" s="4"/>
    </row>
    <row r="355" spans="2:14">
      <c r="B355" s="92" t="s">
        <v>138</v>
      </c>
      <c r="C355" s="91" t="s">
        <v>2252</v>
      </c>
      <c r="D355" s="93">
        <v>302.5</v>
      </c>
      <c r="E355" s="93">
        <v>163</v>
      </c>
      <c r="F355" s="103">
        <f>IFERROR(INDEX(Tabella951[PLZ],MATCH(Tabella848[[#This Row],[Colonna2]],Tabella951[Ortschaftsname],0)), "Name not found")</f>
        <v>3232</v>
      </c>
      <c r="K355" s="2"/>
      <c r="L355" s="4">
        <v>5200</v>
      </c>
      <c r="M355" s="39">
        <v>0.01</v>
      </c>
      <c r="N355" s="4"/>
    </row>
    <row r="356" spans="2:14">
      <c r="B356" s="92" t="s">
        <v>138</v>
      </c>
      <c r="C356" s="91" t="s">
        <v>2216</v>
      </c>
      <c r="D356" s="93">
        <v>302.5</v>
      </c>
      <c r="E356" s="93">
        <v>167</v>
      </c>
      <c r="F356" s="103">
        <f>IFERROR(INDEX(Tabella951[PLZ],MATCH(Tabella848[[#This Row],[Colonna2]],Tabella951[Ortschaftsname],0)), "Name not found")</f>
        <v>3800</v>
      </c>
      <c r="K356" s="2"/>
      <c r="L356" s="4">
        <v>17500</v>
      </c>
      <c r="M356" s="39">
        <v>4.1700000000000001E-2</v>
      </c>
      <c r="N356" s="4"/>
    </row>
    <row r="357" spans="2:14">
      <c r="B357" s="92" t="s">
        <v>138</v>
      </c>
      <c r="C357" s="91" t="s">
        <v>2244</v>
      </c>
      <c r="D357" s="93">
        <v>302.5</v>
      </c>
      <c r="E357" s="93">
        <v>159</v>
      </c>
      <c r="F357" s="103">
        <f>IFERROR(INDEX(Tabella951[PLZ],MATCH(Tabella848[[#This Row],[Colonna2]],Tabella951[Ortschaftsname],0)), "Name not found")</f>
        <v>2563</v>
      </c>
      <c r="K357" s="2"/>
      <c r="L357" s="4">
        <v>31400</v>
      </c>
      <c r="M357" s="39">
        <v>6.2100000000000002E-2</v>
      </c>
      <c r="N357" s="4"/>
    </row>
    <row r="358" spans="2:14">
      <c r="B358" s="92" t="s">
        <v>138</v>
      </c>
      <c r="C358" s="91" t="s">
        <v>2463</v>
      </c>
      <c r="D358" s="93">
        <v>302.5</v>
      </c>
      <c r="E358" s="93">
        <v>185</v>
      </c>
      <c r="F358" s="103">
        <f>IFERROR(INDEX(Tabella951[PLZ],MATCH(Tabella848[[#This Row],[Colonna2]],Tabella951[Ortschaftsname],0)), "Name not found")</f>
        <v>3807</v>
      </c>
      <c r="K358" s="2"/>
      <c r="L358" s="4">
        <v>48300</v>
      </c>
      <c r="M358" s="39">
        <v>8.0399999999999999E-2</v>
      </c>
      <c r="N358" s="4"/>
    </row>
    <row r="359" spans="2:14">
      <c r="B359" s="92" t="s">
        <v>138</v>
      </c>
      <c r="C359" s="91" t="s">
        <v>2198</v>
      </c>
      <c r="D359" s="93">
        <v>302.5</v>
      </c>
      <c r="E359" s="93">
        <v>112.99999999999999</v>
      </c>
      <c r="F359" s="103">
        <f>IFERROR(INDEX(Tabella951[PLZ],MATCH(Tabella848[[#This Row],[Colonna2]],Tabella951[Ortschaftsname],0)), "Name not found")</f>
        <v>3063</v>
      </c>
      <c r="K359" s="2"/>
      <c r="L359" s="4">
        <v>63800</v>
      </c>
      <c r="M359" s="39">
        <v>9.0999999999999998E-2</v>
      </c>
      <c r="N359" s="4"/>
    </row>
    <row r="360" spans="2:14">
      <c r="B360" s="92" t="s">
        <v>138</v>
      </c>
      <c r="C360" s="91" t="s">
        <v>2574</v>
      </c>
      <c r="D360" s="93">
        <v>302.5</v>
      </c>
      <c r="E360" s="93">
        <v>149</v>
      </c>
      <c r="F360" s="103">
        <f>IFERROR(INDEX(Tabella951[PLZ],MATCH(Tabella848[[#This Row],[Colonna2]],Tabella951[Ortschaftsname],0)), "Name not found")</f>
        <v>3629</v>
      </c>
      <c r="K360" s="2"/>
      <c r="L360" s="4">
        <v>77600</v>
      </c>
      <c r="M360" s="39">
        <v>9.98E-2</v>
      </c>
      <c r="N360" s="4"/>
    </row>
    <row r="361" spans="2:14">
      <c r="B361" s="92" t="s">
        <v>138</v>
      </c>
      <c r="C361" s="91" t="s">
        <v>2215</v>
      </c>
      <c r="D361" s="93">
        <v>302.5</v>
      </c>
      <c r="E361" s="93">
        <v>153</v>
      </c>
      <c r="F361" s="103">
        <f>IFERROR(INDEX(Tabella951[PLZ],MATCH(Tabella848[[#This Row],[Colonna2]],Tabella951[Ortschaftsname],0)), "Name not found")</f>
        <v>3303</v>
      </c>
      <c r="K361" s="2"/>
      <c r="L361" s="4">
        <v>102100</v>
      </c>
      <c r="M361" s="39">
        <v>0.1087</v>
      </c>
      <c r="N361" s="4"/>
    </row>
    <row r="362" spans="2:14">
      <c r="B362" s="92" t="s">
        <v>138</v>
      </c>
      <c r="C362" s="91" t="s">
        <v>2415</v>
      </c>
      <c r="D362" s="93">
        <v>302.5</v>
      </c>
      <c r="E362" s="93">
        <v>190</v>
      </c>
      <c r="F362" s="103">
        <f>IFERROR(INDEX(Tabella951[PLZ],MATCH(Tabella848[[#This Row],[Colonna2]],Tabella951[Ortschaftsname],0)), "Name not found")</f>
        <v>2565</v>
      </c>
      <c r="K362" s="2"/>
      <c r="L362" s="4">
        <v>128700</v>
      </c>
      <c r="M362" s="39">
        <v>0.1172</v>
      </c>
      <c r="N362" s="4"/>
    </row>
    <row r="363" spans="2:14">
      <c r="B363" s="92" t="s">
        <v>138</v>
      </c>
      <c r="C363" s="91" t="s">
        <v>2300</v>
      </c>
      <c r="D363" s="93">
        <v>302.5</v>
      </c>
      <c r="E363" s="93">
        <v>145</v>
      </c>
      <c r="F363" s="103">
        <f>IFERROR(INDEX(Tabella951[PLZ],MATCH(Tabella848[[#This Row],[Colonna2]],Tabella951[Ortschaftsname],0)), "Name not found")</f>
        <v>3283</v>
      </c>
      <c r="K363" s="2"/>
      <c r="L363" s="4">
        <v>156000</v>
      </c>
      <c r="M363" s="39">
        <v>0.12540000000000001</v>
      </c>
      <c r="N363" s="4"/>
    </row>
    <row r="364" spans="2:14">
      <c r="B364" s="92" t="s">
        <v>138</v>
      </c>
      <c r="C364" s="91" t="s">
        <v>2404</v>
      </c>
      <c r="D364" s="93">
        <v>302.5</v>
      </c>
      <c r="E364" s="93">
        <v>185</v>
      </c>
      <c r="F364" s="103">
        <f>IFERROR(INDEX(Tabella951[PLZ],MATCH(Tabella848[[#This Row],[Colonna2]],Tabella951[Ortschaftsname],0)), "Name not found")</f>
        <v>3716</v>
      </c>
      <c r="K364" s="2"/>
      <c r="L364" s="4">
        <v>181000</v>
      </c>
      <c r="M364" s="39">
        <v>0.13109999999999999</v>
      </c>
      <c r="N364" s="4"/>
    </row>
    <row r="365" spans="2:14">
      <c r="B365" s="92" t="s">
        <v>138</v>
      </c>
      <c r="C365" s="91" t="s">
        <v>2346</v>
      </c>
      <c r="D365" s="93">
        <v>302.5</v>
      </c>
      <c r="E365" s="93">
        <v>180</v>
      </c>
      <c r="F365" s="103">
        <f>IFERROR(INDEX(Tabella951[PLZ],MATCH(Tabella848[[#This Row],[Colonna2]],Tabella951[Ortschaftsname],0)), "Name not found")</f>
        <v>3718</v>
      </c>
      <c r="K365" s="2"/>
      <c r="L365" s="4">
        <v>207100</v>
      </c>
      <c r="M365" s="39">
        <v>0.13500000000000001</v>
      </c>
      <c r="N365" s="4"/>
    </row>
    <row r="366" spans="2:14">
      <c r="B366" s="92" t="s">
        <v>138</v>
      </c>
      <c r="C366" s="91" t="s">
        <v>2575</v>
      </c>
      <c r="D366" s="93">
        <v>302.5</v>
      </c>
      <c r="E366" s="93">
        <v>160</v>
      </c>
      <c r="F366" s="103">
        <f>IFERROR(INDEX(Tabella951[PLZ],MATCH(Tabella848[[#This Row],[Colonna2]],Tabella951[Ortschaftsname],0)), "Name not found")</f>
        <v>3273</v>
      </c>
      <c r="K366" s="2"/>
      <c r="L366" s="4"/>
      <c r="M366" s="39"/>
      <c r="N366" s="46"/>
    </row>
    <row r="367" spans="2:14">
      <c r="B367" s="92" t="s">
        <v>138</v>
      </c>
      <c r="C367" s="91" t="s">
        <v>2369</v>
      </c>
      <c r="D367" s="93">
        <v>302.5</v>
      </c>
      <c r="E367" s="93">
        <v>188</v>
      </c>
      <c r="F367" s="103">
        <f>IFERROR(INDEX(Tabella951[PLZ],MATCH(Tabella848[[#This Row],[Colonna2]],Tabella951[Ortschaftsname],0)), "Name not found")</f>
        <v>3126</v>
      </c>
      <c r="K367" s="2"/>
      <c r="L367" s="4"/>
      <c r="M367" s="39"/>
      <c r="N367" s="46"/>
    </row>
    <row r="368" spans="2:14">
      <c r="B368" s="92" t="s">
        <v>138</v>
      </c>
      <c r="C368" s="91" t="s">
        <v>2235</v>
      </c>
      <c r="D368" s="93">
        <v>302.5</v>
      </c>
      <c r="E368" s="93">
        <v>164</v>
      </c>
      <c r="F368" s="103">
        <f>IFERROR(INDEX(Tabella951[PLZ],MATCH(Tabella848[[#This Row],[Colonna2]],Tabella951[Ortschaftsname],0)), "Name not found")</f>
        <v>3122</v>
      </c>
      <c r="K368" s="2"/>
      <c r="L368" s="4"/>
      <c r="M368" s="39"/>
      <c r="N368" s="46"/>
    </row>
    <row r="369" spans="2:14">
      <c r="B369" s="92" t="s">
        <v>138</v>
      </c>
      <c r="C369" s="91" t="s">
        <v>2442</v>
      </c>
      <c r="D369" s="93">
        <v>302.5</v>
      </c>
      <c r="E369" s="93">
        <v>150</v>
      </c>
      <c r="F369" s="103">
        <f>IFERROR(INDEX(Tabella951[PLZ],MATCH(Tabella848[[#This Row],[Colonna2]],Tabella951[Ortschaftsname],0)), "Name not found")</f>
        <v>3309</v>
      </c>
      <c r="K369" s="2"/>
      <c r="L369" s="4"/>
      <c r="M369" s="39"/>
      <c r="N369" s="2"/>
    </row>
    <row r="370" spans="2:14">
      <c r="B370" s="92" t="s">
        <v>138</v>
      </c>
      <c r="C370" s="91" t="s">
        <v>2378</v>
      </c>
      <c r="D370" s="93">
        <v>302.5</v>
      </c>
      <c r="E370" s="93">
        <v>154</v>
      </c>
      <c r="F370" s="103">
        <f>IFERROR(INDEX(Tabella951[PLZ],MATCH(Tabella848[[#This Row],[Colonna2]],Tabella951[Ortschaftsname],0)), "Name not found")</f>
        <v>3629</v>
      </c>
      <c r="K370" s="2"/>
      <c r="L370" s="4"/>
      <c r="M370" s="39"/>
      <c r="N370" s="2"/>
    </row>
    <row r="371" spans="2:14">
      <c r="B371" s="92" t="s">
        <v>138</v>
      </c>
      <c r="C371" s="91" t="s">
        <v>2213</v>
      </c>
      <c r="D371" s="93">
        <v>302.5</v>
      </c>
      <c r="E371" s="93">
        <v>159</v>
      </c>
      <c r="F371" s="103">
        <v>3422</v>
      </c>
      <c r="K371" s="2"/>
      <c r="L371" s="4"/>
      <c r="M371" s="39"/>
      <c r="N371" s="2"/>
    </row>
    <row r="372" spans="2:14">
      <c r="B372" s="92" t="s">
        <v>138</v>
      </c>
      <c r="C372" s="91" t="s">
        <v>2312</v>
      </c>
      <c r="D372" s="93">
        <v>302.5</v>
      </c>
      <c r="E372" s="93">
        <v>151</v>
      </c>
      <c r="F372" s="103">
        <v>3116</v>
      </c>
      <c r="K372" s="2"/>
      <c r="L372" s="36">
        <f>IF(K353&lt;$L$355,K353*$M$354,IF(K353&lt;$L$356,K353*$M$355,IF(K353&lt;$L$357,K353*$M$356,IF(K353&lt;$L$358,K353*$M$357,IF(K353&lt;$L$359,K353*$M$358,IF(K353&lt;$L$360,K353*$M$359,IF(K353&lt;$L$361,K353*$M$360,IF(K353&lt;$L$362,K353*$M$361,IF(K353&lt;$L$363,K353*$M$362,IF(K353&lt;$L$364,K353*$M$363,IF(K353&lt;$L$365,K353*$M$364,IF(K353&gt;$L$365,K353*$M$365))))))))))))</f>
        <v>9980</v>
      </c>
      <c r="M372" s="2"/>
      <c r="N372" s="2"/>
    </row>
    <row r="373" spans="2:14">
      <c r="B373" s="92" t="s">
        <v>138</v>
      </c>
      <c r="C373" s="91" t="s">
        <v>2267</v>
      </c>
      <c r="D373" s="93">
        <v>302.5</v>
      </c>
      <c r="E373" s="93">
        <v>150</v>
      </c>
      <c r="F373" s="103">
        <f>IFERROR(INDEX(Tabella951[PLZ],MATCH(Tabella848[[#This Row],[Colonna2]],Tabella951[Ortschaftsname],0)), "Name not found")</f>
        <v>3038</v>
      </c>
    </row>
    <row r="374" spans="2:14">
      <c r="B374" s="92" t="s">
        <v>138</v>
      </c>
      <c r="C374" s="91" t="s">
        <v>2218</v>
      </c>
      <c r="D374" s="93">
        <v>302.5</v>
      </c>
      <c r="E374" s="93">
        <v>159</v>
      </c>
      <c r="F374" s="103">
        <f>IFERROR(INDEX(Tabella951[PLZ],MATCH(Tabella848[[#This Row],[Colonna2]],Tabella951[Ortschaftsname],0)), "Name not found")</f>
        <v>3510</v>
      </c>
      <c r="K374" s="68" t="s">
        <v>2576</v>
      </c>
      <c r="L374" s="21" t="s">
        <v>82</v>
      </c>
      <c r="M374" s="21" t="s">
        <v>2511</v>
      </c>
      <c r="N374" s="21" t="s">
        <v>90</v>
      </c>
    </row>
    <row r="375" spans="2:14">
      <c r="B375" s="92" t="s">
        <v>138</v>
      </c>
      <c r="C375" s="91" t="s">
        <v>2303</v>
      </c>
      <c r="D375" s="93">
        <v>302.5</v>
      </c>
      <c r="E375" s="93">
        <v>165</v>
      </c>
      <c r="F375" s="103">
        <f>IFERROR(INDEX(Tabella951[PLZ],MATCH(Tabella848[[#This Row],[Colonna2]],Tabella951[Ortschaftsname],0)), "Name not found")</f>
        <v>3425</v>
      </c>
      <c r="K375" s="94">
        <v>100000</v>
      </c>
      <c r="L375" s="11" t="s">
        <v>2512</v>
      </c>
      <c r="M375" s="11" t="s">
        <v>2513</v>
      </c>
      <c r="N375" s="11" t="s">
        <v>2514</v>
      </c>
    </row>
    <row r="376" spans="2:14">
      <c r="B376" s="92" t="s">
        <v>138</v>
      </c>
      <c r="C376" s="91" t="s">
        <v>2364</v>
      </c>
      <c r="D376" s="93">
        <v>302.5</v>
      </c>
      <c r="E376" s="93">
        <v>170</v>
      </c>
      <c r="F376" s="103">
        <f>IFERROR(INDEX(Tabella951[PLZ],MATCH(Tabella848[[#This Row],[Colonna2]],Tabella951[Ortschaftsname],0)), "Name not found")</f>
        <v>3704</v>
      </c>
      <c r="K376" s="26"/>
      <c r="L376" s="4">
        <v>0</v>
      </c>
      <c r="M376" s="4">
        <v>0</v>
      </c>
      <c r="N376" s="4">
        <v>0</v>
      </c>
    </row>
    <row r="377" spans="2:14">
      <c r="B377" s="92" t="s">
        <v>138</v>
      </c>
      <c r="C377" s="91" t="s">
        <v>2294</v>
      </c>
      <c r="D377" s="93">
        <v>302.5</v>
      </c>
      <c r="E377" s="93">
        <v>179</v>
      </c>
      <c r="F377" s="103">
        <f>IFERROR(INDEX(Tabella951[PLZ],MATCH(Tabella848[[#This Row],[Colonna2]],Tabella951[Ortschaftsname],0)), "Name not found")</f>
        <v>3326</v>
      </c>
      <c r="K377" s="2"/>
      <c r="L377" s="4">
        <v>10200</v>
      </c>
      <c r="M377" s="4">
        <v>0</v>
      </c>
      <c r="N377" s="4">
        <v>8</v>
      </c>
    </row>
    <row r="378" spans="2:14">
      <c r="B378" s="92" t="s">
        <v>138</v>
      </c>
      <c r="C378" s="91" t="s">
        <v>2467</v>
      </c>
      <c r="D378" s="93">
        <v>302.5</v>
      </c>
      <c r="E378" s="93">
        <v>179</v>
      </c>
      <c r="F378" s="103">
        <f>IFERROR(INDEX(Tabella951[PLZ],MATCH(Tabella848[[#This Row],[Colonna2]],Tabella951[Ortschaftsname],0)), "Name not found")</f>
        <v>3179</v>
      </c>
      <c r="K378" s="2"/>
      <c r="L378" s="4">
        <v>20400</v>
      </c>
      <c r="M378" s="4">
        <v>816</v>
      </c>
      <c r="N378" s="4">
        <v>11</v>
      </c>
    </row>
    <row r="379" spans="2:14">
      <c r="B379" s="92" t="s">
        <v>138</v>
      </c>
      <c r="C379" s="91" t="s">
        <v>2188</v>
      </c>
      <c r="D379" s="93">
        <v>302.5</v>
      </c>
      <c r="E379" s="93">
        <v>158</v>
      </c>
      <c r="F379" s="103">
        <f>IFERROR(INDEX(Tabella951[PLZ],MATCH(Tabella848[[#This Row],[Colonna2]],Tabella951[Ortschaftsname],0)), "Name not found")</f>
        <v>3098</v>
      </c>
      <c r="K379" s="2"/>
      <c r="L379" s="4">
        <v>30500</v>
      </c>
      <c r="M379" s="4">
        <v>1932</v>
      </c>
      <c r="N379" s="4">
        <v>13</v>
      </c>
    </row>
    <row r="380" spans="2:14">
      <c r="B380" s="92" t="s">
        <v>138</v>
      </c>
      <c r="C380" s="91" t="s">
        <v>2441</v>
      </c>
      <c r="D380" s="93">
        <v>302.5</v>
      </c>
      <c r="E380" s="93">
        <v>194</v>
      </c>
      <c r="F380" s="103">
        <f>IFERROR(INDEX(Tabella951[PLZ],MATCH(Tabella848[[#This Row],[Colonna2]],Tabella951[Ortschaftsname],0)), "Name not found")</f>
        <v>2333</v>
      </c>
      <c r="K380" s="2"/>
      <c r="L380" s="4">
        <v>50900</v>
      </c>
      <c r="M380" s="4">
        <v>4581</v>
      </c>
      <c r="N380" s="4">
        <v>15</v>
      </c>
    </row>
    <row r="381" spans="2:14">
      <c r="B381" s="92" t="s">
        <v>138</v>
      </c>
      <c r="C381" s="91" t="s">
        <v>2247</v>
      </c>
      <c r="D381" s="93">
        <v>302.5</v>
      </c>
      <c r="E381" s="93">
        <v>165</v>
      </c>
      <c r="F381" s="103">
        <f>IFERROR(INDEX(Tabella951[PLZ],MATCH(Tabella848[[#This Row],[Colonna2]],Tabella951[Ortschaftsname],0)), "Name not found")</f>
        <v>2520</v>
      </c>
      <c r="K381" s="2"/>
      <c r="L381" s="4">
        <v>101800</v>
      </c>
      <c r="M381" s="4">
        <v>12216</v>
      </c>
      <c r="N381" s="4">
        <v>16</v>
      </c>
    </row>
    <row r="382" spans="2:14">
      <c r="B382" s="92" t="s">
        <v>138</v>
      </c>
      <c r="C382" s="91" t="s">
        <v>2420</v>
      </c>
      <c r="D382" s="93">
        <v>302.5</v>
      </c>
      <c r="E382" s="93">
        <v>185</v>
      </c>
      <c r="F382" s="103">
        <f>IFERROR(INDEX(Tabella951[PLZ],MATCH(Tabella848[[#This Row],[Colonna2]],Tabella951[Ortschaftsname],0)), "Name not found")</f>
        <v>3434</v>
      </c>
      <c r="K382" s="2"/>
      <c r="L382" s="4">
        <v>152600</v>
      </c>
      <c r="M382" s="4">
        <v>20347</v>
      </c>
      <c r="N382" s="4">
        <v>17.5</v>
      </c>
    </row>
    <row r="383" spans="2:14">
      <c r="B383" s="92" t="s">
        <v>138</v>
      </c>
      <c r="C383" s="91" t="s">
        <v>1591</v>
      </c>
      <c r="D383" s="93">
        <v>302.5</v>
      </c>
      <c r="E383" s="93">
        <v>144</v>
      </c>
      <c r="F383" s="103">
        <f>IFERROR(INDEX(Tabella951[PLZ],MATCH(Tabella848[[#This Row],[Colonna2]],Tabella951[Ortschaftsname],0)), "Name not found")</f>
        <v>4900</v>
      </c>
      <c r="K383" s="2"/>
      <c r="L383" s="4">
        <v>254400</v>
      </c>
      <c r="M383" s="4">
        <v>38160</v>
      </c>
      <c r="N383" s="4">
        <v>19</v>
      </c>
    </row>
    <row r="384" spans="2:14">
      <c r="B384" s="92" t="s">
        <v>138</v>
      </c>
      <c r="C384" s="91" t="s">
        <v>2201</v>
      </c>
      <c r="D384" s="93">
        <v>302.5</v>
      </c>
      <c r="E384" s="93">
        <v>194</v>
      </c>
      <c r="F384" s="103">
        <f>IFERROR(INDEX(Tabella951[PLZ],MATCH(Tabella848[[#This Row],[Colonna2]],Tabella951[Ortschaftsname],0)), "Name not found")</f>
        <v>3550</v>
      </c>
      <c r="K384" s="2"/>
      <c r="L384" s="4">
        <v>407000</v>
      </c>
      <c r="M384" s="4">
        <v>67155</v>
      </c>
      <c r="N384" s="4">
        <v>21</v>
      </c>
    </row>
    <row r="385" spans="2:14">
      <c r="B385" s="92" t="s">
        <v>138</v>
      </c>
      <c r="C385" s="91" t="s">
        <v>2398</v>
      </c>
      <c r="D385" s="93">
        <v>302.5</v>
      </c>
      <c r="E385" s="93">
        <v>170</v>
      </c>
      <c r="F385" s="103">
        <v>3782</v>
      </c>
      <c r="K385" s="2"/>
      <c r="L385" s="4">
        <v>457900</v>
      </c>
      <c r="M385" s="4">
        <v>77843</v>
      </c>
      <c r="N385" s="4">
        <v>17</v>
      </c>
    </row>
    <row r="386" spans="2:14">
      <c r="B386" s="92" t="s">
        <v>138</v>
      </c>
      <c r="C386" s="91" t="s">
        <v>2264</v>
      </c>
      <c r="D386" s="93">
        <v>302.5</v>
      </c>
      <c r="E386" s="93">
        <v>174</v>
      </c>
      <c r="F386" s="103">
        <v>3177</v>
      </c>
      <c r="K386" s="2"/>
      <c r="L386" s="4"/>
      <c r="M386" s="4"/>
      <c r="N386" s="4"/>
    </row>
    <row r="387" spans="2:14">
      <c r="B387" s="92" t="s">
        <v>138</v>
      </c>
      <c r="C387" s="91" t="s">
        <v>2279</v>
      </c>
      <c r="D387" s="93">
        <v>302.5</v>
      </c>
      <c r="E387" s="93">
        <v>185</v>
      </c>
      <c r="F387" s="103">
        <f>IFERROR(INDEX(Tabella951[PLZ],MATCH(Tabella848[[#This Row],[Colonna2]],Tabella951[Ortschaftsname],0)), "Name not found")</f>
        <v>3438</v>
      </c>
      <c r="K387" s="2"/>
      <c r="L387" s="4"/>
      <c r="M387" s="4"/>
      <c r="N387" s="4"/>
    </row>
    <row r="388" spans="2:14">
      <c r="B388" s="92" t="s">
        <v>138</v>
      </c>
      <c r="C388" s="91" t="s">
        <v>2292</v>
      </c>
      <c r="D388" s="93">
        <v>302.5</v>
      </c>
      <c r="E388" s="93">
        <v>184</v>
      </c>
      <c r="F388" s="103">
        <f>IFERROR(INDEX(Tabella951[PLZ],MATCH(Tabella848[[#This Row],[Colonna2]],Tabella951[Ortschaftsname],0)), "Name not found")</f>
        <v>3822</v>
      </c>
      <c r="K388" s="2"/>
      <c r="L388" s="46"/>
      <c r="M388" s="46"/>
      <c r="N388" s="46"/>
    </row>
    <row r="389" spans="2:14">
      <c r="B389" s="92" t="s">
        <v>138</v>
      </c>
      <c r="C389" s="91" t="s">
        <v>2370</v>
      </c>
      <c r="D389" s="93">
        <v>302.5</v>
      </c>
      <c r="E389" s="93">
        <v>190</v>
      </c>
      <c r="F389" s="103">
        <f>IFERROR(INDEX(Tabella951[PLZ],MATCH(Tabella848[[#This Row],[Colonna2]],Tabella951[Ortschaftsname],0)), "Name not found")</f>
        <v>3706</v>
      </c>
      <c r="K389" s="2"/>
      <c r="L389" s="46"/>
      <c r="M389" s="46"/>
      <c r="N389" s="46"/>
    </row>
    <row r="390" spans="2:14">
      <c r="B390" s="92" t="s">
        <v>138</v>
      </c>
      <c r="C390" s="91" t="s">
        <v>2220</v>
      </c>
      <c r="D390" s="93">
        <v>302.5</v>
      </c>
      <c r="E390" s="93">
        <v>154</v>
      </c>
      <c r="F390" s="103">
        <v>2543</v>
      </c>
      <c r="K390" s="2"/>
      <c r="L390" s="46"/>
      <c r="M390" s="46"/>
      <c r="N390" s="46"/>
    </row>
    <row r="391" spans="2:14">
      <c r="B391" s="92" t="s">
        <v>138</v>
      </c>
      <c r="C391" s="91" t="s">
        <v>2293</v>
      </c>
      <c r="D391" s="93">
        <v>302.5</v>
      </c>
      <c r="E391" s="93">
        <v>179</v>
      </c>
      <c r="F391" s="103">
        <v>3775</v>
      </c>
      <c r="K391" s="2"/>
      <c r="L391" s="46"/>
      <c r="M391" s="4"/>
      <c r="N391" s="4"/>
    </row>
    <row r="392" spans="2:14">
      <c r="B392" s="92" t="s">
        <v>138</v>
      </c>
      <c r="C392" s="91" t="s">
        <v>2350</v>
      </c>
      <c r="D392" s="93">
        <v>302.5</v>
      </c>
      <c r="E392" s="93">
        <v>179</v>
      </c>
      <c r="F392" s="103">
        <f>IFERROR(INDEX(Tabella951[PLZ],MATCH(Tabella848[[#This Row],[Colonna2]],Tabella951[Ortschaftsname],0)), "Name not found")</f>
        <v>3297</v>
      </c>
      <c r="K392" s="2"/>
      <c r="L392" s="46"/>
      <c r="M392" s="46"/>
      <c r="N392" s="46"/>
    </row>
    <row r="393" spans="2:14">
      <c r="B393" s="92" t="s">
        <v>138</v>
      </c>
      <c r="C393" s="91" t="s">
        <v>2434</v>
      </c>
      <c r="D393" s="93">
        <v>302.5</v>
      </c>
      <c r="E393" s="93">
        <v>168</v>
      </c>
      <c r="F393" s="103">
        <f>IFERROR(INDEX(Tabella951[PLZ],MATCH(Tabella848[[#This Row],[Colonna2]],Tabella951[Ortschaftsname],0)), "Name not found")</f>
        <v>2514</v>
      </c>
      <c r="K393" s="2"/>
      <c r="L393" s="46"/>
      <c r="M393" s="46"/>
      <c r="N393" s="46"/>
    </row>
    <row r="394" spans="2:14">
      <c r="B394" s="92" t="s">
        <v>138</v>
      </c>
      <c r="C394" s="91" t="s">
        <v>2347</v>
      </c>
      <c r="D394" s="93">
        <v>302.5</v>
      </c>
      <c r="E394" s="93">
        <v>190</v>
      </c>
      <c r="F394" s="103">
        <f>IFERROR(INDEX(Tabella951[PLZ],MATCH(Tabella848[[#This Row],[Colonna2]],Tabella951[Ortschaftsname],0)), "Name not found")</f>
        <v>3673</v>
      </c>
      <c r="K394" s="2"/>
      <c r="L394" s="46"/>
      <c r="M394" s="46"/>
      <c r="N394" s="46"/>
    </row>
    <row r="395" spans="2:14">
      <c r="B395" s="92" t="s">
        <v>138</v>
      </c>
      <c r="C395" s="91" t="s">
        <v>2281</v>
      </c>
      <c r="D395" s="93">
        <v>302.5</v>
      </c>
      <c r="E395" s="93">
        <v>170</v>
      </c>
      <c r="F395" s="103">
        <f>IFERROR(INDEX(Tabella951[PLZ],MATCH(Tabella848[[#This Row],[Colonna2]],Tabella951[Ortschaftsname],0)), "Name not found")</f>
        <v>4932</v>
      </c>
      <c r="K395" s="2"/>
      <c r="L395" s="46"/>
      <c r="M395" s="4"/>
      <c r="N395" s="4"/>
    </row>
    <row r="396" spans="2:14">
      <c r="B396" s="92" t="s">
        <v>138</v>
      </c>
      <c r="C396" s="91" t="s">
        <v>2577</v>
      </c>
      <c r="D396" s="93">
        <v>302.5</v>
      </c>
      <c r="E396" s="93">
        <v>194</v>
      </c>
      <c r="F396" s="103">
        <f>IFERROR(INDEX(Tabella951[PLZ],MATCH(Tabella848[[#This Row],[Colonna2]],Tabella951[Ortschaftsname],0)), "Name not found")</f>
        <v>2732</v>
      </c>
      <c r="K396" s="2"/>
      <c r="L396" s="36">
        <f>IF(K375&lt;$L$377,$M$376,IF(K375&lt;$L$378,$M$377+((K375-$L$377)/100)*$N$377,IF(K375&lt;$L$379,$M$378+((K375-$L$378)/100)*$N$378,IF(K375&lt;$L$380,$M$379+((K375-$L$379)/100)*$N$379,IF(K375&lt;$L$381,$M$380+((K375-$L$380)/100)*$N$380,IF(K375&lt;$L$382,$M$381+((K375-$L$381)/100)*$N$381,IF(K375&lt;$L$383,$M$382+((K375-$L$382)/100)*$N$382,IF(K375&lt;$L$384,$M$383+((K375-$L$383)/100)*$N$383,IF(K375&lt;$L$385,$M$384+((K375-$L$384)/100)*$N$384,IF(K375&gt;=$L$385,$M$385+((K375-$L$385)/100)*$N$385))))))))))</f>
        <v>11946</v>
      </c>
      <c r="M396" s="2"/>
      <c r="N396" s="2"/>
    </row>
    <row r="397" spans="2:14">
      <c r="B397" s="92" t="s">
        <v>138</v>
      </c>
      <c r="C397" s="91" t="s">
        <v>2192</v>
      </c>
      <c r="D397" s="93">
        <v>302.5</v>
      </c>
      <c r="E397" s="93">
        <v>160</v>
      </c>
      <c r="F397" s="103">
        <f>IFERROR(INDEX(Tabella951[PLZ],MATCH(Tabella848[[#This Row],[Colonna2]],Tabella951[Ortschaftsname],0)), "Name not found")</f>
        <v>3250</v>
      </c>
    </row>
    <row r="398" spans="2:14">
      <c r="B398" s="92" t="s">
        <v>138</v>
      </c>
      <c r="C398" s="91" t="s">
        <v>2336</v>
      </c>
      <c r="D398" s="93">
        <v>302.5</v>
      </c>
      <c r="E398" s="93">
        <v>139</v>
      </c>
      <c r="F398" s="103">
        <f>IFERROR(INDEX(Tabella951[PLZ],MATCH(Tabella848[[#This Row],[Colonna2]],Tabella951[Ortschaftsname],0)), "Name not found")</f>
        <v>3421</v>
      </c>
      <c r="K398" s="68" t="s">
        <v>2578</v>
      </c>
      <c r="L398" s="21" t="s">
        <v>82</v>
      </c>
      <c r="M398" s="21" t="s">
        <v>2511</v>
      </c>
      <c r="N398" s="21" t="s">
        <v>90</v>
      </c>
    </row>
    <row r="399" spans="2:14">
      <c r="B399" s="92" t="s">
        <v>138</v>
      </c>
      <c r="C399" s="91" t="s">
        <v>2440</v>
      </c>
      <c r="D399" s="93">
        <v>302.5</v>
      </c>
      <c r="E399" s="93">
        <v>150</v>
      </c>
      <c r="F399" s="103">
        <f>IFERROR(INDEX(Tabella951[PLZ],MATCH(Tabella848[[#This Row],[Colonna2]],Tabella951[Ortschaftsname],0)), "Name not found")</f>
        <v>2576</v>
      </c>
      <c r="K399" s="94">
        <v>100000</v>
      </c>
      <c r="L399" s="11" t="s">
        <v>2512</v>
      </c>
      <c r="M399" s="11" t="s">
        <v>2525</v>
      </c>
      <c r="N399" s="11"/>
    </row>
    <row r="400" spans="2:14">
      <c r="B400" s="92" t="s">
        <v>138</v>
      </c>
      <c r="C400" s="91" t="s">
        <v>2579</v>
      </c>
      <c r="D400" s="93">
        <v>302.5</v>
      </c>
      <c r="E400" s="93">
        <v>150</v>
      </c>
      <c r="F400" s="103">
        <f>IFERROR(INDEX(Tabella951[PLZ],MATCH(Tabella848[[#This Row],[Colonna2]],Tabella951[Ortschaftsname],0)), "Name not found")</f>
        <v>3816</v>
      </c>
      <c r="K400" s="26"/>
      <c r="L400" s="4">
        <v>0</v>
      </c>
      <c r="M400" s="39">
        <v>0</v>
      </c>
      <c r="N400" s="4"/>
    </row>
    <row r="401" spans="2:14">
      <c r="B401" s="92" t="s">
        <v>138</v>
      </c>
      <c r="C401" s="91" t="s">
        <v>2238</v>
      </c>
      <c r="D401" s="93">
        <v>302.5</v>
      </c>
      <c r="E401" s="93">
        <v>174</v>
      </c>
      <c r="F401" s="103">
        <v>3432</v>
      </c>
      <c r="K401" s="2"/>
      <c r="L401" s="4">
        <v>6800</v>
      </c>
      <c r="M401" s="39">
        <v>1.67E-2</v>
      </c>
      <c r="N401" s="4"/>
    </row>
    <row r="402" spans="2:14">
      <c r="B402" s="92" t="s">
        <v>138</v>
      </c>
      <c r="C402" s="91" t="s">
        <v>2257</v>
      </c>
      <c r="D402" s="93">
        <v>302.5</v>
      </c>
      <c r="E402" s="93">
        <v>165</v>
      </c>
      <c r="F402" s="103">
        <f>IFERROR(INDEX(Tabella951[PLZ],MATCH(Tabella848[[#This Row],[Colonna2]],Tabella951[Ortschaftsname],0)), "Name not found")</f>
        <v>4934</v>
      </c>
      <c r="K402" s="2"/>
      <c r="L402" s="4">
        <f>L401+7700</f>
        <v>14500</v>
      </c>
      <c r="M402" s="39">
        <v>3.15E-2</v>
      </c>
      <c r="N402" s="4"/>
    </row>
    <row r="403" spans="2:14">
      <c r="B403" s="92" t="s">
        <v>138</v>
      </c>
      <c r="C403" s="91" t="s">
        <v>2241</v>
      </c>
      <c r="D403" s="93">
        <v>302.5</v>
      </c>
      <c r="E403" s="93">
        <v>188</v>
      </c>
      <c r="F403" s="103">
        <v>3800</v>
      </c>
      <c r="K403" s="2"/>
      <c r="L403" s="4">
        <f>L402+13800</f>
        <v>28300</v>
      </c>
      <c r="M403" s="39">
        <v>4.0300000000000002E-2</v>
      </c>
      <c r="N403" s="4"/>
    </row>
    <row r="404" spans="2:14">
      <c r="B404" s="92" t="s">
        <v>138</v>
      </c>
      <c r="C404" s="91" t="s">
        <v>2432</v>
      </c>
      <c r="D404" s="93">
        <v>302.5</v>
      </c>
      <c r="E404" s="93">
        <v>148</v>
      </c>
      <c r="F404" s="103">
        <f>IFERROR(INDEX(Tabella951[PLZ],MATCH(Tabella848[[#This Row],[Colonna2]],Tabella951[Ortschaftsname],0)), "Name not found")</f>
        <v>3322</v>
      </c>
      <c r="K404" s="2"/>
      <c r="L404" s="4">
        <f>L403+21500</f>
        <v>49800</v>
      </c>
      <c r="M404" s="39">
        <v>4.9099999999999998E-2</v>
      </c>
      <c r="N404" s="4"/>
    </row>
    <row r="405" spans="2:14">
      <c r="B405" s="92" t="s">
        <v>138</v>
      </c>
      <c r="C405" s="91" t="s">
        <v>2580</v>
      </c>
      <c r="D405" s="93">
        <v>302.5</v>
      </c>
      <c r="E405" s="93">
        <v>100</v>
      </c>
      <c r="F405" s="103">
        <f>IFERROR(INDEX(Tabella951[PLZ],MATCH(Tabella848[[#This Row],[Colonna2]],Tabella951[Ortschaftsname],0)), "Name not found")</f>
        <v>3294</v>
      </c>
      <c r="K405" s="2"/>
      <c r="L405" s="4">
        <f>L404+41600</f>
        <v>91400</v>
      </c>
      <c r="M405" s="39">
        <v>5.5599999999999997E-2</v>
      </c>
      <c r="N405" s="4"/>
    </row>
    <row r="406" spans="2:14">
      <c r="B406" s="92" t="s">
        <v>138</v>
      </c>
      <c r="C406" s="91" t="s">
        <v>2283</v>
      </c>
      <c r="D406" s="93">
        <v>302.5</v>
      </c>
      <c r="E406" s="93">
        <v>154</v>
      </c>
      <c r="F406" s="103">
        <f>IFERROR(INDEX(Tabella951[PLZ],MATCH(Tabella848[[#This Row],[Colonna2]],Tabella951[Ortschaftsname],0)), "Name not found")</f>
        <v>3045</v>
      </c>
      <c r="K406" s="2"/>
      <c r="L406" s="4">
        <f>L405+111000</f>
        <v>202400</v>
      </c>
      <c r="M406" s="39">
        <v>5.79E-2</v>
      </c>
      <c r="N406" s="4"/>
    </row>
    <row r="407" spans="2:14">
      <c r="B407" s="92" t="s">
        <v>138</v>
      </c>
      <c r="C407" s="91" t="s">
        <v>2345</v>
      </c>
      <c r="D407" s="93">
        <v>302.5</v>
      </c>
      <c r="E407" s="93">
        <v>195</v>
      </c>
      <c r="F407" s="103">
        <f>IFERROR(INDEX(Tabella951[PLZ],MATCH(Tabella848[[#This Row],[Colonna2]],Tabella951[Ortschaftsname],0)), "Name not found")</f>
        <v>2554</v>
      </c>
      <c r="K407" s="2"/>
      <c r="L407" s="4"/>
      <c r="M407" s="39"/>
      <c r="N407" s="4"/>
    </row>
    <row r="408" spans="2:14">
      <c r="B408" s="92" t="s">
        <v>138</v>
      </c>
      <c r="C408" s="91" t="s">
        <v>2227</v>
      </c>
      <c r="D408" s="93">
        <v>302.5</v>
      </c>
      <c r="E408" s="93">
        <v>194</v>
      </c>
      <c r="F408" s="103">
        <f>IFERROR(INDEX(Tabella951[PLZ],MATCH(Tabella848[[#This Row],[Colonna2]],Tabella951[Ortschaftsname],0)), "Name not found")</f>
        <v>3860</v>
      </c>
      <c r="K408" s="2"/>
      <c r="L408" s="4"/>
      <c r="M408" s="39"/>
      <c r="N408" s="4"/>
    </row>
    <row r="409" spans="2:14">
      <c r="B409" s="92" t="s">
        <v>138</v>
      </c>
      <c r="C409" s="91" t="s">
        <v>2329</v>
      </c>
      <c r="D409" s="93">
        <v>302.5</v>
      </c>
      <c r="E409" s="93">
        <v>174</v>
      </c>
      <c r="F409" s="103">
        <f>IFERROR(INDEX(Tabella951[PLZ],MATCH(Tabella848[[#This Row],[Colonna2]],Tabella951[Ortschaftsname],0)), "Name not found")</f>
        <v>4917</v>
      </c>
      <c r="K409" s="2"/>
      <c r="L409" s="4"/>
      <c r="M409" s="39"/>
      <c r="N409" s="4"/>
    </row>
    <row r="410" spans="2:14">
      <c r="B410" s="92" t="s">
        <v>138</v>
      </c>
      <c r="C410" s="91" t="s">
        <v>2581</v>
      </c>
      <c r="D410" s="93">
        <v>302.5</v>
      </c>
      <c r="E410" s="93">
        <v>145</v>
      </c>
      <c r="F410" s="103">
        <f>IFERROR(INDEX(Tabella951[PLZ],MATCH(Tabella848[[#This Row],[Colonna2]],Tabella951[Ortschaftsname],0)), "Name not found")</f>
        <v>3274</v>
      </c>
      <c r="K410" s="2"/>
      <c r="L410" s="4"/>
      <c r="M410" s="39"/>
      <c r="N410" s="4"/>
    </row>
    <row r="411" spans="2:14">
      <c r="B411" s="92" t="s">
        <v>138</v>
      </c>
      <c r="C411" s="91" t="s">
        <v>2419</v>
      </c>
      <c r="D411" s="93">
        <v>302.5</v>
      </c>
      <c r="E411" s="93">
        <v>179</v>
      </c>
      <c r="F411" s="103">
        <f>IFERROR(INDEX(Tabella951[PLZ],MATCH(Tabella848[[#This Row],[Colonna2]],Tabella951[Ortschaftsname],0)), "Name not found")</f>
        <v>3532</v>
      </c>
      <c r="K411" s="2"/>
      <c r="L411" s="4"/>
      <c r="M411" s="39"/>
      <c r="N411" s="4"/>
    </row>
    <row r="412" spans="2:14">
      <c r="B412" s="92" t="s">
        <v>138</v>
      </c>
      <c r="C412" s="91" t="s">
        <v>2582</v>
      </c>
      <c r="D412" s="93">
        <v>302.5</v>
      </c>
      <c r="E412" s="93">
        <v>194</v>
      </c>
      <c r="F412" s="103">
        <f>IFERROR(INDEX(Tabella951[PLZ],MATCH(Tabella848[[#This Row],[Colonna2]],Tabella951[Ortschaftsname],0)), "Name not found")</f>
        <v>2723</v>
      </c>
      <c r="K412" s="2"/>
      <c r="L412" s="4"/>
      <c r="M412" s="39"/>
      <c r="N412" s="46"/>
    </row>
    <row r="413" spans="2:14">
      <c r="B413" s="92" t="s">
        <v>138</v>
      </c>
      <c r="C413" s="91" t="s">
        <v>2239</v>
      </c>
      <c r="D413" s="93">
        <v>302.5</v>
      </c>
      <c r="E413" s="93">
        <v>138</v>
      </c>
      <c r="F413" s="103">
        <f>IFERROR(INDEX(Tabella951[PLZ],MATCH(Tabella848[[#This Row],[Colonna2]],Tabella951[Ortschaftsname],0)), "Name not found")</f>
        <v>3302</v>
      </c>
      <c r="K413" s="2"/>
      <c r="L413" s="4"/>
      <c r="M413" s="39"/>
      <c r="N413" s="46"/>
    </row>
    <row r="414" spans="2:14">
      <c r="B414" s="92" t="s">
        <v>138</v>
      </c>
      <c r="C414" s="91" t="s">
        <v>2203</v>
      </c>
      <c r="D414" s="93">
        <v>302.5</v>
      </c>
      <c r="E414" s="93">
        <v>194</v>
      </c>
      <c r="F414" s="103">
        <f>IFERROR(INDEX(Tabella951[PLZ],MATCH(Tabella848[[#This Row],[Colonna2]],Tabella951[Ortschaftsname],0)), "Name not found")</f>
        <v>2740</v>
      </c>
      <c r="K414" s="2"/>
      <c r="L414" s="4"/>
      <c r="M414" s="39"/>
      <c r="N414" s="46"/>
    </row>
    <row r="415" spans="2:14">
      <c r="B415" s="92" t="s">
        <v>138</v>
      </c>
      <c r="C415" s="91" t="s">
        <v>2193</v>
      </c>
      <c r="D415" s="93">
        <v>302.5</v>
      </c>
      <c r="E415" s="93">
        <v>113.99999999999999</v>
      </c>
      <c r="F415" s="103">
        <v>3074</v>
      </c>
      <c r="K415" s="2"/>
      <c r="L415" s="4"/>
      <c r="M415" s="39"/>
      <c r="N415" s="2"/>
    </row>
    <row r="416" spans="2:14">
      <c r="B416" s="92" t="s">
        <v>138</v>
      </c>
      <c r="C416" s="91" t="s">
        <v>2390</v>
      </c>
      <c r="D416" s="93">
        <v>302.5</v>
      </c>
      <c r="E416" s="93">
        <v>125</v>
      </c>
      <c r="F416" s="103">
        <f>IFERROR(INDEX(Tabella951[PLZ],MATCH(Tabella848[[#This Row],[Colonna2]],Tabella951[Ortschaftsname],0)), "Name not found")</f>
        <v>2572</v>
      </c>
      <c r="K416" s="2"/>
      <c r="L416" s="4"/>
      <c r="M416" s="39"/>
      <c r="N416" s="2"/>
    </row>
    <row r="417" spans="2:14">
      <c r="B417" s="92" t="s">
        <v>138</v>
      </c>
      <c r="C417" s="91" t="s">
        <v>2268</v>
      </c>
      <c r="D417" s="93">
        <v>302.5</v>
      </c>
      <c r="E417" s="93">
        <v>140</v>
      </c>
      <c r="F417" s="103">
        <f>IFERROR(INDEX(Tabella951[PLZ],MATCH(Tabella848[[#This Row],[Colonna2]],Tabella951[Ortschaftsname],0)), "Name not found")</f>
        <v>3203</v>
      </c>
      <c r="K417" s="2"/>
      <c r="L417" s="4"/>
      <c r="M417" s="39"/>
      <c r="N417" s="2"/>
    </row>
    <row r="418" spans="2:14">
      <c r="B418" s="92" t="s">
        <v>138</v>
      </c>
      <c r="C418" s="91" t="s">
        <v>2200</v>
      </c>
      <c r="D418" s="93">
        <v>302.5</v>
      </c>
      <c r="E418" s="93">
        <v>164</v>
      </c>
      <c r="F418" s="103">
        <f>IFERROR(INDEX(Tabella951[PLZ],MATCH(Tabella848[[#This Row],[Colonna2]],Tabella951[Ortschaftsname],0)), "Name not found")</f>
        <v>3053</v>
      </c>
      <c r="K418" s="2"/>
      <c r="L418" s="36">
        <f>IF(K399&lt;$L$401,K399*$M$400,IF(K399&lt;$L$402,K399*$M$401,IF(K399&lt;$L$403,K399*$M$402,IF(K399&lt;$L$404,K399*$M$403,IF(K399&lt;$L$405,K399*$M$404,IF(K399&lt;$L$406,K399*$M$405,IF(K399&gt;$L$406,K399*$M$406)))))))</f>
        <v>5560</v>
      </c>
      <c r="M418" s="2"/>
      <c r="N418" s="2"/>
    </row>
    <row r="419" spans="2:14">
      <c r="B419" s="92" t="s">
        <v>138</v>
      </c>
      <c r="C419" s="91" t="s">
        <v>2447</v>
      </c>
      <c r="D419" s="93">
        <v>302.5</v>
      </c>
      <c r="E419" s="93">
        <v>150</v>
      </c>
      <c r="F419" s="103">
        <f>IFERROR(INDEX(Tabella951[PLZ],MATCH(Tabella848[[#This Row],[Colonna2]],Tabella951[Ortschaftsname],0)), "Name not found")</f>
        <v>1797</v>
      </c>
    </row>
    <row r="420" spans="2:14">
      <c r="B420" s="92" t="s">
        <v>138</v>
      </c>
      <c r="C420" s="91" t="s">
        <v>2195</v>
      </c>
      <c r="D420" s="93">
        <v>302.5</v>
      </c>
      <c r="E420" s="93">
        <v>158</v>
      </c>
      <c r="F420" s="103">
        <f>IFERROR(INDEX(Tabella951[PLZ],MATCH(Tabella848[[#This Row],[Colonna2]],Tabella951[Ortschaftsname],0)), "Name not found")</f>
        <v>3110</v>
      </c>
      <c r="K420" s="68" t="s">
        <v>2583</v>
      </c>
      <c r="L420" s="21" t="s">
        <v>82</v>
      </c>
      <c r="M420" s="21" t="s">
        <v>2511</v>
      </c>
      <c r="N420" s="21" t="s">
        <v>90</v>
      </c>
    </row>
    <row r="421" spans="2:14">
      <c r="B421" s="92" t="s">
        <v>138</v>
      </c>
      <c r="C421" s="91" t="s">
        <v>2338</v>
      </c>
      <c r="D421" s="93">
        <v>302.5</v>
      </c>
      <c r="E421" s="93">
        <v>179</v>
      </c>
      <c r="F421" s="103">
        <f>IFERROR(INDEX(Tabella951[PLZ],MATCH(Tabella848[[#This Row],[Colonna2]],Tabella951[Ortschaftsname],0)), "Name not found")</f>
        <v>3225</v>
      </c>
      <c r="K421" s="94">
        <v>100000</v>
      </c>
      <c r="L421" s="11" t="s">
        <v>2512</v>
      </c>
      <c r="M421" s="11" t="s">
        <v>2513</v>
      </c>
      <c r="N421" s="11" t="s">
        <v>2514</v>
      </c>
    </row>
    <row r="422" spans="2:14">
      <c r="B422" s="92" t="s">
        <v>138</v>
      </c>
      <c r="C422" s="91" t="s">
        <v>2217</v>
      </c>
      <c r="D422" s="93">
        <v>302.5</v>
      </c>
      <c r="E422" s="93">
        <v>149</v>
      </c>
      <c r="F422" s="103">
        <f>IFERROR(INDEX(Tabella951[PLZ],MATCH(Tabella848[[#This Row],[Colonna2]],Tabella951[Ortschaftsname],0)), "Name not found")</f>
        <v>3176</v>
      </c>
      <c r="K422" s="26"/>
      <c r="L422" s="4">
        <v>0</v>
      </c>
      <c r="M422" s="4">
        <v>0</v>
      </c>
      <c r="N422" s="4">
        <v>0</v>
      </c>
    </row>
    <row r="423" spans="2:14">
      <c r="B423" s="92" t="s">
        <v>138</v>
      </c>
      <c r="C423" s="91" t="s">
        <v>2207</v>
      </c>
      <c r="D423" s="93">
        <v>302.5</v>
      </c>
      <c r="E423" s="93">
        <v>170</v>
      </c>
      <c r="F423" s="103">
        <f>IFERROR(INDEX(Tabella951[PLZ],MATCH(Tabella848[[#This Row],[Colonna2]],Tabella951[Ortschaftsname],0)), "Name not found")</f>
        <v>2560</v>
      </c>
      <c r="K423" s="2"/>
      <c r="L423" s="4">
        <v>9800</v>
      </c>
      <c r="M423" s="4">
        <v>0</v>
      </c>
      <c r="N423" s="4">
        <v>0.5</v>
      </c>
    </row>
    <row r="424" spans="2:14">
      <c r="B424" s="92" t="s">
        <v>138</v>
      </c>
      <c r="C424" s="91" t="s">
        <v>2226</v>
      </c>
      <c r="D424" s="93">
        <v>302.5</v>
      </c>
      <c r="E424" s="93">
        <v>165</v>
      </c>
      <c r="F424" s="103">
        <f>IFERROR(INDEX(Tabella951[PLZ],MATCH(Tabella848[[#This Row],[Colonna2]],Tabella951[Ortschaftsname],0)), "Name not found")</f>
        <v>4704</v>
      </c>
      <c r="K424" s="2"/>
      <c r="L424" s="4">
        <v>12200</v>
      </c>
      <c r="M424" s="4">
        <v>12</v>
      </c>
      <c r="N424" s="4">
        <v>1</v>
      </c>
    </row>
    <row r="425" spans="2:14">
      <c r="B425" s="92" t="s">
        <v>138</v>
      </c>
      <c r="C425" s="91" t="s">
        <v>2423</v>
      </c>
      <c r="D425" s="93">
        <v>302.5</v>
      </c>
      <c r="E425" s="93">
        <v>170</v>
      </c>
      <c r="F425" s="103">
        <f>IFERROR(INDEX(Tabella951[PLZ],MATCH(Tabella848[[#This Row],[Colonna2]],Tabella951[Ortschaftsname],0)), "Name not found")</f>
        <v>3504</v>
      </c>
      <c r="K425" s="2"/>
      <c r="L425" s="4">
        <v>15300</v>
      </c>
      <c r="M425" s="4">
        <v>43</v>
      </c>
      <c r="N425" s="4">
        <v>2</v>
      </c>
    </row>
    <row r="426" spans="2:14">
      <c r="B426" s="92" t="s">
        <v>138</v>
      </c>
      <c r="C426" s="91" t="s">
        <v>2448</v>
      </c>
      <c r="D426" s="93">
        <v>302.5</v>
      </c>
      <c r="E426" s="93">
        <v>179</v>
      </c>
      <c r="F426" s="103">
        <f>IFERROR(INDEX(Tabella951[PLZ],MATCH(Tabella848[[#This Row],[Colonna2]],Tabella951[Ortschaftsname],0)), "Name not found")</f>
        <v>3087</v>
      </c>
      <c r="K426" s="2"/>
      <c r="L426" s="4">
        <v>16400</v>
      </c>
      <c r="M426" s="4">
        <v>65</v>
      </c>
      <c r="N426" s="4">
        <v>3</v>
      </c>
    </row>
    <row r="427" spans="2:14">
      <c r="B427" s="92" t="s">
        <v>138</v>
      </c>
      <c r="C427" s="91" t="s">
        <v>2584</v>
      </c>
      <c r="D427" s="93">
        <v>302.5</v>
      </c>
      <c r="E427" s="93">
        <v>194</v>
      </c>
      <c r="F427" s="103">
        <v>3853</v>
      </c>
      <c r="K427" s="2"/>
      <c r="L427" s="4">
        <v>17600</v>
      </c>
      <c r="M427" s="4">
        <v>101</v>
      </c>
      <c r="N427" s="4">
        <v>4</v>
      </c>
    </row>
    <row r="428" spans="2:14">
      <c r="B428" s="92" t="s">
        <v>138</v>
      </c>
      <c r="C428" s="91" t="s">
        <v>2318</v>
      </c>
      <c r="D428" s="93">
        <v>302.5</v>
      </c>
      <c r="E428" s="93">
        <v>140</v>
      </c>
      <c r="F428" s="103">
        <f>IFERROR(INDEX(Tabella951[PLZ],MATCH(Tabella848[[#This Row],[Colonna2]],Tabella951[Ortschaftsname],0)), "Name not found")</f>
        <v>3362</v>
      </c>
      <c r="K428" s="2"/>
      <c r="L428" s="4">
        <v>20500</v>
      </c>
      <c r="M428" s="4">
        <v>217</v>
      </c>
      <c r="N428" s="4">
        <v>4.5</v>
      </c>
    </row>
    <row r="429" spans="2:14">
      <c r="B429" s="92" t="s">
        <v>138</v>
      </c>
      <c r="C429" s="91" t="s">
        <v>2406</v>
      </c>
      <c r="D429" s="93">
        <v>302.5</v>
      </c>
      <c r="E429" s="93">
        <v>164</v>
      </c>
      <c r="F429" s="103">
        <f>IFERROR(INDEX(Tabella951[PLZ],MATCH(Tabella848[[#This Row],[Colonna2]],Tabella951[Ortschaftsname],0)), "Name not found")</f>
        <v>2518</v>
      </c>
      <c r="K429" s="2"/>
      <c r="L429" s="4">
        <v>24800</v>
      </c>
      <c r="M429" s="4">
        <v>411</v>
      </c>
      <c r="N429" s="4">
        <v>5</v>
      </c>
    </row>
    <row r="430" spans="2:14">
      <c r="B430" s="92" t="s">
        <v>138</v>
      </c>
      <c r="C430" s="91" t="s">
        <v>2391</v>
      </c>
      <c r="D430" s="93">
        <v>302.5</v>
      </c>
      <c r="E430" s="93">
        <v>175</v>
      </c>
      <c r="F430" s="103">
        <f>IFERROR(INDEX(Tabella951[PLZ],MATCH(Tabella848[[#This Row],[Colonna2]],Tabella951[Ortschaftsname],0)), "Name not found")</f>
        <v>3096</v>
      </c>
      <c r="K430" s="2"/>
      <c r="L430" s="4">
        <v>108500</v>
      </c>
      <c r="M430" s="4">
        <v>4596</v>
      </c>
      <c r="N430" s="4">
        <v>5.25</v>
      </c>
    </row>
    <row r="431" spans="2:14">
      <c r="B431" s="92" t="s">
        <v>138</v>
      </c>
      <c r="C431" s="91" t="s">
        <v>2317</v>
      </c>
      <c r="D431" s="93">
        <v>302.5</v>
      </c>
      <c r="E431" s="93">
        <v>159</v>
      </c>
      <c r="F431" s="103">
        <f>IFERROR(INDEX(Tabella951[PLZ],MATCH(Tabella848[[#This Row],[Colonna2]],Tabella951[Ortschaftsname],0)), "Name not found")</f>
        <v>4538</v>
      </c>
      <c r="K431" s="2"/>
      <c r="L431" s="4">
        <v>161600</v>
      </c>
      <c r="M431" s="4">
        <v>7383</v>
      </c>
      <c r="N431" s="4">
        <v>5.5</v>
      </c>
    </row>
    <row r="432" spans="2:14">
      <c r="B432" s="92" t="s">
        <v>138</v>
      </c>
      <c r="C432" s="91" t="s">
        <v>2270</v>
      </c>
      <c r="D432" s="93">
        <v>302.5</v>
      </c>
      <c r="E432" s="93">
        <v>188</v>
      </c>
      <c r="F432" s="103">
        <f>IFERROR(INDEX(Tabella951[PLZ],MATCH(Tabella848[[#This Row],[Colonna2]],Tabella951[Ortschaftsname],0)), "Name not found")</f>
        <v>3414</v>
      </c>
      <c r="K432" s="2"/>
      <c r="L432" s="4">
        <v>187700</v>
      </c>
      <c r="M432" s="4">
        <v>8819</v>
      </c>
      <c r="N432" s="4">
        <v>5.8</v>
      </c>
    </row>
    <row r="433" spans="2:14">
      <c r="B433" s="92" t="s">
        <v>138</v>
      </c>
      <c r="C433" s="91" t="s">
        <v>2253</v>
      </c>
      <c r="D433" s="93">
        <v>302.5</v>
      </c>
      <c r="E433" s="93">
        <v>164</v>
      </c>
      <c r="F433" s="103">
        <f>IFERROR(INDEX(Tabella951[PLZ],MATCH(Tabella848[[#This Row],[Colonna2]],Tabella951[Ortschaftsname],0)), "Name not found")</f>
        <v>3672</v>
      </c>
      <c r="K433" s="2"/>
      <c r="L433" s="4">
        <v>2067800</v>
      </c>
      <c r="M433" s="4">
        <v>117865</v>
      </c>
      <c r="N433" s="4">
        <v>5.7</v>
      </c>
    </row>
    <row r="434" spans="2:14">
      <c r="B434" s="92" t="s">
        <v>138</v>
      </c>
      <c r="C434" s="91" t="s">
        <v>2288</v>
      </c>
      <c r="D434" s="93">
        <v>302.5</v>
      </c>
      <c r="E434" s="93">
        <v>159</v>
      </c>
      <c r="F434" s="103">
        <f>IFERROR(INDEX(Tabella951[PLZ],MATCH(Tabella848[[#This Row],[Colonna2]],Tabella951[Ortschaftsname],0)), "Name not found")</f>
        <v>3653</v>
      </c>
      <c r="K434" s="2"/>
      <c r="L434" s="46"/>
      <c r="M434" s="46"/>
      <c r="N434" s="46"/>
    </row>
    <row r="435" spans="2:14">
      <c r="B435" s="92" t="s">
        <v>138</v>
      </c>
      <c r="C435" s="91" t="s">
        <v>2585</v>
      </c>
      <c r="D435" s="93">
        <v>302.5</v>
      </c>
      <c r="E435" s="93">
        <v>188</v>
      </c>
      <c r="F435" s="103">
        <f>IFERROR(INDEX(Tabella951[PLZ],MATCH(Tabella848[[#This Row],[Colonna2]],Tabella951[Ortschaftsname],0)), "Name not found")</f>
        <v>3504</v>
      </c>
      <c r="K435" s="2"/>
      <c r="L435" s="46"/>
      <c r="M435" s="46"/>
      <c r="N435" s="46"/>
    </row>
    <row r="436" spans="2:14">
      <c r="B436" s="92" t="s">
        <v>138</v>
      </c>
      <c r="C436" s="91" t="s">
        <v>2455</v>
      </c>
      <c r="D436" s="93">
        <v>302.5</v>
      </c>
      <c r="E436" s="93">
        <v>195</v>
      </c>
      <c r="F436" s="103">
        <v>3618</v>
      </c>
      <c r="K436" s="2"/>
      <c r="L436" s="46"/>
      <c r="M436" s="46"/>
      <c r="N436" s="46"/>
    </row>
    <row r="437" spans="2:14">
      <c r="B437" s="92" t="s">
        <v>138</v>
      </c>
      <c r="C437" s="91" t="s">
        <v>2454</v>
      </c>
      <c r="D437" s="93">
        <v>302.5</v>
      </c>
      <c r="E437" s="93">
        <v>194</v>
      </c>
      <c r="F437" s="103">
        <f>IFERROR(INDEX(Tabella951[PLZ],MATCH(Tabella848[[#This Row],[Colonna2]],Tabella951[Ortschaftsname],0)), "Name not found")</f>
        <v>3854</v>
      </c>
      <c r="K437" s="2"/>
      <c r="L437" s="46"/>
      <c r="M437" s="4"/>
      <c r="N437" s="4"/>
    </row>
    <row r="438" spans="2:14">
      <c r="B438" s="92" t="s">
        <v>138</v>
      </c>
      <c r="C438" s="91" t="s">
        <v>2407</v>
      </c>
      <c r="D438" s="93">
        <v>302.5</v>
      </c>
      <c r="E438" s="93">
        <v>187</v>
      </c>
      <c r="F438" s="103">
        <f>IFERROR(INDEX(Tabella951[PLZ],MATCH(Tabella848[[#This Row],[Colonna2]],Tabella951[Ortschaftsname],0)), "Name not found")</f>
        <v>3531</v>
      </c>
      <c r="K438" s="2"/>
      <c r="L438" s="46"/>
      <c r="M438" s="46"/>
      <c r="N438" s="46"/>
    </row>
    <row r="439" spans="2:14">
      <c r="B439" s="92" t="s">
        <v>138</v>
      </c>
      <c r="C439" s="91" t="s">
        <v>2395</v>
      </c>
      <c r="D439" s="93">
        <v>302.5</v>
      </c>
      <c r="E439" s="93">
        <v>197</v>
      </c>
      <c r="F439" s="103">
        <v>3298</v>
      </c>
      <c r="K439" s="2"/>
      <c r="L439" s="46"/>
      <c r="M439" s="46"/>
      <c r="N439" s="46"/>
    </row>
    <row r="440" spans="2:14">
      <c r="B440" s="92" t="s">
        <v>138</v>
      </c>
      <c r="C440" s="91" t="s">
        <v>2402</v>
      </c>
      <c r="D440" s="93">
        <v>302.5</v>
      </c>
      <c r="E440" s="93">
        <v>164</v>
      </c>
      <c r="F440" s="103">
        <f>IFERROR(INDEX(Tabella951[PLZ],MATCH(Tabella848[[#This Row],[Colonna2]],Tabella951[Ortschaftsname],0)), "Name not found")</f>
        <v>3765</v>
      </c>
      <c r="K440" s="2"/>
      <c r="L440" s="46"/>
      <c r="M440" s="46"/>
      <c r="N440" s="46"/>
    </row>
    <row r="441" spans="2:14">
      <c r="B441" s="92" t="s">
        <v>138</v>
      </c>
      <c r="C441" s="91" t="s">
        <v>2436</v>
      </c>
      <c r="D441" s="93">
        <v>302.5</v>
      </c>
      <c r="E441" s="93">
        <v>160</v>
      </c>
      <c r="F441" s="103">
        <f>IFERROR(INDEX(Tabella951[PLZ],MATCH(Tabella848[[#This Row],[Colonna2]],Tabella951[Ortschaftsname],0)), "Name not found")</f>
        <v>3367</v>
      </c>
      <c r="K441" s="2"/>
      <c r="L441" s="46"/>
      <c r="M441" s="4"/>
      <c r="N441" s="4"/>
    </row>
    <row r="442" spans="2:14">
      <c r="B442" s="92" t="s">
        <v>138</v>
      </c>
      <c r="C442" s="91" t="s">
        <v>2586</v>
      </c>
      <c r="D442" s="93">
        <v>302.5</v>
      </c>
      <c r="E442" s="93">
        <v>200</v>
      </c>
      <c r="F442" s="103">
        <f>IFERROR(INDEX(Tabella951[PLZ],MATCH(Tabella848[[#This Row],[Colonna2]],Tabella951[Ortschaftsname],0)), "Name not found")</f>
        <v>4943</v>
      </c>
      <c r="K442" s="2"/>
      <c r="L442" s="36">
        <f>IF(K421&lt;$L$423,$M$422,IF(K421&lt;$L$424,$M$423+((K421-$L$423)/100)*$N$423,IF(K421&lt;$L$425,$M$424+((K421-$L$424)/100)*$N$424,IF(K421&lt;$L$426,$M$425+((K421-$L$425)/100)*$N$425,IF(K421&lt;$L$427,$M$426+((K421-$L$426)/100)*$N$426,IF(K421&lt;$L$428,$M$427+((K421-$L$427)/100)*$N$427,IF(K421&lt;$L$429,$M$428+((K421-$L$428)/100)*$N$428,IF(K421&lt;$L$430,$M$429+((K421-$L$429)/100)*$N$429,IF(K421&lt;$L$431,$M$430+((K421-$L$430)/100)*$N$430,IF(K421&lt;$L$432,$M$431+((K421-$L$431)/100)*$N$431,IF(K421&lt;$L$433,$M$432+((K421-$L$432)/100)*$N$432,IF(K421&gt;=$L$433,$M$433+((K421-$L$433)/100)*$N$433))))))))))))</f>
        <v>4171</v>
      </c>
      <c r="M442" s="2"/>
      <c r="N442" s="2"/>
    </row>
    <row r="443" spans="2:14">
      <c r="B443" s="92" t="s">
        <v>138</v>
      </c>
      <c r="C443" s="91" t="s">
        <v>2416</v>
      </c>
      <c r="D443" s="93">
        <v>302.5</v>
      </c>
      <c r="E443" s="93">
        <v>150</v>
      </c>
      <c r="F443" s="103">
        <f>IFERROR(INDEX(Tabella951[PLZ],MATCH(Tabella848[[#This Row],[Colonna2]],Tabella951[Ortschaftsname],0)), "Name not found")</f>
        <v>3629</v>
      </c>
    </row>
    <row r="444" spans="2:14">
      <c r="B444" s="92" t="s">
        <v>138</v>
      </c>
      <c r="C444" s="91" t="s">
        <v>2273</v>
      </c>
      <c r="D444" s="93">
        <v>302.5</v>
      </c>
      <c r="E444" s="93">
        <v>185</v>
      </c>
      <c r="F444" s="103">
        <f>IFERROR(INDEX(Tabella951[PLZ],MATCH(Tabella848[[#This Row],[Colonna2]],Tabella951[Ortschaftsname],0)), "Name not found")</f>
        <v>2552</v>
      </c>
      <c r="K444" s="68" t="s">
        <v>2587</v>
      </c>
      <c r="L444" s="21" t="s">
        <v>82</v>
      </c>
      <c r="M444" s="21" t="s">
        <v>2511</v>
      </c>
      <c r="N444" s="21" t="s">
        <v>90</v>
      </c>
    </row>
    <row r="445" spans="2:14">
      <c r="B445" s="92" t="s">
        <v>138</v>
      </c>
      <c r="C445" s="91" t="s">
        <v>2356</v>
      </c>
      <c r="D445" s="93">
        <v>302.5</v>
      </c>
      <c r="E445" s="93">
        <v>188</v>
      </c>
      <c r="F445" s="103">
        <f>IFERROR(INDEX(Tabella951[PLZ],MATCH(Tabella848[[#This Row],[Colonna2]],Tabella951[Ortschaftsname],0)), "Name not found")</f>
        <v>2534</v>
      </c>
      <c r="K445" s="94">
        <v>100000</v>
      </c>
      <c r="L445" s="11" t="s">
        <v>2512</v>
      </c>
      <c r="M445" s="11" t="s">
        <v>2513</v>
      </c>
      <c r="N445" s="11" t="s">
        <v>2514</v>
      </c>
    </row>
    <row r="446" spans="2:14">
      <c r="B446" s="92" t="s">
        <v>138</v>
      </c>
      <c r="C446" s="91" t="s">
        <v>2189</v>
      </c>
      <c r="D446" s="93">
        <v>302.5</v>
      </c>
      <c r="E446" s="93">
        <v>169</v>
      </c>
      <c r="F446" s="103">
        <f>IFERROR(INDEX(Tabella951[PLZ],MATCH(Tabella848[[#This Row],[Colonna2]],Tabella951[Ortschaftsname],0)), "Name not found")</f>
        <v>3072</v>
      </c>
      <c r="K446" s="26"/>
      <c r="L446" s="4">
        <v>0</v>
      </c>
      <c r="M446" s="4">
        <v>0</v>
      </c>
      <c r="N446" s="4">
        <v>0</v>
      </c>
    </row>
    <row r="447" spans="2:14">
      <c r="B447" s="92" t="s">
        <v>138</v>
      </c>
      <c r="C447" s="91" t="s">
        <v>2457</v>
      </c>
      <c r="D447" s="93">
        <v>302.5</v>
      </c>
      <c r="E447" s="93">
        <v>200</v>
      </c>
      <c r="F447" s="103">
        <f>IFERROR(INDEX(Tabella951[PLZ],MATCH(Tabella848[[#This Row],[Colonna2]],Tabella951[Ortschaftsname],0)), "Name not found")</f>
        <v>2742</v>
      </c>
      <c r="K447" s="2"/>
      <c r="L447" s="4">
        <v>7700</v>
      </c>
      <c r="M447" s="4">
        <v>0</v>
      </c>
      <c r="N447" s="4">
        <v>1.98</v>
      </c>
    </row>
    <row r="448" spans="2:14">
      <c r="B448" s="92" t="s">
        <v>138</v>
      </c>
      <c r="C448" s="91" t="s">
        <v>2588</v>
      </c>
      <c r="D448" s="93">
        <v>302.5</v>
      </c>
      <c r="E448" s="93">
        <v>179</v>
      </c>
      <c r="F448" s="103">
        <v>2715</v>
      </c>
      <c r="K448" s="2"/>
      <c r="L448" s="4">
        <v>10300</v>
      </c>
      <c r="M448" s="4">
        <v>51</v>
      </c>
      <c r="N448" s="4">
        <v>3.96</v>
      </c>
    </row>
    <row r="449" spans="2:14">
      <c r="B449" s="92" t="s">
        <v>138</v>
      </c>
      <c r="C449" s="91" t="s">
        <v>2236</v>
      </c>
      <c r="D449" s="93">
        <v>302.5</v>
      </c>
      <c r="E449" s="93">
        <v>175</v>
      </c>
      <c r="F449" s="103">
        <f>IFERROR(INDEX(Tabella951[PLZ],MATCH(Tabella848[[#This Row],[Colonna2]],Tabella951[Ortschaftsname],0)), "Name not found")</f>
        <v>2542</v>
      </c>
      <c r="K449" s="2"/>
      <c r="L449" s="4">
        <v>15500</v>
      </c>
      <c r="M449" s="4">
        <v>257</v>
      </c>
      <c r="N449" s="4">
        <v>7.92</v>
      </c>
    </row>
    <row r="450" spans="2:14">
      <c r="B450" s="92" t="s">
        <v>138</v>
      </c>
      <c r="C450" s="91" t="s">
        <v>2306</v>
      </c>
      <c r="D450" s="93">
        <v>302.5</v>
      </c>
      <c r="E450" s="93">
        <v>185</v>
      </c>
      <c r="F450" s="103">
        <v>2615</v>
      </c>
      <c r="K450" s="2"/>
      <c r="L450" s="4">
        <v>20600</v>
      </c>
      <c r="M450" s="4">
        <v>661</v>
      </c>
      <c r="N450" s="4">
        <v>11.48</v>
      </c>
    </row>
    <row r="451" spans="2:14">
      <c r="B451" s="92" t="s">
        <v>138</v>
      </c>
      <c r="C451" s="91" t="s">
        <v>2589</v>
      </c>
      <c r="D451" s="93">
        <v>302.5</v>
      </c>
      <c r="E451" s="93">
        <v>172</v>
      </c>
      <c r="F451" s="103">
        <f>IFERROR(INDEX(Tabella951[PLZ],MATCH(Tabella848[[#This Row],[Colonna2]],Tabella951[Ortschaftsname],0)), "Name not found")</f>
        <v>3638</v>
      </c>
      <c r="K451" s="2"/>
      <c r="L451" s="4">
        <v>30900</v>
      </c>
      <c r="M451" s="4">
        <v>1844</v>
      </c>
      <c r="N451" s="4">
        <v>11.78</v>
      </c>
    </row>
    <row r="452" spans="2:14">
      <c r="B452" s="92" t="s">
        <v>138</v>
      </c>
      <c r="C452" s="91" t="s">
        <v>2249</v>
      </c>
      <c r="D452" s="93">
        <v>302.5</v>
      </c>
      <c r="E452" s="93">
        <v>169</v>
      </c>
      <c r="F452" s="103">
        <f>IFERROR(INDEX(Tabella951[PLZ],MATCH(Tabella848[[#This Row],[Colonna2]],Tabella951[Ortschaftsname],0)), "Name not found")</f>
        <v>2562</v>
      </c>
      <c r="K452" s="2"/>
      <c r="L452" s="4">
        <v>41200</v>
      </c>
      <c r="M452" s="4">
        <v>3058</v>
      </c>
      <c r="N452" s="4">
        <v>12.18</v>
      </c>
    </row>
    <row r="453" spans="2:14">
      <c r="B453" s="92" t="s">
        <v>138</v>
      </c>
      <c r="C453" s="91" t="s">
        <v>2310</v>
      </c>
      <c r="D453" s="93">
        <v>302.5</v>
      </c>
      <c r="E453" s="93">
        <v>155</v>
      </c>
      <c r="F453" s="103">
        <v>2603</v>
      </c>
      <c r="K453" s="2"/>
      <c r="L453" s="4">
        <v>51500</v>
      </c>
      <c r="M453" s="4">
        <v>4312</v>
      </c>
      <c r="N453" s="4">
        <v>12.67</v>
      </c>
    </row>
    <row r="454" spans="2:14">
      <c r="B454" s="92" t="s">
        <v>138</v>
      </c>
      <c r="C454" s="91" t="s">
        <v>2349</v>
      </c>
      <c r="D454" s="93">
        <v>302.5</v>
      </c>
      <c r="E454" s="93">
        <v>169</v>
      </c>
      <c r="F454" s="103">
        <v>3271</v>
      </c>
      <c r="K454" s="2"/>
      <c r="L454" s="4">
        <v>61800</v>
      </c>
      <c r="M454" s="4">
        <v>5617</v>
      </c>
      <c r="N454" s="4">
        <v>13.17</v>
      </c>
    </row>
    <row r="455" spans="2:14">
      <c r="B455" s="92" t="s">
        <v>138</v>
      </c>
      <c r="C455" s="91" t="s">
        <v>2277</v>
      </c>
      <c r="D455" s="93">
        <v>302.5</v>
      </c>
      <c r="E455" s="93">
        <v>168</v>
      </c>
      <c r="F455" s="103">
        <v>3255</v>
      </c>
      <c r="K455" s="2"/>
      <c r="L455" s="4">
        <v>72100</v>
      </c>
      <c r="M455" s="4">
        <v>6973</v>
      </c>
      <c r="N455" s="4">
        <v>13.66</v>
      </c>
    </row>
    <row r="456" spans="2:14">
      <c r="B456" s="92" t="s">
        <v>138</v>
      </c>
      <c r="C456" s="91" t="s">
        <v>2590</v>
      </c>
      <c r="D456" s="93">
        <v>302.5</v>
      </c>
      <c r="E456" s="93">
        <v>200</v>
      </c>
      <c r="F456" s="103">
        <f>IFERROR(INDEX(Tabella951[PLZ],MATCH(Tabella848[[#This Row],[Colonna2]],Tabella951[Ortschaftsname],0)), "Name not found")</f>
        <v>2717</v>
      </c>
      <c r="K456" s="2"/>
      <c r="L456" s="4">
        <v>82400</v>
      </c>
      <c r="M456" s="4">
        <v>8380</v>
      </c>
      <c r="N456" s="4">
        <v>14.06</v>
      </c>
    </row>
    <row r="457" spans="2:14">
      <c r="B457" s="92" t="s">
        <v>138</v>
      </c>
      <c r="C457" s="91" t="s">
        <v>2296</v>
      </c>
      <c r="D457" s="93">
        <v>302.5</v>
      </c>
      <c r="E457" s="93">
        <v>197</v>
      </c>
      <c r="F457" s="103">
        <f>IFERROR(INDEX(Tabella951[PLZ],MATCH(Tabella848[[#This Row],[Colonna2]],Tabella951[Ortschaftsname],0)), "Name not found")</f>
        <v>2732</v>
      </c>
      <c r="K457" s="2"/>
      <c r="L457" s="4">
        <v>92700</v>
      </c>
      <c r="M457" s="4">
        <v>9828</v>
      </c>
      <c r="N457" s="4">
        <v>14.36</v>
      </c>
    </row>
    <row r="458" spans="2:14">
      <c r="B458" s="92" t="s">
        <v>138</v>
      </c>
      <c r="C458" s="91" t="s">
        <v>2250</v>
      </c>
      <c r="D458" s="93">
        <v>302.5</v>
      </c>
      <c r="E458" s="93">
        <v>177</v>
      </c>
      <c r="F458" s="103">
        <f>IFERROR(INDEX(Tabella951[PLZ],MATCH(Tabella848[[#This Row],[Colonna2]],Tabella951[Ortschaftsname],0)), "Name not found")</f>
        <v>3713</v>
      </c>
      <c r="K458" s="2"/>
      <c r="L458" s="46">
        <v>103000</v>
      </c>
      <c r="M458" s="46">
        <v>11307</v>
      </c>
      <c r="N458" s="46">
        <v>14.65</v>
      </c>
    </row>
    <row r="459" spans="2:14">
      <c r="B459" s="92" t="s">
        <v>138</v>
      </c>
      <c r="C459" s="91" t="s">
        <v>2591</v>
      </c>
      <c r="D459" s="93">
        <v>302.5</v>
      </c>
      <c r="E459" s="93">
        <v>179</v>
      </c>
      <c r="F459" s="103">
        <f>IFERROR(INDEX(Tabella951[PLZ],MATCH(Tabella848[[#This Row],[Colonna2]],Tabella951[Ortschaftsname],0)), "Name not found")</f>
        <v>4919</v>
      </c>
      <c r="K459" s="2"/>
      <c r="L459" s="46">
        <v>113300</v>
      </c>
      <c r="M459" s="46">
        <v>12816</v>
      </c>
      <c r="N459" s="46">
        <v>14.96</v>
      </c>
    </row>
    <row r="460" spans="2:14">
      <c r="B460" s="92" t="s">
        <v>138</v>
      </c>
      <c r="C460" s="91" t="s">
        <v>2386</v>
      </c>
      <c r="D460" s="93">
        <v>302.5</v>
      </c>
      <c r="E460" s="93">
        <v>204</v>
      </c>
      <c r="F460" s="103">
        <v>2616</v>
      </c>
      <c r="K460" s="2"/>
      <c r="L460" s="46">
        <v>123600</v>
      </c>
      <c r="M460" s="46">
        <v>14356</v>
      </c>
      <c r="N460" s="46">
        <v>15.25</v>
      </c>
    </row>
    <row r="461" spans="2:14">
      <c r="B461" s="92" t="s">
        <v>138</v>
      </c>
      <c r="C461" s="91" t="s">
        <v>2380</v>
      </c>
      <c r="D461" s="93">
        <v>302.5</v>
      </c>
      <c r="E461" s="93">
        <v>175</v>
      </c>
      <c r="F461" s="103">
        <f>IFERROR(INDEX(Tabella951[PLZ],MATCH(Tabella848[[#This Row],[Colonna2]],Tabella951[Ortschaftsname],0)), "Name not found")</f>
        <v>3647</v>
      </c>
      <c r="K461" s="2"/>
      <c r="L461" s="46">
        <v>133900</v>
      </c>
      <c r="M461" s="4">
        <v>15926</v>
      </c>
      <c r="N461" s="4">
        <v>15.35</v>
      </c>
    </row>
    <row r="462" spans="2:14">
      <c r="B462" s="92" t="s">
        <v>138</v>
      </c>
      <c r="C462" s="91" t="s">
        <v>2285</v>
      </c>
      <c r="D462" s="93">
        <v>302.5</v>
      </c>
      <c r="E462" s="93">
        <v>180</v>
      </c>
      <c r="F462" s="103">
        <f>IFERROR(INDEX(Tabella951[PLZ],MATCH(Tabella848[[#This Row],[Colonna2]],Tabella951[Ortschaftsname],0)), "Name not found")</f>
        <v>3132</v>
      </c>
      <c r="K462" s="2"/>
      <c r="L462" s="46">
        <v>144200</v>
      </c>
      <c r="M462" s="46">
        <v>17507</v>
      </c>
      <c r="N462" s="46">
        <v>15.44</v>
      </c>
    </row>
    <row r="463" spans="2:14">
      <c r="B463" s="92" t="s">
        <v>138</v>
      </c>
      <c r="C463" s="91" t="s">
        <v>2276</v>
      </c>
      <c r="D463" s="93">
        <v>302.5</v>
      </c>
      <c r="E463" s="93">
        <v>180</v>
      </c>
      <c r="F463" s="103">
        <v>3852</v>
      </c>
      <c r="K463" s="2"/>
      <c r="L463" s="46">
        <v>152500</v>
      </c>
      <c r="M463" s="46">
        <v>19097</v>
      </c>
      <c r="N463" s="46">
        <v>15.54</v>
      </c>
    </row>
    <row r="464" spans="2:14">
      <c r="B464" s="92" t="s">
        <v>138</v>
      </c>
      <c r="C464" s="91" t="s">
        <v>2592</v>
      </c>
      <c r="D464" s="93">
        <v>302.5</v>
      </c>
      <c r="E464" s="93">
        <v>194</v>
      </c>
      <c r="F464" s="103">
        <v>2762</v>
      </c>
      <c r="K464" s="2"/>
      <c r="L464" s="46">
        <v>164800</v>
      </c>
      <c r="M464" s="46">
        <v>20698</v>
      </c>
      <c r="N464" s="46">
        <v>15.74</v>
      </c>
    </row>
    <row r="465" spans="2:14">
      <c r="B465" s="92" t="s">
        <v>138</v>
      </c>
      <c r="C465" s="91" t="s">
        <v>2242</v>
      </c>
      <c r="D465" s="93">
        <v>302.5</v>
      </c>
      <c r="E465" s="93">
        <v>161</v>
      </c>
      <c r="F465" s="103">
        <v>4914</v>
      </c>
      <c r="K465" s="2"/>
      <c r="L465" s="46">
        <v>175100</v>
      </c>
      <c r="M465" s="46">
        <v>22320</v>
      </c>
      <c r="N465" s="46">
        <v>5.94</v>
      </c>
    </row>
    <row r="466" spans="2:14">
      <c r="B466" s="92" t="s">
        <v>138</v>
      </c>
      <c r="C466" s="91" t="s">
        <v>2331</v>
      </c>
      <c r="D466" s="93">
        <v>302.5</v>
      </c>
      <c r="E466" s="93">
        <v>135</v>
      </c>
      <c r="F466" s="103">
        <f>IFERROR(INDEX(Tabella951[PLZ],MATCH(Tabella848[[#This Row],[Colonna2]],Tabella951[Ortschaftsname],0)), "Name not found")</f>
        <v>4938</v>
      </c>
      <c r="K466" s="2"/>
      <c r="L466" s="46">
        <v>185400</v>
      </c>
      <c r="M466" s="46">
        <v>23961</v>
      </c>
      <c r="N466" s="46">
        <v>16.04</v>
      </c>
    </row>
    <row r="467" spans="2:14">
      <c r="B467" s="92" t="s">
        <v>138</v>
      </c>
      <c r="C467" s="91" t="s">
        <v>2593</v>
      </c>
      <c r="D467" s="93">
        <v>302.5</v>
      </c>
      <c r="E467" s="93">
        <v>194</v>
      </c>
      <c r="F467" s="103">
        <f>IFERROR(INDEX(Tabella951[PLZ],MATCH(Tabella848[[#This Row],[Colonna2]],Tabella951[Ortschaftsname],0)), "Name not found")</f>
        <v>4938</v>
      </c>
      <c r="K467" s="2"/>
      <c r="L467" s="46">
        <v>195700</v>
      </c>
      <c r="M467" s="46">
        <v>25613</v>
      </c>
      <c r="N467" s="46">
        <v>16.04</v>
      </c>
    </row>
    <row r="468" spans="2:14">
      <c r="B468" s="92" t="s">
        <v>138</v>
      </c>
      <c r="C468" s="91" t="s">
        <v>2594</v>
      </c>
      <c r="D468" s="93">
        <v>302.5</v>
      </c>
      <c r="E468" s="93">
        <v>160</v>
      </c>
      <c r="F468" s="103">
        <v>2538</v>
      </c>
      <c r="K468" s="2"/>
      <c r="L468" s="46">
        <v>206000</v>
      </c>
      <c r="M468" s="46">
        <v>27265</v>
      </c>
      <c r="N468" s="46">
        <v>13.37</v>
      </c>
    </row>
    <row r="469" spans="2:14">
      <c r="B469" s="92" t="s">
        <v>138</v>
      </c>
      <c r="C469" s="91" t="s">
        <v>2269</v>
      </c>
      <c r="D469" s="93">
        <v>302.5</v>
      </c>
      <c r="E469" s="93">
        <v>144</v>
      </c>
      <c r="F469" s="103">
        <f>IFERROR(INDEX(Tabella951[PLZ],MATCH(Tabella848[[#This Row],[Colonna2]],Tabella951[Ortschaftsname],0)), "Name not found")</f>
        <v>3113</v>
      </c>
      <c r="K469" s="2"/>
      <c r="L469" s="46">
        <v>309000</v>
      </c>
      <c r="M469" s="46">
        <v>41031</v>
      </c>
      <c r="N469" s="46">
        <v>13.61</v>
      </c>
    </row>
    <row r="470" spans="2:14">
      <c r="B470" s="92" t="s">
        <v>138</v>
      </c>
      <c r="C470" s="91" t="s">
        <v>2595</v>
      </c>
      <c r="D470" s="93">
        <v>302.5</v>
      </c>
      <c r="E470" s="93">
        <v>100</v>
      </c>
      <c r="F470" s="103">
        <f>IFERROR(INDEX(Tabella951[PLZ],MATCH(Tabella848[[#This Row],[Colonna2]],Tabella951[Ortschaftsname],0)), "Name not found")</f>
        <v>3472</v>
      </c>
      <c r="K470" s="2"/>
      <c r="L470" s="46">
        <v>412000</v>
      </c>
      <c r="M470" s="46">
        <v>55052</v>
      </c>
      <c r="N470" s="46">
        <v>13.86</v>
      </c>
    </row>
    <row r="471" spans="2:14">
      <c r="B471" s="92" t="s">
        <v>138</v>
      </c>
      <c r="C471" s="91" t="s">
        <v>2452</v>
      </c>
      <c r="D471" s="93">
        <v>302.5</v>
      </c>
      <c r="E471" s="93">
        <v>189</v>
      </c>
      <c r="F471" s="103">
        <f>IFERROR(INDEX(Tabella951[PLZ],MATCH(Tabella848[[#This Row],[Colonna2]],Tabella951[Ortschaftsname],0)), "Name not found")</f>
        <v>4539</v>
      </c>
      <c r="K471" s="2"/>
      <c r="L471" s="46"/>
      <c r="M471" s="4"/>
      <c r="N471" s="4"/>
    </row>
    <row r="472" spans="2:14">
      <c r="B472" s="92" t="s">
        <v>138</v>
      </c>
      <c r="C472" s="91" t="s">
        <v>2358</v>
      </c>
      <c r="D472" s="93">
        <v>302.5</v>
      </c>
      <c r="E472" s="93">
        <v>200</v>
      </c>
      <c r="F472" s="103">
        <f>IFERROR(INDEX(Tabella951[PLZ],MATCH(Tabella848[[#This Row],[Colonna2]],Tabella951[Ortschaftsname],0)), "Name not found")</f>
        <v>3538</v>
      </c>
      <c r="K472" s="2"/>
      <c r="L472" s="36">
        <f>IF(K445&lt;$L$447,$M$446,IF(K445&lt;$L$448,$M$447+((K445-$L$447)/100)*$N$447,IF(K445&lt;$L$449,$M$448+((K445-$L$448)/100)*$N$448,IF(K445&lt;$L$450,$M$449+((K445-$L$449)/100)*$N$449,IF(K445&lt;$L$451,$M$450+((K445-$L$450)/100)*$N$450,IF(K445&lt;$L$452,$M$451+((K445-$L$451)/100)*$N$451,IF(K445&lt;$L$453,$M$452+((K445-$L$452)/100)*$N$452,IF(K445&lt;$L$454,$M$453+((K445-$L$453)/100)*$N$453,IF(K445&lt;$L$455,$M$454+((K445-$L$454)/100)*$N$454,IF(K445&lt;$L$456,$M$455+((K445-$L$455)/100)*$N$455,IF(K445&lt;$L$457,$M$456+((K445-$L$456)/100)*$N$456,IF(K445&lt;$L$458,$M$457+((K445-$L$457)/100)*$N$457,IF(K445&lt;$L$459,$M$458+((K445-$L$458)/100)*$N$458,IF(K445&lt;$L$460,$M$459+((K445-$L$459)/100)*$N$459,IF(K445&lt;$L$461,$M$460+((K445-$L$460)/100)*$N$460,IF(K445&lt;$L$462,$M$461+((K445-$L$461)/100)*$N$461,IF(K445&lt;$L$463,$M$462+((K445-$L$462)/100)*$N$462,IF(K445&lt;$L$464,$M$463+((K445-$L$463)/100)*$N$463,IF(K445&lt;$L$465,$M$464+((K445-$L$464)/100)*$N$464,IF(K445&lt;$L$466,$M$465+((K445-$L$465)/100)*$N$465,IF(K445&lt;$L$467,$M$466+((K445-$L$466)/100)*$N$466,IF(K445&lt;$L$468,$M$467+((K445-$L$467)/100)*$N$467,IF(K445&lt;$L$469,$M$468+((K445-$L$468)/100)*$N$468,IF(K445&lt;$L$470,$M$469+((K445-$L$469)/100)*$N$469,IF(K445&gt;=$L$470,$M$470+((K445-$L$470)/100)*$N$470)))))))))))))))))))))))))</f>
        <v>10876.28</v>
      </c>
      <c r="M472" s="2"/>
      <c r="N472" s="2"/>
    </row>
    <row r="473" spans="2:14">
      <c r="B473" s="92" t="s">
        <v>138</v>
      </c>
      <c r="C473" s="91" t="s">
        <v>2291</v>
      </c>
      <c r="D473" s="93">
        <v>302.5</v>
      </c>
      <c r="E473" s="93">
        <v>174</v>
      </c>
      <c r="F473" s="103">
        <f>IFERROR(INDEX(Tabella951[PLZ],MATCH(Tabella848[[#This Row],[Colonna2]],Tabella951[Ortschaftsname],0)), "Name not found")</f>
        <v>3437</v>
      </c>
    </row>
    <row r="474" spans="2:14">
      <c r="B474" s="92" t="s">
        <v>138</v>
      </c>
      <c r="C474" s="91" t="s">
        <v>2290</v>
      </c>
      <c r="D474" s="93">
        <v>302.5</v>
      </c>
      <c r="E474" s="93">
        <v>145</v>
      </c>
      <c r="F474" s="103">
        <v>3422</v>
      </c>
      <c r="K474" s="68" t="s">
        <v>2596</v>
      </c>
      <c r="L474" s="21" t="s">
        <v>82</v>
      </c>
      <c r="M474" s="21" t="s">
        <v>2511</v>
      </c>
      <c r="N474" s="21" t="s">
        <v>90</v>
      </c>
    </row>
    <row r="475" spans="2:14">
      <c r="B475" s="92" t="s">
        <v>138</v>
      </c>
      <c r="C475" s="91" t="s">
        <v>2314</v>
      </c>
      <c r="D475" s="93">
        <v>302.5</v>
      </c>
      <c r="E475" s="93">
        <v>185</v>
      </c>
      <c r="F475" s="103">
        <f>IFERROR(INDEX(Tabella951[PLZ],MATCH(Tabella848[[#This Row],[Colonna2]],Tabella951[Ortschaftsname],0)), "Name not found")</f>
        <v>3088</v>
      </c>
      <c r="K475" s="94">
        <v>100000</v>
      </c>
      <c r="L475" s="11" t="s">
        <v>2512</v>
      </c>
      <c r="M475" s="11" t="s">
        <v>2525</v>
      </c>
      <c r="N475" s="11"/>
    </row>
    <row r="476" spans="2:14">
      <c r="B476" s="92" t="s">
        <v>138</v>
      </c>
      <c r="C476" s="91" t="s">
        <v>2259</v>
      </c>
      <c r="D476" s="93">
        <v>302.5</v>
      </c>
      <c r="E476" s="93">
        <v>179</v>
      </c>
      <c r="F476" s="103">
        <f>IFERROR(INDEX(Tabella951[PLZ],MATCH(Tabella848[[#This Row],[Colonna2]],Tabella951[Ortschaftsname],0)), "Name not found")</f>
        <v>3417</v>
      </c>
      <c r="K476" s="26"/>
      <c r="L476" s="4">
        <v>0</v>
      </c>
      <c r="M476" s="39">
        <v>0</v>
      </c>
      <c r="N476" s="4"/>
    </row>
    <row r="477" spans="2:14">
      <c r="B477" s="92" t="s">
        <v>138</v>
      </c>
      <c r="C477" s="91" t="s">
        <v>2322</v>
      </c>
      <c r="D477" s="93">
        <v>302.5</v>
      </c>
      <c r="E477" s="93">
        <v>174</v>
      </c>
      <c r="F477" s="103">
        <v>3153</v>
      </c>
      <c r="K477" s="2"/>
      <c r="L477" s="4">
        <v>11200</v>
      </c>
      <c r="M477" s="39">
        <v>5.0000000000000001E-3</v>
      </c>
      <c r="N477" s="4"/>
    </row>
    <row r="478" spans="2:14">
      <c r="B478" s="92" t="s">
        <v>138</v>
      </c>
      <c r="C478" s="91" t="s">
        <v>2396</v>
      </c>
      <c r="D478" s="93">
        <v>302.5</v>
      </c>
      <c r="E478" s="93">
        <v>185</v>
      </c>
      <c r="F478" s="103">
        <v>3295</v>
      </c>
      <c r="K478" s="2"/>
      <c r="L478" s="4">
        <f>L477+2300</f>
        <v>13500</v>
      </c>
      <c r="M478" s="39">
        <v>0.01</v>
      </c>
      <c r="N478" s="4"/>
    </row>
    <row r="479" spans="2:14">
      <c r="B479" s="92" t="s">
        <v>138</v>
      </c>
      <c r="C479" s="91" t="s">
        <v>2597</v>
      </c>
      <c r="D479" s="93">
        <v>302.5</v>
      </c>
      <c r="E479" s="93">
        <v>179</v>
      </c>
      <c r="F479" s="103">
        <v>3421</v>
      </c>
      <c r="K479" s="2"/>
      <c r="L479" s="4">
        <f t="shared" ref="L479:L487" si="1">L478+1100</f>
        <v>14600</v>
      </c>
      <c r="M479" s="39">
        <v>1.2E-2</v>
      </c>
      <c r="N479" s="4"/>
    </row>
    <row r="480" spans="2:14">
      <c r="B480" s="92" t="s">
        <v>138</v>
      </c>
      <c r="C480" s="91" t="s">
        <v>2435</v>
      </c>
      <c r="D480" s="93">
        <v>302.5</v>
      </c>
      <c r="E480" s="93">
        <v>160</v>
      </c>
      <c r="F480" s="103">
        <f>IFERROR(INDEX(Tabella951[PLZ],MATCH(Tabella848[[#This Row],[Colonna2]],Tabella951[Ortschaftsname],0)), "Name not found")</f>
        <v>4933</v>
      </c>
      <c r="K480" s="2"/>
      <c r="L480" s="4">
        <f t="shared" si="1"/>
        <v>15700</v>
      </c>
      <c r="M480" s="39">
        <v>1.4E-2</v>
      </c>
      <c r="N480" s="4"/>
    </row>
    <row r="481" spans="2:14">
      <c r="B481" s="92" t="s">
        <v>138</v>
      </c>
      <c r="C481" s="91" t="s">
        <v>2206</v>
      </c>
      <c r="D481" s="93">
        <v>302.5</v>
      </c>
      <c r="E481" s="93">
        <v>110.00000000000001</v>
      </c>
      <c r="F481" s="103">
        <f>IFERROR(INDEX(Tabella951[PLZ],MATCH(Tabella848[[#This Row],[Colonna2]],Tabella951[Ortschaftsname],0)), "Name not found")</f>
        <v>3792</v>
      </c>
      <c r="K481" s="2"/>
      <c r="L481" s="4">
        <f t="shared" si="1"/>
        <v>16800</v>
      </c>
      <c r="M481" s="39">
        <v>1.6E-2</v>
      </c>
      <c r="N481" s="4"/>
    </row>
    <row r="482" spans="2:14">
      <c r="B482" s="92" t="s">
        <v>138</v>
      </c>
      <c r="C482" s="91" t="s">
        <v>2311</v>
      </c>
      <c r="D482" s="93">
        <v>302.5</v>
      </c>
      <c r="E482" s="93">
        <v>140</v>
      </c>
      <c r="F482" s="103">
        <f>IFERROR(INDEX(Tabella951[PLZ],MATCH(Tabella848[[#This Row],[Colonna2]],Tabella951[Ortschaftsname],0)), "Name not found")</f>
        <v>2553</v>
      </c>
      <c r="K482" s="2"/>
      <c r="L482" s="4">
        <f t="shared" si="1"/>
        <v>17900</v>
      </c>
      <c r="M482" s="39">
        <v>1.7999999999999999E-2</v>
      </c>
      <c r="N482" s="4"/>
    </row>
    <row r="483" spans="2:14">
      <c r="B483" s="92" t="s">
        <v>138</v>
      </c>
      <c r="C483" s="91" t="s">
        <v>2421</v>
      </c>
      <c r="D483" s="93">
        <v>302.5</v>
      </c>
      <c r="E483" s="93">
        <v>195</v>
      </c>
      <c r="F483" s="103">
        <f>IFERROR(INDEX(Tabella951[PLZ],MATCH(Tabella848[[#This Row],[Colonna2]],Tabella951[Ortschaftsname],0)), "Name not found")</f>
        <v>2732</v>
      </c>
      <c r="K483" s="2"/>
      <c r="L483" s="4">
        <f t="shared" si="1"/>
        <v>19000</v>
      </c>
      <c r="M483" s="39">
        <v>0.02</v>
      </c>
      <c r="N483" s="4"/>
    </row>
    <row r="484" spans="2:14">
      <c r="B484" s="92" t="s">
        <v>138</v>
      </c>
      <c r="C484" s="91" t="s">
        <v>2221</v>
      </c>
      <c r="D484" s="93">
        <v>302.5</v>
      </c>
      <c r="E484" s="93">
        <v>175</v>
      </c>
      <c r="F484" s="103">
        <v>2610</v>
      </c>
      <c r="K484" s="2"/>
      <c r="L484" s="4">
        <f t="shared" si="1"/>
        <v>20100</v>
      </c>
      <c r="M484" s="39">
        <v>2.1999999999999999E-2</v>
      </c>
      <c r="N484" s="4"/>
    </row>
    <row r="485" spans="2:14">
      <c r="B485" s="92" t="s">
        <v>138</v>
      </c>
      <c r="C485" s="91" t="s">
        <v>2400</v>
      </c>
      <c r="D485" s="93">
        <v>302.5</v>
      </c>
      <c r="E485" s="93">
        <v>190</v>
      </c>
      <c r="F485" s="103">
        <v>2606</v>
      </c>
      <c r="K485" s="2"/>
      <c r="L485" s="4">
        <f t="shared" si="1"/>
        <v>21200</v>
      </c>
      <c r="M485" s="39">
        <v>2.4E-2</v>
      </c>
      <c r="N485" s="4"/>
    </row>
    <row r="486" spans="2:14">
      <c r="B486" s="92" t="s">
        <v>138</v>
      </c>
      <c r="C486" s="91" t="s">
        <v>2598</v>
      </c>
      <c r="D486" s="93">
        <v>302.5</v>
      </c>
      <c r="E486" s="93">
        <v>194</v>
      </c>
      <c r="F486" s="103">
        <v>2732</v>
      </c>
      <c r="K486" s="2"/>
      <c r="L486" s="4">
        <f t="shared" si="1"/>
        <v>22300</v>
      </c>
      <c r="M486" s="39">
        <v>2.5999999999999999E-2</v>
      </c>
      <c r="N486" s="4"/>
    </row>
    <row r="487" spans="2:14">
      <c r="B487" s="92" t="s">
        <v>138</v>
      </c>
      <c r="C487" s="91" t="s">
        <v>2599</v>
      </c>
      <c r="D487" s="93">
        <v>302.5</v>
      </c>
      <c r="E487" s="93">
        <v>169</v>
      </c>
      <c r="F487" s="103">
        <f>IFERROR(INDEX(Tabella951[PLZ],MATCH(Tabella848[[#This Row],[Colonna2]],Tabella951[Ortschaftsname],0)), "Name not found")</f>
        <v>3813</v>
      </c>
      <c r="K487" s="2"/>
      <c r="L487" s="4">
        <f t="shared" si="1"/>
        <v>23400</v>
      </c>
      <c r="M487" s="39">
        <v>2.8000000000000001E-2</v>
      </c>
      <c r="N487" s="4"/>
    </row>
    <row r="488" spans="2:14">
      <c r="B488" s="92" t="s">
        <v>138</v>
      </c>
      <c r="C488" s="91" t="s">
        <v>2389</v>
      </c>
      <c r="D488" s="93">
        <v>302.5</v>
      </c>
      <c r="E488" s="93">
        <v>210</v>
      </c>
      <c r="F488" s="103">
        <f>IFERROR(INDEX(Tabella951[PLZ],MATCH(Tabella848[[#This Row],[Colonna2]],Tabella951[Ortschaftsname],0)), "Name not found")</f>
        <v>6197</v>
      </c>
      <c r="K488" s="2"/>
      <c r="L488" s="4">
        <f>L487+7800</f>
        <v>31200</v>
      </c>
      <c r="M488" s="39">
        <v>2.9000000000000001E-2</v>
      </c>
      <c r="N488" s="46"/>
    </row>
    <row r="489" spans="2:14">
      <c r="B489" s="92" t="s">
        <v>138</v>
      </c>
      <c r="C489" s="91" t="s">
        <v>2437</v>
      </c>
      <c r="D489" s="93">
        <v>302.5</v>
      </c>
      <c r="E489" s="93">
        <v>194</v>
      </c>
      <c r="F489" s="103">
        <f>IFERROR(INDEX(Tabella951[PLZ],MATCH(Tabella848[[#This Row],[Colonna2]],Tabella951[Ortschaftsname],0)), "Name not found")</f>
        <v>3860</v>
      </c>
      <c r="K489" s="2"/>
      <c r="L489" s="4">
        <f>L488+16800</f>
        <v>48000</v>
      </c>
      <c r="M489" s="39">
        <v>0.03</v>
      </c>
      <c r="N489" s="46"/>
    </row>
    <row r="490" spans="2:14">
      <c r="B490" s="92" t="s">
        <v>138</v>
      </c>
      <c r="C490" s="91" t="s">
        <v>2600</v>
      </c>
      <c r="D490" s="93">
        <v>302.5</v>
      </c>
      <c r="E490" s="93">
        <v>220.00000000000003</v>
      </c>
      <c r="F490" s="103">
        <f>IFERROR(INDEX(Tabella951[PLZ],MATCH(Tabella848[[#This Row],[Colonna2]],Tabella951[Ortschaftsname],0)), "Name not found")</f>
        <v>2827</v>
      </c>
      <c r="K490" s="2"/>
      <c r="L490" s="4">
        <f>L489+30200</f>
        <v>78200</v>
      </c>
      <c r="M490" s="39">
        <v>3.1E-2</v>
      </c>
      <c r="N490" s="46"/>
    </row>
    <row r="491" spans="2:14">
      <c r="B491" s="92" t="s">
        <v>138</v>
      </c>
      <c r="C491" s="91" t="s">
        <v>2459</v>
      </c>
      <c r="D491" s="93">
        <v>302.5</v>
      </c>
      <c r="E491" s="93">
        <v>178</v>
      </c>
      <c r="F491" s="103">
        <f>IFERROR(INDEX(Tabella951[PLZ],MATCH(Tabella848[[#This Row],[Colonna2]],Tabella951[Ortschaftsname],0)), "Name not found")</f>
        <v>2556</v>
      </c>
      <c r="K491" s="2"/>
      <c r="L491" s="4">
        <f>L490+33600</f>
        <v>111800</v>
      </c>
      <c r="M491" s="39">
        <v>3.2000000000000001E-2</v>
      </c>
      <c r="N491" s="2"/>
    </row>
    <row r="492" spans="2:14">
      <c r="B492" s="92" t="s">
        <v>138</v>
      </c>
      <c r="C492" s="91" t="s">
        <v>2414</v>
      </c>
      <c r="D492" s="93">
        <v>302.5</v>
      </c>
      <c r="E492" s="93">
        <v>185</v>
      </c>
      <c r="F492" s="103">
        <f>IFERROR(INDEX(Tabella951[PLZ],MATCH(Tabella848[[#This Row],[Colonna2]],Tabella951[Ortschaftsname],0)), "Name not found")</f>
        <v>2556</v>
      </c>
      <c r="K492" s="2"/>
      <c r="L492" s="4">
        <f>L491+31800</f>
        <v>143600</v>
      </c>
      <c r="M492" s="39">
        <v>3.3000000000000002E-2</v>
      </c>
      <c r="N492" s="2"/>
    </row>
    <row r="493" spans="2:14">
      <c r="B493" s="92" t="s">
        <v>138</v>
      </c>
      <c r="C493" s="91" t="s">
        <v>2425</v>
      </c>
      <c r="D493" s="93">
        <v>302.5</v>
      </c>
      <c r="E493" s="93">
        <v>175</v>
      </c>
      <c r="F493" s="103">
        <v>3855</v>
      </c>
      <c r="K493" s="2"/>
      <c r="L493" s="4">
        <f>L492+16700</f>
        <v>160300</v>
      </c>
      <c r="M493" s="39">
        <v>2.75E-2</v>
      </c>
      <c r="N493" s="2"/>
    </row>
    <row r="494" spans="2:14">
      <c r="B494" s="92" t="s">
        <v>138</v>
      </c>
      <c r="C494" s="91" t="s">
        <v>2208</v>
      </c>
      <c r="D494" s="93">
        <v>302.5</v>
      </c>
      <c r="E494" s="93">
        <v>186</v>
      </c>
      <c r="F494" s="103">
        <f>IFERROR(INDEX(Tabella951[PLZ],MATCH(Tabella848[[#This Row],[Colonna2]],Tabella951[Ortschaftsname],0)), "Name not found")</f>
        <v>3150</v>
      </c>
      <c r="K494" s="2"/>
      <c r="L494" s="4"/>
      <c r="M494" s="39"/>
      <c r="N494" s="2"/>
    </row>
    <row r="495" spans="2:14">
      <c r="B495" s="92" t="s">
        <v>138</v>
      </c>
      <c r="C495" s="91" t="s">
        <v>2446</v>
      </c>
      <c r="D495" s="93">
        <v>302.5</v>
      </c>
      <c r="E495" s="93">
        <v>160</v>
      </c>
      <c r="F495" s="103">
        <f>IFERROR(INDEX(Tabella951[PLZ],MATCH(Tabella848[[#This Row],[Colonna2]],Tabella951[Ortschaftsname],0)), "Name not found")</f>
        <v>4911</v>
      </c>
      <c r="K495" s="2"/>
      <c r="L495" s="4"/>
      <c r="M495" s="39"/>
      <c r="N495" s="2"/>
    </row>
    <row r="496" spans="2:14">
      <c r="B496" s="92" t="s">
        <v>138</v>
      </c>
      <c r="C496" s="91" t="s">
        <v>2246</v>
      </c>
      <c r="D496" s="93">
        <v>302.5</v>
      </c>
      <c r="E496" s="93">
        <v>174</v>
      </c>
      <c r="F496" s="103">
        <f>IFERROR(INDEX(Tabella951[PLZ],MATCH(Tabella848[[#This Row],[Colonna2]],Tabella951[Ortschaftsname],0)), "Name not found")</f>
        <v>3054</v>
      </c>
      <c r="K496" s="2"/>
      <c r="L496" s="4"/>
      <c r="M496" s="39"/>
      <c r="N496" s="2"/>
    </row>
    <row r="497" spans="2:14">
      <c r="B497" s="92" t="s">
        <v>138</v>
      </c>
      <c r="C497" s="91" t="s">
        <v>2327</v>
      </c>
      <c r="D497" s="93">
        <v>302.5</v>
      </c>
      <c r="E497" s="93">
        <v>175</v>
      </c>
      <c r="F497" s="103">
        <f>IFERROR(INDEX(Tabella951[PLZ],MATCH(Tabella848[[#This Row],[Colonna2]],Tabella951[Ortschaftsname],0)), "Name not found")</f>
        <v>3365</v>
      </c>
      <c r="K497" s="2"/>
      <c r="L497" s="36">
        <f>IF(K475&lt;$L$477,K475*$M$476,IF(K475&lt;$L$478,K475*$M$477,IF(K475&lt;$L$479,K475*$M$478,IF(K475&lt;$L$480,K475*$M$479,IF(K475&lt;$L$481,K475*$M$480,IF(K475&lt;$L$482,K475*$M$481,IF(K475&lt;$L$483,K475*$M$482,IF(K475&lt;$L$484,K475*$M$483,IF(K475&lt;$L$485,K475*$M$484,IF(K475&lt;$L$486,K475*$M$485,IF(K475&lt;$L$487,K475*$M$486,IF(K475&lt;$L$488,K475*$M$487,IF(K475&lt;$L$489,K475*$M$488,IF(K475&lt;$L$490,K475*$M$489,IF(K475&lt;$L$491,K475*$M$490,IF(K475&lt;$L$492,K475*$M$491,IF(K475&lt;$L$493,K475*$M$492,IF(K475&gt;$L$493,K475*$M$493))))))))))))))))))</f>
        <v>3100</v>
      </c>
      <c r="M497" s="2"/>
      <c r="N497" s="2"/>
    </row>
    <row r="498" spans="2:14">
      <c r="B498" s="92" t="s">
        <v>138</v>
      </c>
      <c r="C498" s="91" t="s">
        <v>2262</v>
      </c>
      <c r="D498" s="93">
        <v>302.5</v>
      </c>
      <c r="E498" s="93">
        <v>174</v>
      </c>
      <c r="F498" s="103">
        <v>3267</v>
      </c>
    </row>
    <row r="499" spans="2:14">
      <c r="B499" s="92" t="s">
        <v>138</v>
      </c>
      <c r="C499" s="91" t="s">
        <v>2601</v>
      </c>
      <c r="D499" s="93">
        <v>302.5</v>
      </c>
      <c r="E499" s="93">
        <v>174</v>
      </c>
      <c r="F499" s="103">
        <f>IFERROR(INDEX(Tabella951[PLZ],MATCH(Tabella848[[#This Row],[Colonna2]],Tabella951[Ortschaftsname],0)), "Name not found")</f>
        <v>2747</v>
      </c>
      <c r="K499" s="68" t="s">
        <v>2602</v>
      </c>
      <c r="L499" s="21" t="s">
        <v>82</v>
      </c>
      <c r="M499" s="21" t="s">
        <v>2511</v>
      </c>
      <c r="N499" s="21" t="s">
        <v>90</v>
      </c>
    </row>
    <row r="500" spans="2:14">
      <c r="B500" s="92" t="s">
        <v>138</v>
      </c>
      <c r="C500" s="91" t="s">
        <v>2302</v>
      </c>
      <c r="D500" s="93">
        <v>302.5</v>
      </c>
      <c r="E500" s="93">
        <v>174</v>
      </c>
      <c r="F500" s="103">
        <f>IFERROR(INDEX(Tabella951[PLZ],MATCH(Tabella848[[#This Row],[Colonna2]],Tabella951[Ortschaftsname],0)), "Name not found")</f>
        <v>3662</v>
      </c>
      <c r="K500" s="94">
        <v>100000</v>
      </c>
      <c r="L500" s="11" t="s">
        <v>2512</v>
      </c>
      <c r="M500" s="11" t="s">
        <v>2525</v>
      </c>
      <c r="N500" s="11"/>
    </row>
    <row r="501" spans="2:14">
      <c r="B501" s="92" t="s">
        <v>138</v>
      </c>
      <c r="C501" s="91" t="s">
        <v>2274</v>
      </c>
      <c r="D501" s="93">
        <v>302.5</v>
      </c>
      <c r="E501" s="93">
        <v>194</v>
      </c>
      <c r="F501" s="103">
        <f>IFERROR(INDEX(Tabella951[PLZ],MATCH(Tabella848[[#This Row],[Colonna2]],Tabella951[Ortschaftsname],0)), "Name not found")</f>
        <v>3534</v>
      </c>
      <c r="K501" s="26"/>
      <c r="L501" s="4">
        <v>0</v>
      </c>
      <c r="M501" s="39">
        <v>1.7999999999999999E-2</v>
      </c>
      <c r="N501" s="4"/>
    </row>
    <row r="502" spans="2:14">
      <c r="B502" s="92" t="s">
        <v>138</v>
      </c>
      <c r="C502" s="91" t="s">
        <v>2225</v>
      </c>
      <c r="D502" s="93">
        <v>302.5</v>
      </c>
      <c r="E502" s="93">
        <v>166</v>
      </c>
      <c r="F502" s="103">
        <f>IFERROR(INDEX(Tabella951[PLZ],MATCH(Tabella848[[#This Row],[Colonna2]],Tabella951[Ortschaftsname],0)), "Name not found")</f>
        <v>3655</v>
      </c>
      <c r="K502" s="2"/>
      <c r="L502" s="4"/>
      <c r="M502" s="39"/>
      <c r="N502" s="4"/>
    </row>
    <row r="503" spans="2:14">
      <c r="B503" s="92" t="s">
        <v>138</v>
      </c>
      <c r="C503" s="91" t="s">
        <v>2431</v>
      </c>
      <c r="D503" s="93">
        <v>302.5</v>
      </c>
      <c r="E503" s="93">
        <v>180</v>
      </c>
      <c r="F503" s="103">
        <v>2577</v>
      </c>
      <c r="K503" s="2"/>
      <c r="L503" s="4"/>
      <c r="M503" s="39"/>
      <c r="N503" s="4"/>
    </row>
    <row r="504" spans="2:14">
      <c r="B504" s="92" t="s">
        <v>138</v>
      </c>
      <c r="C504" s="91" t="s">
        <v>2309</v>
      </c>
      <c r="D504" s="93">
        <v>302.5</v>
      </c>
      <c r="E504" s="93">
        <v>172</v>
      </c>
      <c r="F504" s="103">
        <f>IFERROR(INDEX(Tabella951[PLZ],MATCH(Tabella848[[#This Row],[Colonna2]],Tabella951[Ortschaftsname],0)), "Name not found")</f>
        <v>2605</v>
      </c>
      <c r="K504" s="2"/>
      <c r="L504" s="4"/>
      <c r="M504" s="39"/>
      <c r="N504" s="4"/>
    </row>
    <row r="505" spans="2:14">
      <c r="B505" s="92" t="s">
        <v>138</v>
      </c>
      <c r="C505" s="91" t="s">
        <v>2352</v>
      </c>
      <c r="D505" s="93">
        <v>302.5</v>
      </c>
      <c r="E505" s="93">
        <v>206.99999999999997</v>
      </c>
      <c r="F505" s="103">
        <f>IFERROR(INDEX(Tabella951[PLZ],MATCH(Tabella848[[#This Row],[Colonna2]],Tabella951[Ortschaftsname],0)), "Name not found")</f>
        <v>2615</v>
      </c>
      <c r="K505" s="2"/>
      <c r="L505" s="4"/>
      <c r="M505" s="39"/>
      <c r="N505" s="4"/>
    </row>
    <row r="506" spans="2:14">
      <c r="B506" s="92" t="s">
        <v>138</v>
      </c>
      <c r="C506" s="91" t="s">
        <v>2603</v>
      </c>
      <c r="D506" s="93">
        <v>302.5</v>
      </c>
      <c r="E506" s="93">
        <v>180</v>
      </c>
      <c r="F506" s="103">
        <f>IFERROR(INDEX(Tabella951[PLZ],MATCH(Tabella848[[#This Row],[Colonna2]],Tabella951[Ortschaftsname],0)), "Name not found")</f>
        <v>2736</v>
      </c>
      <c r="K506" s="2"/>
      <c r="L506" s="4"/>
      <c r="M506" s="39"/>
      <c r="N506" s="4"/>
    </row>
    <row r="507" spans="2:14">
      <c r="B507" s="92" t="s">
        <v>138</v>
      </c>
      <c r="C507" s="91" t="s">
        <v>2194</v>
      </c>
      <c r="D507" s="93">
        <v>302.5</v>
      </c>
      <c r="E507" s="93">
        <v>165</v>
      </c>
      <c r="F507" s="103">
        <f>IFERROR(INDEX(Tabella951[PLZ],MATCH(Tabella848[[#This Row],[Colonna2]],Tabella951[Ortschaftsname],0)), "Name not found")</f>
        <v>3700</v>
      </c>
      <c r="K507" s="2"/>
      <c r="L507" s="4"/>
      <c r="M507" s="39"/>
      <c r="N507" s="4"/>
    </row>
    <row r="508" spans="2:14">
      <c r="B508" s="92" t="s">
        <v>138</v>
      </c>
      <c r="C508" s="91" t="s">
        <v>2344</v>
      </c>
      <c r="D508" s="93">
        <v>302.5</v>
      </c>
      <c r="E508" s="93">
        <v>184</v>
      </c>
      <c r="F508" s="103">
        <f>IFERROR(INDEX(Tabella951[PLZ],MATCH(Tabella848[[#This Row],[Colonna2]],Tabella951[Ortschaftsname],0)), "Name not found")</f>
        <v>3772</v>
      </c>
      <c r="K508" s="2"/>
      <c r="L508" s="4"/>
      <c r="M508" s="39"/>
      <c r="N508" s="4"/>
    </row>
    <row r="509" spans="2:14">
      <c r="B509" s="92" t="s">
        <v>138</v>
      </c>
      <c r="C509" s="91" t="s">
        <v>2191</v>
      </c>
      <c r="D509" s="93">
        <v>302.5</v>
      </c>
      <c r="E509" s="93">
        <v>162</v>
      </c>
      <c r="F509" s="103">
        <f>IFERROR(INDEX(Tabella951[PLZ],MATCH(Tabella848[[#This Row],[Colonna2]],Tabella951[Ortschaftsname],0)), "Name not found")</f>
        <v>3612</v>
      </c>
      <c r="K509" s="2"/>
      <c r="L509" s="4"/>
      <c r="M509" s="39"/>
      <c r="N509" s="4"/>
    </row>
    <row r="510" spans="2:14">
      <c r="B510" s="92" t="s">
        <v>138</v>
      </c>
      <c r="C510" s="91" t="s">
        <v>2263</v>
      </c>
      <c r="D510" s="93">
        <v>302.5</v>
      </c>
      <c r="E510" s="93">
        <v>157</v>
      </c>
      <c r="F510" s="103">
        <f>IFERROR(INDEX(Tabella951[PLZ],MATCH(Tabella848[[#This Row],[Colonna2]],Tabella951[Ortschaftsname],0)), "Name not found")</f>
        <v>3066</v>
      </c>
      <c r="K510" s="2"/>
      <c r="L510" s="4"/>
      <c r="M510" s="39"/>
      <c r="N510" s="4"/>
    </row>
    <row r="511" spans="2:14">
      <c r="B511" s="92" t="s">
        <v>138</v>
      </c>
      <c r="C511" s="91" t="s">
        <v>2376</v>
      </c>
      <c r="D511" s="93">
        <v>302.5</v>
      </c>
      <c r="E511" s="93">
        <v>179</v>
      </c>
      <c r="F511" s="103">
        <v>3624</v>
      </c>
      <c r="K511" s="2"/>
      <c r="L511" s="4"/>
      <c r="M511" s="39"/>
      <c r="N511" s="4"/>
    </row>
    <row r="512" spans="2:14">
      <c r="B512" s="92" t="s">
        <v>138</v>
      </c>
      <c r="C512" s="91" t="s">
        <v>2258</v>
      </c>
      <c r="D512" s="93">
        <v>302.5</v>
      </c>
      <c r="E512" s="93">
        <v>172</v>
      </c>
      <c r="F512" s="103">
        <v>2557</v>
      </c>
      <c r="K512" s="2"/>
      <c r="L512" s="4"/>
      <c r="M512" s="39"/>
      <c r="N512" s="4"/>
    </row>
    <row r="513" spans="2:14">
      <c r="B513" s="92" t="s">
        <v>138</v>
      </c>
      <c r="C513" s="91" t="s">
        <v>2222</v>
      </c>
      <c r="D513" s="93">
        <v>302.5</v>
      </c>
      <c r="E513" s="93">
        <v>179</v>
      </c>
      <c r="F513" s="103">
        <f>IFERROR(INDEX(Tabella951[PLZ],MATCH(Tabella848[[#This Row],[Colonna2]],Tabella951[Ortschaftsname],0)), "Name not found")</f>
        <v>3454</v>
      </c>
      <c r="K513" s="2"/>
      <c r="L513" s="4"/>
      <c r="M513" s="39"/>
      <c r="N513" s="46"/>
    </row>
    <row r="514" spans="2:14">
      <c r="B514" s="92" t="s">
        <v>138</v>
      </c>
      <c r="C514" s="91" t="s">
        <v>2340</v>
      </c>
      <c r="D514" s="93">
        <v>302.5</v>
      </c>
      <c r="E514" s="93">
        <v>175</v>
      </c>
      <c r="F514" s="103">
        <v>2572</v>
      </c>
      <c r="K514" s="2"/>
      <c r="L514" s="4"/>
      <c r="M514" s="39"/>
      <c r="N514" s="46"/>
    </row>
    <row r="515" spans="2:14">
      <c r="B515" s="92" t="s">
        <v>138</v>
      </c>
      <c r="C515" s="91" t="s">
        <v>2248</v>
      </c>
      <c r="D515" s="93">
        <v>302.5</v>
      </c>
      <c r="E515" s="93">
        <v>192</v>
      </c>
      <c r="F515" s="103">
        <f>IFERROR(INDEX(Tabella951[PLZ],MATCH(Tabella848[[#This Row],[Colonna2]],Tabella951[Ortschaftsname],0)), "Name not found")</f>
        <v>2710</v>
      </c>
      <c r="K515" s="2"/>
      <c r="L515" s="4"/>
      <c r="M515" s="39"/>
      <c r="N515" s="46"/>
    </row>
    <row r="516" spans="2:14">
      <c r="B516" s="92" t="s">
        <v>138</v>
      </c>
      <c r="C516" s="91" t="s">
        <v>2604</v>
      </c>
      <c r="D516" s="93">
        <v>302.5</v>
      </c>
      <c r="E516" s="93">
        <v>180</v>
      </c>
      <c r="F516" s="103">
        <v>3623</v>
      </c>
      <c r="K516" s="2"/>
      <c r="L516" s="4"/>
      <c r="M516" s="39"/>
      <c r="N516" s="2"/>
    </row>
    <row r="517" spans="2:14">
      <c r="B517" s="92" t="s">
        <v>138</v>
      </c>
      <c r="C517" s="91" t="s">
        <v>2289</v>
      </c>
      <c r="D517" s="93">
        <v>302.5</v>
      </c>
      <c r="E517" s="93">
        <v>181</v>
      </c>
      <c r="F517" s="103">
        <f>IFERROR(INDEX(Tabella951[PLZ],MATCH(Tabella848[[#This Row],[Colonna2]],Tabella951[Ortschaftsname],0)), "Name not found")</f>
        <v>3634</v>
      </c>
      <c r="K517" s="2"/>
      <c r="L517" s="4"/>
      <c r="M517" s="39"/>
      <c r="N517" s="2"/>
    </row>
    <row r="518" spans="2:14">
      <c r="B518" s="92" t="s">
        <v>138</v>
      </c>
      <c r="C518" s="91" t="s">
        <v>2187</v>
      </c>
      <c r="D518" s="93">
        <v>302.5</v>
      </c>
      <c r="E518" s="93">
        <v>172</v>
      </c>
      <c r="F518" s="103">
        <f>IFERROR(INDEX(Tabella951[PLZ],MATCH(Tabella848[[#This Row],[Colonna2]],Tabella951[Ortschaftsname],0)), "Name not found")</f>
        <v>3600</v>
      </c>
      <c r="K518" s="2"/>
      <c r="L518" s="4"/>
      <c r="M518" s="39"/>
      <c r="N518" s="2"/>
    </row>
    <row r="519" spans="2:14">
      <c r="B519" s="92" t="s">
        <v>138</v>
      </c>
      <c r="C519" s="91" t="s">
        <v>2256</v>
      </c>
      <c r="D519" s="93">
        <v>302.5</v>
      </c>
      <c r="E519" s="93">
        <v>170</v>
      </c>
      <c r="F519" s="103">
        <f>IFERROR(INDEX(Tabella951[PLZ],MATCH(Tabella848[[#This Row],[Colonna2]],Tabella951[Ortschaftsname],0)), "Name not found")</f>
        <v>4922</v>
      </c>
      <c r="K519" s="2"/>
      <c r="L519" s="4"/>
      <c r="M519" s="39"/>
      <c r="N519" s="2"/>
    </row>
    <row r="520" spans="2:14">
      <c r="B520" s="92" t="s">
        <v>138</v>
      </c>
      <c r="C520" s="91" t="s">
        <v>2605</v>
      </c>
      <c r="D520" s="93">
        <v>302.5</v>
      </c>
      <c r="E520" s="93">
        <v>185</v>
      </c>
      <c r="F520" s="103">
        <v>3127</v>
      </c>
      <c r="K520" s="2"/>
      <c r="L520" s="4"/>
      <c r="M520" s="39"/>
      <c r="N520" s="2"/>
    </row>
    <row r="521" spans="2:14">
      <c r="B521" s="92" t="s">
        <v>138</v>
      </c>
      <c r="C521" s="91" t="s">
        <v>2365</v>
      </c>
      <c r="D521" s="93">
        <v>302.5</v>
      </c>
      <c r="E521" s="93">
        <v>175</v>
      </c>
      <c r="F521" s="103">
        <f>IFERROR(INDEX(Tabella951[PLZ],MATCH(Tabella848[[#This Row],[Colonna2]],Tabella951[Ortschaftsname],0)), "Name not found")</f>
        <v>3367</v>
      </c>
      <c r="K521" s="2"/>
      <c r="L521" s="4"/>
      <c r="M521" s="39"/>
      <c r="N521" s="2"/>
    </row>
    <row r="522" spans="2:14">
      <c r="B522" s="92" t="s">
        <v>138</v>
      </c>
      <c r="C522" s="91" t="s">
        <v>2280</v>
      </c>
      <c r="D522" s="93">
        <v>302.5</v>
      </c>
      <c r="E522" s="93">
        <v>160</v>
      </c>
      <c r="F522" s="103">
        <f>IFERROR(INDEX(Tabella951[PLZ],MATCH(Tabella848[[#This Row],[Colonna2]],Tabella951[Ortschaftsname],0)), "Name not found")</f>
        <v>3125</v>
      </c>
      <c r="K522" s="2"/>
      <c r="L522" s="36">
        <f>K500*$M$501</f>
        <v>1799.9999999999998</v>
      </c>
      <c r="M522" s="2"/>
      <c r="N522" s="2"/>
    </row>
    <row r="523" spans="2:14">
      <c r="B523" s="92" t="s">
        <v>138</v>
      </c>
      <c r="C523" s="91" t="s">
        <v>2383</v>
      </c>
      <c r="D523" s="93">
        <v>302.5</v>
      </c>
      <c r="E523" s="93">
        <v>188</v>
      </c>
      <c r="F523" s="103">
        <f>IFERROR(INDEX(Tabella951[PLZ],MATCH(Tabella848[[#This Row],[Colonna2]],Tabella951[Ortschaftsname],0)), "Name not found")</f>
        <v>3456</v>
      </c>
    </row>
    <row r="524" spans="2:14">
      <c r="B524" s="92" t="s">
        <v>138</v>
      </c>
      <c r="C524" s="91" t="s">
        <v>2228</v>
      </c>
      <c r="D524" s="93">
        <v>302.5</v>
      </c>
      <c r="E524" s="93">
        <v>194</v>
      </c>
      <c r="F524" s="103">
        <f>IFERROR(INDEX(Tabella951[PLZ],MATCH(Tabella848[[#This Row],[Colonna2]],Tabella951[Ortschaftsname],0)), "Name not found")</f>
        <v>2720</v>
      </c>
      <c r="K524" s="68" t="s">
        <v>2606</v>
      </c>
      <c r="L524" s="21" t="s">
        <v>82</v>
      </c>
      <c r="M524" s="21" t="s">
        <v>2511</v>
      </c>
      <c r="N524" s="21" t="s">
        <v>90</v>
      </c>
    </row>
    <row r="525" spans="2:14">
      <c r="B525" s="92" t="s">
        <v>138</v>
      </c>
      <c r="C525" s="91" t="s">
        <v>2468</v>
      </c>
      <c r="D525" s="93">
        <v>302.5</v>
      </c>
      <c r="E525" s="93">
        <v>140</v>
      </c>
      <c r="F525" s="103">
        <f>IFERROR(INDEX(Tabella951[PLZ],MATCH(Tabella848[[#This Row],[Colonna2]],Tabella951[Ortschaftsname],0)), "Name not found")</f>
        <v>3226</v>
      </c>
      <c r="K525" s="94">
        <v>100000</v>
      </c>
      <c r="L525" s="11" t="s">
        <v>2512</v>
      </c>
      <c r="M525" s="11" t="s">
        <v>2513</v>
      </c>
      <c r="N525" s="11" t="s">
        <v>2514</v>
      </c>
    </row>
    <row r="526" spans="2:14">
      <c r="B526" s="92" t="s">
        <v>138</v>
      </c>
      <c r="C526" s="91" t="s">
        <v>2343</v>
      </c>
      <c r="D526" s="93">
        <v>302.5</v>
      </c>
      <c r="E526" s="93">
        <v>184</v>
      </c>
      <c r="F526" s="103">
        <f>IFERROR(INDEX(Tabella951[PLZ],MATCH(Tabella848[[#This Row],[Colonna2]],Tabella951[Ortschaftsname],0)), "Name not found")</f>
        <v>3556</v>
      </c>
      <c r="K526" s="26"/>
      <c r="L526" s="4">
        <v>0</v>
      </c>
      <c r="M526" s="4">
        <v>0</v>
      </c>
      <c r="N526" s="4">
        <v>0</v>
      </c>
    </row>
    <row r="527" spans="2:14">
      <c r="B527" s="92" t="s">
        <v>138</v>
      </c>
      <c r="C527" s="91" t="s">
        <v>2333</v>
      </c>
      <c r="D527" s="93">
        <v>302.5</v>
      </c>
      <c r="E527" s="93">
        <v>199</v>
      </c>
      <c r="F527" s="103">
        <f>IFERROR(INDEX(Tabella951[PLZ],MATCH(Tabella848[[#This Row],[Colonna2]],Tabella951[Ortschaftsname],0)), "Name not found")</f>
        <v>3555</v>
      </c>
      <c r="K527" s="2"/>
      <c r="L527" s="4">
        <v>6300</v>
      </c>
      <c r="M527" s="4">
        <v>0</v>
      </c>
      <c r="N527" s="4">
        <v>1</v>
      </c>
    </row>
    <row r="528" spans="2:14">
      <c r="B528" s="92" t="s">
        <v>138</v>
      </c>
      <c r="C528" s="91" t="s">
        <v>2461</v>
      </c>
      <c r="D528" s="93">
        <v>302.5</v>
      </c>
      <c r="E528" s="93">
        <v>159</v>
      </c>
      <c r="F528" s="103">
        <f>IFERROR(INDEX(Tabella951[PLZ],MATCH(Tabella848[[#This Row],[Colonna2]],Tabella951[Ortschaftsname],0)), "Name not found")</f>
        <v>3233</v>
      </c>
      <c r="K528" s="2"/>
      <c r="L528" s="4">
        <v>6600</v>
      </c>
      <c r="M528" s="4">
        <v>3</v>
      </c>
      <c r="N528" s="4">
        <v>2</v>
      </c>
    </row>
    <row r="529" spans="2:14">
      <c r="B529" s="92" t="s">
        <v>138</v>
      </c>
      <c r="C529" s="91" t="s">
        <v>2362</v>
      </c>
      <c r="D529" s="93">
        <v>302.5</v>
      </c>
      <c r="E529" s="93">
        <v>165</v>
      </c>
      <c r="F529" s="103">
        <v>2513</v>
      </c>
      <c r="K529" s="2"/>
      <c r="L529" s="4">
        <v>8300</v>
      </c>
      <c r="M529" s="4">
        <v>37</v>
      </c>
      <c r="N529" s="4">
        <v>3</v>
      </c>
    </row>
    <row r="530" spans="2:14">
      <c r="B530" s="92" t="s">
        <v>138</v>
      </c>
      <c r="C530" s="91" t="s">
        <v>2272</v>
      </c>
      <c r="D530" s="93">
        <v>302.5</v>
      </c>
      <c r="E530" s="93">
        <v>159</v>
      </c>
      <c r="F530" s="103">
        <f>IFERROR(INDEX(Tabella951[PLZ],MATCH(Tabella848[[#This Row],[Colonna2]],Tabella951[Ortschaftsname],0)), "Name not found")</f>
        <v>2575</v>
      </c>
      <c r="K530" s="2"/>
      <c r="L530" s="4">
        <v>10400</v>
      </c>
      <c r="M530" s="4">
        <v>100</v>
      </c>
      <c r="N530" s="4">
        <v>4</v>
      </c>
    </row>
    <row r="531" spans="2:14">
      <c r="B531" s="92" t="s">
        <v>138</v>
      </c>
      <c r="C531" s="91" t="s">
        <v>2411</v>
      </c>
      <c r="D531" s="93">
        <v>302.5</v>
      </c>
      <c r="E531" s="93">
        <v>200</v>
      </c>
      <c r="F531" s="103">
        <f>IFERROR(INDEX(Tabella951[PLZ],MATCH(Tabella848[[#This Row],[Colonna2]],Tabella951[Ortschaftsname],0)), "Name not found")</f>
        <v>3635</v>
      </c>
      <c r="K531" s="2"/>
      <c r="L531" s="4">
        <v>12700</v>
      </c>
      <c r="M531" s="4">
        <v>192</v>
      </c>
      <c r="N531" s="4">
        <v>5</v>
      </c>
    </row>
    <row r="532" spans="2:14">
      <c r="B532" s="92" t="s">
        <v>138</v>
      </c>
      <c r="C532" s="91" t="s">
        <v>2212</v>
      </c>
      <c r="D532" s="93">
        <v>302.5</v>
      </c>
      <c r="E532" s="93">
        <v>148</v>
      </c>
      <c r="F532" s="103">
        <f>IFERROR(INDEX(Tabella951[PLZ],MATCH(Tabella848[[#This Row],[Colonna2]],Tabella951[Ortschaftsname],0)), "Name not found")</f>
        <v>3661</v>
      </c>
      <c r="K532" s="2"/>
      <c r="L532" s="4">
        <v>20600</v>
      </c>
      <c r="M532" s="4">
        <v>587</v>
      </c>
      <c r="N532" s="4">
        <v>6</v>
      </c>
    </row>
    <row r="533" spans="2:14">
      <c r="B533" s="92" t="s">
        <v>138</v>
      </c>
      <c r="C533" s="91" t="s">
        <v>2379</v>
      </c>
      <c r="D533" s="93">
        <v>302.5</v>
      </c>
      <c r="E533" s="93">
        <v>175</v>
      </c>
      <c r="F533" s="103">
        <f>IFERROR(INDEX(Tabella951[PLZ],MATCH(Tabella848[[#This Row],[Colonna2]],Tabella951[Ortschaftsname],0)), "Name not found")</f>
        <v>3614</v>
      </c>
      <c r="K533" s="2"/>
      <c r="L533" s="4">
        <v>28500</v>
      </c>
      <c r="M533" s="4">
        <v>1061</v>
      </c>
      <c r="N533" s="4">
        <v>7</v>
      </c>
    </row>
    <row r="534" spans="2:14">
      <c r="B534" s="92" t="s">
        <v>138</v>
      </c>
      <c r="C534" s="91" t="s">
        <v>2214</v>
      </c>
      <c r="D534" s="93">
        <v>302.5</v>
      </c>
      <c r="E534" s="93">
        <v>170</v>
      </c>
      <c r="F534" s="103">
        <f>IFERROR(INDEX(Tabella951[PLZ],MATCH(Tabella848[[#This Row],[Colonna2]],Tabella951[Ortschaftsname],0)), "Name not found")</f>
        <v>3800</v>
      </c>
      <c r="K534" s="2"/>
      <c r="L534" s="4">
        <v>36400</v>
      </c>
      <c r="M534" s="4">
        <v>1614</v>
      </c>
      <c r="N534" s="4">
        <v>8</v>
      </c>
    </row>
    <row r="535" spans="2:14">
      <c r="B535" s="92" t="s">
        <v>138</v>
      </c>
      <c r="C535" s="91" t="s">
        <v>2388</v>
      </c>
      <c r="D535" s="93">
        <v>302.5</v>
      </c>
      <c r="E535" s="93">
        <v>175</v>
      </c>
      <c r="F535" s="103">
        <f>IFERROR(INDEX(Tabella951[PLZ],MATCH(Tabella848[[#This Row],[Colonna2]],Tabella951[Ortschaftsname],0)), "Name not found")</f>
        <v>4937</v>
      </c>
      <c r="K535" s="2"/>
      <c r="L535" s="4">
        <v>44300</v>
      </c>
      <c r="M535" s="4">
        <v>2246</v>
      </c>
      <c r="N535" s="4">
        <v>9</v>
      </c>
    </row>
    <row r="536" spans="2:14">
      <c r="B536" s="92" t="s">
        <v>138</v>
      </c>
      <c r="C536" s="91" t="s">
        <v>2211</v>
      </c>
      <c r="D536" s="93">
        <v>302.5</v>
      </c>
      <c r="E536" s="93">
        <v>150</v>
      </c>
      <c r="F536" s="103">
        <f>IFERROR(INDEX(Tabella951[PLZ],MATCH(Tabella848[[#This Row],[Colonna2]],Tabella951[Ortschaftsname],0)), "Name not found")</f>
        <v>3322</v>
      </c>
      <c r="K536" s="2"/>
      <c r="L536" s="4">
        <v>56900</v>
      </c>
      <c r="M536" s="4">
        <v>3380</v>
      </c>
      <c r="N536" s="4">
        <v>10</v>
      </c>
    </row>
    <row r="537" spans="2:14">
      <c r="B537" s="92" t="s">
        <v>138</v>
      </c>
      <c r="C537" s="91" t="s">
        <v>2607</v>
      </c>
      <c r="D537" s="93">
        <v>302.5</v>
      </c>
      <c r="E537" s="93">
        <v>163</v>
      </c>
      <c r="F537" s="103">
        <f>IFERROR(INDEX(Tabella951[PLZ],MATCH(Tabella848[[#This Row],[Colonna2]],Tabella951[Ortschaftsname],0)), "Name not found")</f>
        <v>3628</v>
      </c>
      <c r="K537" s="2"/>
      <c r="L537" s="4">
        <v>69500</v>
      </c>
      <c r="M537" s="4">
        <v>4640</v>
      </c>
      <c r="N537" s="4">
        <v>11</v>
      </c>
    </row>
    <row r="538" spans="2:14">
      <c r="B538" s="92" t="s">
        <v>138</v>
      </c>
      <c r="C538" s="91" t="s">
        <v>2233</v>
      </c>
      <c r="D538" s="93">
        <v>302.5</v>
      </c>
      <c r="E538" s="93">
        <v>172</v>
      </c>
      <c r="F538" s="103">
        <f>IFERROR(INDEX(Tabella951[PLZ],MATCH(Tabella848[[#This Row],[Colonna2]],Tabella951[Ortschaftsname],0)), "Name not found")</f>
        <v>3427</v>
      </c>
      <c r="K538" s="2"/>
      <c r="L538" s="46">
        <v>141000</v>
      </c>
      <c r="M538" s="46">
        <v>12505</v>
      </c>
      <c r="N538" s="46">
        <v>12</v>
      </c>
    </row>
    <row r="539" spans="2:14">
      <c r="B539" s="92" t="s">
        <v>138</v>
      </c>
      <c r="C539" s="91" t="s">
        <v>2243</v>
      </c>
      <c r="D539" s="93">
        <v>302.5</v>
      </c>
      <c r="E539" s="93">
        <v>200</v>
      </c>
      <c r="F539" s="103">
        <v>2732</v>
      </c>
      <c r="K539" s="2"/>
      <c r="L539" s="46">
        <v>210100</v>
      </c>
      <c r="M539" s="46">
        <v>20797</v>
      </c>
      <c r="N539" s="46">
        <v>9.9</v>
      </c>
    </row>
    <row r="540" spans="2:14">
      <c r="B540" s="92" t="s">
        <v>138</v>
      </c>
      <c r="C540" s="91" t="s">
        <v>2219</v>
      </c>
      <c r="D540" s="93">
        <v>302.5</v>
      </c>
      <c r="E540" s="93">
        <v>154</v>
      </c>
      <c r="F540" s="103">
        <v>3067</v>
      </c>
      <c r="K540" s="2"/>
      <c r="L540" s="46">
        <v>210200</v>
      </c>
      <c r="M540" s="46">
        <v>20807</v>
      </c>
      <c r="N540" s="46">
        <v>9.9</v>
      </c>
    </row>
    <row r="541" spans="2:14">
      <c r="B541" s="92" t="s">
        <v>138</v>
      </c>
      <c r="C541" s="91" t="s">
        <v>2385</v>
      </c>
      <c r="D541" s="93">
        <v>302.5</v>
      </c>
      <c r="E541" s="93">
        <v>179</v>
      </c>
      <c r="F541" s="103">
        <f>IFERROR(INDEX(Tabella951[PLZ],MATCH(Tabella848[[#This Row],[Colonna2]],Tabella951[Ortschaftsname],0)), "Name not found")</f>
        <v>2613</v>
      </c>
      <c r="K541" s="2"/>
      <c r="L541" s="46"/>
      <c r="M541" s="4"/>
      <c r="N541" s="4"/>
    </row>
    <row r="542" spans="2:14">
      <c r="B542" s="92" t="s">
        <v>138</v>
      </c>
      <c r="C542" s="91" t="s">
        <v>2394</v>
      </c>
      <c r="D542" s="93">
        <v>302.5</v>
      </c>
      <c r="E542" s="93">
        <v>169</v>
      </c>
      <c r="F542" s="103">
        <f>IFERROR(INDEX(Tabella951[PLZ],MATCH(Tabella848[[#This Row],[Colonna2]],Tabella951[Ortschaftsname],0)), "Name not found")</f>
        <v>3234</v>
      </c>
      <c r="K542" s="2"/>
      <c r="L542" s="46"/>
      <c r="M542" s="46"/>
      <c r="N542" s="46"/>
    </row>
    <row r="543" spans="2:14">
      <c r="B543" s="92" t="s">
        <v>138</v>
      </c>
      <c r="C543" s="91" t="s">
        <v>2608</v>
      </c>
      <c r="D543" s="93">
        <v>302.5</v>
      </c>
      <c r="E543" s="93">
        <v>184</v>
      </c>
      <c r="F543" s="103">
        <v>3618</v>
      </c>
      <c r="K543" s="2"/>
      <c r="L543" s="46"/>
      <c r="M543" s="46"/>
      <c r="N543" s="46"/>
    </row>
    <row r="544" spans="2:14">
      <c r="B544" s="92" t="s">
        <v>138</v>
      </c>
      <c r="C544" s="91" t="s">
        <v>2360</v>
      </c>
      <c r="D544" s="93">
        <v>302.5</v>
      </c>
      <c r="E544" s="93">
        <v>169</v>
      </c>
      <c r="F544" s="103">
        <v>3086</v>
      </c>
      <c r="K544" s="2"/>
      <c r="L544" s="46"/>
      <c r="M544" s="46"/>
      <c r="N544" s="46"/>
    </row>
    <row r="545" spans="2:14">
      <c r="B545" s="92" t="s">
        <v>138</v>
      </c>
      <c r="C545" s="91" t="s">
        <v>2315</v>
      </c>
      <c r="D545" s="93">
        <v>302.5</v>
      </c>
      <c r="E545" s="93">
        <v>189</v>
      </c>
      <c r="F545" s="103">
        <f>IFERROR(INDEX(Tabella951[PLZ],MATCH(Tabella848[[#This Row],[Colonna2]],Tabella951[Ortschaftsname],0)), "Name not found")</f>
        <v>3512</v>
      </c>
      <c r="K545" s="2"/>
      <c r="L545" s="46"/>
      <c r="M545" s="46"/>
      <c r="N545" s="46"/>
    </row>
    <row r="546" spans="2:14">
      <c r="B546" s="92" t="s">
        <v>138</v>
      </c>
      <c r="C546" s="91" t="s">
        <v>2609</v>
      </c>
      <c r="D546" s="93">
        <v>302.5</v>
      </c>
      <c r="E546" s="93">
        <v>90</v>
      </c>
      <c r="F546" s="103">
        <v>3380</v>
      </c>
      <c r="K546" s="2"/>
      <c r="L546" s="46"/>
      <c r="M546" s="46"/>
      <c r="N546" s="46"/>
    </row>
    <row r="547" spans="2:14">
      <c r="B547" s="92" t="s">
        <v>138</v>
      </c>
      <c r="C547" s="91" t="s">
        <v>2426</v>
      </c>
      <c r="D547" s="93">
        <v>302.5</v>
      </c>
      <c r="E547" s="93">
        <v>150</v>
      </c>
      <c r="F547" s="103">
        <v>3377</v>
      </c>
      <c r="K547" s="2"/>
      <c r="L547" s="46"/>
      <c r="M547" s="46"/>
      <c r="N547" s="46"/>
    </row>
    <row r="548" spans="2:14">
      <c r="B548" s="92" t="s">
        <v>138</v>
      </c>
      <c r="C548" s="91" t="s">
        <v>2375</v>
      </c>
      <c r="D548" s="93">
        <v>302.5</v>
      </c>
      <c r="E548" s="93">
        <v>165</v>
      </c>
      <c r="F548" s="103">
        <f>IFERROR(INDEX(Tabella951[PLZ],MATCH(Tabella848[[#This Row],[Colonna2]],Tabella951[Ortschaftsname],0)), "Name not found")</f>
        <v>3272</v>
      </c>
      <c r="K548" s="2"/>
      <c r="L548" s="46"/>
      <c r="M548" s="46"/>
      <c r="N548" s="46"/>
    </row>
    <row r="549" spans="2:14">
      <c r="B549" s="92" t="s">
        <v>138</v>
      </c>
      <c r="C549" s="91" t="s">
        <v>2439</v>
      </c>
      <c r="D549" s="93">
        <v>302.5</v>
      </c>
      <c r="E549" s="93">
        <v>186</v>
      </c>
      <c r="F549" s="103">
        <v>4944</v>
      </c>
      <c r="K549" s="2"/>
      <c r="L549" s="46"/>
      <c r="M549" s="46"/>
      <c r="N549" s="46"/>
    </row>
    <row r="550" spans="2:14">
      <c r="B550" s="92" t="s">
        <v>138</v>
      </c>
      <c r="C550" s="91" t="s">
        <v>2297</v>
      </c>
      <c r="D550" s="93">
        <v>302.5</v>
      </c>
      <c r="E550" s="93">
        <v>168</v>
      </c>
      <c r="F550" s="103">
        <f>IFERROR(INDEX(Tabella951[PLZ],MATCH(Tabella848[[#This Row],[Colonna2]],Tabella951[Ortschaftsname],0)), "Name not found")</f>
        <v>3380</v>
      </c>
      <c r="K550" s="2"/>
      <c r="L550" s="46"/>
      <c r="M550" s="46"/>
      <c r="N550" s="46"/>
    </row>
    <row r="551" spans="2:14">
      <c r="B551" s="92" t="s">
        <v>138</v>
      </c>
      <c r="C551" s="91" t="s">
        <v>2271</v>
      </c>
      <c r="D551" s="93">
        <v>302.5</v>
      </c>
      <c r="E551" s="93">
        <v>194</v>
      </c>
      <c r="F551" s="103">
        <f>IFERROR(INDEX(Tabella951[PLZ],MATCH(Tabella848[[#This Row],[Colonna2]],Tabella951[Ortschaftsname],0)), "Name not found")</f>
        <v>3665</v>
      </c>
      <c r="K551" s="2"/>
      <c r="L551" s="46"/>
      <c r="M551" s="4"/>
      <c r="N551" s="4"/>
    </row>
    <row r="552" spans="2:14">
      <c r="B552" s="92" t="s">
        <v>138</v>
      </c>
      <c r="C552" s="91" t="s">
        <v>2422</v>
      </c>
      <c r="D552" s="93">
        <v>302.5</v>
      </c>
      <c r="E552" s="93">
        <v>185</v>
      </c>
      <c r="F552" s="103">
        <v>3251</v>
      </c>
      <c r="K552" s="2"/>
      <c r="L552" s="36">
        <f>IF(K525&lt;$L$527,$M$526,IF(K525&lt;$L$528,$M$527+((K525-$L$527)/100)*$N$527,IF(K525&lt;$L$529,$M$528+((K525-$L$528)/100)*$N$528,IF(K525&lt;$L$530,$M$529+((K525-$L$529)/100)*$N$529,IF(K525&lt;$L$531,$M$530+((K525-$L$530)/100)*$N$530,IF(K525&lt;$L$532,$M$531+((K525-$L$531)/100)*$N$531,IF(K525&lt;$L$533,$M$532+((K525-$L$532)/100)*$N$532,IF(K525&lt;$L$534,$M$533+((K525-$L$533)/100)*$N$533,IF(K525&lt;$L$535,$M$534+((K525-$L$534)/100)*$N$534,IF(K525&lt;$L$536,$M$535+((K525-$L$535)/100)*$N$535,IF(K525&lt;$L$537,$M$536+((K525-$L$536)/100)*$N$536,IF(K525&lt;$L$538,$M$537+((K525-$L$537)/100)*$N$537,IF(K525&lt;$L$539,$M$538+((K525-$L$538)/100)*$N$538,IF(K525&lt;$L$540,$M$539+((K525-$L$539)/100)*$N$539,IF(K525&gt;=$L$540,$M$540+((K525-$L$540)/100)*$N$540)))))))))))))))</f>
        <v>7995</v>
      </c>
      <c r="M552" s="2"/>
      <c r="N552" s="2"/>
    </row>
    <row r="553" spans="2:14">
      <c r="B553" s="92" t="s">
        <v>138</v>
      </c>
      <c r="C553" s="91" t="s">
        <v>2232</v>
      </c>
      <c r="D553" s="93">
        <v>302.5</v>
      </c>
      <c r="E553" s="93">
        <v>154</v>
      </c>
      <c r="F553" s="103">
        <f>IFERROR(INDEX(Tabella951[PLZ],MATCH(Tabella848[[#This Row],[Colonna2]],Tabella951[Ortschaftsname],0)), "Name not found")</f>
        <v>3114</v>
      </c>
    </row>
    <row r="554" spans="2:14">
      <c r="B554" s="92" t="s">
        <v>138</v>
      </c>
      <c r="C554" s="91" t="s">
        <v>2295</v>
      </c>
      <c r="D554" s="93">
        <v>302.5</v>
      </c>
      <c r="E554" s="93">
        <v>167</v>
      </c>
      <c r="F554" s="103">
        <f>IFERROR(INDEX(Tabella951[PLZ],MATCH(Tabella848[[#This Row],[Colonna2]],Tabella951[Ortschaftsname],0)), "Name not found")</f>
        <v>4537</v>
      </c>
      <c r="K554" s="68" t="s">
        <v>2610</v>
      </c>
      <c r="L554" s="21" t="s">
        <v>82</v>
      </c>
      <c r="M554" s="21" t="s">
        <v>2511</v>
      </c>
      <c r="N554" s="21" t="s">
        <v>90</v>
      </c>
    </row>
    <row r="555" spans="2:14">
      <c r="B555" s="92" t="s">
        <v>138</v>
      </c>
      <c r="C555" s="91" t="s">
        <v>2611</v>
      </c>
      <c r="D555" s="93">
        <v>302.5</v>
      </c>
      <c r="E555" s="93">
        <v>140</v>
      </c>
      <c r="F555" s="103">
        <f>IFERROR(INDEX(Tabella951[PLZ],MATCH(Tabella848[[#This Row],[Colonna2]],Tabella951[Ortschaftsname],0)), "Name not found")</f>
        <v>3053</v>
      </c>
      <c r="K555" s="94">
        <v>100000</v>
      </c>
      <c r="L555" s="11" t="s">
        <v>2512</v>
      </c>
      <c r="M555" s="11" t="s">
        <v>2513</v>
      </c>
      <c r="N555" s="11" t="s">
        <v>2514</v>
      </c>
    </row>
    <row r="556" spans="2:14">
      <c r="B556" s="92" t="s">
        <v>138</v>
      </c>
      <c r="C556" s="91" t="s">
        <v>2275</v>
      </c>
      <c r="D556" s="93">
        <v>302.5</v>
      </c>
      <c r="E556" s="93">
        <v>169</v>
      </c>
      <c r="F556" s="103">
        <f>IFERROR(INDEX(Tabella951[PLZ],MATCH(Tabella848[[#This Row],[Colonna2]],Tabella951[Ortschaftsname],0)), "Name not found")</f>
        <v>3812</v>
      </c>
      <c r="K556" s="26"/>
      <c r="L556" s="4">
        <v>0</v>
      </c>
      <c r="M556" s="4">
        <v>0</v>
      </c>
      <c r="N556" s="4">
        <v>0</v>
      </c>
    </row>
    <row r="557" spans="2:14">
      <c r="B557" s="92" t="s">
        <v>138</v>
      </c>
      <c r="C557" s="91" t="s">
        <v>2387</v>
      </c>
      <c r="D557" s="93">
        <v>302.5</v>
      </c>
      <c r="E557" s="93">
        <v>170</v>
      </c>
      <c r="F557" s="103">
        <v>3428</v>
      </c>
      <c r="K557" s="2"/>
      <c r="L557" s="4">
        <v>12000</v>
      </c>
      <c r="M557" s="4">
        <v>0</v>
      </c>
      <c r="N557" s="4">
        <v>4.5</v>
      </c>
    </row>
    <row r="558" spans="2:14">
      <c r="B558" s="92" t="s">
        <v>138</v>
      </c>
      <c r="C558" s="91" t="s">
        <v>2612</v>
      </c>
      <c r="D558" s="93">
        <v>302.5</v>
      </c>
      <c r="E558" s="93">
        <v>160</v>
      </c>
      <c r="F558" s="103">
        <f>IFERROR(INDEX(Tabella951[PLZ],MATCH(Tabella848[[#This Row],[Colonna2]],Tabella951[Ortschaftsname],0)), "Name not found")</f>
        <v>3207</v>
      </c>
      <c r="K558" s="2"/>
      <c r="L558" s="4">
        <v>16000</v>
      </c>
      <c r="M558" s="4">
        <v>180</v>
      </c>
      <c r="N558" s="4">
        <v>5</v>
      </c>
    </row>
    <row r="559" spans="2:14">
      <c r="B559" s="92" t="s">
        <v>138</v>
      </c>
      <c r="C559" s="91" t="s">
        <v>2613</v>
      </c>
      <c r="D559" s="93">
        <v>302.5</v>
      </c>
      <c r="E559" s="93">
        <v>169</v>
      </c>
      <c r="F559" s="103">
        <f>IFERROR(INDEX(Tabella951[PLZ],MATCH(Tabella848[[#This Row],[Colonna2]],Tabella951[Ortschaftsname],0)), "Name not found")</f>
        <v>3425</v>
      </c>
      <c r="K559" s="2"/>
      <c r="L559" s="4">
        <v>20000</v>
      </c>
      <c r="M559" s="4">
        <v>380</v>
      </c>
      <c r="N559" s="4">
        <v>6.5</v>
      </c>
    </row>
    <row r="560" spans="2:14">
      <c r="B560" s="92" t="s">
        <v>138</v>
      </c>
      <c r="C560" s="91" t="s">
        <v>2287</v>
      </c>
      <c r="D560" s="93">
        <v>302.5</v>
      </c>
      <c r="E560" s="93">
        <v>157</v>
      </c>
      <c r="F560" s="103">
        <f>IFERROR(INDEX(Tabella951[PLZ],MATCH(Tabella848[[#This Row],[Colonna2]],Tabella951[Ortschaftsname],0)), "Name not found")</f>
        <v>3752</v>
      </c>
      <c r="K560" s="2"/>
      <c r="L560" s="4">
        <v>23000</v>
      </c>
      <c r="M560" s="4">
        <v>575</v>
      </c>
      <c r="N560" s="4">
        <v>8</v>
      </c>
    </row>
    <row r="561" spans="2:14">
      <c r="B561" s="92" t="s">
        <v>138</v>
      </c>
      <c r="C561" s="91" t="s">
        <v>2202</v>
      </c>
      <c r="D561" s="93">
        <v>302.5</v>
      </c>
      <c r="E561" s="93">
        <v>154</v>
      </c>
      <c r="F561" s="103">
        <v>3033</v>
      </c>
      <c r="K561" s="2"/>
      <c r="L561" s="4">
        <v>25000</v>
      </c>
      <c r="M561" s="4">
        <v>735</v>
      </c>
      <c r="N561" s="4">
        <v>9</v>
      </c>
    </row>
    <row r="562" spans="2:14">
      <c r="B562" s="92" t="s">
        <v>138</v>
      </c>
      <c r="C562" s="91" t="s">
        <v>2197</v>
      </c>
      <c r="D562" s="93">
        <v>302.5</v>
      </c>
      <c r="E562" s="93">
        <v>170</v>
      </c>
      <c r="F562" s="103">
        <f>IFERROR(INDEX(Tabella951[PLZ],MATCH(Tabella848[[#This Row],[Colonna2]],Tabella951[Ortschaftsname],0)), "Name not found")</f>
        <v>3076</v>
      </c>
      <c r="K562" s="2"/>
      <c r="L562" s="4">
        <v>28000</v>
      </c>
      <c r="M562" s="4">
        <v>1005</v>
      </c>
      <c r="N562" s="4">
        <v>9.5</v>
      </c>
    </row>
    <row r="563" spans="2:14">
      <c r="B563" s="92" t="s">
        <v>138</v>
      </c>
      <c r="C563" s="91" t="s">
        <v>2299</v>
      </c>
      <c r="D563" s="93">
        <v>302.5</v>
      </c>
      <c r="E563" s="93">
        <v>160</v>
      </c>
      <c r="F563" s="103">
        <f>IFERROR(INDEX(Tabella951[PLZ],MATCH(Tabella848[[#This Row],[Colonna2]],Tabella951[Ortschaftsname],0)), "Name not found")</f>
        <v>3252</v>
      </c>
      <c r="K563" s="2"/>
      <c r="L563" s="4">
        <v>39000</v>
      </c>
      <c r="M563" s="4">
        <v>2050</v>
      </c>
      <c r="N563" s="4">
        <v>10</v>
      </c>
    </row>
    <row r="564" spans="2:14">
      <c r="B564" s="92" t="s">
        <v>138</v>
      </c>
      <c r="C564" s="91" t="s">
        <v>2321</v>
      </c>
      <c r="D564" s="93">
        <v>302.5</v>
      </c>
      <c r="E564" s="93">
        <v>180</v>
      </c>
      <c r="F564" s="103">
        <f>IFERROR(INDEX(Tabella951[PLZ],MATCH(Tabella848[[#This Row],[Colonna2]],Tabella951[Ortschaftsname],0)), "Name not found")</f>
        <v>4923</v>
      </c>
      <c r="K564" s="2"/>
      <c r="L564" s="4">
        <v>54000</v>
      </c>
      <c r="M564" s="4">
        <v>3550</v>
      </c>
      <c r="N564" s="4">
        <v>10.5</v>
      </c>
    </row>
    <row r="565" spans="2:14">
      <c r="B565" s="92" t="s">
        <v>138</v>
      </c>
      <c r="C565" s="91" t="s">
        <v>2308</v>
      </c>
      <c r="D565" s="93">
        <v>302.5</v>
      </c>
      <c r="E565" s="93">
        <v>175</v>
      </c>
      <c r="F565" s="103">
        <f>IFERROR(INDEX(Tabella951[PLZ],MATCH(Tabella848[[#This Row],[Colonna2]],Tabella951[Ortschaftsname],0)), "Name not found")</f>
        <v>3472</v>
      </c>
      <c r="K565" s="2"/>
      <c r="L565" s="4">
        <v>98000</v>
      </c>
      <c r="M565" s="4">
        <v>8170</v>
      </c>
      <c r="N565" s="4">
        <v>11.5</v>
      </c>
    </row>
    <row r="566" spans="2:14">
      <c r="B566" s="92" t="s">
        <v>138</v>
      </c>
      <c r="C566" s="91" t="s">
        <v>2361</v>
      </c>
      <c r="D566" s="93">
        <v>302.5</v>
      </c>
      <c r="E566" s="93">
        <v>190</v>
      </c>
      <c r="F566" s="103">
        <f>IFERROR(INDEX(Tabella951[PLZ],MATCH(Tabella848[[#This Row],[Colonna2]],Tabella951[Ortschaftsname],0)), "Name not found")</f>
        <v>4954</v>
      </c>
      <c r="K566" s="2"/>
      <c r="L566" s="4">
        <v>310000</v>
      </c>
      <c r="M566" s="4">
        <v>32550</v>
      </c>
      <c r="N566" s="4">
        <v>10.5</v>
      </c>
    </row>
    <row r="567" spans="2:14">
      <c r="B567" s="92" t="s">
        <v>138</v>
      </c>
      <c r="C567" s="91" t="s">
        <v>2614</v>
      </c>
      <c r="D567" s="93">
        <v>302.5</v>
      </c>
      <c r="E567" s="93">
        <v>150</v>
      </c>
      <c r="F567" s="103">
        <f>IFERROR(INDEX(Tabella951[PLZ],MATCH(Tabella848[[#This Row],[Colonna2]],Tabella951[Ortschaftsname],0)), "Name not found")</f>
        <v>4564</v>
      </c>
      <c r="K567" s="2"/>
      <c r="L567" s="4"/>
      <c r="M567" s="4"/>
      <c r="N567" s="4"/>
    </row>
    <row r="568" spans="2:14">
      <c r="B568" s="92" t="s">
        <v>138</v>
      </c>
      <c r="C568" s="91" t="s">
        <v>2199</v>
      </c>
      <c r="D568" s="93">
        <v>302.5</v>
      </c>
      <c r="E568" s="93">
        <v>140</v>
      </c>
      <c r="F568" s="103">
        <f>IFERROR(INDEX(Tabella951[PLZ],MATCH(Tabella848[[#This Row],[Colonna2]],Tabella951[Ortschaftsname],0)), "Name not found")</f>
        <v>3052</v>
      </c>
      <c r="K568" s="2"/>
      <c r="L568" s="46"/>
      <c r="M568" s="46"/>
      <c r="N568" s="46"/>
    </row>
    <row r="569" spans="2:14">
      <c r="B569" s="92" t="s">
        <v>138</v>
      </c>
      <c r="C569" s="91" t="s">
        <v>2433</v>
      </c>
      <c r="D569" s="93">
        <v>302.5</v>
      </c>
      <c r="E569" s="93">
        <v>174</v>
      </c>
      <c r="F569" s="103">
        <v>3054</v>
      </c>
      <c r="K569" s="2"/>
      <c r="L569" s="46"/>
      <c r="M569" s="46"/>
      <c r="N569" s="46"/>
    </row>
    <row r="570" spans="2:14">
      <c r="B570" s="92" t="s">
        <v>138</v>
      </c>
      <c r="C570" s="91" t="s">
        <v>2266</v>
      </c>
      <c r="D570" s="93">
        <v>302.5</v>
      </c>
      <c r="E570" s="93">
        <v>180</v>
      </c>
      <c r="F570" s="103">
        <f>IFERROR(INDEX(Tabella951[PLZ],MATCH(Tabella848[[#This Row],[Colonna2]],Tabella951[Ortschaftsname],0)), "Name not found")</f>
        <v>3770</v>
      </c>
      <c r="K570" s="2"/>
      <c r="L570" s="46"/>
      <c r="M570" s="46"/>
      <c r="N570" s="46"/>
    </row>
    <row r="571" spans="2:14">
      <c r="B571" s="92" t="s">
        <v>138</v>
      </c>
      <c r="C571" s="91" t="s">
        <v>2323</v>
      </c>
      <c r="D571" s="93">
        <v>302.5</v>
      </c>
      <c r="E571" s="93">
        <v>189</v>
      </c>
      <c r="F571" s="103">
        <f>IFERROR(INDEX(Tabella951[PLZ],MATCH(Tabella848[[#This Row],[Colonna2]],Tabella951[Ortschaftsname],0)), "Name not found")</f>
        <v>3532</v>
      </c>
      <c r="K571" s="2"/>
      <c r="L571" s="46"/>
      <c r="M571" s="4"/>
      <c r="N571" s="4"/>
    </row>
    <row r="572" spans="2:14">
      <c r="B572" s="92" t="s">
        <v>140</v>
      </c>
      <c r="C572" s="91" t="s">
        <v>1278</v>
      </c>
      <c r="D572" s="93">
        <v>160</v>
      </c>
      <c r="E572" s="93">
        <v>195</v>
      </c>
      <c r="F572" s="103">
        <f>IFERROR(INDEX(Tabella951[PLZ],MATCH(Tabella848[[#This Row],[Colonna2]],Tabella951[Ortschaftsname],0)), "Name not found")</f>
        <v>6043</v>
      </c>
      <c r="K572" s="2"/>
      <c r="L572" s="46"/>
      <c r="M572" s="46"/>
      <c r="N572" s="46"/>
    </row>
    <row r="573" spans="2:14">
      <c r="B573" s="92" t="s">
        <v>140</v>
      </c>
      <c r="C573" s="91" t="s">
        <v>1327</v>
      </c>
      <c r="D573" s="93">
        <v>160</v>
      </c>
      <c r="E573" s="93">
        <v>180</v>
      </c>
      <c r="F573" s="103">
        <v>6287</v>
      </c>
      <c r="K573" s="2"/>
      <c r="L573" s="46"/>
      <c r="M573" s="46"/>
      <c r="N573" s="46"/>
    </row>
    <row r="574" spans="2:14">
      <c r="B574" s="92" t="s">
        <v>140</v>
      </c>
      <c r="C574" s="91" t="s">
        <v>1340</v>
      </c>
      <c r="D574" s="93">
        <v>160</v>
      </c>
      <c r="E574" s="93">
        <v>204.99999999999997</v>
      </c>
      <c r="F574" s="103">
        <f>IFERROR(INDEX(Tabella951[PLZ],MATCH(Tabella848[[#This Row],[Colonna2]],Tabella951[Ortschaftsname],0)), "Name not found")</f>
        <v>6248</v>
      </c>
      <c r="K574" s="2"/>
      <c r="L574" s="46"/>
      <c r="M574" s="46"/>
      <c r="N574" s="46"/>
    </row>
    <row r="575" spans="2:14">
      <c r="B575" s="92" t="s">
        <v>140</v>
      </c>
      <c r="C575" s="91" t="s">
        <v>1331</v>
      </c>
      <c r="D575" s="93">
        <v>160</v>
      </c>
      <c r="E575" s="93">
        <v>240</v>
      </c>
      <c r="F575" s="103">
        <f>IFERROR(INDEX(Tabella951[PLZ],MATCH(Tabella848[[#This Row],[Colonna2]],Tabella951[Ortschaftsname],0)), "Name not found")</f>
        <v>6147</v>
      </c>
      <c r="K575" s="2"/>
      <c r="L575" s="46"/>
      <c r="M575" s="4"/>
      <c r="N575" s="4"/>
    </row>
    <row r="576" spans="2:14">
      <c r="B576" s="92" t="s">
        <v>140</v>
      </c>
      <c r="C576" s="91" t="s">
        <v>1318</v>
      </c>
      <c r="D576" s="93">
        <v>160</v>
      </c>
      <c r="E576" s="93">
        <v>170</v>
      </c>
      <c r="F576" s="103">
        <f>IFERROR(INDEX(Tabella951[PLZ],MATCH(Tabella848[[#This Row],[Colonna2]],Tabella951[Ortschaftsname],0)), "Name not found")</f>
        <v>6246</v>
      </c>
      <c r="K576" s="2"/>
      <c r="L576" s="36">
        <f>IF(K555&lt;$L$557,$M$556,IF(K555&lt;$L$558,$M$557+((K555-$L$557)/100)*$N$557,IF(K555&lt;$L$559,$M$558+((K555-$L$558)/100)*$N$558,IF(K555&lt;$L$560,$M$559+((K555-$L$559)/100)*$N$559,IF(K555&lt;$L$561,$M$560+((K555-$L$560)/100)*$N$560,IF(K555&lt;$L$562,$M$561+((K555-$L$561)/100)*$N$561,IF(K555&lt;$L$563,$M$562+((K555-$L$562)/100)*$N$562,IF(K555&lt;$L$564,$M$563+((K555-$L$563)/100)*$N$563,IF(K555&lt;$L$565,$M$564+((K555-$L$564)/100)*$N$564,IF(K555&lt;$L$566,$M$565+((K555-$L$565)/100)*$N$565,IF(K555&gt;=$L$566,$M$566+((K555-$L$566)/100)*$N$566)))))))))))</f>
        <v>8400</v>
      </c>
      <c r="M576" s="2"/>
      <c r="N576" s="2"/>
    </row>
    <row r="577" spans="2:14">
      <c r="B577" s="92" t="s">
        <v>140</v>
      </c>
      <c r="C577" s="91" t="s">
        <v>1298</v>
      </c>
      <c r="D577" s="93">
        <v>160</v>
      </c>
      <c r="E577" s="93">
        <v>150</v>
      </c>
      <c r="F577" s="103">
        <f>IFERROR(INDEX(Tabella951[PLZ],MATCH(Tabella848[[#This Row],[Colonna2]],Tabella951[Ortschaftsname],0)), "Name not found")</f>
        <v>6275</v>
      </c>
    </row>
    <row r="578" spans="2:14">
      <c r="B578" s="92" t="s">
        <v>140</v>
      </c>
      <c r="C578" s="91" t="s">
        <v>1275</v>
      </c>
      <c r="D578" s="93">
        <v>160</v>
      </c>
      <c r="E578" s="93">
        <v>185</v>
      </c>
      <c r="F578" s="103">
        <f>IFERROR(INDEX(Tabella951[PLZ],MATCH(Tabella848[[#This Row],[Colonna2]],Tabella951[Ortschaftsname],0)), "Name not found")</f>
        <v>6215</v>
      </c>
      <c r="K578" s="68" t="s">
        <v>2615</v>
      </c>
      <c r="L578" s="21" t="s">
        <v>82</v>
      </c>
      <c r="M578" s="21" t="s">
        <v>2511</v>
      </c>
      <c r="N578" s="21" t="s">
        <v>90</v>
      </c>
    </row>
    <row r="579" spans="2:14">
      <c r="B579" s="92" t="s">
        <v>140</v>
      </c>
      <c r="C579" s="91" t="s">
        <v>1276</v>
      </c>
      <c r="D579" s="93">
        <v>160</v>
      </c>
      <c r="E579" s="93">
        <v>195</v>
      </c>
      <c r="F579" s="103">
        <f>IFERROR(INDEX(Tabella951[PLZ],MATCH(Tabella848[[#This Row],[Colonna2]],Tabella951[Ortschaftsname],0)), "Name not found")</f>
        <v>6033</v>
      </c>
      <c r="K579" s="94">
        <v>100000</v>
      </c>
      <c r="L579" s="11" t="s">
        <v>2512</v>
      </c>
      <c r="M579" s="11" t="s">
        <v>2513</v>
      </c>
      <c r="N579" s="11" t="s">
        <v>2514</v>
      </c>
    </row>
    <row r="580" spans="2:14">
      <c r="B580" s="92" t="s">
        <v>140</v>
      </c>
      <c r="C580" s="91" t="s">
        <v>1292</v>
      </c>
      <c r="D580" s="93">
        <v>160</v>
      </c>
      <c r="E580" s="93">
        <v>190</v>
      </c>
      <c r="F580" s="103">
        <f>IFERROR(INDEX(Tabella951[PLZ],MATCH(Tabella848[[#This Row],[Colonna2]],Tabella951[Ortschaftsname],0)), "Name not found")</f>
        <v>6018</v>
      </c>
      <c r="K580" s="26"/>
      <c r="L580" s="4">
        <v>0</v>
      </c>
      <c r="M580" s="4">
        <v>0</v>
      </c>
      <c r="N580" s="4">
        <v>0</v>
      </c>
    </row>
    <row r="581" spans="2:14">
      <c r="B581" s="92" t="s">
        <v>140</v>
      </c>
      <c r="C581" s="91" t="s">
        <v>1305</v>
      </c>
      <c r="D581" s="93">
        <v>160</v>
      </c>
      <c r="E581" s="93">
        <v>200</v>
      </c>
      <c r="F581" s="103">
        <f>IFERROR(INDEX(Tabella951[PLZ],MATCH(Tabella848[[#This Row],[Colonna2]],Tabella951[Ortschaftsname],0)), "Name not found")</f>
        <v>6233</v>
      </c>
      <c r="K581" s="2"/>
      <c r="L581" s="4">
        <v>12100</v>
      </c>
      <c r="M581" s="4">
        <v>0</v>
      </c>
      <c r="N581" s="4">
        <v>2</v>
      </c>
    </row>
    <row r="582" spans="2:14">
      <c r="B582" s="92" t="s">
        <v>140</v>
      </c>
      <c r="C582" s="91" t="s">
        <v>1277</v>
      </c>
      <c r="D582" s="93">
        <v>160</v>
      </c>
      <c r="E582" s="93">
        <v>175</v>
      </c>
      <c r="F582" s="103">
        <f>IFERROR(INDEX(Tabella951[PLZ],MATCH(Tabella848[[#This Row],[Colonna2]],Tabella951[Ortschaftsname],0)), "Name not found")</f>
        <v>6252</v>
      </c>
      <c r="K582" s="2"/>
      <c r="L582" s="4">
        <v>14500</v>
      </c>
      <c r="M582" s="4">
        <v>48</v>
      </c>
      <c r="N582" s="4">
        <v>3</v>
      </c>
    </row>
    <row r="583" spans="2:14">
      <c r="B583" s="92" t="s">
        <v>140</v>
      </c>
      <c r="C583" s="91" t="s">
        <v>1320</v>
      </c>
      <c r="D583" s="93">
        <v>160</v>
      </c>
      <c r="E583" s="93">
        <v>185</v>
      </c>
      <c r="F583" s="103">
        <f>IFERROR(INDEX(Tabella951[PLZ],MATCH(Tabella848[[#This Row],[Colonna2]],Tabella951[Ortschaftsname],0)), "Name not found")</f>
        <v>6036</v>
      </c>
      <c r="K583" s="2"/>
      <c r="L583" s="4">
        <v>16600</v>
      </c>
      <c r="M583" s="4">
        <v>111</v>
      </c>
      <c r="N583" s="4">
        <v>4</v>
      </c>
    </row>
    <row r="584" spans="2:14">
      <c r="B584" s="92" t="s">
        <v>140</v>
      </c>
      <c r="C584" s="91" t="s">
        <v>1336</v>
      </c>
      <c r="D584" s="93">
        <v>160</v>
      </c>
      <c r="E584" s="93">
        <v>229.99999999999997</v>
      </c>
      <c r="F584" s="103">
        <f>IFERROR(INDEX(Tabella951[PLZ],MATCH(Tabella848[[#This Row],[Colonna2]],Tabella951[Ortschaftsname],0)), "Name not found")</f>
        <v>6112</v>
      </c>
      <c r="K584" s="2"/>
      <c r="L584" s="4">
        <v>18700</v>
      </c>
      <c r="M584" s="4">
        <v>195</v>
      </c>
      <c r="N584" s="4">
        <v>5</v>
      </c>
    </row>
    <row r="585" spans="2:14">
      <c r="B585" s="92" t="s">
        <v>140</v>
      </c>
      <c r="C585" s="91" t="s">
        <v>1265</v>
      </c>
      <c r="D585" s="93">
        <v>160</v>
      </c>
      <c r="E585" s="93">
        <v>205</v>
      </c>
      <c r="F585" s="103">
        <f>IFERROR(INDEX(Tabella951[PLZ],MATCH(Tabella848[[#This Row],[Colonna2]],Tabella951[Ortschaftsname],0)), "Name not found")</f>
        <v>6030</v>
      </c>
      <c r="K585" s="2"/>
      <c r="L585" s="4">
        <v>20800</v>
      </c>
      <c r="M585" s="4">
        <v>300</v>
      </c>
      <c r="N585" s="4">
        <v>6</v>
      </c>
    </row>
    <row r="586" spans="2:14">
      <c r="B586" s="92" t="s">
        <v>140</v>
      </c>
      <c r="C586" s="91" t="s">
        <v>1322</v>
      </c>
      <c r="D586" s="93">
        <v>160</v>
      </c>
      <c r="E586" s="93">
        <v>204.99999999999997</v>
      </c>
      <c r="F586" s="103">
        <f>IFERROR(INDEX(Tabella951[PLZ],MATCH(Tabella848[[#This Row],[Colonna2]],Tabella951[Ortschaftsname],0)), "Name not found")</f>
        <v>6243</v>
      </c>
      <c r="K586" s="2"/>
      <c r="L586" s="4">
        <v>36400</v>
      </c>
      <c r="M586" s="4">
        <v>1236</v>
      </c>
      <c r="N586" s="4">
        <v>7</v>
      </c>
    </row>
    <row r="587" spans="2:14">
      <c r="B587" s="92" t="s">
        <v>140</v>
      </c>
      <c r="C587" s="91" t="s">
        <v>1317</v>
      </c>
      <c r="D587" s="93">
        <v>160</v>
      </c>
      <c r="E587" s="93">
        <v>110.00000000000001</v>
      </c>
      <c r="F587" s="103">
        <f>IFERROR(INDEX(Tabella951[PLZ],MATCH(Tabella848[[#This Row],[Colonna2]],Tabella951[Ortschaftsname],0)), "Name not found")</f>
        <v>6205</v>
      </c>
      <c r="K587" s="2"/>
      <c r="L587" s="4">
        <v>83300</v>
      </c>
      <c r="M587" s="4">
        <v>4519</v>
      </c>
      <c r="N587" s="4">
        <v>7.5</v>
      </c>
    </row>
    <row r="588" spans="2:14">
      <c r="B588" s="92" t="s">
        <v>140</v>
      </c>
      <c r="C588" s="91" t="s">
        <v>1262</v>
      </c>
      <c r="D588" s="93">
        <v>160</v>
      </c>
      <c r="E588" s="93">
        <v>215</v>
      </c>
      <c r="F588" s="103">
        <f>IFERROR(INDEX(Tabella951[PLZ],MATCH(Tabella848[[#This Row],[Colonna2]],Tabella951[Ortschaftsname],0)), "Name not found")</f>
        <v>6032</v>
      </c>
      <c r="K588" s="2"/>
      <c r="L588" s="4">
        <v>156400</v>
      </c>
      <c r="M588" s="4">
        <v>10002</v>
      </c>
      <c r="N588" s="4">
        <v>8</v>
      </c>
    </row>
    <row r="589" spans="2:14">
      <c r="B589" s="92" t="s">
        <v>140</v>
      </c>
      <c r="C589" s="91" t="s">
        <v>1291</v>
      </c>
      <c r="D589" s="93">
        <v>160</v>
      </c>
      <c r="E589" s="93">
        <v>210</v>
      </c>
      <c r="F589" s="103">
        <f>IFERROR(INDEX(Tabella951[PLZ],MATCH(Tabella848[[#This Row],[Colonna2]],Tabella951[Ortschaftsname],0)), "Name not found")</f>
        <v>6162</v>
      </c>
      <c r="K589" s="2"/>
      <c r="L589" s="4"/>
      <c r="M589" s="4"/>
      <c r="N589" s="4"/>
    </row>
    <row r="590" spans="2:14">
      <c r="B590" s="92" t="s">
        <v>140</v>
      </c>
      <c r="C590" s="91" t="s">
        <v>1332</v>
      </c>
      <c r="D590" s="93">
        <v>160</v>
      </c>
      <c r="E590" s="93">
        <v>195</v>
      </c>
      <c r="F590" s="103">
        <f>IFERROR(INDEX(Tabella951[PLZ],MATCH(Tabella848[[#This Row],[Colonna2]],Tabella951[Ortschaftsname],0)), "Name not found")</f>
        <v>6294</v>
      </c>
      <c r="K590" s="2"/>
      <c r="L590" s="4"/>
      <c r="M590" s="4"/>
      <c r="N590" s="4"/>
    </row>
    <row r="591" spans="2:14">
      <c r="B591" s="92" t="s">
        <v>140</v>
      </c>
      <c r="C591" s="91" t="s">
        <v>1290</v>
      </c>
      <c r="D591" s="93">
        <v>160</v>
      </c>
      <c r="E591" s="93">
        <v>140</v>
      </c>
      <c r="F591" s="103">
        <v>6274</v>
      </c>
      <c r="K591" s="2"/>
      <c r="L591" s="4"/>
      <c r="M591" s="4"/>
      <c r="N591" s="4"/>
    </row>
    <row r="592" spans="2:14">
      <c r="B592" s="92" t="s">
        <v>140</v>
      </c>
      <c r="C592" s="91" t="s">
        <v>1286</v>
      </c>
      <c r="D592" s="93">
        <v>160</v>
      </c>
      <c r="E592" s="93">
        <v>200</v>
      </c>
      <c r="F592" s="103">
        <v>6182</v>
      </c>
      <c r="K592" s="2"/>
      <c r="L592" s="46"/>
      <c r="M592" s="46"/>
      <c r="N592" s="46"/>
    </row>
    <row r="593" spans="2:14">
      <c r="B593" s="92" t="s">
        <v>140</v>
      </c>
      <c r="C593" s="91" t="s">
        <v>1300</v>
      </c>
      <c r="D593" s="93">
        <v>160</v>
      </c>
      <c r="E593" s="93">
        <v>215</v>
      </c>
      <c r="F593" s="103">
        <f>IFERROR(INDEX(Tabella951[PLZ],MATCH(Tabella848[[#This Row],[Colonna2]],Tabella951[Ortschaftsname],0)), "Name not found")</f>
        <v>6218</v>
      </c>
      <c r="K593" s="2"/>
      <c r="L593" s="46"/>
      <c r="M593" s="46"/>
      <c r="N593" s="46"/>
    </row>
    <row r="594" spans="2:14">
      <c r="B594" s="92" t="s">
        <v>140</v>
      </c>
      <c r="C594" s="91" t="s">
        <v>2616</v>
      </c>
      <c r="D594" s="93">
        <v>160</v>
      </c>
      <c r="E594" s="93">
        <v>220.00000000000003</v>
      </c>
      <c r="F594" s="103">
        <v>6145</v>
      </c>
      <c r="K594" s="2"/>
      <c r="L594" s="46"/>
      <c r="M594" s="46"/>
      <c r="N594" s="46"/>
    </row>
    <row r="595" spans="2:14">
      <c r="B595" s="92" t="s">
        <v>140</v>
      </c>
      <c r="C595" s="91" t="s">
        <v>1312</v>
      </c>
      <c r="D595" s="93">
        <v>160</v>
      </c>
      <c r="E595" s="93">
        <v>220.00000000000003</v>
      </c>
      <c r="F595" s="103">
        <v>6173</v>
      </c>
      <c r="K595" s="2"/>
      <c r="L595" s="46"/>
      <c r="M595" s="4"/>
      <c r="N595" s="4"/>
    </row>
    <row r="596" spans="2:14">
      <c r="B596" s="92" t="s">
        <v>140</v>
      </c>
      <c r="C596" s="91" t="s">
        <v>1295</v>
      </c>
      <c r="D596" s="93">
        <v>160</v>
      </c>
      <c r="E596" s="93">
        <v>204.99999999999997</v>
      </c>
      <c r="F596" s="103">
        <f>IFERROR(INDEX(Tabella951[PLZ],MATCH(Tabella848[[#This Row],[Colonna2]],Tabella951[Ortschaftsname],0)), "Name not found")</f>
        <v>6232</v>
      </c>
      <c r="K596" s="2"/>
      <c r="L596" s="46"/>
      <c r="M596" s="46"/>
      <c r="N596" s="46"/>
    </row>
    <row r="597" spans="2:14">
      <c r="B597" s="92" t="s">
        <v>140</v>
      </c>
      <c r="C597" s="91" t="s">
        <v>1325</v>
      </c>
      <c r="D597" s="93">
        <v>160</v>
      </c>
      <c r="E597" s="93">
        <v>160</v>
      </c>
      <c r="F597" s="103">
        <f>IFERROR(INDEX(Tabella951[PLZ],MATCH(Tabella848[[#This Row],[Colonna2]],Tabella951[Ortschaftsname],0)), "Name not found")</f>
        <v>6038</v>
      </c>
      <c r="K597" s="2"/>
      <c r="L597" s="46"/>
      <c r="M597" s="46"/>
      <c r="N597" s="46"/>
    </row>
    <row r="598" spans="2:14">
      <c r="B598" s="92" t="s">
        <v>140</v>
      </c>
      <c r="C598" s="91" t="s">
        <v>1329</v>
      </c>
      <c r="D598" s="93">
        <v>160</v>
      </c>
      <c r="E598" s="93">
        <v>175</v>
      </c>
      <c r="F598" s="103">
        <f>IFERROR(INDEX(Tabella951[PLZ],MATCH(Tabella848[[#This Row],[Colonna2]],Tabella951[Ortschaftsname],0)), "Name not found")</f>
        <v>6404</v>
      </c>
      <c r="K598" s="2"/>
      <c r="L598" s="46"/>
      <c r="M598" s="46"/>
      <c r="N598" s="46"/>
    </row>
    <row r="599" spans="2:14">
      <c r="B599" s="92" t="s">
        <v>140</v>
      </c>
      <c r="C599" s="91" t="s">
        <v>1335</v>
      </c>
      <c r="D599" s="93">
        <v>160</v>
      </c>
      <c r="E599" s="93">
        <v>229.99999999999997</v>
      </c>
      <c r="F599" s="103">
        <f>IFERROR(INDEX(Tabella951[PLZ],MATCH(Tabella848[[#This Row],[Colonna2]],Tabella951[Ortschaftsname],0)), "Name not found")</f>
        <v>6146</v>
      </c>
      <c r="K599" s="2"/>
      <c r="L599" s="46"/>
      <c r="M599" s="4"/>
      <c r="N599" s="4"/>
    </row>
    <row r="600" spans="2:14">
      <c r="B600" s="92" t="s">
        <v>140</v>
      </c>
      <c r="C600" s="91" t="s">
        <v>1293</v>
      </c>
      <c r="D600" s="93">
        <v>160</v>
      </c>
      <c r="E600" s="93">
        <v>185</v>
      </c>
      <c r="F600" s="103">
        <f>IFERROR(INDEX(Tabella951[PLZ],MATCH(Tabella848[[#This Row],[Colonna2]],Tabella951[Ortschaftsname],0)), "Name not found")</f>
        <v>6022</v>
      </c>
      <c r="K600" s="2"/>
      <c r="L600" s="36">
        <f>IF(K579&lt;$L$581,$M$580,IF(K579&lt;$L$582,$M$581+((K579-$L$581)/100)*$N$581,IF(K579&lt;$L$583,$M$582+((K579-$L$582)/100)*$N$582,IF(K579&lt;$L$584,$M$583+((K579-$L$583)/100)*$N$583,IF(K579&lt;$L$585,$M$584+((K579-$L$584)/100)*$N$584,IF(K579&lt;$L$586,$M$585+((K579-$L$585)/100)*$N$585,IF(K579&lt;$L$587,$M$586+((K579-$L$586)/100)*$N$586,IF(K579&lt;$L$588,$M$587+((K579-$L$587)/100)*$N$587,IF(K579&gt;=$L$588,$M$588+((K579-$L$588)/100)*$N$588)))))))))</f>
        <v>5771.5</v>
      </c>
      <c r="M600" s="2"/>
      <c r="N600" s="2"/>
    </row>
    <row r="601" spans="2:14">
      <c r="B601" s="92" t="s">
        <v>140</v>
      </c>
      <c r="C601" s="91" t="s">
        <v>1315</v>
      </c>
      <c r="D601" s="93">
        <v>160</v>
      </c>
      <c r="E601" s="93">
        <v>229.99999999999997</v>
      </c>
      <c r="F601" s="103">
        <v>6166</v>
      </c>
    </row>
    <row r="602" spans="2:14">
      <c r="B602" s="92" t="s">
        <v>140</v>
      </c>
      <c r="C602" s="91" t="s">
        <v>2617</v>
      </c>
      <c r="D602" s="93">
        <v>160</v>
      </c>
      <c r="E602" s="93">
        <v>200</v>
      </c>
      <c r="F602" s="103">
        <v>6133</v>
      </c>
      <c r="K602" s="68" t="s">
        <v>2602</v>
      </c>
      <c r="L602" s="21" t="s">
        <v>82</v>
      </c>
      <c r="M602" s="21" t="s">
        <v>2511</v>
      </c>
      <c r="N602" s="21" t="s">
        <v>90</v>
      </c>
    </row>
    <row r="603" spans="2:14">
      <c r="B603" s="92" t="s">
        <v>140</v>
      </c>
      <c r="C603" s="91" t="s">
        <v>1307</v>
      </c>
      <c r="D603" s="93">
        <v>160</v>
      </c>
      <c r="E603" s="93">
        <v>150</v>
      </c>
      <c r="F603" s="103">
        <f>IFERROR(INDEX(Tabella951[PLZ],MATCH(Tabella848[[#This Row],[Colonna2]],Tabella951[Ortschaftsname],0)), "Name not found")</f>
        <v>6024</v>
      </c>
      <c r="K603" s="94">
        <v>100000</v>
      </c>
      <c r="L603" s="11" t="s">
        <v>2512</v>
      </c>
      <c r="M603" s="11" t="s">
        <v>2525</v>
      </c>
      <c r="N603" s="11"/>
    </row>
    <row r="604" spans="2:14">
      <c r="B604" s="92" t="s">
        <v>140</v>
      </c>
      <c r="C604" s="91" t="s">
        <v>1279</v>
      </c>
      <c r="D604" s="93">
        <v>160</v>
      </c>
      <c r="E604" s="93">
        <v>180</v>
      </c>
      <c r="F604" s="103">
        <f>IFERROR(INDEX(Tabella951[PLZ],MATCH(Tabella848[[#This Row],[Colonna2]],Tabella951[Ortschaftsname],0)), "Name not found")</f>
        <v>6285</v>
      </c>
      <c r="K604" s="26"/>
      <c r="L604" s="4">
        <v>0</v>
      </c>
      <c r="M604" s="39">
        <v>7.0999999999999994E-2</v>
      </c>
      <c r="N604" s="4"/>
    </row>
    <row r="605" spans="2:14">
      <c r="B605" s="92" t="s">
        <v>140</v>
      </c>
      <c r="C605" s="91" t="s">
        <v>1267</v>
      </c>
      <c r="D605" s="93">
        <v>160</v>
      </c>
      <c r="E605" s="93">
        <v>190</v>
      </c>
      <c r="F605" s="103">
        <f>IFERROR(INDEX(Tabella951[PLZ],MATCH(Tabella848[[#This Row],[Colonna2]],Tabella951[Ortschaftsname],0)), "Name not found")</f>
        <v>6280</v>
      </c>
      <c r="K605" s="2"/>
      <c r="L605" s="4"/>
      <c r="M605" s="39"/>
      <c r="N605" s="4"/>
    </row>
    <row r="606" spans="2:14">
      <c r="B606" s="92" t="s">
        <v>140</v>
      </c>
      <c r="C606" s="91" t="s">
        <v>1304</v>
      </c>
      <c r="D606" s="93">
        <v>160</v>
      </c>
      <c r="E606" s="93">
        <v>215</v>
      </c>
      <c r="F606" s="103">
        <f>IFERROR(INDEX(Tabella951[PLZ],MATCH(Tabella848[[#This Row],[Colonna2]],Tabella951[Ortschaftsname],0)), "Name not found")</f>
        <v>6276</v>
      </c>
      <c r="K606" s="2"/>
      <c r="L606" s="4"/>
      <c r="M606" s="39"/>
      <c r="N606" s="4"/>
    </row>
    <row r="607" spans="2:14">
      <c r="B607" s="92" t="s">
        <v>140</v>
      </c>
      <c r="C607" s="91" t="s">
        <v>1342</v>
      </c>
      <c r="D607" s="93">
        <v>160</v>
      </c>
      <c r="E607" s="93">
        <v>180</v>
      </c>
      <c r="F607" s="103">
        <f>IFERROR(INDEX(Tabella951[PLZ],MATCH(Tabella848[[#This Row],[Colonna2]],Tabella951[Ortschaftsname],0)), "Name not found")</f>
        <v>6038</v>
      </c>
      <c r="K607" s="2"/>
      <c r="L607" s="4"/>
      <c r="M607" s="39"/>
      <c r="N607" s="4"/>
    </row>
    <row r="608" spans="2:14">
      <c r="B608" s="92" t="s">
        <v>140</v>
      </c>
      <c r="C608" s="91" t="s">
        <v>1264</v>
      </c>
      <c r="D608" s="93">
        <v>160</v>
      </c>
      <c r="E608" s="93">
        <v>145</v>
      </c>
      <c r="F608" s="103">
        <f>IFERROR(INDEX(Tabella951[PLZ],MATCH(Tabella848[[#This Row],[Colonna2]],Tabella951[Ortschaftsname],0)), "Name not found")</f>
        <v>6048</v>
      </c>
      <c r="K608" s="2"/>
      <c r="L608" s="4"/>
      <c r="M608" s="39"/>
      <c r="N608" s="2"/>
    </row>
    <row r="609" spans="2:14">
      <c r="B609" s="92" t="s">
        <v>140</v>
      </c>
      <c r="C609" s="91" t="s">
        <v>1303</v>
      </c>
      <c r="D609" s="93">
        <v>160</v>
      </c>
      <c r="E609" s="93">
        <v>170</v>
      </c>
      <c r="F609" s="103">
        <f>IFERROR(INDEX(Tabella951[PLZ],MATCH(Tabella848[[#This Row],[Colonna2]],Tabella951[Ortschaftsname],0)), "Name not found")</f>
        <v>6034</v>
      </c>
      <c r="K609" s="2"/>
      <c r="L609" s="4"/>
      <c r="M609" s="39"/>
      <c r="N609" s="2"/>
    </row>
    <row r="610" spans="2:14">
      <c r="B610" s="92" t="s">
        <v>140</v>
      </c>
      <c r="C610" s="91" t="s">
        <v>1308</v>
      </c>
      <c r="D610" s="93">
        <v>160</v>
      </c>
      <c r="E610" s="93">
        <v>215</v>
      </c>
      <c r="F610" s="103">
        <f>IFERROR(INDEX(Tabella951[PLZ],MATCH(Tabella848[[#This Row],[Colonna2]],Tabella951[Ortschaftsname],0)), "Name not found")</f>
        <v>6213</v>
      </c>
      <c r="K610" s="2"/>
      <c r="L610" s="36">
        <f>K603*$M$604</f>
        <v>7099.9999999999991</v>
      </c>
      <c r="M610" s="2"/>
      <c r="N610" s="2"/>
    </row>
    <row r="611" spans="2:14">
      <c r="B611" s="92" t="s">
        <v>140</v>
      </c>
      <c r="C611" s="91" t="s">
        <v>1263</v>
      </c>
      <c r="D611" s="93">
        <v>160</v>
      </c>
      <c r="E611" s="93">
        <v>190</v>
      </c>
      <c r="F611" s="103">
        <f>IFERROR(INDEX(Tabella951[PLZ],MATCH(Tabella848[[#This Row],[Colonna2]],Tabella951[Ortschaftsname],0)), "Name not found")</f>
        <v>6010</v>
      </c>
    </row>
    <row r="612" spans="2:14">
      <c r="B612" s="92" t="s">
        <v>140</v>
      </c>
      <c r="C612" s="91" t="s">
        <v>1326</v>
      </c>
      <c r="D612" s="93">
        <v>160</v>
      </c>
      <c r="E612" s="93">
        <v>240</v>
      </c>
      <c r="F612" s="103">
        <f>IFERROR(INDEX(Tabella951[PLZ],MATCH(Tabella848[[#This Row],[Colonna2]],Tabella951[Ortschaftsname],0)), "Name not found")</f>
        <v>6156</v>
      </c>
      <c r="K612" s="68" t="s">
        <v>2587</v>
      </c>
      <c r="L612" s="21" t="s">
        <v>82</v>
      </c>
      <c r="M612" s="21" t="s">
        <v>2511</v>
      </c>
      <c r="N612" s="21" t="s">
        <v>90</v>
      </c>
    </row>
    <row r="613" spans="2:14">
      <c r="B613" s="92" t="s">
        <v>140</v>
      </c>
      <c r="C613" s="91" t="s">
        <v>165</v>
      </c>
      <c r="D613" s="93">
        <v>160</v>
      </c>
      <c r="E613" s="93">
        <v>165</v>
      </c>
      <c r="F613" s="103">
        <f>IFERROR(INDEX(Tabella951[PLZ],MATCH(Tabella848[[#This Row],[Colonna2]],Tabella951[Ortschaftsname],0)), "Name not found")</f>
        <v>6004</v>
      </c>
      <c r="K613" s="94">
        <v>100000</v>
      </c>
      <c r="L613" s="11" t="s">
        <v>2512</v>
      </c>
      <c r="M613" s="11" t="s">
        <v>2513</v>
      </c>
      <c r="N613" s="11" t="s">
        <v>2514</v>
      </c>
    </row>
    <row r="614" spans="2:14">
      <c r="B614" s="92" t="s">
        <v>140</v>
      </c>
      <c r="C614" s="91" t="s">
        <v>1270</v>
      </c>
      <c r="D614" s="93">
        <v>160</v>
      </c>
      <c r="E614" s="93">
        <v>195</v>
      </c>
      <c r="F614" s="103">
        <f>IFERROR(INDEX(Tabella951[PLZ],MATCH(Tabella848[[#This Row],[Colonna2]],Tabella951[Ortschaftsname],0)), "Name not found")</f>
        <v>6102</v>
      </c>
      <c r="K614" s="26"/>
      <c r="L614" s="4">
        <v>0</v>
      </c>
      <c r="M614" s="4">
        <v>0</v>
      </c>
      <c r="N614" s="4">
        <v>0</v>
      </c>
    </row>
    <row r="615" spans="2:14">
      <c r="B615" s="92" t="s">
        <v>140</v>
      </c>
      <c r="C615" s="91" t="s">
        <v>1321</v>
      </c>
      <c r="D615" s="93">
        <v>160</v>
      </c>
      <c r="E615" s="93">
        <v>190</v>
      </c>
      <c r="F615" s="103">
        <f>IFERROR(INDEX(Tabella951[PLZ],MATCH(Tabella848[[#This Row],[Colonna2]],Tabella951[Ortschaftsname],0)), "Name not found")</f>
        <v>6216</v>
      </c>
      <c r="K615" s="2"/>
      <c r="L615" s="4">
        <v>100</v>
      </c>
      <c r="M615" s="4">
        <v>1</v>
      </c>
      <c r="N615" s="4">
        <v>1</v>
      </c>
    </row>
    <row r="616" spans="2:14">
      <c r="B616" s="92" t="s">
        <v>140</v>
      </c>
      <c r="C616" s="91" t="s">
        <v>1271</v>
      </c>
      <c r="D616" s="93">
        <v>160</v>
      </c>
      <c r="E616" s="93">
        <v>90</v>
      </c>
      <c r="F616" s="103">
        <f>IFERROR(INDEX(Tabella951[PLZ],MATCH(Tabella848[[#This Row],[Colonna2]],Tabella951[Ortschaftsname],0)), "Name not found")</f>
        <v>6045</v>
      </c>
      <c r="K616" s="2"/>
      <c r="L616" s="4">
        <v>1600</v>
      </c>
      <c r="M616" s="4">
        <v>16</v>
      </c>
      <c r="N616" s="4">
        <v>2</v>
      </c>
    </row>
    <row r="617" spans="2:14">
      <c r="B617" s="92" t="s">
        <v>140</v>
      </c>
      <c r="C617" s="91" t="s">
        <v>1324</v>
      </c>
      <c r="D617" s="93">
        <v>160</v>
      </c>
      <c r="E617" s="93">
        <v>200</v>
      </c>
      <c r="F617" s="103">
        <f>IFERROR(INDEX(Tabella951[PLZ],MATCH(Tabella848[[#This Row],[Colonna2]],Tabella951[Ortschaftsname],0)), "Name not found")</f>
        <v>6344</v>
      </c>
      <c r="K617" s="2"/>
      <c r="L617" s="4">
        <v>3400</v>
      </c>
      <c r="M617" s="4">
        <v>52</v>
      </c>
      <c r="N617" s="4">
        <v>3</v>
      </c>
    </row>
    <row r="618" spans="2:14">
      <c r="B618" s="92" t="s">
        <v>140</v>
      </c>
      <c r="C618" s="91" t="s">
        <v>1296</v>
      </c>
      <c r="D618" s="93">
        <v>160</v>
      </c>
      <c r="E618" s="93">
        <v>195</v>
      </c>
      <c r="F618" s="103">
        <f>IFERROR(INDEX(Tabella951[PLZ],MATCH(Tabella848[[#This Row],[Colonna2]],Tabella951[Ortschaftsname],0)), "Name not found")</f>
        <v>6122</v>
      </c>
      <c r="K618" s="2"/>
      <c r="L618" s="4">
        <v>5000</v>
      </c>
      <c r="M618" s="4">
        <v>100</v>
      </c>
      <c r="N618" s="4">
        <v>4</v>
      </c>
    </row>
    <row r="619" spans="2:14">
      <c r="B619" s="92" t="s">
        <v>140</v>
      </c>
      <c r="C619" s="91" t="s">
        <v>1302</v>
      </c>
      <c r="D619" s="93">
        <v>160</v>
      </c>
      <c r="E619" s="93">
        <v>180</v>
      </c>
      <c r="F619" s="103">
        <f>IFERROR(INDEX(Tabella951[PLZ],MATCH(Tabella848[[#This Row],[Colonna2]],Tabella951[Ortschaftsname],0)), "Name not found")</f>
        <v>6244</v>
      </c>
      <c r="K619" s="2"/>
      <c r="L619" s="4">
        <v>8200</v>
      </c>
      <c r="M619" s="4">
        <v>228</v>
      </c>
      <c r="N619" s="4">
        <v>5</v>
      </c>
    </row>
    <row r="620" spans="2:14">
      <c r="B620" s="92" t="s">
        <v>140</v>
      </c>
      <c r="C620" s="91" t="s">
        <v>1272</v>
      </c>
      <c r="D620" s="93">
        <v>160</v>
      </c>
      <c r="E620" s="93">
        <v>185</v>
      </c>
      <c r="F620" s="103">
        <f>IFERROR(INDEX(Tabella951[PLZ],MATCH(Tabella848[[#This Row],[Colonna2]],Tabella951[Ortschaftsname],0)), "Name not found")</f>
        <v>6206</v>
      </c>
      <c r="K620" s="2"/>
      <c r="L620" s="4">
        <v>11700</v>
      </c>
      <c r="M620" s="4">
        <v>403</v>
      </c>
      <c r="N620" s="4">
        <v>6</v>
      </c>
    </row>
    <row r="621" spans="2:14">
      <c r="B621" s="92" t="s">
        <v>140</v>
      </c>
      <c r="C621" s="91" t="s">
        <v>1289</v>
      </c>
      <c r="D621" s="93">
        <v>160</v>
      </c>
      <c r="E621" s="93">
        <v>185</v>
      </c>
      <c r="F621" s="103">
        <f>IFERROR(INDEX(Tabella951[PLZ],MATCH(Tabella848[[#This Row],[Colonna2]],Tabella951[Ortschaftsname],0)), "Name not found")</f>
        <v>6207</v>
      </c>
      <c r="K621" s="2"/>
      <c r="L621" s="4">
        <v>14900</v>
      </c>
      <c r="M621" s="4">
        <v>595</v>
      </c>
      <c r="N621" s="4">
        <v>7</v>
      </c>
    </row>
    <row r="622" spans="2:14">
      <c r="B622" s="92" t="s">
        <v>140</v>
      </c>
      <c r="C622" s="91" t="s">
        <v>1281</v>
      </c>
      <c r="D622" s="93">
        <v>160</v>
      </c>
      <c r="E622" s="93">
        <v>155</v>
      </c>
      <c r="F622" s="103">
        <v>6208</v>
      </c>
      <c r="K622" s="2"/>
      <c r="L622" s="4">
        <v>23300</v>
      </c>
      <c r="M622" s="4">
        <v>1183</v>
      </c>
      <c r="N622" s="4">
        <v>8</v>
      </c>
    </row>
    <row r="623" spans="2:14">
      <c r="B623" s="92" t="s">
        <v>140</v>
      </c>
      <c r="C623" s="91" t="s">
        <v>1301</v>
      </c>
      <c r="D623" s="93">
        <v>160</v>
      </c>
      <c r="E623" s="93">
        <v>220.00000000000003</v>
      </c>
      <c r="F623" s="103">
        <f>IFERROR(INDEX(Tabella951[PLZ],MATCH(Tabella848[[#This Row],[Colonna2]],Tabella951[Ortschaftsname],0)), "Name not found")</f>
        <v>6264</v>
      </c>
      <c r="K623" s="2"/>
      <c r="L623" s="4">
        <v>40000</v>
      </c>
      <c r="M623" s="4">
        <v>2519</v>
      </c>
      <c r="N623" s="4">
        <v>9</v>
      </c>
    </row>
    <row r="624" spans="2:14">
      <c r="B624" s="92" t="s">
        <v>140</v>
      </c>
      <c r="C624" s="91" t="s">
        <v>1299</v>
      </c>
      <c r="D624" s="93">
        <v>160</v>
      </c>
      <c r="E624" s="93">
        <v>170</v>
      </c>
      <c r="F624" s="103">
        <f>IFERROR(INDEX(Tabella951[PLZ],MATCH(Tabella848[[#This Row],[Colonna2]],Tabella951[Ortschaftsname],0)), "Name not found")</f>
        <v>6026</v>
      </c>
      <c r="K624" s="2"/>
      <c r="L624" s="4">
        <v>56500</v>
      </c>
      <c r="M624" s="4">
        <v>4004</v>
      </c>
      <c r="N624" s="4">
        <v>10</v>
      </c>
    </row>
    <row r="625" spans="2:14">
      <c r="B625" s="92" t="s">
        <v>140</v>
      </c>
      <c r="C625" s="91" t="s">
        <v>1273</v>
      </c>
      <c r="D625" s="93">
        <v>160</v>
      </c>
      <c r="E625" s="93">
        <v>220.00000000000003</v>
      </c>
      <c r="F625" s="103">
        <f>IFERROR(INDEX(Tabella951[PLZ],MATCH(Tabella848[[#This Row],[Colonna2]],Tabella951[Ortschaftsname],0)), "Name not found")</f>
        <v>6260</v>
      </c>
      <c r="K625" s="2"/>
      <c r="L625" s="4">
        <v>73300</v>
      </c>
      <c r="M625" s="4">
        <v>5684</v>
      </c>
      <c r="N625" s="4">
        <v>11</v>
      </c>
    </row>
    <row r="626" spans="2:14">
      <c r="B626" s="92" t="s">
        <v>140</v>
      </c>
      <c r="C626" s="91" t="s">
        <v>1294</v>
      </c>
      <c r="D626" s="93">
        <v>160</v>
      </c>
      <c r="E626" s="93">
        <v>180</v>
      </c>
      <c r="F626" s="103">
        <v>6221</v>
      </c>
      <c r="K626" s="2"/>
      <c r="L626" s="46">
        <v>89900</v>
      </c>
      <c r="M626" s="4">
        <v>7510</v>
      </c>
      <c r="N626" s="46">
        <v>12</v>
      </c>
    </row>
    <row r="627" spans="2:14">
      <c r="B627" s="92" t="s">
        <v>140</v>
      </c>
      <c r="C627" s="91" t="s">
        <v>1338</v>
      </c>
      <c r="D627" s="93">
        <v>160</v>
      </c>
      <c r="E627" s="93">
        <v>210</v>
      </c>
      <c r="F627" s="103">
        <f>IFERROR(INDEX(Tabella951[PLZ],MATCH(Tabella848[[#This Row],[Colonna2]],Tabella951[Ortschaftsname],0)), "Name not found")</f>
        <v>6265</v>
      </c>
      <c r="K627" s="2"/>
      <c r="L627" s="46">
        <v>106600</v>
      </c>
      <c r="M627" s="46">
        <v>9514</v>
      </c>
      <c r="N627" s="46">
        <v>12.5</v>
      </c>
    </row>
    <row r="628" spans="2:14">
      <c r="B628" s="92" t="s">
        <v>140</v>
      </c>
      <c r="C628" s="91" t="s">
        <v>1339</v>
      </c>
      <c r="D628" s="93">
        <v>160</v>
      </c>
      <c r="E628" s="93">
        <v>220.00000000000003</v>
      </c>
      <c r="F628" s="103">
        <f>IFERROR(INDEX(Tabella951[PLZ],MATCH(Tabella848[[#This Row],[Colonna2]],Tabella951[Ortschaftsname],0)), "Name not found")</f>
        <v>6113</v>
      </c>
      <c r="K628" s="2"/>
      <c r="L628" s="46">
        <v>133200</v>
      </c>
      <c r="M628" s="46">
        <v>12839</v>
      </c>
      <c r="N628" s="46">
        <v>13</v>
      </c>
    </row>
    <row r="629" spans="2:14">
      <c r="B629" s="92" t="s">
        <v>140</v>
      </c>
      <c r="C629" s="91" t="s">
        <v>1280</v>
      </c>
      <c r="D629" s="93">
        <v>160</v>
      </c>
      <c r="E629" s="93">
        <v>150</v>
      </c>
      <c r="F629" s="103">
        <f>IFERROR(INDEX(Tabella951[PLZ],MATCH(Tabella848[[#This Row],[Colonna2]],Tabella951[Ortschaftsname],0)), "Name not found")</f>
        <v>6037</v>
      </c>
      <c r="K629" s="2"/>
      <c r="L629" s="46">
        <v>159800</v>
      </c>
      <c r="M629" s="46">
        <v>16297</v>
      </c>
      <c r="N629" s="4">
        <v>13.5</v>
      </c>
    </row>
    <row r="630" spans="2:14">
      <c r="B630" s="92" t="s">
        <v>140</v>
      </c>
      <c r="C630" s="91" t="s">
        <v>1269</v>
      </c>
      <c r="D630" s="93">
        <v>160</v>
      </c>
      <c r="E630" s="93">
        <v>165</v>
      </c>
      <c r="F630" s="103">
        <f>IFERROR(INDEX(Tabella951[PLZ],MATCH(Tabella848[[#This Row],[Colonna2]],Tabella951[Ortschaftsname],0)), "Name not found")</f>
        <v>6023</v>
      </c>
      <c r="K630" s="2"/>
      <c r="L630" s="46">
        <v>189800</v>
      </c>
      <c r="M630" s="4">
        <v>20347</v>
      </c>
      <c r="N630" s="46">
        <v>14</v>
      </c>
    </row>
    <row r="631" spans="2:14">
      <c r="B631" s="92" t="s">
        <v>140</v>
      </c>
      <c r="C631" s="91" t="s">
        <v>1274</v>
      </c>
      <c r="D631" s="93">
        <v>160</v>
      </c>
      <c r="E631" s="93">
        <v>200</v>
      </c>
      <c r="F631" s="103">
        <f>IFERROR(INDEX(Tabella951[PLZ],MATCH(Tabella848[[#This Row],[Colonna2]],Tabella951[Ortschaftsname],0)), "Name not found")</f>
        <v>6017</v>
      </c>
      <c r="K631" s="2"/>
      <c r="L631" s="46">
        <v>219900</v>
      </c>
      <c r="M631" s="46">
        <v>24561</v>
      </c>
      <c r="N631" s="46">
        <v>14.5</v>
      </c>
    </row>
    <row r="632" spans="2:14">
      <c r="B632" s="92" t="s">
        <v>140</v>
      </c>
      <c r="C632" s="91" t="s">
        <v>1314</v>
      </c>
      <c r="D632" s="93">
        <v>160</v>
      </c>
      <c r="E632" s="93">
        <v>210</v>
      </c>
      <c r="F632" s="103">
        <v>6027</v>
      </c>
      <c r="K632" s="2"/>
      <c r="L632" s="46">
        <v>252500</v>
      </c>
      <c r="M632" s="46">
        <v>29288</v>
      </c>
      <c r="N632" s="46">
        <v>15</v>
      </c>
    </row>
    <row r="633" spans="2:14">
      <c r="B633" s="92" t="s">
        <v>140</v>
      </c>
      <c r="C633" s="91" t="s">
        <v>1297</v>
      </c>
      <c r="D633" s="93">
        <v>160</v>
      </c>
      <c r="E633" s="93">
        <v>110.00000000000001</v>
      </c>
      <c r="F633" s="103">
        <f>IFERROR(INDEX(Tabella951[PLZ],MATCH(Tabella848[[#This Row],[Colonna2]],Tabella951[Ortschaftsname],0)), "Name not found")</f>
        <v>6214</v>
      </c>
      <c r="K633" s="2"/>
      <c r="L633" s="46">
        <v>287600</v>
      </c>
      <c r="M633" s="46">
        <v>34553</v>
      </c>
      <c r="N633" s="46">
        <v>15.5</v>
      </c>
    </row>
    <row r="634" spans="2:14">
      <c r="B634" s="92" t="s">
        <v>140</v>
      </c>
      <c r="C634" s="91" t="s">
        <v>1334</v>
      </c>
      <c r="D634" s="93">
        <v>160</v>
      </c>
      <c r="E634" s="93">
        <v>165</v>
      </c>
      <c r="F634" s="103">
        <f>IFERROR(INDEX(Tabella951[PLZ],MATCH(Tabella848[[#This Row],[Colonna2]],Tabella951[Ortschaftsname],0)), "Name not found")</f>
        <v>6231</v>
      </c>
      <c r="K634" s="2"/>
      <c r="L634" s="46"/>
      <c r="M634" s="46"/>
      <c r="N634" s="46"/>
    </row>
    <row r="635" spans="2:14">
      <c r="B635" s="92" t="s">
        <v>140</v>
      </c>
      <c r="C635" s="91" t="s">
        <v>1330</v>
      </c>
      <c r="D635" s="93">
        <v>160</v>
      </c>
      <c r="E635" s="93">
        <v>210</v>
      </c>
      <c r="F635" s="103">
        <f>IFERROR(INDEX(Tabella951[PLZ],MATCH(Tabella848[[#This Row],[Colonna2]],Tabella951[Ortschaftsname],0)), "Name not found")</f>
        <v>6288</v>
      </c>
      <c r="K635" s="2"/>
      <c r="L635" s="36">
        <f>IF(K613&lt;$L$615,$M$614,IF(K613&lt;$L$616,$M$615+((K613-$L$615)/100)*$N$615,IF(K613&lt;$L$617,$M$616+((K613-$L$616)/100)*$N$616,IF(K613&lt;$L$618,$M$617+((K613-$L$617)/100)*$N$617,IF(K613&lt;$L$619,$M$618+((K613-$L$618)/100)*$N$618,IF(K613&lt;$L$620,$M$619+((K613-$L$619)/100)*$N$619,IF(K613&lt;$L$621,$M$620+((K613-$L$620)/100)*$N$620,IF(K613&lt;$L$622,$M$621+((K613-$L$621)/100)*$N$621,IF(K613&lt;$L$623,$M$622+((K613-$L$622)/100)*$N$622,IF(K613&lt;$L$624,$M$623+((K613-$L$623)/100)*$N$623,IF(K613&lt;$L$625,$M$624+((K613-$L$624)/100)*$N$624,IF(K613&lt;$L$626,$M$625+((K613-$L$625)/100)*$N$625,IF(K613&lt;$L$627,$M$626+((K613-$L$626)/100)*$N$626,IF(K613&lt;$L$628,$M$627+((K613-$L$627)/100)*$N$627,IF(K613&lt;$L$629,$M$628+((K613-$L$628)/100)*$N$628,IF(K613&lt;$L$630,$M$629+((K613-$L$629)/100)*$N$629,IF(K613&lt;$L$631,$M$630+((K613-$L$630)/100)*$N$630,IF(K613&lt;$L$632,$M$631+((K613-$L$631)/100)*$N$631,IF(K613&lt;$L$633,$M$632+((K613-$L$632)/100)*$N$632,IF(K613&gt;=$L$633,$M$633+((K613-$L$633)/100)*$N$633))))))))))))))))))))</f>
        <v>8722</v>
      </c>
      <c r="M635" s="2"/>
      <c r="N635" s="2"/>
    </row>
    <row r="636" spans="2:14">
      <c r="B636" s="92" t="s">
        <v>140</v>
      </c>
      <c r="C636" s="91" t="s">
        <v>1316</v>
      </c>
      <c r="D636" s="93">
        <v>160</v>
      </c>
      <c r="E636" s="93">
        <v>210</v>
      </c>
      <c r="F636" s="103">
        <v>6103</v>
      </c>
    </row>
    <row r="637" spans="2:14">
      <c r="B637" s="92" t="s">
        <v>140</v>
      </c>
      <c r="C637" s="91" t="s">
        <v>1284</v>
      </c>
      <c r="D637" s="93">
        <v>160</v>
      </c>
      <c r="E637" s="93">
        <v>215</v>
      </c>
      <c r="F637" s="103">
        <f>IFERROR(INDEX(Tabella951[PLZ],MATCH(Tabella848[[#This Row],[Colonna2]],Tabella951[Ortschaftsname],0)), "Name not found")</f>
        <v>6247</v>
      </c>
      <c r="K637" s="68" t="s">
        <v>2618</v>
      </c>
      <c r="L637" s="21" t="s">
        <v>82</v>
      </c>
      <c r="M637" s="21" t="s">
        <v>2511</v>
      </c>
      <c r="N637" s="21" t="s">
        <v>90</v>
      </c>
    </row>
    <row r="638" spans="2:14">
      <c r="B638" s="92" t="s">
        <v>140</v>
      </c>
      <c r="C638" s="91" t="s">
        <v>1287</v>
      </c>
      <c r="D638" s="93">
        <v>160</v>
      </c>
      <c r="E638" s="93">
        <v>220.00000000000003</v>
      </c>
      <c r="F638" s="103">
        <f>IFERROR(INDEX(Tabella951[PLZ],MATCH(Tabella848[[#This Row],[Colonna2]],Tabella951[Ortschaftsname],0)), "Name not found")</f>
        <v>6170</v>
      </c>
      <c r="K638" s="94">
        <v>100000</v>
      </c>
      <c r="L638" s="11" t="s">
        <v>2512</v>
      </c>
      <c r="M638" s="11" t="s">
        <v>2525</v>
      </c>
      <c r="N638" s="11"/>
    </row>
    <row r="639" spans="2:14">
      <c r="B639" s="92" t="s">
        <v>140</v>
      </c>
      <c r="C639" s="91" t="s">
        <v>1288</v>
      </c>
      <c r="D639" s="93">
        <v>160</v>
      </c>
      <c r="E639" s="93">
        <v>170</v>
      </c>
      <c r="F639" s="103">
        <f>IFERROR(INDEX(Tabella951[PLZ],MATCH(Tabella848[[#This Row],[Colonna2]],Tabella951[Ortschaftsname],0)), "Name not found")</f>
        <v>6204</v>
      </c>
      <c r="K639" s="26"/>
      <c r="L639" s="4">
        <v>0</v>
      </c>
      <c r="M639" s="39">
        <v>0.02</v>
      </c>
      <c r="N639" s="4"/>
    </row>
    <row r="640" spans="2:14">
      <c r="B640" s="92" t="s">
        <v>140</v>
      </c>
      <c r="C640" s="91" t="s">
        <v>1266</v>
      </c>
      <c r="D640" s="93">
        <v>160</v>
      </c>
      <c r="E640" s="93">
        <v>175</v>
      </c>
      <c r="F640" s="103">
        <f>IFERROR(INDEX(Tabella951[PLZ],MATCH(Tabella848[[#This Row],[Colonna2]],Tabella951[Ortschaftsname],0)), "Name not found")</f>
        <v>6210</v>
      </c>
      <c r="K640" s="2"/>
      <c r="L640" s="4">
        <v>5000</v>
      </c>
      <c r="M640" s="39">
        <v>0.02</v>
      </c>
      <c r="N640" s="4"/>
    </row>
    <row r="641" spans="2:14">
      <c r="B641" s="92" t="s">
        <v>140</v>
      </c>
      <c r="C641" s="91" t="s">
        <v>1282</v>
      </c>
      <c r="D641" s="93">
        <v>160</v>
      </c>
      <c r="E641" s="93">
        <v>190</v>
      </c>
      <c r="F641" s="103">
        <f>IFERROR(INDEX(Tabella951[PLZ],MATCH(Tabella848[[#This Row],[Colonna2]],Tabella951[Ortschaftsname],0)), "Name not found")</f>
        <v>6234</v>
      </c>
      <c r="K641" s="2"/>
      <c r="L641" s="4">
        <v>10000</v>
      </c>
      <c r="M641" s="39">
        <v>2.8000000000000001E-2</v>
      </c>
      <c r="N641" s="4"/>
    </row>
    <row r="642" spans="2:14">
      <c r="B642" s="92" t="s">
        <v>140</v>
      </c>
      <c r="C642" s="91" t="s">
        <v>1306</v>
      </c>
      <c r="D642" s="93">
        <v>160</v>
      </c>
      <c r="E642" s="93">
        <v>185</v>
      </c>
      <c r="F642" s="103">
        <f>IFERROR(INDEX(Tabella951[PLZ],MATCH(Tabella848[[#This Row],[Colonna2]],Tabella951[Ortschaftsname],0)), "Name not found")</f>
        <v>6044</v>
      </c>
      <c r="K642" s="2"/>
      <c r="L642" s="4">
        <v>20000</v>
      </c>
      <c r="M642" s="39">
        <v>4.5999999999999999E-2</v>
      </c>
      <c r="N642" s="4"/>
    </row>
    <row r="643" spans="2:14">
      <c r="B643" s="92" t="s">
        <v>140</v>
      </c>
      <c r="C643" s="91" t="s">
        <v>1333</v>
      </c>
      <c r="D643" s="93">
        <v>160</v>
      </c>
      <c r="E643" s="93">
        <v>220.00000000000003</v>
      </c>
      <c r="F643" s="103">
        <f>IFERROR(INDEX(Tabella951[PLZ],MATCH(Tabella848[[#This Row],[Colonna2]],Tabella951[Ortschaftsname],0)), "Name not found")</f>
        <v>6153</v>
      </c>
      <c r="K643" s="2"/>
      <c r="L643" s="4">
        <v>30000</v>
      </c>
      <c r="M643" s="39">
        <v>6.3E-2</v>
      </c>
      <c r="N643" s="4"/>
    </row>
    <row r="644" spans="2:14">
      <c r="B644" s="92" t="s">
        <v>140</v>
      </c>
      <c r="C644" s="91" t="s">
        <v>1323</v>
      </c>
      <c r="D644" s="93">
        <v>160</v>
      </c>
      <c r="E644" s="93">
        <v>140</v>
      </c>
      <c r="F644" s="103">
        <f>IFERROR(INDEX(Tabella951[PLZ],MATCH(Tabella848[[#This Row],[Colonna2]],Tabella951[Ortschaftsname],0)), "Name not found")</f>
        <v>6354</v>
      </c>
      <c r="K644" s="2"/>
      <c r="L644" s="4">
        <v>40000</v>
      </c>
      <c r="M644" s="39">
        <v>7.6999999999999999E-2</v>
      </c>
      <c r="N644" s="4"/>
    </row>
    <row r="645" spans="2:14">
      <c r="B645" s="92" t="s">
        <v>140</v>
      </c>
      <c r="C645" s="91" t="s">
        <v>1309</v>
      </c>
      <c r="D645" s="93">
        <v>160</v>
      </c>
      <c r="E645" s="93">
        <v>204.99999999999997</v>
      </c>
      <c r="F645" s="103">
        <f>IFERROR(INDEX(Tabella951[PLZ],MATCH(Tabella848[[#This Row],[Colonna2]],Tabella951[Ortschaftsname],0)), "Name not found")</f>
        <v>6242</v>
      </c>
      <c r="K645" s="2"/>
      <c r="L645" s="4">
        <v>50000</v>
      </c>
      <c r="M645" s="39">
        <v>0.09</v>
      </c>
      <c r="N645" s="4"/>
    </row>
    <row r="646" spans="2:14">
      <c r="B646" s="92" t="s">
        <v>140</v>
      </c>
      <c r="C646" s="91" t="s">
        <v>1283</v>
      </c>
      <c r="D646" s="93">
        <v>160</v>
      </c>
      <c r="E646" s="93">
        <v>135</v>
      </c>
      <c r="F646" s="103">
        <f>IFERROR(INDEX(Tabella951[PLZ],MATCH(Tabella848[[#This Row],[Colonna2]],Tabella951[Ortschaftsname],0)), "Name not found")</f>
        <v>6353</v>
      </c>
      <c r="K646" s="2"/>
      <c r="L646" s="4">
        <v>60000</v>
      </c>
      <c r="M646" s="39">
        <v>0.105</v>
      </c>
      <c r="N646" s="4"/>
    </row>
    <row r="647" spans="2:14">
      <c r="B647" s="92" t="s">
        <v>140</v>
      </c>
      <c r="C647" s="91" t="s">
        <v>1310</v>
      </c>
      <c r="D647" s="93">
        <v>160</v>
      </c>
      <c r="E647" s="93">
        <v>215</v>
      </c>
      <c r="F647" s="103">
        <f>IFERROR(INDEX(Tabella951[PLZ],MATCH(Tabella848[[#This Row],[Colonna2]],Tabella951[Ortschaftsname],0)), "Name not found")</f>
        <v>6106</v>
      </c>
      <c r="K647" s="2"/>
      <c r="L647" s="4">
        <v>70000</v>
      </c>
      <c r="M647" s="39">
        <v>0.11799999999999999</v>
      </c>
      <c r="N647" s="4"/>
    </row>
    <row r="648" spans="2:14">
      <c r="B648" s="92" t="s">
        <v>140</v>
      </c>
      <c r="C648" s="91" t="s">
        <v>1319</v>
      </c>
      <c r="D648" s="93">
        <v>160</v>
      </c>
      <c r="E648" s="93">
        <v>229.99999999999997</v>
      </c>
      <c r="F648" s="103">
        <f>IFERROR(INDEX(Tabella951[PLZ],MATCH(Tabella848[[#This Row],[Colonna2]],Tabella951[Ortschaftsname],0)), "Name not found")</f>
        <v>4806</v>
      </c>
      <c r="K648" s="2"/>
      <c r="L648" s="4">
        <v>80000</v>
      </c>
      <c r="M648" s="39">
        <v>0.13</v>
      </c>
      <c r="N648" s="4"/>
    </row>
    <row r="649" spans="2:14">
      <c r="B649" s="92" t="s">
        <v>140</v>
      </c>
      <c r="C649" s="91" t="s">
        <v>1268</v>
      </c>
      <c r="D649" s="93">
        <v>160</v>
      </c>
      <c r="E649" s="93">
        <v>210</v>
      </c>
      <c r="F649" s="103">
        <f>IFERROR(INDEX(Tabella951[PLZ],MATCH(Tabella848[[#This Row],[Colonna2]],Tabella951[Ortschaftsname],0)), "Name not found")</f>
        <v>6130</v>
      </c>
      <c r="K649" s="2"/>
      <c r="L649" s="4">
        <v>90000</v>
      </c>
      <c r="M649" s="39">
        <v>0.13300000000000001</v>
      </c>
      <c r="N649" s="4"/>
    </row>
    <row r="650" spans="2:14">
      <c r="B650" s="92" t="s">
        <v>140</v>
      </c>
      <c r="C650" s="91" t="s">
        <v>1285</v>
      </c>
      <c r="D650" s="93">
        <v>160</v>
      </c>
      <c r="E650" s="93">
        <v>229.99999999999997</v>
      </c>
      <c r="F650" s="103">
        <f>IFERROR(INDEX(Tabella951[PLZ],MATCH(Tabella848[[#This Row],[Colonna2]],Tabella951[Ortschaftsname],0)), "Name not found")</f>
        <v>6110</v>
      </c>
      <c r="K650" s="2"/>
      <c r="L650" s="4">
        <v>100000</v>
      </c>
      <c r="M650" s="39">
        <v>0.13500000000000001</v>
      </c>
      <c r="N650" s="4"/>
    </row>
    <row r="651" spans="2:14">
      <c r="B651" s="92" t="s">
        <v>140</v>
      </c>
      <c r="C651" s="91" t="s">
        <v>1311</v>
      </c>
      <c r="D651" s="93">
        <v>160</v>
      </c>
      <c r="E651" s="93">
        <v>190</v>
      </c>
      <c r="F651" s="103">
        <v>6144</v>
      </c>
      <c r="K651" s="2"/>
      <c r="L651" s="4">
        <v>200000</v>
      </c>
      <c r="M651" s="39">
        <v>0.14000000000000001</v>
      </c>
      <c r="N651" s="46"/>
    </row>
    <row r="652" spans="2:14">
      <c r="B652" s="92" t="s">
        <v>150</v>
      </c>
      <c r="C652" s="91" t="s">
        <v>1985</v>
      </c>
      <c r="D652" s="93">
        <v>100</v>
      </c>
      <c r="E652" s="93">
        <v>95</v>
      </c>
      <c r="F652" s="103">
        <v>6460</v>
      </c>
      <c r="K652" s="2"/>
      <c r="L652" s="4"/>
      <c r="M652" s="39"/>
      <c r="N652" s="46"/>
    </row>
    <row r="653" spans="2:14">
      <c r="B653" s="92" t="s">
        <v>150</v>
      </c>
      <c r="C653" s="91" t="s">
        <v>1993</v>
      </c>
      <c r="D653" s="93">
        <v>100</v>
      </c>
      <c r="E653" s="93">
        <v>99</v>
      </c>
      <c r="F653" s="103">
        <f>IFERROR(INDEX(Tabella951[PLZ],MATCH(Tabella848[[#This Row],[Colonna2]],Tabella951[Ortschaftsname],0)), "Name not found")</f>
        <v>6490</v>
      </c>
      <c r="K653" s="2"/>
      <c r="L653" s="4"/>
      <c r="M653" s="39"/>
      <c r="N653" s="2"/>
    </row>
    <row r="654" spans="2:14">
      <c r="B654" s="92" t="s">
        <v>150</v>
      </c>
      <c r="C654" s="91" t="s">
        <v>2619</v>
      </c>
      <c r="D654" s="93">
        <v>100</v>
      </c>
      <c r="E654" s="93">
        <v>97</v>
      </c>
      <c r="F654" s="103">
        <f>IFERROR(INDEX(Tabella951[PLZ],MATCH(Tabella848[[#This Row],[Colonna2]],Tabella951[Ortschaftsname],0)), "Name not found")</f>
        <v>6468</v>
      </c>
      <c r="K654" s="2"/>
      <c r="L654" s="36">
        <f>IF(K638&lt;$L$640,K638*$M$639,IF(K638&lt;$L$641,K638*$M$640,IF(K638&lt;$L$642,K638*$M$641,IF(K638&lt;$L$643,K638*$M$642,IF(K638&lt;$L$644,K638*$M$643,IF(K638&lt;$L$645,K638*$M$644,IF(K638&lt;$L$646,K638*$M$645,IF(K638&lt;$L$647,K638*$M$646,IF(K638&lt;$L$648,K638*$M$647,IF(K638&lt;$L$649,K638*$M$648,IF(K638&lt;$L$650,K638*$M$649,IF(K638&lt;$L$651,K638*$M$650,IF(K638&gt;$L$651,K638*M651)))))))))))))</f>
        <v>13500</v>
      </c>
      <c r="M654" s="2"/>
      <c r="N654" s="2"/>
    </row>
    <row r="655" spans="2:14">
      <c r="B655" s="92" t="s">
        <v>150</v>
      </c>
      <c r="C655" s="91" t="s">
        <v>1987</v>
      </c>
      <c r="D655" s="93">
        <v>100</v>
      </c>
      <c r="E655" s="93">
        <v>92</v>
      </c>
      <c r="F655" s="103">
        <v>6463</v>
      </c>
    </row>
    <row r="656" spans="2:14">
      <c r="B656" s="92" t="s">
        <v>150</v>
      </c>
      <c r="C656" s="91" t="s">
        <v>1988</v>
      </c>
      <c r="D656" s="93">
        <v>100</v>
      </c>
      <c r="E656" s="93">
        <v>103</v>
      </c>
      <c r="F656" s="103">
        <f>IFERROR(INDEX(Tabella951[PLZ],MATCH(Tabella848[[#This Row],[Colonna2]],Tabella951[Ortschaftsname],0)), "Name not found")</f>
        <v>6472</v>
      </c>
    </row>
    <row r="657" spans="2:14">
      <c r="B657" s="92" t="s">
        <v>150</v>
      </c>
      <c r="C657" s="91" t="s">
        <v>1990</v>
      </c>
      <c r="D657" s="93">
        <v>100</v>
      </c>
      <c r="E657" s="93">
        <v>93</v>
      </c>
      <c r="F657" s="103">
        <f>IFERROR(INDEX(Tabella951[PLZ],MATCH(Tabella848[[#This Row],[Colonna2]],Tabella951[Ortschaftsname],0)), "Name not found")</f>
        <v>6454</v>
      </c>
      <c r="K657" s="68" t="s">
        <v>2620</v>
      </c>
      <c r="L657" s="21" t="s">
        <v>82</v>
      </c>
      <c r="M657" s="21" t="s">
        <v>2511</v>
      </c>
      <c r="N657" s="21" t="s">
        <v>90</v>
      </c>
    </row>
    <row r="658" spans="2:14">
      <c r="B658" s="92" t="s">
        <v>150</v>
      </c>
      <c r="C658" s="91" t="s">
        <v>2621</v>
      </c>
      <c r="D658" s="93">
        <v>100</v>
      </c>
      <c r="E658" s="93">
        <v>110</v>
      </c>
      <c r="F658" s="103">
        <f>IFERROR(INDEX(Tabella951[PLZ],MATCH(Tabella848[[#This Row],[Colonna2]],Tabella951[Ortschaftsname],0)), "Name not found")</f>
        <v>6482</v>
      </c>
      <c r="K658" s="94">
        <v>100000</v>
      </c>
      <c r="L658" s="11" t="s">
        <v>2512</v>
      </c>
      <c r="M658" s="11" t="s">
        <v>2525</v>
      </c>
      <c r="N658" s="11"/>
    </row>
    <row r="659" spans="2:14">
      <c r="B659" s="92" t="s">
        <v>150</v>
      </c>
      <c r="C659" s="91" t="s">
        <v>2622</v>
      </c>
      <c r="D659" s="93">
        <v>100</v>
      </c>
      <c r="E659" s="93">
        <v>108</v>
      </c>
      <c r="F659" s="103">
        <f>IFERROR(INDEX(Tabella951[PLZ],MATCH(Tabella848[[#This Row],[Colonna2]],Tabella951[Ortschaftsname],0)), "Name not found")</f>
        <v>6487</v>
      </c>
      <c r="K659" s="26"/>
      <c r="L659" s="4">
        <v>0</v>
      </c>
      <c r="M659" s="39">
        <v>0.02</v>
      </c>
      <c r="N659" s="4"/>
    </row>
    <row r="660" spans="2:14">
      <c r="B660" s="92" t="s">
        <v>150</v>
      </c>
      <c r="C660" s="91" t="s">
        <v>2002</v>
      </c>
      <c r="D660" s="93">
        <v>100</v>
      </c>
      <c r="E660" s="93">
        <v>95</v>
      </c>
      <c r="F660" s="103">
        <f>IFERROR(INDEX(Tabella951[PLZ],MATCH(Tabella848[[#This Row],[Colonna2]],Tabella951[Ortschaftsname],0)), "Name not found")</f>
        <v>6493</v>
      </c>
      <c r="K660" s="2"/>
      <c r="L660" s="4">
        <v>5000</v>
      </c>
      <c r="M660" s="39">
        <v>0.02</v>
      </c>
      <c r="N660" s="4"/>
    </row>
    <row r="661" spans="2:14">
      <c r="B661" s="92" t="s">
        <v>150</v>
      </c>
      <c r="C661" s="91" t="s">
        <v>2623</v>
      </c>
      <c r="D661" s="93">
        <v>100</v>
      </c>
      <c r="E661" s="93">
        <v>117</v>
      </c>
      <c r="F661" s="103">
        <f>IFERROR(INDEX(Tabella951[PLZ],MATCH(Tabella848[[#This Row],[Colonna2]],Tabella951[Ortschaftsname],0)), "Name not found")</f>
        <v>6461</v>
      </c>
      <c r="K661" s="2"/>
      <c r="L661" s="4">
        <v>10000</v>
      </c>
      <c r="M661" s="39">
        <v>2.7E-2</v>
      </c>
      <c r="N661" s="4"/>
    </row>
    <row r="662" spans="2:14">
      <c r="B662" s="92" t="s">
        <v>150</v>
      </c>
      <c r="C662" s="91" t="s">
        <v>2004</v>
      </c>
      <c r="D662" s="93">
        <v>100</v>
      </c>
      <c r="E662" s="93">
        <v>92</v>
      </c>
      <c r="F662" s="103">
        <f>IFERROR(INDEX(Tabella951[PLZ],MATCH(Tabella848[[#This Row],[Colonna2]],Tabella951[Ortschaftsname],0)), "Name not found")</f>
        <v>6491</v>
      </c>
      <c r="K662" s="2"/>
      <c r="L662" s="4">
        <v>15000</v>
      </c>
      <c r="M662" s="39">
        <v>3.5999999999999997E-2</v>
      </c>
      <c r="N662" s="4"/>
    </row>
    <row r="663" spans="2:14">
      <c r="B663" s="92" t="s">
        <v>150</v>
      </c>
      <c r="C663" s="91" t="s">
        <v>1986</v>
      </c>
      <c r="D663" s="93">
        <v>100</v>
      </c>
      <c r="E663" s="93">
        <v>91</v>
      </c>
      <c r="F663" s="103">
        <f>IFERROR(INDEX(Tabella951[PLZ],MATCH(Tabella848[[#This Row],[Colonna2]],Tabella951[Ortschaftsname],0)), "Name not found")</f>
        <v>6467</v>
      </c>
      <c r="K663" s="2"/>
      <c r="L663" s="4">
        <v>20000</v>
      </c>
      <c r="M663" s="39">
        <v>4.3999999999999997E-2</v>
      </c>
      <c r="N663" s="4"/>
    </row>
    <row r="664" spans="2:14">
      <c r="B664" s="92" t="s">
        <v>150</v>
      </c>
      <c r="C664" s="91" t="s">
        <v>1991</v>
      </c>
      <c r="D664" s="93">
        <v>100</v>
      </c>
      <c r="E664" s="93">
        <v>90</v>
      </c>
      <c r="F664" s="103">
        <v>6462</v>
      </c>
      <c r="K664" s="2"/>
      <c r="L664" s="4">
        <v>30000</v>
      </c>
      <c r="M664" s="39">
        <v>5.8000000000000003E-2</v>
      </c>
      <c r="N664" s="4"/>
    </row>
    <row r="665" spans="2:14">
      <c r="B665" s="92" t="s">
        <v>150</v>
      </c>
      <c r="C665" s="91" t="s">
        <v>1996</v>
      </c>
      <c r="D665" s="93">
        <v>100</v>
      </c>
      <c r="E665" s="93">
        <v>110</v>
      </c>
      <c r="F665" s="103">
        <f>IFERROR(INDEX(Tabella951[PLZ],MATCH(Tabella848[[#This Row],[Colonna2]],Tabella951[Ortschaftsname],0)), "Name not found")</f>
        <v>6377</v>
      </c>
      <c r="K665" s="2"/>
      <c r="L665" s="4">
        <v>40000</v>
      </c>
      <c r="M665" s="39">
        <v>6.8000000000000005E-2</v>
      </c>
      <c r="N665" s="4"/>
    </row>
    <row r="666" spans="2:14">
      <c r="B666" s="92" t="s">
        <v>150</v>
      </c>
      <c r="C666" s="91" t="s">
        <v>1989</v>
      </c>
      <c r="D666" s="93">
        <v>100</v>
      </c>
      <c r="E666" s="93">
        <v>105</v>
      </c>
      <c r="F666" s="103">
        <f>IFERROR(INDEX(Tabella951[PLZ],MATCH(Tabella848[[#This Row],[Colonna2]],Tabella951[Ortschaftsname],0)), "Name not found")</f>
        <v>6473</v>
      </c>
      <c r="K666" s="2"/>
      <c r="L666" s="4">
        <v>50000</v>
      </c>
      <c r="M666" s="39">
        <v>7.4999999999999997E-2</v>
      </c>
      <c r="N666" s="4"/>
    </row>
    <row r="667" spans="2:14">
      <c r="B667" s="92" t="s">
        <v>150</v>
      </c>
      <c r="C667" s="91" t="s">
        <v>2001</v>
      </c>
      <c r="D667" s="93">
        <v>100</v>
      </c>
      <c r="E667" s="93">
        <v>120</v>
      </c>
      <c r="F667" s="103">
        <f>IFERROR(INDEX(Tabella951[PLZ],MATCH(Tabella848[[#This Row],[Colonna2]],Tabella951[Ortschaftsname],0)), "Name not found")</f>
        <v>6452</v>
      </c>
      <c r="K667" s="2"/>
      <c r="L667" s="4">
        <v>60000</v>
      </c>
      <c r="M667" s="39">
        <v>0.08</v>
      </c>
      <c r="N667" s="4"/>
    </row>
    <row r="668" spans="2:14">
      <c r="B668" s="92" t="s">
        <v>150</v>
      </c>
      <c r="C668" s="91" t="s">
        <v>2624</v>
      </c>
      <c r="D668" s="93">
        <v>100</v>
      </c>
      <c r="E668" s="93">
        <v>110</v>
      </c>
      <c r="F668" s="103">
        <f>IFERROR(INDEX(Tabella951[PLZ],MATCH(Tabella848[[#This Row],[Colonna2]],Tabella951[Ortschaftsname],0)), "Name not found")</f>
        <v>6464</v>
      </c>
      <c r="K668" s="2"/>
      <c r="L668" s="4">
        <v>80000</v>
      </c>
      <c r="M668" s="39">
        <v>8.7999999999999995E-2</v>
      </c>
      <c r="N668" s="4"/>
    </row>
    <row r="669" spans="2:14">
      <c r="B669" s="92" t="s">
        <v>150</v>
      </c>
      <c r="C669" s="91" t="s">
        <v>1995</v>
      </c>
      <c r="D669" s="93">
        <v>100</v>
      </c>
      <c r="E669" s="93">
        <v>104</v>
      </c>
      <c r="F669" s="103">
        <f>IFERROR(INDEX(Tabella951[PLZ],MATCH(Tabella848[[#This Row],[Colonna2]],Tabella951[Ortschaftsname],0)), "Name not found")</f>
        <v>6465</v>
      </c>
      <c r="K669" s="2"/>
      <c r="L669" s="4">
        <v>90000</v>
      </c>
      <c r="M669" s="39">
        <v>0.09</v>
      </c>
      <c r="N669" s="4"/>
    </row>
    <row r="670" spans="2:14">
      <c r="B670" s="92" t="s">
        <v>150</v>
      </c>
      <c r="C670" s="91" t="s">
        <v>2000</v>
      </c>
      <c r="D670" s="93">
        <v>100</v>
      </c>
      <c r="E670" s="93">
        <v>108</v>
      </c>
      <c r="F670" s="103">
        <v>6484</v>
      </c>
      <c r="K670" s="2"/>
      <c r="L670" s="4">
        <v>180000</v>
      </c>
      <c r="M670" s="39">
        <v>9.9000000000000005E-2</v>
      </c>
      <c r="N670" s="4"/>
    </row>
    <row r="671" spans="2:14">
      <c r="B671" s="92" t="s">
        <v>156</v>
      </c>
      <c r="C671" s="91" t="s">
        <v>1426</v>
      </c>
      <c r="D671" s="93">
        <v>120</v>
      </c>
      <c r="E671" s="93">
        <v>175</v>
      </c>
      <c r="F671" s="103">
        <f>IFERROR(INDEX(Tabella951[PLZ],MATCH(Tabella848[[#This Row],[Colonna2]],Tabella951[Ortschaftsname],0)), "Name not found")</f>
        <v>8849</v>
      </c>
      <c r="K671" s="2"/>
      <c r="L671" s="4">
        <v>200000</v>
      </c>
      <c r="M671" s="39">
        <v>0.1</v>
      </c>
      <c r="N671" s="46"/>
    </row>
    <row r="672" spans="2:14">
      <c r="B672" s="92" t="s">
        <v>156</v>
      </c>
      <c r="C672" s="91" t="s">
        <v>1408</v>
      </c>
      <c r="D672" s="93">
        <v>120</v>
      </c>
      <c r="E672" s="93">
        <v>125</v>
      </c>
      <c r="F672" s="103">
        <f>IFERROR(INDEX(Tabella951[PLZ],MATCH(Tabella848[[#This Row],[Colonna2]],Tabella951[Ortschaftsname],0)), "Name not found")</f>
        <v>8852</v>
      </c>
      <c r="K672" s="2"/>
      <c r="L672" s="4"/>
      <c r="M672" s="39"/>
      <c r="N672" s="46"/>
    </row>
    <row r="673" spans="2:14">
      <c r="B673" s="92" t="s">
        <v>156</v>
      </c>
      <c r="C673" s="91" t="s">
        <v>1403</v>
      </c>
      <c r="D673" s="93">
        <v>120</v>
      </c>
      <c r="E673" s="93">
        <v>160</v>
      </c>
      <c r="F673" s="103">
        <f>IFERROR(INDEX(Tabella951[PLZ],MATCH(Tabella848[[#This Row],[Colonna2]],Tabella951[Ortschaftsname],0)), "Name not found")</f>
        <v>6415</v>
      </c>
      <c r="K673" s="2"/>
      <c r="L673" s="4"/>
      <c r="M673" s="39"/>
      <c r="N673" s="2"/>
    </row>
    <row r="674" spans="2:14">
      <c r="B674" s="92" t="s">
        <v>156</v>
      </c>
      <c r="C674" s="91" t="s">
        <v>1401</v>
      </c>
      <c r="D674" s="93">
        <v>120</v>
      </c>
      <c r="E674" s="93">
        <v>200</v>
      </c>
      <c r="F674" s="103">
        <f>IFERROR(INDEX(Tabella951[PLZ],MATCH(Tabella848[[#This Row],[Colonna2]],Tabella951[Ortschaftsname],0)), "Name not found")</f>
        <v>8840</v>
      </c>
      <c r="K674" s="2"/>
      <c r="L674" s="36">
        <f>IF(K658&lt;$L$660,K658*$M$659,IF(K658&lt;$L$661,K658*$M$660,IF(K658&lt;$L$662,K658*$M$661,IF(K658&lt;$L$663,K658*$M$662,IF(K658&lt;$L$664,K658*$M$663,IF(K658&lt;$L$665,K658*$M$664,IF(K658&lt;$L$666,K658*$M$665,IF(K658&lt;$L$667,K658*$M$666,IF(K658&lt;$L$668,K658*$M$667,IF(K658&lt;$L$669,K658*$M$668,IF(K658&lt;$L$670,K658*$M$669,IF(K658&lt;$L$671,K658*$M$670,IF(K658&gt;$L$671,K658*$M$671)))))))))))))</f>
        <v>9000</v>
      </c>
      <c r="M674" s="2"/>
      <c r="N674" s="2"/>
    </row>
    <row r="675" spans="2:14">
      <c r="B675" s="92" t="s">
        <v>156</v>
      </c>
      <c r="C675" s="91" t="s">
        <v>1409</v>
      </c>
      <c r="D675" s="93">
        <v>120</v>
      </c>
      <c r="E675" s="93">
        <v>74</v>
      </c>
      <c r="F675" s="103">
        <f>IFERROR(INDEX(Tabella951[PLZ],MATCH(Tabella848[[#This Row],[Colonna2]],Tabella951[Ortschaftsname],0)), "Name not found")</f>
        <v>8835</v>
      </c>
    </row>
    <row r="676" spans="2:14">
      <c r="B676" s="92" t="s">
        <v>156</v>
      </c>
      <c r="C676" s="91" t="s">
        <v>1400</v>
      </c>
      <c r="D676" s="93">
        <v>120</v>
      </c>
      <c r="E676" s="93">
        <v>69</v>
      </c>
      <c r="F676" s="103">
        <f>IFERROR(INDEX(Tabella951[PLZ],MATCH(Tabella848[[#This Row],[Colonna2]],Tabella951[Ortschaftsname],0)), "Name not found")</f>
        <v>8807</v>
      </c>
    </row>
    <row r="677" spans="2:14">
      <c r="B677" s="92" t="s">
        <v>156</v>
      </c>
      <c r="C677" s="91" t="s">
        <v>1410</v>
      </c>
      <c r="D677" s="93">
        <v>120</v>
      </c>
      <c r="E677" s="93">
        <v>165</v>
      </c>
      <c r="F677" s="103">
        <f>IFERROR(INDEX(Tabella951[PLZ],MATCH(Tabella848[[#This Row],[Colonna2]],Tabella951[Ortschaftsname],0)), "Name not found")</f>
        <v>8854</v>
      </c>
    </row>
    <row r="678" spans="2:14">
      <c r="B678" s="92" t="s">
        <v>156</v>
      </c>
      <c r="C678" s="91" t="s">
        <v>1418</v>
      </c>
      <c r="D678" s="93">
        <v>120</v>
      </c>
      <c r="E678" s="93">
        <v>190</v>
      </c>
      <c r="F678" s="103">
        <f>IFERROR(INDEX(Tabella951[PLZ],MATCH(Tabella848[[#This Row],[Colonna2]],Tabella951[Ortschaftsname],0)), "Name not found")</f>
        <v>6442</v>
      </c>
    </row>
    <row r="679" spans="2:14">
      <c r="B679" s="92" t="s">
        <v>156</v>
      </c>
      <c r="C679" s="91" t="s">
        <v>1425</v>
      </c>
      <c r="D679" s="93">
        <v>120</v>
      </c>
      <c r="E679" s="93">
        <v>210</v>
      </c>
      <c r="F679" s="103">
        <f>IFERROR(INDEX(Tabella951[PLZ],MATCH(Tabella848[[#This Row],[Colonna2]],Tabella951[Ortschaftsname],0)), "Name not found")</f>
        <v>6434</v>
      </c>
    </row>
    <row r="680" spans="2:14">
      <c r="B680" s="92" t="s">
        <v>156</v>
      </c>
      <c r="C680" s="91" t="s">
        <v>1405</v>
      </c>
      <c r="D680" s="93">
        <v>120</v>
      </c>
      <c r="E680" s="93">
        <v>200</v>
      </c>
      <c r="F680" s="103">
        <v>6440</v>
      </c>
    </row>
    <row r="681" spans="2:14">
      <c r="B681" s="92" t="s">
        <v>156</v>
      </c>
      <c r="C681" s="91" t="s">
        <v>1427</v>
      </c>
      <c r="D681" s="93">
        <v>120</v>
      </c>
      <c r="E681" s="93">
        <v>170</v>
      </c>
      <c r="F681" s="103">
        <f>IFERROR(INDEX(Tabella951[PLZ],MATCH(Tabella848[[#This Row],[Colonna2]],Tabella951[Ortschaftsname],0)), "Name not found")</f>
        <v>8858</v>
      </c>
    </row>
    <row r="682" spans="2:14">
      <c r="B682" s="92" t="s">
        <v>156</v>
      </c>
      <c r="C682" s="91" t="s">
        <v>1402</v>
      </c>
      <c r="D682" s="93">
        <v>120</v>
      </c>
      <c r="E682" s="93">
        <v>155</v>
      </c>
      <c r="F682" s="103">
        <v>6403</v>
      </c>
    </row>
    <row r="683" spans="2:14">
      <c r="B683" s="92" t="s">
        <v>156</v>
      </c>
      <c r="C683" s="91" t="s">
        <v>1406</v>
      </c>
      <c r="D683" s="93">
        <v>120</v>
      </c>
      <c r="E683" s="93">
        <v>135</v>
      </c>
      <c r="F683" s="103">
        <v>8853</v>
      </c>
    </row>
    <row r="684" spans="2:14">
      <c r="B684" s="92" t="s">
        <v>156</v>
      </c>
      <c r="C684" s="91" t="s">
        <v>1421</v>
      </c>
      <c r="D684" s="93">
        <v>120</v>
      </c>
      <c r="E684" s="93">
        <v>200</v>
      </c>
      <c r="F684" s="103">
        <f>IFERROR(INDEX(Tabella951[PLZ],MATCH(Tabella848[[#This Row],[Colonna2]],Tabella951[Ortschaftsname],0)), "Name not found")</f>
        <v>6424</v>
      </c>
    </row>
    <row r="685" spans="2:14">
      <c r="B685" s="92" t="s">
        <v>156</v>
      </c>
      <c r="C685" s="91" t="s">
        <v>1420</v>
      </c>
      <c r="D685" s="93">
        <v>120</v>
      </c>
      <c r="E685" s="93">
        <v>180</v>
      </c>
      <c r="F685" s="103">
        <f>IFERROR(INDEX(Tabella951[PLZ],MATCH(Tabella848[[#This Row],[Colonna2]],Tabella951[Ortschaftsname],0)), "Name not found")</f>
        <v>6443</v>
      </c>
    </row>
    <row r="686" spans="2:14">
      <c r="B686" s="92" t="s">
        <v>156</v>
      </c>
      <c r="C686" s="91" t="s">
        <v>1413</v>
      </c>
      <c r="D686" s="93">
        <v>120</v>
      </c>
      <c r="E686" s="93">
        <v>170</v>
      </c>
      <c r="F686" s="103">
        <f>IFERROR(INDEX(Tabella951[PLZ],MATCH(Tabella848[[#This Row],[Colonna2]],Tabella951[Ortschaftsname],0)), "Name not found")</f>
        <v>6436</v>
      </c>
    </row>
    <row r="687" spans="2:14">
      <c r="B687" s="92" t="s">
        <v>156</v>
      </c>
      <c r="C687" s="91" t="s">
        <v>1424</v>
      </c>
      <c r="D687" s="93">
        <v>120</v>
      </c>
      <c r="E687" s="93">
        <v>180</v>
      </c>
      <c r="F687" s="103">
        <f>IFERROR(INDEX(Tabella951[PLZ],MATCH(Tabella848[[#This Row],[Colonna2]],Tabella951[Ortschaftsname],0)), "Name not found")</f>
        <v>8843</v>
      </c>
    </row>
    <row r="688" spans="2:14">
      <c r="B688" s="92" t="s">
        <v>156</v>
      </c>
      <c r="C688" s="91" t="s">
        <v>1412</v>
      </c>
      <c r="D688" s="93">
        <v>120</v>
      </c>
      <c r="E688" s="93">
        <v>190</v>
      </c>
      <c r="F688" s="103">
        <f>IFERROR(INDEX(Tabella951[PLZ],MATCH(Tabella848[[#This Row],[Colonna2]],Tabella951[Ortschaftsname],0)), "Name not found")</f>
        <v>8864</v>
      </c>
    </row>
    <row r="689" spans="2:6">
      <c r="B689" s="92" t="s">
        <v>156</v>
      </c>
      <c r="C689" s="91" t="s">
        <v>1428</v>
      </c>
      <c r="D689" s="93">
        <v>120</v>
      </c>
      <c r="E689" s="93">
        <v>140</v>
      </c>
      <c r="F689" s="103">
        <f>IFERROR(INDEX(Tabella951[PLZ],MATCH(Tabella848[[#This Row],[Colonna2]],Tabella951[Ortschaftsname],0)), "Name not found")</f>
        <v>6452</v>
      </c>
    </row>
    <row r="690" spans="2:6">
      <c r="B690" s="92" t="s">
        <v>156</v>
      </c>
      <c r="C690" s="91" t="s">
        <v>1417</v>
      </c>
      <c r="D690" s="93">
        <v>120</v>
      </c>
      <c r="E690" s="93">
        <v>175</v>
      </c>
      <c r="F690" s="103">
        <f>IFERROR(INDEX(Tabella951[PLZ],MATCH(Tabella848[[#This Row],[Colonna2]],Tabella951[Ortschaftsname],0)), "Name not found")</f>
        <v>6418</v>
      </c>
    </row>
    <row r="691" spans="2:6">
      <c r="B691" s="92" t="s">
        <v>156</v>
      </c>
      <c r="C691" s="91" t="s">
        <v>1419</v>
      </c>
      <c r="D691" s="93">
        <v>120</v>
      </c>
      <c r="E691" s="93">
        <v>180</v>
      </c>
      <c r="F691" s="103">
        <f>IFERROR(INDEX(Tabella951[PLZ],MATCH(Tabella848[[#This Row],[Colonna2]],Tabella951[Ortschaftsname],0)), "Name not found")</f>
        <v>6417</v>
      </c>
    </row>
    <row r="692" spans="2:6">
      <c r="B692" s="92" t="s">
        <v>156</v>
      </c>
      <c r="C692" s="91" t="s">
        <v>178</v>
      </c>
      <c r="D692" s="93">
        <v>120</v>
      </c>
      <c r="E692" s="93">
        <v>205</v>
      </c>
      <c r="F692" s="103">
        <f>IFERROR(INDEX(Tabella951[PLZ],MATCH(Tabella848[[#This Row],[Colonna2]],Tabella951[Ortschaftsname],0)), "Name not found")</f>
        <v>6430</v>
      </c>
    </row>
    <row r="693" spans="2:6">
      <c r="B693" s="92" t="s">
        <v>156</v>
      </c>
      <c r="C693" s="91" t="s">
        <v>1404</v>
      </c>
      <c r="D693" s="93">
        <v>120</v>
      </c>
      <c r="E693" s="93">
        <v>210</v>
      </c>
      <c r="F693" s="103">
        <f>IFERROR(INDEX(Tabella951[PLZ],MATCH(Tabella848[[#This Row],[Colonna2]],Tabella951[Ortschaftsname],0)), "Name not found")</f>
        <v>8862</v>
      </c>
    </row>
    <row r="694" spans="2:6">
      <c r="B694" s="92" t="s">
        <v>156</v>
      </c>
      <c r="C694" s="91" t="s">
        <v>1414</v>
      </c>
      <c r="D694" s="93">
        <v>120</v>
      </c>
      <c r="E694" s="93">
        <v>200</v>
      </c>
      <c r="F694" s="103">
        <f>IFERROR(INDEX(Tabella951[PLZ],MATCH(Tabella848[[#This Row],[Colonna2]],Tabella951[Ortschaftsname],0)), "Name not found")</f>
        <v>6422</v>
      </c>
    </row>
    <row r="695" spans="2:6">
      <c r="B695" s="92" t="s">
        <v>156</v>
      </c>
      <c r="C695" s="91" t="s">
        <v>1423</v>
      </c>
      <c r="D695" s="93">
        <v>120</v>
      </c>
      <c r="E695" s="93">
        <v>160</v>
      </c>
      <c r="F695" s="103">
        <f>IFERROR(INDEX(Tabella951[PLZ],MATCH(Tabella848[[#This Row],[Colonna2]],Tabella951[Ortschaftsname],0)), "Name not found")</f>
        <v>6416</v>
      </c>
    </row>
    <row r="696" spans="2:6">
      <c r="B696" s="92" t="s">
        <v>156</v>
      </c>
      <c r="C696" s="91" t="s">
        <v>1415</v>
      </c>
      <c r="D696" s="93">
        <v>120</v>
      </c>
      <c r="E696" s="93">
        <v>179</v>
      </c>
      <c r="F696" s="103">
        <f>IFERROR(INDEX(Tabella951[PLZ],MATCH(Tabella848[[#This Row],[Colonna2]],Tabella951[Ortschaftsname],0)), "Name not found")</f>
        <v>8856</v>
      </c>
    </row>
    <row r="697" spans="2:6">
      <c r="B697" s="92" t="s">
        <v>156</v>
      </c>
      <c r="C697" s="91" t="s">
        <v>1416</v>
      </c>
      <c r="D697" s="93">
        <v>120</v>
      </c>
      <c r="E697" s="93">
        <v>205</v>
      </c>
      <c r="F697" s="103">
        <f>IFERROR(INDEX(Tabella951[PLZ],MATCH(Tabella848[[#This Row],[Colonna2]],Tabella951[Ortschaftsname],0)), "Name not found")</f>
        <v>8842</v>
      </c>
    </row>
    <row r="698" spans="2:6">
      <c r="B698" s="92" t="s">
        <v>156</v>
      </c>
      <c r="C698" s="91" t="s">
        <v>1422</v>
      </c>
      <c r="D698" s="93">
        <v>120</v>
      </c>
      <c r="E698" s="93">
        <v>175</v>
      </c>
      <c r="F698" s="103">
        <f>IFERROR(INDEX(Tabella951[PLZ],MATCH(Tabella848[[#This Row],[Colonna2]],Tabella951[Ortschaftsname],0)), "Name not found")</f>
        <v>8857</v>
      </c>
    </row>
    <row r="699" spans="2:6">
      <c r="B699" s="92" t="s">
        <v>156</v>
      </c>
      <c r="C699" s="91" t="s">
        <v>1411</v>
      </c>
      <c r="D699" s="93">
        <v>120</v>
      </c>
      <c r="E699" s="93">
        <v>190</v>
      </c>
      <c r="F699" s="103">
        <v>8855</v>
      </c>
    </row>
    <row r="700" spans="2:6">
      <c r="B700" s="92" t="s">
        <v>156</v>
      </c>
      <c r="C700" s="91" t="s">
        <v>1407</v>
      </c>
      <c r="D700" s="93">
        <v>120</v>
      </c>
      <c r="E700" s="93">
        <v>74</v>
      </c>
      <c r="F700" s="103">
        <f>IFERROR(INDEX(Tabella951[PLZ],MATCH(Tabella848[[#This Row],[Colonna2]],Tabella951[Ortschaftsname],0)), "Name not found")</f>
        <v>8832</v>
      </c>
    </row>
    <row r="701" spans="2:6">
      <c r="B701" s="92" t="s">
        <v>148</v>
      </c>
      <c r="C701" s="91" t="s">
        <v>2019</v>
      </c>
      <c r="D701" s="93">
        <v>335</v>
      </c>
      <c r="E701" s="93">
        <v>485</v>
      </c>
      <c r="F701" s="103">
        <v>6055</v>
      </c>
    </row>
    <row r="702" spans="2:6">
      <c r="B702" s="92" t="s">
        <v>148</v>
      </c>
      <c r="C702" s="91" t="s">
        <v>2021</v>
      </c>
      <c r="D702" s="93">
        <v>335</v>
      </c>
      <c r="E702" s="93">
        <v>465</v>
      </c>
      <c r="F702" s="103">
        <f>IFERROR(INDEX(Tabella951[PLZ],MATCH(Tabella848[[#This Row],[Colonna2]],Tabella951[Ortschaftsname],0)), "Name not found")</f>
        <v>6390</v>
      </c>
    </row>
    <row r="703" spans="2:6">
      <c r="B703" s="92" t="s">
        <v>148</v>
      </c>
      <c r="C703" s="91" t="s">
        <v>2022</v>
      </c>
      <c r="D703" s="93">
        <v>335</v>
      </c>
      <c r="E703" s="93">
        <v>485</v>
      </c>
      <c r="F703" s="103">
        <f>IFERROR(INDEX(Tabella951[PLZ],MATCH(Tabella848[[#This Row],[Colonna2]],Tabella951[Ortschaftsname],0)), "Name not found")</f>
        <v>6074</v>
      </c>
    </row>
    <row r="704" spans="2:6">
      <c r="B704" s="92" t="s">
        <v>148</v>
      </c>
      <c r="C704" s="91" t="s">
        <v>2018</v>
      </c>
      <c r="D704" s="93">
        <v>335</v>
      </c>
      <c r="E704" s="93">
        <v>450</v>
      </c>
      <c r="F704" s="103">
        <f>IFERROR(INDEX(Tabella951[PLZ],MATCH(Tabella848[[#This Row],[Colonna2]],Tabella951[Ortschaftsname],0)), "Name not found")</f>
        <v>6064</v>
      </c>
    </row>
    <row r="705" spans="2:6">
      <c r="B705" s="92" t="s">
        <v>148</v>
      </c>
      <c r="C705" s="91" t="s">
        <v>2023</v>
      </c>
      <c r="D705" s="93">
        <v>335</v>
      </c>
      <c r="E705" s="93">
        <v>525</v>
      </c>
      <c r="F705" s="103">
        <f>IFERROR(INDEX(Tabella951[PLZ],MATCH(Tabella848[[#This Row],[Colonna2]],Tabella951[Ortschaftsname],0)), "Name not found")</f>
        <v>6078</v>
      </c>
    </row>
    <row r="706" spans="2:6">
      <c r="B706" s="92" t="s">
        <v>148</v>
      </c>
      <c r="C706" s="91" t="s">
        <v>2020</v>
      </c>
      <c r="D706" s="93">
        <v>335</v>
      </c>
      <c r="E706" s="93">
        <v>470</v>
      </c>
      <c r="F706" s="103">
        <f>IFERROR(INDEX(Tabella951[PLZ],MATCH(Tabella848[[#This Row],[Colonna2]],Tabella951[Ortschaftsname],0)), "Name not found")</f>
        <v>6072</v>
      </c>
    </row>
    <row r="707" spans="2:6">
      <c r="B707" s="92" t="s">
        <v>148</v>
      </c>
      <c r="C707" s="91" t="s">
        <v>2016</v>
      </c>
      <c r="D707" s="93">
        <v>335</v>
      </c>
      <c r="E707" s="93">
        <v>386</v>
      </c>
      <c r="F707" s="103">
        <f>IFERROR(INDEX(Tabella951[PLZ],MATCH(Tabella848[[#This Row],[Colonna2]],Tabella951[Ortschaftsname],0)), "Name not found")</f>
        <v>6060</v>
      </c>
    </row>
    <row r="708" spans="2:6">
      <c r="B708" s="92" t="s">
        <v>147</v>
      </c>
      <c r="C708" s="91" t="s">
        <v>2010</v>
      </c>
      <c r="D708" s="93">
        <v>266</v>
      </c>
      <c r="E708" s="93">
        <v>179</v>
      </c>
      <c r="F708" s="103">
        <f>IFERROR(INDEX(Tabella951[PLZ],MATCH(Tabella848[[#This Row],[Colonna2]],Tabella951[Ortschaftsname],0)), "Name not found")</f>
        <v>6375</v>
      </c>
    </row>
    <row r="709" spans="2:6">
      <c r="B709" s="92" t="s">
        <v>147</v>
      </c>
      <c r="C709" s="91" t="s">
        <v>2007</v>
      </c>
      <c r="D709" s="93">
        <v>266</v>
      </c>
      <c r="E709" s="93">
        <v>217</v>
      </c>
      <c r="F709" s="103">
        <f>IFERROR(INDEX(Tabella951[PLZ],MATCH(Tabella848[[#This Row],[Colonna2]],Tabella951[Ortschaftsname],0)), "Name not found")</f>
        <v>6374</v>
      </c>
    </row>
    <row r="710" spans="2:6">
      <c r="B710" s="92" t="s">
        <v>147</v>
      </c>
      <c r="C710" s="91" t="s">
        <v>2014</v>
      </c>
      <c r="D710" s="93">
        <v>266</v>
      </c>
      <c r="E710" s="93">
        <v>240</v>
      </c>
      <c r="F710" s="103">
        <f>IFERROR(INDEX(Tabella951[PLZ],MATCH(Tabella848[[#This Row],[Colonna2]],Tabella951[Ortschaftsname],0)), "Name not found")</f>
        <v>6383</v>
      </c>
    </row>
    <row r="711" spans="2:6">
      <c r="B711" s="92" t="s">
        <v>147</v>
      </c>
      <c r="C711" s="91" t="s">
        <v>2015</v>
      </c>
      <c r="D711" s="93">
        <v>266</v>
      </c>
      <c r="E711" s="93">
        <v>222</v>
      </c>
      <c r="F711" s="103">
        <f>IFERROR(INDEX(Tabella951[PLZ],MATCH(Tabella848[[#This Row],[Colonna2]],Tabella951[Ortschaftsname],0)), "Name not found")</f>
        <v>6376</v>
      </c>
    </row>
    <row r="712" spans="2:6">
      <c r="B712" s="92" t="s">
        <v>147</v>
      </c>
      <c r="C712" s="91" t="s">
        <v>2008</v>
      </c>
      <c r="D712" s="93">
        <v>266</v>
      </c>
      <c r="E712" s="93">
        <v>150</v>
      </c>
      <c r="F712" s="103">
        <f>IFERROR(INDEX(Tabella951[PLZ],MATCH(Tabella848[[#This Row],[Colonna2]],Tabella951[Ortschaftsname],0)), "Name not found")</f>
        <v>6373</v>
      </c>
    </row>
    <row r="713" spans="2:6">
      <c r="B713" s="92" t="s">
        <v>147</v>
      </c>
      <c r="C713" s="91" t="s">
        <v>2012</v>
      </c>
      <c r="D713" s="93">
        <v>266</v>
      </c>
      <c r="E713" s="93">
        <v>200</v>
      </c>
      <c r="F713" s="103">
        <f>IFERROR(INDEX(Tabella951[PLZ],MATCH(Tabella848[[#This Row],[Colonna2]],Tabella951[Ortschaftsname],0)), "Name not found")</f>
        <v>6372</v>
      </c>
    </row>
    <row r="714" spans="2:6">
      <c r="B714" s="92" t="s">
        <v>147</v>
      </c>
      <c r="C714" s="91" t="s">
        <v>2006</v>
      </c>
      <c r="D714" s="93">
        <v>266</v>
      </c>
      <c r="E714" s="93">
        <v>149</v>
      </c>
      <c r="F714" s="103">
        <v>6052</v>
      </c>
    </row>
    <row r="715" spans="2:6">
      <c r="B715" s="92" t="s">
        <v>147</v>
      </c>
      <c r="C715" s="91" t="s">
        <v>2011</v>
      </c>
      <c r="D715" s="93">
        <v>266</v>
      </c>
      <c r="E715" s="93">
        <v>200</v>
      </c>
      <c r="F715" s="103">
        <v>6370</v>
      </c>
    </row>
    <row r="716" spans="2:6">
      <c r="B716" s="92" t="s">
        <v>147</v>
      </c>
      <c r="C716" s="91" t="s">
        <v>2005</v>
      </c>
      <c r="D716" s="93">
        <v>266</v>
      </c>
      <c r="E716" s="93">
        <v>235</v>
      </c>
      <c r="F716" s="103">
        <f>IFERROR(INDEX(Tabella951[PLZ],MATCH(Tabella848[[#This Row],[Colonna2]],Tabella951[Ortschaftsname],0)), "Name not found")</f>
        <v>6370</v>
      </c>
    </row>
    <row r="717" spans="2:6">
      <c r="B717" s="92" t="s">
        <v>147</v>
      </c>
      <c r="C717" s="91" t="s">
        <v>2009</v>
      </c>
      <c r="D717" s="93">
        <v>266</v>
      </c>
      <c r="E717" s="93">
        <v>187</v>
      </c>
      <c r="F717" s="103">
        <f>IFERROR(INDEX(Tabella951[PLZ],MATCH(Tabella848[[#This Row],[Colonna2]],Tabella951[Ortschaftsname],0)), "Name not found")</f>
        <v>6362</v>
      </c>
    </row>
    <row r="718" spans="2:6">
      <c r="B718" s="92" t="s">
        <v>147</v>
      </c>
      <c r="C718" s="91" t="s">
        <v>2013</v>
      </c>
      <c r="D718" s="93">
        <v>266</v>
      </c>
      <c r="E718" s="93">
        <v>250</v>
      </c>
      <c r="F718" s="103">
        <f>IFERROR(INDEX(Tabella951[PLZ],MATCH(Tabella848[[#This Row],[Colonna2]],Tabella951[Ortschaftsname],0)), "Name not found")</f>
        <v>6386</v>
      </c>
    </row>
    <row r="719" spans="2:6">
      <c r="B719" s="92" t="s">
        <v>149</v>
      </c>
      <c r="C719" s="91" t="s">
        <v>180</v>
      </c>
      <c r="D719" s="93">
        <v>59.7</v>
      </c>
      <c r="E719" s="93">
        <v>56</v>
      </c>
      <c r="F719" s="103">
        <f>IFERROR(INDEX(Tabella951[PLZ],MATCH(Tabella848[[#This Row],[Colonna2]],Tabella951[Ortschaftsname],0)), "Name not found")</f>
        <v>8750</v>
      </c>
    </row>
    <row r="720" spans="2:6">
      <c r="B720" s="92" t="s">
        <v>149</v>
      </c>
      <c r="C720" s="91" t="s">
        <v>1260</v>
      </c>
      <c r="D720" s="93">
        <v>59.7</v>
      </c>
      <c r="E720" s="93">
        <v>61.5</v>
      </c>
      <c r="F720" s="103">
        <v>8757</v>
      </c>
    </row>
    <row r="721" spans="2:6">
      <c r="B721" s="92" t="s">
        <v>149</v>
      </c>
      <c r="C721" s="91" t="s">
        <v>1261</v>
      </c>
      <c r="D721" s="93">
        <v>59.7</v>
      </c>
      <c r="E721" s="93">
        <v>63</v>
      </c>
      <c r="F721" s="103">
        <v>8762</v>
      </c>
    </row>
    <row r="722" spans="2:6">
      <c r="B722" s="92" t="s">
        <v>158</v>
      </c>
      <c r="C722" s="91" t="s">
        <v>1548</v>
      </c>
      <c r="D722" s="93">
        <v>82</v>
      </c>
      <c r="E722" s="93">
        <v>50.88</v>
      </c>
      <c r="F722" s="103">
        <f>IFERROR(INDEX(Tabella951[PLZ],MATCH(Tabella848[[#This Row],[Colonna2]],Tabella951[Ortschaftsname],0)), "Name not found")</f>
        <v>6340</v>
      </c>
    </row>
    <row r="723" spans="2:6">
      <c r="B723" s="92" t="s">
        <v>158</v>
      </c>
      <c r="C723" s="91" t="s">
        <v>1549</v>
      </c>
      <c r="D723" s="93">
        <v>82</v>
      </c>
      <c r="E723" s="93">
        <v>56</v>
      </c>
      <c r="F723" s="103">
        <f>IFERROR(INDEX(Tabella951[PLZ],MATCH(Tabella848[[#This Row],[Colonna2]],Tabella951[Ortschaftsname],0)), "Name not found")</f>
        <v>6330</v>
      </c>
    </row>
    <row r="724" spans="2:6">
      <c r="B724" s="92" t="s">
        <v>158</v>
      </c>
      <c r="C724" s="91" t="s">
        <v>1552</v>
      </c>
      <c r="D724" s="93">
        <v>82</v>
      </c>
      <c r="E724" s="93">
        <v>57</v>
      </c>
      <c r="F724" s="103">
        <f>IFERROR(INDEX(Tabella951[PLZ],MATCH(Tabella848[[#This Row],[Colonna2]],Tabella951[Ortschaftsname],0)), "Name not found")</f>
        <v>6331</v>
      </c>
    </row>
    <row r="725" spans="2:6">
      <c r="B725" s="92" t="s">
        <v>158</v>
      </c>
      <c r="C725" s="91" t="s">
        <v>1555</v>
      </c>
      <c r="D725" s="93">
        <v>82</v>
      </c>
      <c r="E725" s="93">
        <v>61</v>
      </c>
      <c r="F725" s="103">
        <f>IFERROR(INDEX(Tabella951[PLZ],MATCH(Tabella848[[#This Row],[Colonna2]],Tabella951[Ortschaftsname],0)), "Name not found")</f>
        <v>6313</v>
      </c>
    </row>
    <row r="726" spans="2:6">
      <c r="B726" s="92" t="s">
        <v>158</v>
      </c>
      <c r="C726" s="91" t="s">
        <v>1557</v>
      </c>
      <c r="D726" s="93">
        <v>82</v>
      </c>
      <c r="E726" s="93">
        <v>65</v>
      </c>
      <c r="F726" s="103">
        <f>IFERROR(INDEX(Tabella951[PLZ],MATCH(Tabella848[[#This Row],[Colonna2]],Tabella951[Ortschaftsname],0)), "Name not found")</f>
        <v>6345</v>
      </c>
    </row>
    <row r="727" spans="2:6">
      <c r="B727" s="92" t="s">
        <v>158</v>
      </c>
      <c r="C727" s="91" t="s">
        <v>1554</v>
      </c>
      <c r="D727" s="93">
        <v>82</v>
      </c>
      <c r="E727" s="93">
        <v>57</v>
      </c>
      <c r="F727" s="103">
        <f>IFERROR(INDEX(Tabella951[PLZ],MATCH(Tabella848[[#This Row],[Colonna2]],Tabella951[Ortschaftsname],0)), "Name not found")</f>
        <v>6315</v>
      </c>
    </row>
    <row r="728" spans="2:6">
      <c r="B728" s="92" t="s">
        <v>158</v>
      </c>
      <c r="C728" s="91" t="s">
        <v>1550</v>
      </c>
      <c r="D728" s="93">
        <v>82</v>
      </c>
      <c r="E728" s="93">
        <v>55</v>
      </c>
      <c r="F728" s="103">
        <f>IFERROR(INDEX(Tabella951[PLZ],MATCH(Tabella848[[#This Row],[Colonna2]],Tabella951[Ortschaftsname],0)), "Name not found")</f>
        <v>6343</v>
      </c>
    </row>
    <row r="729" spans="2:6">
      <c r="B729" s="92" t="s">
        <v>158</v>
      </c>
      <c r="C729" s="91" t="s">
        <v>1551</v>
      </c>
      <c r="D729" s="93">
        <v>82</v>
      </c>
      <c r="E729" s="93">
        <v>54</v>
      </c>
      <c r="F729" s="103">
        <f>IFERROR(INDEX(Tabella951[PLZ],MATCH(Tabella848[[#This Row],[Colonna2]],Tabella951[Ortschaftsname],0)), "Name not found")</f>
        <v>6312</v>
      </c>
    </row>
    <row r="730" spans="2:6">
      <c r="B730" s="92" t="s">
        <v>158</v>
      </c>
      <c r="C730" s="91" t="s">
        <v>1553</v>
      </c>
      <c r="D730" s="93">
        <v>82</v>
      </c>
      <c r="E730" s="93">
        <v>56</v>
      </c>
      <c r="F730" s="103">
        <f>IFERROR(INDEX(Tabella951[PLZ],MATCH(Tabella848[[#This Row],[Colonna2]],Tabella951[Ortschaftsname],0)), "Name not found")</f>
        <v>6314</v>
      </c>
    </row>
    <row r="731" spans="2:6">
      <c r="B731" s="92" t="s">
        <v>158</v>
      </c>
      <c r="C731" s="91" t="s">
        <v>1556</v>
      </c>
      <c r="D731" s="93">
        <v>82</v>
      </c>
      <c r="E731" s="93">
        <v>53</v>
      </c>
      <c r="F731" s="103">
        <f>IFERROR(INDEX(Tabella951[PLZ],MATCH(Tabella848[[#This Row],[Colonna2]],Tabella951[Ortschaftsname],0)), "Name not found")</f>
        <v>6318</v>
      </c>
    </row>
    <row r="732" spans="2:6">
      <c r="B732" s="92" t="s">
        <v>158</v>
      </c>
      <c r="C732" s="91" t="s">
        <v>1547</v>
      </c>
      <c r="D732" s="93">
        <v>82</v>
      </c>
      <c r="E732" s="93">
        <v>52.11</v>
      </c>
      <c r="F732" s="103">
        <f>IFERROR(INDEX(Tabella951[PLZ],MATCH(Tabella848[[#This Row],[Colonna2]],Tabella951[Ortschaftsname],0)), "Name not found")</f>
        <v>6300</v>
      </c>
    </row>
    <row r="733" spans="2:6">
      <c r="B733" s="92" t="s">
        <v>152</v>
      </c>
      <c r="C733" s="91" t="s">
        <v>1143</v>
      </c>
      <c r="D733" s="93">
        <v>96</v>
      </c>
      <c r="E733" s="93">
        <v>78.5</v>
      </c>
      <c r="F733" s="103">
        <f>IFERROR(INDEX(Tabella951[PLZ],MATCH(Tabella848[[#This Row],[Colonna2]],Tabella951[Ortschaftsname],0)), "Name not found")</f>
        <v>1616</v>
      </c>
    </row>
    <row r="734" spans="2:6">
      <c r="B734" s="92" t="s">
        <v>152</v>
      </c>
      <c r="C734" s="91" t="s">
        <v>1249</v>
      </c>
      <c r="D734" s="93">
        <v>96</v>
      </c>
      <c r="E734" s="93">
        <v>77</v>
      </c>
      <c r="F734" s="103">
        <f>IFERROR(INDEX(Tabella951[PLZ],MATCH(Tabella848[[#This Row],[Colonna2]],Tabella951[Ortschaftsname],0)), "Name not found")</f>
        <v>1673</v>
      </c>
    </row>
    <row r="735" spans="2:6">
      <c r="B735" s="92" t="s">
        <v>152</v>
      </c>
      <c r="C735" s="91" t="s">
        <v>1220</v>
      </c>
      <c r="D735" s="93">
        <v>96</v>
      </c>
      <c r="E735" s="93">
        <v>90</v>
      </c>
      <c r="F735" s="103">
        <f>IFERROR(INDEX(Tabella951[PLZ],MATCH(Tabella848[[#This Row],[Colonna2]],Tabella951[Ortschaftsname],0)), "Name not found")</f>
        <v>1742</v>
      </c>
    </row>
    <row r="736" spans="2:6">
      <c r="B736" s="92" t="s">
        <v>152</v>
      </c>
      <c r="C736" s="91" t="s">
        <v>1168</v>
      </c>
      <c r="D736" s="93">
        <v>96</v>
      </c>
      <c r="E736" s="93">
        <v>69.099999999999994</v>
      </c>
      <c r="F736" s="103">
        <v>1754</v>
      </c>
    </row>
    <row r="737" spans="2:6">
      <c r="B737" s="92" t="s">
        <v>152</v>
      </c>
      <c r="C737" s="91" t="s">
        <v>1184</v>
      </c>
      <c r="D737" s="93">
        <v>96</v>
      </c>
      <c r="E737" s="93">
        <v>83.2</v>
      </c>
      <c r="F737" s="103">
        <v>1666</v>
      </c>
    </row>
    <row r="738" spans="2:6">
      <c r="B738" s="92" t="s">
        <v>152</v>
      </c>
      <c r="C738" s="91" t="s">
        <v>1145</v>
      </c>
      <c r="D738" s="93">
        <v>96</v>
      </c>
      <c r="E738" s="93">
        <v>84</v>
      </c>
      <c r="F738" s="103">
        <f>IFERROR(INDEX(Tabella951[PLZ],MATCH(Tabella848[[#This Row],[Colonna2]],Tabella951[Ortschaftsname],0)), "Name not found")</f>
        <v>1782</v>
      </c>
    </row>
    <row r="739" spans="2:6">
      <c r="B739" s="92" t="s">
        <v>152</v>
      </c>
      <c r="C739" s="91" t="s">
        <v>1133</v>
      </c>
      <c r="D739" s="93">
        <v>96</v>
      </c>
      <c r="E739" s="93">
        <v>78</v>
      </c>
      <c r="F739" s="103">
        <v>1773</v>
      </c>
    </row>
    <row r="740" spans="2:6">
      <c r="B740" s="92" t="s">
        <v>152</v>
      </c>
      <c r="C740" s="91" t="s">
        <v>1221</v>
      </c>
      <c r="D740" s="93">
        <v>96</v>
      </c>
      <c r="E740" s="93">
        <v>95</v>
      </c>
      <c r="F740" s="103">
        <v>1681</v>
      </c>
    </row>
    <row r="741" spans="2:6">
      <c r="B741" s="92" t="s">
        <v>152</v>
      </c>
      <c r="C741" s="91" t="s">
        <v>2625</v>
      </c>
      <c r="D741" s="93">
        <v>96</v>
      </c>
      <c r="E741" s="93">
        <v>85</v>
      </c>
      <c r="F741" s="103">
        <v>1290</v>
      </c>
    </row>
    <row r="742" spans="2:6">
      <c r="B742" s="92" t="s">
        <v>152</v>
      </c>
      <c r="C742" s="91" t="s">
        <v>1178</v>
      </c>
      <c r="D742" s="93">
        <v>96</v>
      </c>
      <c r="E742" s="93">
        <v>90</v>
      </c>
      <c r="F742" s="103">
        <f>IFERROR(INDEX(Tabella951[PLZ],MATCH(Tabella848[[#This Row],[Colonna2]],Tabella951[Ortschaftsname],0)), "Name not found")</f>
        <v>1615</v>
      </c>
    </row>
    <row r="743" spans="2:6">
      <c r="B743" s="92" t="s">
        <v>152</v>
      </c>
      <c r="C743" s="91" t="s">
        <v>1233</v>
      </c>
      <c r="D743" s="93">
        <v>96</v>
      </c>
      <c r="E743" s="93">
        <v>85</v>
      </c>
      <c r="F743" s="103">
        <f>IFERROR(INDEX(Tabella951[PLZ],MATCH(Tabella848[[#This Row],[Colonna2]],Tabella951[Ortschaftsname],0)), "Name not found")</f>
        <v>1652</v>
      </c>
    </row>
    <row r="744" spans="2:6">
      <c r="B744" s="92" t="s">
        <v>152</v>
      </c>
      <c r="C744" s="91" t="s">
        <v>1149</v>
      </c>
      <c r="D744" s="93">
        <v>96</v>
      </c>
      <c r="E744" s="93">
        <v>92</v>
      </c>
      <c r="F744" s="103">
        <f>IFERROR(INDEX(Tabella951[PLZ],MATCH(Tabella848[[#This Row],[Colonna2]],Tabella951[Ortschaftsname],0)), "Name not found")</f>
        <v>1636</v>
      </c>
    </row>
    <row r="745" spans="2:6">
      <c r="B745" s="92" t="s">
        <v>152</v>
      </c>
      <c r="C745" s="91" t="s">
        <v>1227</v>
      </c>
      <c r="D745" s="93">
        <v>96</v>
      </c>
      <c r="E745" s="93">
        <v>89</v>
      </c>
      <c r="F745" s="103">
        <f>IFERROR(INDEX(Tabella951[PLZ],MATCH(Tabella848[[#This Row],[Colonna2]],Tabella951[Ortschaftsname],0)), "Name not found")</f>
        <v>1719</v>
      </c>
    </row>
    <row r="746" spans="2:6">
      <c r="B746" s="92" t="s">
        <v>152</v>
      </c>
      <c r="C746" s="91" t="s">
        <v>1124</v>
      </c>
      <c r="D746" s="93">
        <v>96</v>
      </c>
      <c r="E746" s="93">
        <v>74.3</v>
      </c>
      <c r="F746" s="103">
        <f>IFERROR(INDEX(Tabella951[PLZ],MATCH(Tabella848[[#This Row],[Colonna2]],Tabella951[Ortschaftsname],0)), "Name not found")</f>
        <v>1630</v>
      </c>
    </row>
    <row r="747" spans="2:6">
      <c r="B747" s="92" t="s">
        <v>152</v>
      </c>
      <c r="C747" s="91" t="s">
        <v>1142</v>
      </c>
      <c r="D747" s="93">
        <v>96</v>
      </c>
      <c r="E747" s="93">
        <v>76</v>
      </c>
      <c r="F747" s="103">
        <f>IFERROR(INDEX(Tabella951[PLZ],MATCH(Tabella848[[#This Row],[Colonna2]],Tabella951[Ortschaftsname],0)), "Name not found")</f>
        <v>3178</v>
      </c>
    </row>
    <row r="748" spans="2:6">
      <c r="B748" s="92" t="s">
        <v>152</v>
      </c>
      <c r="C748" s="91" t="s">
        <v>1252</v>
      </c>
      <c r="D748" s="93">
        <v>96</v>
      </c>
      <c r="E748" s="93">
        <v>85</v>
      </c>
      <c r="F748" s="103">
        <f>IFERROR(INDEX(Tabella951[PLZ],MATCH(Tabella848[[#This Row],[Colonna2]],Tabella951[Ortschaftsname],0)), "Name not found")</f>
        <v>1608</v>
      </c>
    </row>
    <row r="749" spans="2:6">
      <c r="B749" s="92" t="s">
        <v>152</v>
      </c>
      <c r="C749" s="91" t="s">
        <v>1159</v>
      </c>
      <c r="D749" s="93">
        <v>96</v>
      </c>
      <c r="E749" s="93">
        <v>70</v>
      </c>
      <c r="F749" s="103">
        <v>1468</v>
      </c>
    </row>
    <row r="750" spans="2:6">
      <c r="B750" s="92" t="s">
        <v>152</v>
      </c>
      <c r="C750" s="91" t="s">
        <v>1131</v>
      </c>
      <c r="D750" s="93">
        <v>96</v>
      </c>
      <c r="E750" s="93">
        <v>83.6</v>
      </c>
      <c r="F750" s="103">
        <v>1618</v>
      </c>
    </row>
    <row r="751" spans="2:6">
      <c r="B751" s="92" t="s">
        <v>152</v>
      </c>
      <c r="C751" s="91" t="s">
        <v>1250</v>
      </c>
      <c r="D751" s="93">
        <v>96</v>
      </c>
      <c r="E751" s="93">
        <v>79.5</v>
      </c>
      <c r="F751" s="103">
        <f>IFERROR(INDEX(Tabella951[PLZ],MATCH(Tabella848[[#This Row],[Colonna2]],Tabella951[Ortschaftsname],0)), "Name not found")</f>
        <v>1653</v>
      </c>
    </row>
    <row r="752" spans="2:6">
      <c r="B752" s="92" t="s">
        <v>152</v>
      </c>
      <c r="C752" s="91" t="s">
        <v>1236</v>
      </c>
      <c r="D752" s="93">
        <v>96</v>
      </c>
      <c r="E752" s="93">
        <v>65</v>
      </c>
      <c r="F752" s="103">
        <v>1473</v>
      </c>
    </row>
    <row r="753" spans="2:6">
      <c r="B753" s="92" t="s">
        <v>152</v>
      </c>
      <c r="C753" s="91" t="s">
        <v>1218</v>
      </c>
      <c r="D753" s="93">
        <v>96</v>
      </c>
      <c r="E753" s="93">
        <v>85</v>
      </c>
      <c r="F753" s="103">
        <f>IFERROR(INDEX(Tabella951[PLZ],MATCH(Tabella848[[#This Row],[Colonna2]],Tabella951[Ortschaftsname],0)), "Name not found")</f>
        <v>1553</v>
      </c>
    </row>
    <row r="754" spans="2:6">
      <c r="B754" s="92" t="s">
        <v>152</v>
      </c>
      <c r="C754" s="91" t="s">
        <v>1216</v>
      </c>
      <c r="D754" s="93">
        <v>96</v>
      </c>
      <c r="E754" s="93">
        <v>91.7</v>
      </c>
      <c r="F754" s="103">
        <f>IFERROR(INDEX(Tabella951[PLZ],MATCH(Tabella848[[#This Row],[Colonna2]],Tabella951[Ortschaftsname],0)), "Name not found")</f>
        <v>1744</v>
      </c>
    </row>
    <row r="755" spans="2:6">
      <c r="B755" s="92" t="s">
        <v>152</v>
      </c>
      <c r="C755" s="91" t="s">
        <v>1214</v>
      </c>
      <c r="D755" s="93">
        <v>96</v>
      </c>
      <c r="E755" s="93">
        <v>73.5</v>
      </c>
      <c r="F755" s="103">
        <f>IFERROR(INDEX(Tabella951[PLZ],MATCH(Tabella848[[#This Row],[Colonna2]],Tabella951[Ortschaftsname],0)), "Name not found")</f>
        <v>1647</v>
      </c>
    </row>
    <row r="756" spans="2:6">
      <c r="B756" s="92" t="s">
        <v>152</v>
      </c>
      <c r="C756" s="91" t="s">
        <v>1152</v>
      </c>
      <c r="D756" s="93">
        <v>96</v>
      </c>
      <c r="E756" s="93">
        <v>75</v>
      </c>
      <c r="F756" s="103">
        <f>IFERROR(INDEX(Tabella951[PLZ],MATCH(Tabella848[[#This Row],[Colonna2]],Tabella951[Ortschaftsname],0)), "Name not found")</f>
        <v>1720</v>
      </c>
    </row>
    <row r="757" spans="2:6">
      <c r="B757" s="92" t="s">
        <v>152</v>
      </c>
      <c r="C757" s="91" t="s">
        <v>1177</v>
      </c>
      <c r="D757" s="93">
        <v>96</v>
      </c>
      <c r="E757" s="93">
        <v>80</v>
      </c>
      <c r="F757" s="103">
        <v>1741</v>
      </c>
    </row>
    <row r="758" spans="2:6">
      <c r="B758" s="92" t="s">
        <v>152</v>
      </c>
      <c r="C758" s="91" t="s">
        <v>1182</v>
      </c>
      <c r="D758" s="93">
        <v>96</v>
      </c>
      <c r="E758" s="93">
        <v>76</v>
      </c>
      <c r="F758" s="103">
        <f>IFERROR(INDEX(Tabella951[PLZ],MATCH(Tabella848[[#This Row],[Colonna2]],Tabella951[Ortschaftsname],0)), "Name not found")</f>
        <v>1796</v>
      </c>
    </row>
    <row r="759" spans="2:6">
      <c r="B759" s="92" t="s">
        <v>152</v>
      </c>
      <c r="C759" s="91" t="s">
        <v>1134</v>
      </c>
      <c r="D759" s="93">
        <v>96</v>
      </c>
      <c r="E759" s="93">
        <v>85</v>
      </c>
      <c r="F759" s="103">
        <f>IFERROR(INDEX(Tabella951[PLZ],MATCH(Tabella848[[#This Row],[Colonna2]],Tabella951[Ortschaftsname],0)), "Name not found")</f>
        <v>1784</v>
      </c>
    </row>
    <row r="760" spans="2:6">
      <c r="B760" s="92" t="s">
        <v>152</v>
      </c>
      <c r="C760" s="91" t="s">
        <v>1211</v>
      </c>
      <c r="D760" s="93">
        <v>96</v>
      </c>
      <c r="E760" s="93">
        <v>68</v>
      </c>
      <c r="F760" s="103">
        <v>1785</v>
      </c>
    </row>
    <row r="761" spans="2:6">
      <c r="B761" s="92" t="s">
        <v>152</v>
      </c>
      <c r="C761" s="91" t="s">
        <v>1246</v>
      </c>
      <c r="D761" s="93">
        <v>96</v>
      </c>
      <c r="E761" s="93">
        <v>67</v>
      </c>
      <c r="F761" s="103">
        <f>IFERROR(INDEX(Tabella951[PLZ],MATCH(Tabella848[[#This Row],[Colonna2]],Tabella951[Ortschaftsname],0)), "Name not found")</f>
        <v>1653</v>
      </c>
    </row>
    <row r="762" spans="2:6">
      <c r="B762" s="92" t="s">
        <v>152</v>
      </c>
      <c r="C762" s="91" t="s">
        <v>1171</v>
      </c>
      <c r="D762" s="93">
        <v>96</v>
      </c>
      <c r="E762" s="93">
        <v>77</v>
      </c>
      <c r="F762" s="103">
        <v>1482</v>
      </c>
    </row>
    <row r="763" spans="2:6">
      <c r="B763" s="92" t="s">
        <v>152</v>
      </c>
      <c r="C763" s="91" t="s">
        <v>1198</v>
      </c>
      <c r="D763" s="93">
        <v>96</v>
      </c>
      <c r="E763" s="93">
        <v>49.9</v>
      </c>
      <c r="F763" s="103">
        <v>1568</v>
      </c>
    </row>
    <row r="764" spans="2:6">
      <c r="B764" s="92" t="s">
        <v>152</v>
      </c>
      <c r="C764" s="91" t="s">
        <v>1129</v>
      </c>
      <c r="D764" s="93">
        <v>96</v>
      </c>
      <c r="E764" s="93">
        <v>82</v>
      </c>
      <c r="F764" s="103">
        <f>IFERROR(INDEX(Tabella951[PLZ],MATCH(Tabella848[[#This Row],[Colonna2]],Tabella951[Ortschaftsname],0)), "Name not found")</f>
        <v>3186</v>
      </c>
    </row>
    <row r="765" spans="2:6">
      <c r="B765" s="92" t="s">
        <v>152</v>
      </c>
      <c r="C765" s="91" t="s">
        <v>1219</v>
      </c>
      <c r="D765" s="93">
        <v>96</v>
      </c>
      <c r="E765" s="93">
        <v>70</v>
      </c>
      <c r="F765" s="103">
        <f>IFERROR(INDEX(Tabella951[PLZ],MATCH(Tabella848[[#This Row],[Colonna2]],Tabella951[Ortschaftsname],0)), "Name not found")</f>
        <v>1646</v>
      </c>
    </row>
    <row r="766" spans="2:6">
      <c r="B766" s="92" t="s">
        <v>152</v>
      </c>
      <c r="C766" s="91" t="s">
        <v>1245</v>
      </c>
      <c r="D766" s="93">
        <v>96</v>
      </c>
      <c r="E766" s="93">
        <v>71</v>
      </c>
      <c r="F766" s="103">
        <v>1673</v>
      </c>
    </row>
    <row r="767" spans="2:6">
      <c r="B767" s="92" t="s">
        <v>152</v>
      </c>
      <c r="C767" s="91" t="s">
        <v>1126</v>
      </c>
      <c r="D767" s="93">
        <v>96</v>
      </c>
      <c r="E767" s="93">
        <v>84</v>
      </c>
      <c r="F767" s="103">
        <v>1470</v>
      </c>
    </row>
    <row r="768" spans="2:6">
      <c r="B768" s="92" t="s">
        <v>152</v>
      </c>
      <c r="C768" s="91" t="s">
        <v>1251</v>
      </c>
      <c r="D768" s="93">
        <v>96</v>
      </c>
      <c r="E768" s="93">
        <v>55</v>
      </c>
      <c r="F768" s="103">
        <f>IFERROR(INDEX(Tabella951[PLZ],MATCH(Tabella848[[#This Row],[Colonna2]],Tabella951[Ortschaftsname],0)), "Name not found")</f>
        <v>1724</v>
      </c>
    </row>
    <row r="769" spans="2:6">
      <c r="B769" s="92" t="s">
        <v>152</v>
      </c>
      <c r="C769" s="91" t="s">
        <v>2626</v>
      </c>
      <c r="D769" s="93">
        <v>96</v>
      </c>
      <c r="E769" s="93">
        <v>80</v>
      </c>
      <c r="F769" s="103">
        <f>IFERROR(INDEX(Tabella951[PLZ],MATCH(Tabella848[[#This Row],[Colonna2]],Tabella951[Ortschaftsname],0)), "Name not found")</f>
        <v>1700</v>
      </c>
    </row>
    <row r="770" spans="2:6">
      <c r="B770" s="92" t="s">
        <v>152</v>
      </c>
      <c r="C770" s="91" t="s">
        <v>1235</v>
      </c>
      <c r="D770" s="93">
        <v>96</v>
      </c>
      <c r="E770" s="93">
        <v>75</v>
      </c>
      <c r="F770" s="103">
        <f>IFERROR(INDEX(Tabella951[PLZ],MATCH(Tabella848[[#This Row],[Colonna2]],Tabella951[Ortschaftsname],0)), "Name not found")</f>
        <v>3284</v>
      </c>
    </row>
    <row r="771" spans="2:6">
      <c r="B771" s="92" t="s">
        <v>152</v>
      </c>
      <c r="C771" s="91" t="s">
        <v>1206</v>
      </c>
      <c r="D771" s="93">
        <v>96</v>
      </c>
      <c r="E771" s="93">
        <v>86</v>
      </c>
      <c r="F771" s="103">
        <f>IFERROR(INDEX(Tabella951[PLZ],MATCH(Tabella848[[#This Row],[Colonna2]],Tabella951[Ortschaftsname],0)), "Name not found")</f>
        <v>1532</v>
      </c>
    </row>
    <row r="772" spans="2:6">
      <c r="B772" s="92" t="s">
        <v>152</v>
      </c>
      <c r="C772" s="91" t="s">
        <v>1130</v>
      </c>
      <c r="D772" s="93">
        <v>96</v>
      </c>
      <c r="E772" s="93">
        <v>82</v>
      </c>
      <c r="F772" s="103">
        <v>1690</v>
      </c>
    </row>
    <row r="773" spans="2:6">
      <c r="B773" s="92" t="s">
        <v>152</v>
      </c>
      <c r="C773" s="91" t="s">
        <v>1173</v>
      </c>
      <c r="D773" s="93">
        <v>96</v>
      </c>
      <c r="E773" s="93">
        <v>85.9</v>
      </c>
      <c r="F773" s="103">
        <f>IFERROR(INDEX(Tabella951[PLZ],MATCH(Tabella848[[#This Row],[Colonna2]],Tabella951[Ortschaftsname],0)), "Name not found")</f>
        <v>1735</v>
      </c>
    </row>
    <row r="774" spans="2:6">
      <c r="B774" s="92" t="s">
        <v>152</v>
      </c>
      <c r="C774" s="91" t="s">
        <v>1146</v>
      </c>
      <c r="D774" s="93">
        <v>96</v>
      </c>
      <c r="E774" s="93">
        <v>70</v>
      </c>
      <c r="F774" s="103">
        <f>IFERROR(INDEX(Tabella951[PLZ],MATCH(Tabella848[[#This Row],[Colonna2]],Tabella951[Ortschaftsname],0)), "Name not found")</f>
        <v>1762</v>
      </c>
    </row>
    <row r="775" spans="2:6">
      <c r="B775" s="92" t="s">
        <v>152</v>
      </c>
      <c r="C775" s="91" t="s">
        <v>1204</v>
      </c>
      <c r="D775" s="93">
        <v>96</v>
      </c>
      <c r="E775" s="93">
        <v>68.900000000000006</v>
      </c>
      <c r="F775" s="103">
        <f>IFERROR(INDEX(Tabella951[PLZ],MATCH(Tabella848[[#This Row],[Colonna2]],Tabella951[Ortschaftsname],0)), "Name not found")</f>
        <v>1544</v>
      </c>
    </row>
    <row r="776" spans="2:6">
      <c r="B776" s="92" t="s">
        <v>152</v>
      </c>
      <c r="C776" s="91" t="s">
        <v>1217</v>
      </c>
      <c r="D776" s="93">
        <v>96</v>
      </c>
      <c r="E776" s="93">
        <v>80</v>
      </c>
      <c r="F776" s="103">
        <f>IFERROR(INDEX(Tabella951[PLZ],MATCH(Tabella848[[#This Row],[Colonna2]],Tabella951[Ortschaftsname],0)), "Name not found")</f>
        <v>1666</v>
      </c>
    </row>
    <row r="777" spans="2:6">
      <c r="B777" s="92" t="s">
        <v>152</v>
      </c>
      <c r="C777" s="91" t="s">
        <v>1215</v>
      </c>
      <c r="D777" s="93">
        <v>96</v>
      </c>
      <c r="E777" s="93">
        <v>89</v>
      </c>
      <c r="F777" s="103">
        <f>IFERROR(INDEX(Tabella951[PLZ],MATCH(Tabella848[[#This Row],[Colonna2]],Tabella951[Ortschaftsname],0)), "Name not found")</f>
        <v>1614</v>
      </c>
    </row>
    <row r="778" spans="2:6">
      <c r="B778" s="92" t="s">
        <v>152</v>
      </c>
      <c r="C778" s="91" t="s">
        <v>1139</v>
      </c>
      <c r="D778" s="93">
        <v>96</v>
      </c>
      <c r="E778" s="93">
        <v>67.8</v>
      </c>
      <c r="F778" s="103">
        <f>IFERROR(INDEX(Tabella951[PLZ],MATCH(Tabella848[[#This Row],[Colonna2]],Tabella951[Ortschaftsname],0)), "Name not found")</f>
        <v>1763</v>
      </c>
    </row>
    <row r="779" spans="2:6">
      <c r="B779" s="92" t="s">
        <v>152</v>
      </c>
      <c r="C779" s="91" t="s">
        <v>1253</v>
      </c>
      <c r="D779" s="93">
        <v>96</v>
      </c>
      <c r="E779" s="93">
        <v>85</v>
      </c>
      <c r="F779" s="103">
        <v>1686</v>
      </c>
    </row>
    <row r="780" spans="2:6">
      <c r="B780" s="92" t="s">
        <v>152</v>
      </c>
      <c r="C780" s="91" t="s">
        <v>1254</v>
      </c>
      <c r="D780" s="93">
        <v>96</v>
      </c>
      <c r="E780" s="93">
        <v>32</v>
      </c>
      <c r="F780" s="103">
        <f>IFERROR(INDEX(Tabella951[PLZ],MATCH(Tabella848[[#This Row],[Colonna2]],Tabella951[Ortschaftsname],0)), "Name not found")</f>
        <v>3280</v>
      </c>
    </row>
    <row r="781" spans="2:6">
      <c r="B781" s="92" t="s">
        <v>152</v>
      </c>
      <c r="C781" s="91" t="s">
        <v>1166</v>
      </c>
      <c r="D781" s="93">
        <v>96</v>
      </c>
      <c r="E781" s="93">
        <v>79</v>
      </c>
      <c r="F781" s="103">
        <f>IFERROR(INDEX(Tabella951[PLZ],MATCH(Tabella848[[#This Row],[Colonna2]],Tabella951[Ortschaftsname],0)), "Name not found")</f>
        <v>1772</v>
      </c>
    </row>
    <row r="782" spans="2:6">
      <c r="B782" s="92" t="s">
        <v>152</v>
      </c>
      <c r="C782" s="91" t="s">
        <v>1160</v>
      </c>
      <c r="D782" s="93">
        <v>96</v>
      </c>
      <c r="E782" s="93">
        <v>80</v>
      </c>
      <c r="F782" s="103">
        <f>IFERROR(INDEX(Tabella951[PLZ],MATCH(Tabella848[[#This Row],[Colonna2]],Tabella951[Ortschaftsname],0)), "Name not found")</f>
        <v>1663</v>
      </c>
    </row>
    <row r="783" spans="2:6">
      <c r="B783" s="92" t="s">
        <v>152</v>
      </c>
      <c r="C783" s="91" t="s">
        <v>1137</v>
      </c>
      <c r="D783" s="93">
        <v>96</v>
      </c>
      <c r="E783" s="93">
        <v>80</v>
      </c>
      <c r="F783" s="103">
        <f>IFERROR(INDEX(Tabella951[PLZ],MATCH(Tabella848[[#This Row],[Colonna2]],Tabella951[Ortschaftsname],0)), "Name not found")</f>
        <v>3212</v>
      </c>
    </row>
    <row r="784" spans="2:6">
      <c r="B784" s="92" t="s">
        <v>152</v>
      </c>
      <c r="C784" s="91" t="s">
        <v>1174</v>
      </c>
      <c r="D784" s="93">
        <v>96</v>
      </c>
      <c r="E784" s="93">
        <v>97</v>
      </c>
      <c r="F784" s="103">
        <v>1660</v>
      </c>
    </row>
    <row r="785" spans="2:6">
      <c r="B785" s="92" t="s">
        <v>152</v>
      </c>
      <c r="C785" s="91" t="s">
        <v>1154</v>
      </c>
      <c r="D785" s="93">
        <v>96</v>
      </c>
      <c r="E785" s="93">
        <v>74</v>
      </c>
      <c r="F785" s="103">
        <v>1730</v>
      </c>
    </row>
    <row r="786" spans="2:6">
      <c r="B786" s="92" t="s">
        <v>152</v>
      </c>
      <c r="C786" s="91" t="s">
        <v>1229</v>
      </c>
      <c r="D786" s="93">
        <v>96</v>
      </c>
      <c r="E786" s="93">
        <v>77.7</v>
      </c>
      <c r="F786" s="103">
        <f>IFERROR(INDEX(Tabella951[PLZ],MATCH(Tabella848[[#This Row],[Colonna2]],Tabella951[Ortschaftsname],0)), "Name not found")</f>
        <v>1648</v>
      </c>
    </row>
    <row r="787" spans="2:6">
      <c r="B787" s="92" t="s">
        <v>152</v>
      </c>
      <c r="C787" s="91" t="s">
        <v>1186</v>
      </c>
      <c r="D787" s="93">
        <v>96</v>
      </c>
      <c r="E787" s="93">
        <v>78</v>
      </c>
      <c r="F787" s="103">
        <f>IFERROR(INDEX(Tabella951[PLZ],MATCH(Tabella848[[#This Row],[Colonna2]],Tabella951[Ortschaftsname],0)), "Name not found")</f>
        <v>1714</v>
      </c>
    </row>
    <row r="788" spans="2:6">
      <c r="B788" s="92" t="s">
        <v>152</v>
      </c>
      <c r="C788" s="91" t="s">
        <v>1226</v>
      </c>
      <c r="D788" s="93">
        <v>96</v>
      </c>
      <c r="E788" s="93">
        <v>100</v>
      </c>
      <c r="F788" s="103">
        <f>IFERROR(INDEX(Tabella951[PLZ],MATCH(Tabella848[[#This Row],[Colonna2]],Tabella951[Ortschaftsname],0)), "Name not found")</f>
        <v>1656</v>
      </c>
    </row>
    <row r="789" spans="2:6">
      <c r="B789" s="92" t="s">
        <v>152</v>
      </c>
      <c r="C789" s="91" t="s">
        <v>1136</v>
      </c>
      <c r="D789" s="93">
        <v>96</v>
      </c>
      <c r="E789" s="93">
        <v>79</v>
      </c>
      <c r="F789" s="103">
        <f>IFERROR(INDEX(Tabella951[PLZ],MATCH(Tabella848[[#This Row],[Colonna2]],Tabella951[Ortschaftsname],0)), "Name not found")</f>
        <v>3210</v>
      </c>
    </row>
    <row r="790" spans="2:6">
      <c r="B790" s="92" t="s">
        <v>152</v>
      </c>
      <c r="C790" s="91" t="s">
        <v>1228</v>
      </c>
      <c r="D790" s="93">
        <v>96</v>
      </c>
      <c r="E790" s="93">
        <v>60</v>
      </c>
      <c r="F790" s="103">
        <f>IFERROR(INDEX(Tabella951[PLZ],MATCH(Tabella848[[#This Row],[Colonna2]],Tabella951[Ortschaftsname],0)), "Name not found")</f>
        <v>3213</v>
      </c>
    </row>
    <row r="791" spans="2:6">
      <c r="B791" s="92" t="s">
        <v>152</v>
      </c>
      <c r="C791" s="91" t="s">
        <v>1164</v>
      </c>
      <c r="D791" s="93">
        <v>96</v>
      </c>
      <c r="E791" s="93">
        <v>87</v>
      </c>
      <c r="F791" s="103">
        <v>1721</v>
      </c>
    </row>
    <row r="792" spans="2:6">
      <c r="B792" s="92" t="s">
        <v>152</v>
      </c>
      <c r="C792" s="91" t="s">
        <v>1172</v>
      </c>
      <c r="D792" s="93">
        <v>96</v>
      </c>
      <c r="E792" s="93">
        <v>85</v>
      </c>
      <c r="F792" s="103">
        <v>1634</v>
      </c>
    </row>
    <row r="793" spans="2:6">
      <c r="B793" s="92" t="s">
        <v>152</v>
      </c>
      <c r="C793" s="91" t="s">
        <v>1195</v>
      </c>
      <c r="D793" s="93">
        <v>96</v>
      </c>
      <c r="E793" s="93">
        <v>79</v>
      </c>
      <c r="F793" s="103">
        <v>1782</v>
      </c>
    </row>
    <row r="794" spans="2:6">
      <c r="B794" s="92" t="s">
        <v>152</v>
      </c>
      <c r="C794" s="91" t="s">
        <v>1193</v>
      </c>
      <c r="D794" s="93">
        <v>96</v>
      </c>
      <c r="E794" s="93">
        <v>83</v>
      </c>
      <c r="F794" s="103">
        <f>IFERROR(INDEX(Tabella951[PLZ],MATCH(Tabella848[[#This Row],[Colonna2]],Tabella951[Ortschaftsname],0)), "Name not found")</f>
        <v>1624</v>
      </c>
    </row>
    <row r="795" spans="2:6">
      <c r="B795" s="92" t="s">
        <v>152</v>
      </c>
      <c r="C795" s="91" t="s">
        <v>1244</v>
      </c>
      <c r="D795" s="93">
        <v>96</v>
      </c>
      <c r="E795" s="93">
        <v>90</v>
      </c>
      <c r="F795" s="103">
        <v>1669</v>
      </c>
    </row>
    <row r="796" spans="2:6">
      <c r="B796" s="92" t="s">
        <v>152</v>
      </c>
      <c r="C796" s="91" t="s">
        <v>1191</v>
      </c>
      <c r="D796" s="93">
        <v>96</v>
      </c>
      <c r="E796" s="93">
        <v>93.8</v>
      </c>
      <c r="F796" s="103">
        <v>1699</v>
      </c>
    </row>
    <row r="797" spans="2:6">
      <c r="B797" s="92" t="s">
        <v>152</v>
      </c>
      <c r="C797" s="91" t="s">
        <v>1147</v>
      </c>
      <c r="D797" s="93">
        <v>96</v>
      </c>
      <c r="E797" s="93">
        <v>80</v>
      </c>
      <c r="F797" s="103">
        <f>IFERROR(INDEX(Tabella951[PLZ],MATCH(Tabella848[[#This Row],[Colonna2]],Tabella951[Ortschaftsname],0)), "Name not found")</f>
        <v>1724</v>
      </c>
    </row>
    <row r="798" spans="2:6">
      <c r="B798" s="92" t="s">
        <v>152</v>
      </c>
      <c r="C798" s="91" t="s">
        <v>1190</v>
      </c>
      <c r="D798" s="93">
        <v>96</v>
      </c>
      <c r="E798" s="93">
        <v>83.5</v>
      </c>
      <c r="F798" s="103">
        <v>1661</v>
      </c>
    </row>
    <row r="799" spans="2:6">
      <c r="B799" s="92" t="s">
        <v>152</v>
      </c>
      <c r="C799" s="91" t="s">
        <v>1180</v>
      </c>
      <c r="D799" s="93">
        <v>96</v>
      </c>
      <c r="E799" s="93">
        <v>77.400000000000006</v>
      </c>
      <c r="F799" s="103">
        <v>1483</v>
      </c>
    </row>
    <row r="800" spans="2:6">
      <c r="B800" s="92" t="s">
        <v>152</v>
      </c>
      <c r="C800" s="91" t="s">
        <v>1194</v>
      </c>
      <c r="D800" s="93">
        <v>96</v>
      </c>
      <c r="E800" s="93">
        <v>80</v>
      </c>
      <c r="F800" s="103">
        <v>1475</v>
      </c>
    </row>
    <row r="801" spans="2:6">
      <c r="B801" s="92" t="s">
        <v>152</v>
      </c>
      <c r="C801" s="91" t="s">
        <v>1128</v>
      </c>
      <c r="D801" s="93">
        <v>96</v>
      </c>
      <c r="E801" s="93">
        <v>89</v>
      </c>
      <c r="F801" s="103">
        <f>IFERROR(INDEX(Tabella951[PLZ],MATCH(Tabella848[[#This Row],[Colonna2]],Tabella951[Ortschaftsname],0)), "Name not found")</f>
        <v>1723</v>
      </c>
    </row>
    <row r="802" spans="2:6">
      <c r="B802" s="92" t="s">
        <v>152</v>
      </c>
      <c r="C802" s="91" t="s">
        <v>1167</v>
      </c>
      <c r="D802" s="93">
        <v>96</v>
      </c>
      <c r="E802" s="93">
        <v>75</v>
      </c>
      <c r="F802" s="103">
        <f>IFERROR(INDEX(Tabella951[PLZ],MATCH(Tabella848[[#This Row],[Colonna2]],Tabella951[Ortschaftsname],0)), "Name not found")</f>
        <v>1633</v>
      </c>
    </row>
    <row r="803" spans="2:6">
      <c r="B803" s="92" t="s">
        <v>152</v>
      </c>
      <c r="C803" s="91" t="s">
        <v>1234</v>
      </c>
      <c r="D803" s="93">
        <v>96</v>
      </c>
      <c r="E803" s="93">
        <v>91.2</v>
      </c>
      <c r="F803" s="103">
        <f>IFERROR(INDEX(Tabella951[PLZ],MATCH(Tabella848[[#This Row],[Colonna2]],Tabella951[Ortschaftsname],0)), "Name not found")</f>
        <v>1692</v>
      </c>
    </row>
    <row r="804" spans="2:6">
      <c r="B804" s="92" t="s">
        <v>152</v>
      </c>
      <c r="C804" s="91" t="s">
        <v>1175</v>
      </c>
      <c r="D804" s="93">
        <v>96</v>
      </c>
      <c r="E804" s="93">
        <v>65</v>
      </c>
      <c r="F804" s="103">
        <f>IFERROR(INDEX(Tabella951[PLZ],MATCH(Tabella848[[#This Row],[Colonna2]],Tabella951[Ortschaftsname],0)), "Name not found")</f>
        <v>1753</v>
      </c>
    </row>
    <row r="805" spans="2:6">
      <c r="B805" s="92" t="s">
        <v>152</v>
      </c>
      <c r="C805" s="91" t="s">
        <v>1232</v>
      </c>
      <c r="D805" s="93">
        <v>96</v>
      </c>
      <c r="E805" s="93">
        <v>52.3</v>
      </c>
      <c r="F805" s="103">
        <f>IFERROR(INDEX(Tabella951[PLZ],MATCH(Tabella848[[#This Row],[Colonna2]],Tabella951[Ortschaftsname],0)), "Name not found")</f>
        <v>3280</v>
      </c>
    </row>
    <row r="806" spans="2:6">
      <c r="B806" s="92" t="s">
        <v>152</v>
      </c>
      <c r="C806" s="91" t="s">
        <v>1165</v>
      </c>
      <c r="D806" s="93">
        <v>96</v>
      </c>
      <c r="E806" s="93">
        <v>88</v>
      </c>
      <c r="F806" s="103">
        <v>1721</v>
      </c>
    </row>
    <row r="807" spans="2:6">
      <c r="B807" s="92" t="s">
        <v>152</v>
      </c>
      <c r="C807" s="91" t="s">
        <v>1141</v>
      </c>
      <c r="D807" s="93">
        <v>96</v>
      </c>
      <c r="E807" s="93">
        <v>58</v>
      </c>
      <c r="F807" s="103">
        <v>1786</v>
      </c>
    </row>
    <row r="808" spans="2:6">
      <c r="B808" s="92" t="s">
        <v>152</v>
      </c>
      <c r="C808" s="91" t="s">
        <v>1153</v>
      </c>
      <c r="D808" s="93">
        <v>96</v>
      </c>
      <c r="E808" s="93">
        <v>83.6</v>
      </c>
      <c r="F808" s="103">
        <v>1775</v>
      </c>
    </row>
    <row r="809" spans="2:6">
      <c r="B809" s="92" t="s">
        <v>152</v>
      </c>
      <c r="C809" s="91" t="s">
        <v>1243</v>
      </c>
      <c r="D809" s="93">
        <v>96</v>
      </c>
      <c r="E809" s="93">
        <v>80</v>
      </c>
      <c r="F809" s="103">
        <f>IFERROR(INDEX(Tabella951[PLZ],MATCH(Tabella848[[#This Row],[Colonna2]],Tabella951[Ortschaftsname],0)), "Name not found")</f>
        <v>1674</v>
      </c>
    </row>
    <row r="810" spans="2:6">
      <c r="B810" s="92" t="s">
        <v>152</v>
      </c>
      <c r="C810" s="91" t="s">
        <v>1231</v>
      </c>
      <c r="D810" s="93">
        <v>96</v>
      </c>
      <c r="E810" s="93">
        <v>84.3</v>
      </c>
      <c r="F810" s="103">
        <f>IFERROR(INDEX(Tabella951[PLZ],MATCH(Tabella848[[#This Row],[Colonna2]],Tabella951[Ortschaftsname],0)), "Name not found")</f>
        <v>1638</v>
      </c>
    </row>
    <row r="811" spans="2:6">
      <c r="B811" s="92" t="s">
        <v>152</v>
      </c>
      <c r="C811" s="91" t="s">
        <v>1210</v>
      </c>
      <c r="D811" s="93">
        <v>96</v>
      </c>
      <c r="E811" s="93">
        <v>58</v>
      </c>
      <c r="F811" s="103">
        <f>IFERROR(INDEX(Tabella951[PLZ],MATCH(Tabella848[[#This Row],[Colonna2]],Tabella951[Ortschaftsname],0)), "Name not found")</f>
        <v>3286</v>
      </c>
    </row>
    <row r="812" spans="2:6">
      <c r="B812" s="92" t="s">
        <v>152</v>
      </c>
      <c r="C812" s="91" t="s">
        <v>1127</v>
      </c>
      <c r="D812" s="93">
        <v>96</v>
      </c>
      <c r="E812" s="93">
        <v>62</v>
      </c>
      <c r="F812" s="103">
        <f>IFERROR(INDEX(Tabella951[PLZ],MATCH(Tabella848[[#This Row],[Colonna2]],Tabella951[Ortschaftsname],0)), "Name not found")</f>
        <v>3280</v>
      </c>
    </row>
    <row r="813" spans="2:6">
      <c r="B813" s="92" t="s">
        <v>152</v>
      </c>
      <c r="C813" s="91" t="s">
        <v>1241</v>
      </c>
      <c r="D813" s="93">
        <v>96</v>
      </c>
      <c r="E813" s="93">
        <v>88.1</v>
      </c>
      <c r="F813" s="103">
        <f>IFERROR(INDEX(Tabella951[PLZ],MATCH(Tabella848[[#This Row],[Colonna2]],Tabella951[Ortschaftsname],0)), "Name not found")</f>
        <v>1533</v>
      </c>
    </row>
    <row r="814" spans="2:6">
      <c r="B814" s="92" t="s">
        <v>152</v>
      </c>
      <c r="C814" s="91" t="s">
        <v>1201</v>
      </c>
      <c r="D814" s="93">
        <v>96</v>
      </c>
      <c r="E814" s="93">
        <v>85</v>
      </c>
      <c r="F814" s="103">
        <v>1684</v>
      </c>
    </row>
    <row r="815" spans="2:6">
      <c r="B815" s="92" t="s">
        <v>152</v>
      </c>
      <c r="C815" s="91" t="s">
        <v>1151</v>
      </c>
      <c r="D815" s="93">
        <v>96</v>
      </c>
      <c r="E815" s="93">
        <v>81</v>
      </c>
      <c r="F815" s="103">
        <v>1740</v>
      </c>
    </row>
    <row r="816" spans="2:6">
      <c r="B816" s="92" t="s">
        <v>152</v>
      </c>
      <c r="C816" s="91" t="s">
        <v>1239</v>
      </c>
      <c r="D816" s="93">
        <v>96</v>
      </c>
      <c r="E816" s="93">
        <v>87.9</v>
      </c>
      <c r="F816" s="103">
        <f>IFERROR(INDEX(Tabella951[PLZ],MATCH(Tabella848[[#This Row],[Colonna2]],Tabella951[Ortschaftsname],0)), "Name not found")</f>
        <v>1485</v>
      </c>
    </row>
    <row r="817" spans="2:6">
      <c r="B817" s="92" t="s">
        <v>152</v>
      </c>
      <c r="C817" s="91" t="s">
        <v>1256</v>
      </c>
      <c r="D817" s="93">
        <v>96</v>
      </c>
      <c r="E817" s="93">
        <v>78</v>
      </c>
      <c r="F817" s="103">
        <f>IFERROR(INDEX(Tabella951[PLZ],MATCH(Tabella848[[#This Row],[Colonna2]],Tabella951[Ortschaftsname],0)), "Name not found")</f>
        <v>1723</v>
      </c>
    </row>
    <row r="818" spans="2:6">
      <c r="B818" s="92" t="s">
        <v>152</v>
      </c>
      <c r="C818" s="91" t="s">
        <v>1140</v>
      </c>
      <c r="D818" s="93">
        <v>96</v>
      </c>
      <c r="E818" s="93">
        <v>92</v>
      </c>
      <c r="F818" s="103">
        <f>IFERROR(INDEX(Tabella951[PLZ],MATCH(Tabella848[[#This Row],[Colonna2]],Tabella951[Ortschaftsname],0)), "Name not found")</f>
        <v>1716</v>
      </c>
    </row>
    <row r="819" spans="2:6">
      <c r="B819" s="92" t="s">
        <v>152</v>
      </c>
      <c r="C819" s="91" t="s">
        <v>1205</v>
      </c>
      <c r="D819" s="93">
        <v>96</v>
      </c>
      <c r="E819" s="93">
        <v>95</v>
      </c>
      <c r="F819" s="103">
        <f>IFERROR(INDEX(Tabella951[PLZ],MATCH(Tabella848[[#This Row],[Colonna2]],Tabella951[Ortschaftsname],0)), "Name not found")</f>
        <v>1737</v>
      </c>
    </row>
    <row r="820" spans="2:6">
      <c r="B820" s="92" t="s">
        <v>152</v>
      </c>
      <c r="C820" s="91" t="s">
        <v>1169</v>
      </c>
      <c r="D820" s="93">
        <v>96</v>
      </c>
      <c r="E820" s="93">
        <v>75</v>
      </c>
      <c r="F820" s="103">
        <v>1690</v>
      </c>
    </row>
    <row r="821" spans="2:6">
      <c r="B821" s="92" t="s">
        <v>152</v>
      </c>
      <c r="C821" s="91" t="s">
        <v>1230</v>
      </c>
      <c r="D821" s="93">
        <v>96</v>
      </c>
      <c r="E821" s="93">
        <v>75</v>
      </c>
      <c r="F821" s="103">
        <f>IFERROR(INDEX(Tabella951[PLZ],MATCH(Tabella848[[#This Row],[Colonna2]],Tabella951[Ortschaftsname],0)), "Name not found")</f>
        <v>1649</v>
      </c>
    </row>
    <row r="822" spans="2:6">
      <c r="B822" s="92" t="s">
        <v>152</v>
      </c>
      <c r="C822" s="91" t="s">
        <v>1222</v>
      </c>
      <c r="D822" s="93">
        <v>96</v>
      </c>
      <c r="E822" s="93">
        <v>89</v>
      </c>
      <c r="F822" s="103">
        <f>IFERROR(INDEX(Tabella951[PLZ],MATCH(Tabella848[[#This Row],[Colonna2]],Tabella951[Ortschaftsname],0)), "Name not found")</f>
        <v>1772</v>
      </c>
    </row>
    <row r="823" spans="2:6">
      <c r="B823" s="92" t="s">
        <v>152</v>
      </c>
      <c r="C823" s="91" t="s">
        <v>2627</v>
      </c>
      <c r="D823" s="93">
        <v>96</v>
      </c>
      <c r="E823" s="93">
        <v>80</v>
      </c>
      <c r="F823" s="103">
        <v>1746</v>
      </c>
    </row>
    <row r="824" spans="2:6">
      <c r="B824" s="92" t="s">
        <v>152</v>
      </c>
      <c r="C824" s="91" t="s">
        <v>2627</v>
      </c>
      <c r="D824" s="93">
        <v>96</v>
      </c>
      <c r="E824" s="93">
        <v>80</v>
      </c>
      <c r="F824" s="103">
        <v>1677</v>
      </c>
    </row>
    <row r="825" spans="2:6">
      <c r="B825" s="92" t="s">
        <v>152</v>
      </c>
      <c r="C825" s="91" t="s">
        <v>1258</v>
      </c>
      <c r="D825" s="93">
        <v>96</v>
      </c>
      <c r="E825" s="93">
        <v>90.3</v>
      </c>
      <c r="F825" s="103">
        <f>IFERROR(INDEX(Tabella951[PLZ],MATCH(Tabella848[[#This Row],[Colonna2]],Tabella951[Ortschaftsname],0)), "Name not found")</f>
        <v>1410</v>
      </c>
    </row>
    <row r="826" spans="2:6">
      <c r="B826" s="92" t="s">
        <v>152</v>
      </c>
      <c r="C826" s="91" t="s">
        <v>1200</v>
      </c>
      <c r="D826" s="93">
        <v>96</v>
      </c>
      <c r="E826" s="93">
        <v>86</v>
      </c>
      <c r="F826" s="103">
        <f>IFERROR(INDEX(Tabella951[PLZ],MATCH(Tabella848[[#This Row],[Colonna2]],Tabella951[Ortschaftsname],0)), "Name not found")</f>
        <v>1718</v>
      </c>
    </row>
    <row r="827" spans="2:6">
      <c r="B827" s="92" t="s">
        <v>152</v>
      </c>
      <c r="C827" s="91" t="s">
        <v>1202</v>
      </c>
      <c r="D827" s="93">
        <v>96</v>
      </c>
      <c r="E827" s="93">
        <v>88</v>
      </c>
      <c r="F827" s="103">
        <f>IFERROR(INDEX(Tabella951[PLZ],MATCH(Tabella848[[#This Row],[Colonna2]],Tabella951[Ortschaftsname],0)), "Name not found")</f>
        <v>1617</v>
      </c>
    </row>
    <row r="828" spans="2:6">
      <c r="B828" s="92" t="s">
        <v>152</v>
      </c>
      <c r="C828" s="91" t="s">
        <v>1150</v>
      </c>
      <c r="D828" s="93">
        <v>96</v>
      </c>
      <c r="E828" s="93">
        <v>73</v>
      </c>
      <c r="F828" s="103">
        <f>IFERROR(INDEX(Tabella951[PLZ],MATCH(Tabella848[[#This Row],[Colonna2]],Tabella951[Ortschaftsname],0)), "Name not found")</f>
        <v>1632</v>
      </c>
    </row>
    <row r="829" spans="2:6">
      <c r="B829" s="92" t="s">
        <v>152</v>
      </c>
      <c r="C829" s="91" t="s">
        <v>1192</v>
      </c>
      <c r="D829" s="93">
        <v>96</v>
      </c>
      <c r="E829" s="93">
        <v>72.5</v>
      </c>
      <c r="F829" s="103">
        <v>3216</v>
      </c>
    </row>
    <row r="830" spans="2:6">
      <c r="B830" s="92" t="s">
        <v>152</v>
      </c>
      <c r="C830" s="91" t="s">
        <v>1135</v>
      </c>
      <c r="D830" s="93">
        <v>96</v>
      </c>
      <c r="E830" s="93">
        <v>90</v>
      </c>
      <c r="F830" s="103">
        <v>1680</v>
      </c>
    </row>
    <row r="831" spans="2:6">
      <c r="B831" s="92" t="s">
        <v>152</v>
      </c>
      <c r="C831" s="91" t="s">
        <v>1176</v>
      </c>
      <c r="D831" s="93">
        <v>96</v>
      </c>
      <c r="E831" s="93">
        <v>79</v>
      </c>
      <c r="F831" s="103">
        <f>IFERROR(INDEX(Tabella951[PLZ],MATCH(Tabella848[[#This Row],[Colonna2]],Tabella951[Ortschaftsname],0)), "Name not found")</f>
        <v>1673</v>
      </c>
    </row>
    <row r="832" spans="2:6">
      <c r="B832" s="92" t="s">
        <v>152</v>
      </c>
      <c r="C832" s="91" t="s">
        <v>1170</v>
      </c>
      <c r="D832" s="93">
        <v>96</v>
      </c>
      <c r="E832" s="93">
        <v>80</v>
      </c>
      <c r="F832" s="103">
        <v>1566</v>
      </c>
    </row>
    <row r="833" spans="2:6">
      <c r="B833" s="92" t="s">
        <v>152</v>
      </c>
      <c r="C833" s="91" t="s">
        <v>1207</v>
      </c>
      <c r="D833" s="93">
        <v>96</v>
      </c>
      <c r="E833" s="93">
        <v>87</v>
      </c>
      <c r="F833" s="103">
        <v>1609</v>
      </c>
    </row>
    <row r="834" spans="2:6">
      <c r="B834" s="92" t="s">
        <v>152</v>
      </c>
      <c r="C834" s="91" t="s">
        <v>1138</v>
      </c>
      <c r="D834" s="93">
        <v>96</v>
      </c>
      <c r="E834" s="93">
        <v>77</v>
      </c>
      <c r="F834" s="103">
        <v>3185</v>
      </c>
    </row>
    <row r="835" spans="2:6">
      <c r="B835" s="92" t="s">
        <v>152</v>
      </c>
      <c r="C835" s="91" t="s">
        <v>1181</v>
      </c>
      <c r="D835" s="93">
        <v>96</v>
      </c>
      <c r="E835" s="93">
        <v>83</v>
      </c>
      <c r="F835" s="103">
        <f>IFERROR(INDEX(Tabella951[PLZ],MATCH(Tabella848[[#This Row],[Colonna2]],Tabella951[Ortschaftsname],0)), "Name not found")</f>
        <v>1623</v>
      </c>
    </row>
    <row r="836" spans="2:6">
      <c r="B836" s="92" t="s">
        <v>152</v>
      </c>
      <c r="C836" s="91" t="s">
        <v>1161</v>
      </c>
      <c r="D836" s="93">
        <v>96</v>
      </c>
      <c r="E836" s="93">
        <v>88</v>
      </c>
      <c r="F836" s="103">
        <f>IFERROR(INDEX(Tabella951[PLZ],MATCH(Tabella848[[#This Row],[Colonna2]],Tabella951[Ortschaftsname],0)), "Name not found")</f>
        <v>1678</v>
      </c>
    </row>
    <row r="837" spans="2:6">
      <c r="B837" s="92" t="s">
        <v>152</v>
      </c>
      <c r="C837" s="91" t="s">
        <v>1199</v>
      </c>
      <c r="D837" s="93">
        <v>96</v>
      </c>
      <c r="E837" s="93">
        <v>73</v>
      </c>
      <c r="F837" s="103">
        <f>IFERROR(INDEX(Tabella951[PLZ],MATCH(Tabella848[[#This Row],[Colonna2]],Tabella951[Ortschaftsname],0)), "Name not found")</f>
        <v>1642</v>
      </c>
    </row>
    <row r="838" spans="2:6">
      <c r="B838" s="92" t="s">
        <v>152</v>
      </c>
      <c r="C838" s="91" t="s">
        <v>1209</v>
      </c>
      <c r="D838" s="93">
        <v>96</v>
      </c>
      <c r="E838" s="93">
        <v>95</v>
      </c>
      <c r="F838" s="103">
        <f>IFERROR(INDEX(Tabella951[PLZ],MATCH(Tabella848[[#This Row],[Colonna2]],Tabella951[Ortschaftsname],0)), "Name not found")</f>
        <v>1736</v>
      </c>
    </row>
    <row r="839" spans="2:6">
      <c r="B839" s="92" t="s">
        <v>152</v>
      </c>
      <c r="C839" s="91" t="s">
        <v>1188</v>
      </c>
      <c r="D839" s="93">
        <v>96</v>
      </c>
      <c r="E839" s="93">
        <v>75</v>
      </c>
      <c r="F839" s="103">
        <f>IFERROR(INDEX(Tabella951[PLZ],MATCH(Tabella848[[#This Row],[Colonna2]],Tabella951[Ortschaftsname],0)), "Name not found")</f>
        <v>1717</v>
      </c>
    </row>
    <row r="840" spans="2:6">
      <c r="B840" s="92" t="s">
        <v>152</v>
      </c>
      <c r="C840" s="91" t="s">
        <v>1223</v>
      </c>
      <c r="D840" s="93">
        <v>96</v>
      </c>
      <c r="E840" s="93">
        <v>88.7</v>
      </c>
      <c r="F840" s="103">
        <f>IFERROR(INDEX(Tabella951[PLZ],MATCH(Tabella848[[#This Row],[Colonna2]],Tabella951[Ortschaftsname],0)), "Name not found")</f>
        <v>1528</v>
      </c>
    </row>
    <row r="841" spans="2:6">
      <c r="B841" s="92" t="s">
        <v>152</v>
      </c>
      <c r="C841" s="91" t="s">
        <v>1183</v>
      </c>
      <c r="D841" s="93">
        <v>96</v>
      </c>
      <c r="E841" s="93">
        <v>86</v>
      </c>
      <c r="F841" s="103">
        <v>1625</v>
      </c>
    </row>
    <row r="842" spans="2:6">
      <c r="B842" s="92" t="s">
        <v>152</v>
      </c>
      <c r="C842" s="91" t="s">
        <v>1247</v>
      </c>
      <c r="D842" s="93">
        <v>96</v>
      </c>
      <c r="E842" s="93">
        <v>45</v>
      </c>
      <c r="F842" s="103">
        <f>IFERROR(INDEX(Tabella951[PLZ],MATCH(Tabella848[[#This Row],[Colonna2]],Tabella951[Ortschaftsname],0)), "Name not found")</f>
        <v>1541</v>
      </c>
    </row>
    <row r="843" spans="2:6">
      <c r="B843" s="92" t="s">
        <v>152</v>
      </c>
      <c r="C843" s="91" t="s">
        <v>1144</v>
      </c>
      <c r="D843" s="93">
        <v>96</v>
      </c>
      <c r="E843" s="93">
        <v>75</v>
      </c>
      <c r="F843" s="103">
        <f>IFERROR(INDEX(Tabella951[PLZ],MATCH(Tabella848[[#This Row],[Colonna2]],Tabella951[Ortschaftsname],0)), "Name not found")</f>
        <v>1712</v>
      </c>
    </row>
    <row r="844" spans="2:6">
      <c r="B844" s="92" t="s">
        <v>152</v>
      </c>
      <c r="C844" s="91" t="s">
        <v>1187</v>
      </c>
      <c r="D844" s="93">
        <v>96</v>
      </c>
      <c r="E844" s="93">
        <v>76.099999999999994</v>
      </c>
      <c r="F844" s="103">
        <f>IFERROR(INDEX(Tabella951[PLZ],MATCH(Tabella848[[#This Row],[Colonna2]],Tabella951[Ortschaftsname],0)), "Name not found")</f>
        <v>1734</v>
      </c>
    </row>
    <row r="845" spans="2:6">
      <c r="B845" s="92" t="s">
        <v>152</v>
      </c>
      <c r="C845" s="91" t="s">
        <v>1212</v>
      </c>
      <c r="D845" s="93">
        <v>96</v>
      </c>
      <c r="E845" s="93">
        <v>85</v>
      </c>
      <c r="F845" s="103">
        <v>1749</v>
      </c>
    </row>
    <row r="846" spans="2:6">
      <c r="B846" s="92" t="s">
        <v>152</v>
      </c>
      <c r="C846" s="91" t="s">
        <v>1179</v>
      </c>
      <c r="D846" s="93">
        <v>96</v>
      </c>
      <c r="E846" s="93">
        <v>80</v>
      </c>
      <c r="F846" s="103">
        <f>IFERROR(INDEX(Tabella951[PLZ],MATCH(Tabella848[[#This Row],[Colonna2]],Tabella951[Ortschaftsname],0)), "Name not found")</f>
        <v>1733</v>
      </c>
    </row>
    <row r="847" spans="2:6">
      <c r="B847" s="92" t="s">
        <v>152</v>
      </c>
      <c r="C847" s="91" t="s">
        <v>1156</v>
      </c>
      <c r="D847" s="93">
        <v>96</v>
      </c>
      <c r="E847" s="93">
        <v>89</v>
      </c>
      <c r="F847" s="103">
        <f>IFERROR(INDEX(Tabella951[PLZ],MATCH(Tabella848[[#This Row],[Colonna2]],Tabella951[Ortschaftsname],0)), "Name not found")</f>
        <v>3182</v>
      </c>
    </row>
    <row r="848" spans="2:6">
      <c r="B848" s="92" t="s">
        <v>152</v>
      </c>
      <c r="C848" s="91" t="s">
        <v>1237</v>
      </c>
      <c r="D848" s="93">
        <v>96</v>
      </c>
      <c r="E848" s="93">
        <v>85</v>
      </c>
      <c r="F848" s="103">
        <f>IFERROR(INDEX(Tabella951[PLZ],MATCH(Tabella848[[#This Row],[Colonna2]],Tabella951[Ortschaftsname],0)), "Name not found")</f>
        <v>3214</v>
      </c>
    </row>
    <row r="849" spans="2:6">
      <c r="B849" s="92" t="s">
        <v>152</v>
      </c>
      <c r="C849" s="91" t="s">
        <v>1148</v>
      </c>
      <c r="D849" s="93">
        <v>96</v>
      </c>
      <c r="E849" s="93">
        <v>77</v>
      </c>
      <c r="F849" s="103">
        <f>IFERROR(INDEX(Tabella951[PLZ],MATCH(Tabella848[[#This Row],[Colonna2]],Tabella951[Ortschaftsname],0)), "Name not found")</f>
        <v>1670</v>
      </c>
    </row>
    <row r="850" spans="2:6">
      <c r="B850" s="92" t="s">
        <v>152</v>
      </c>
      <c r="C850" s="91" t="s">
        <v>1155</v>
      </c>
      <c r="D850" s="93">
        <v>96</v>
      </c>
      <c r="E850" s="93">
        <v>89.8</v>
      </c>
      <c r="F850" s="103">
        <v>1637</v>
      </c>
    </row>
    <row r="851" spans="2:6">
      <c r="B851" s="92" t="s">
        <v>152</v>
      </c>
      <c r="C851" s="91" t="s">
        <v>1238</v>
      </c>
      <c r="D851" s="93">
        <v>96</v>
      </c>
      <c r="E851" s="93">
        <v>78</v>
      </c>
      <c r="F851" s="103">
        <f>IFERROR(INDEX(Tabella951[PLZ],MATCH(Tabella848[[#This Row],[Colonna2]],Tabella951[Ortschaftsname],0)), "Name not found")</f>
        <v>1565</v>
      </c>
    </row>
    <row r="852" spans="2:6">
      <c r="B852" s="92" t="s">
        <v>152</v>
      </c>
      <c r="C852" s="91" t="s">
        <v>1203</v>
      </c>
      <c r="D852" s="93">
        <v>96</v>
      </c>
      <c r="E852" s="93">
        <v>79</v>
      </c>
      <c r="F852" s="103">
        <f>IFERROR(INDEX(Tabella951[PLZ],MATCH(Tabella848[[#This Row],[Colonna2]],Tabella951[Ortschaftsname],0)), "Name not found")</f>
        <v>1627</v>
      </c>
    </row>
    <row r="853" spans="2:6">
      <c r="B853" s="92" t="s">
        <v>152</v>
      </c>
      <c r="C853" s="91" t="s">
        <v>1125</v>
      </c>
      <c r="D853" s="93">
        <v>96</v>
      </c>
      <c r="E853" s="93">
        <v>63.9</v>
      </c>
      <c r="F853" s="103">
        <f>IFERROR(INDEX(Tabella951[PLZ],MATCH(Tabella848[[#This Row],[Colonna2]],Tabella951[Ortschaftsname],0)), "Name not found")</f>
        <v>1752</v>
      </c>
    </row>
    <row r="854" spans="2:6">
      <c r="B854" s="92" t="s">
        <v>152</v>
      </c>
      <c r="C854" s="91" t="s">
        <v>1257</v>
      </c>
      <c r="D854" s="93">
        <v>96</v>
      </c>
      <c r="E854" s="93">
        <v>90</v>
      </c>
      <c r="F854" s="103">
        <f>IFERROR(INDEX(Tabella951[PLZ],MATCH(Tabella848[[#This Row],[Colonna2]],Tabella951[Ortschaftsname],0)), "Name not found")</f>
        <v>1723</v>
      </c>
    </row>
    <row r="855" spans="2:6">
      <c r="B855" s="92" t="s">
        <v>152</v>
      </c>
      <c r="C855" s="91" t="s">
        <v>2628</v>
      </c>
      <c r="D855" s="93">
        <v>96</v>
      </c>
      <c r="E855" s="93">
        <v>85</v>
      </c>
      <c r="F855" s="103">
        <v>1690</v>
      </c>
    </row>
    <row r="856" spans="2:6">
      <c r="B856" s="92" t="s">
        <v>152</v>
      </c>
      <c r="C856" s="91" t="s">
        <v>1185</v>
      </c>
      <c r="D856" s="93">
        <v>96</v>
      </c>
      <c r="E856" s="93">
        <v>80</v>
      </c>
      <c r="F856" s="103">
        <v>1694</v>
      </c>
    </row>
    <row r="857" spans="2:6">
      <c r="B857" s="92" t="s">
        <v>152</v>
      </c>
      <c r="C857" s="91" t="s">
        <v>1157</v>
      </c>
      <c r="D857" s="93">
        <v>96</v>
      </c>
      <c r="E857" s="93">
        <v>82.8</v>
      </c>
      <c r="F857" s="103">
        <f>IFERROR(INDEX(Tabella951[PLZ],MATCH(Tabella848[[#This Row],[Colonna2]],Tabella951[Ortschaftsname],0)), "Name not found")</f>
        <v>1628</v>
      </c>
    </row>
    <row r="858" spans="2:6">
      <c r="B858" s="92" t="s">
        <v>152</v>
      </c>
      <c r="C858" s="91" t="s">
        <v>1158</v>
      </c>
      <c r="D858" s="93">
        <v>96</v>
      </c>
      <c r="E858" s="93">
        <v>88.4</v>
      </c>
      <c r="F858" s="103">
        <f>IFERROR(INDEX(Tabella951[PLZ],MATCH(Tabella848[[#This Row],[Colonna2]],Tabella951[Ortschaftsname],0)), "Name not found")</f>
        <v>1687</v>
      </c>
    </row>
    <row r="859" spans="2:6">
      <c r="B859" s="92" t="s">
        <v>152</v>
      </c>
      <c r="C859" s="91" t="s">
        <v>1132</v>
      </c>
      <c r="D859" s="93">
        <v>96</v>
      </c>
      <c r="E859" s="93">
        <v>82</v>
      </c>
      <c r="F859" s="103">
        <v>3175</v>
      </c>
    </row>
    <row r="860" spans="2:6">
      <c r="B860" s="92" t="s">
        <v>157</v>
      </c>
      <c r="C860" s="91" t="s">
        <v>2154</v>
      </c>
      <c r="D860" s="93">
        <v>104</v>
      </c>
      <c r="E860" s="93">
        <v>122</v>
      </c>
      <c r="F860" s="103">
        <f>IFERROR(INDEX(Tabella951[PLZ],MATCH(Tabella848[[#This Row],[Colonna2]],Tabella951[Ortschaftsname],0)), "Name not found")</f>
        <v>4714</v>
      </c>
    </row>
    <row r="861" spans="2:6">
      <c r="B861" s="92" t="s">
        <v>157</v>
      </c>
      <c r="C861" s="91" t="s">
        <v>2091</v>
      </c>
      <c r="D861" s="93">
        <v>104</v>
      </c>
      <c r="E861" s="93">
        <v>115</v>
      </c>
      <c r="F861" s="103">
        <v>4556</v>
      </c>
    </row>
    <row r="862" spans="2:6">
      <c r="B862" s="92" t="s">
        <v>157</v>
      </c>
      <c r="C862" s="91" t="s">
        <v>2176</v>
      </c>
      <c r="D862" s="93">
        <v>104</v>
      </c>
      <c r="E862" s="93">
        <v>100</v>
      </c>
      <c r="F862" s="103">
        <v>4525</v>
      </c>
    </row>
    <row r="863" spans="2:6">
      <c r="B863" s="92" t="s">
        <v>157</v>
      </c>
      <c r="C863" s="91" t="s">
        <v>2033</v>
      </c>
      <c r="D863" s="93">
        <v>104</v>
      </c>
      <c r="E863" s="93">
        <v>125</v>
      </c>
      <c r="F863" s="103">
        <f>IFERROR(INDEX(Tabella951[PLZ],MATCH(Tabella848[[#This Row],[Colonna2]],Tabella951[Ortschaftsname],0)), "Name not found")</f>
        <v>4710</v>
      </c>
    </row>
    <row r="864" spans="2:6">
      <c r="B864" s="92" t="s">
        <v>157</v>
      </c>
      <c r="C864" s="91" t="s">
        <v>2172</v>
      </c>
      <c r="D864" s="93">
        <v>104</v>
      </c>
      <c r="E864" s="93">
        <v>125</v>
      </c>
      <c r="F864" s="103">
        <v>4229</v>
      </c>
    </row>
    <row r="865" spans="2:6">
      <c r="B865" s="92" t="s">
        <v>157</v>
      </c>
      <c r="C865" s="91" t="s">
        <v>2034</v>
      </c>
      <c r="D865" s="93">
        <v>104</v>
      </c>
      <c r="E865" s="93">
        <v>125</v>
      </c>
      <c r="F865" s="103">
        <f>IFERROR(INDEX(Tabella951[PLZ],MATCH(Tabella848[[#This Row],[Colonna2]],Tabella951[Ortschaftsname],0)), "Name not found")</f>
        <v>4512</v>
      </c>
    </row>
    <row r="866" spans="2:6">
      <c r="B866" s="92" t="s">
        <v>157</v>
      </c>
      <c r="C866" s="91" t="s">
        <v>2039</v>
      </c>
      <c r="D866" s="93">
        <v>104</v>
      </c>
      <c r="E866" s="93">
        <v>99</v>
      </c>
      <c r="F866" s="103">
        <f>IFERROR(INDEX(Tabella951[PLZ],MATCH(Tabella848[[#This Row],[Colonna2]],Tabella951[Ortschaftsname],0)), "Name not found")</f>
        <v>2544</v>
      </c>
    </row>
    <row r="867" spans="2:6">
      <c r="B867" s="92" t="s">
        <v>157</v>
      </c>
      <c r="C867" s="91" t="s">
        <v>2028</v>
      </c>
      <c r="D867" s="93">
        <v>104</v>
      </c>
      <c r="E867" s="93">
        <v>125</v>
      </c>
      <c r="F867" s="103">
        <f>IFERROR(INDEX(Tabella951[PLZ],MATCH(Tabella848[[#This Row],[Colonna2]],Tabella951[Ortschaftsname],0)), "Name not found")</f>
        <v>4562</v>
      </c>
    </row>
    <row r="868" spans="2:6">
      <c r="B868" s="92" t="s">
        <v>157</v>
      </c>
      <c r="C868" s="91" t="s">
        <v>2168</v>
      </c>
      <c r="D868" s="93">
        <v>104</v>
      </c>
      <c r="E868" s="93">
        <v>125</v>
      </c>
      <c r="F868" s="103">
        <f>IFERROR(INDEX(Tabella951[PLZ],MATCH(Tabella848[[#This Row],[Colonna2]],Tabella951[Ortschaftsname],0)), "Name not found")</f>
        <v>4585</v>
      </c>
    </row>
    <row r="869" spans="2:6">
      <c r="B869" s="92" t="s">
        <v>157</v>
      </c>
      <c r="C869" s="91" t="s">
        <v>2151</v>
      </c>
      <c r="D869" s="93">
        <v>104</v>
      </c>
      <c r="E869" s="93">
        <v>145</v>
      </c>
      <c r="F869" s="103">
        <f>IFERROR(INDEX(Tabella951[PLZ],MATCH(Tabella848[[#This Row],[Colonna2]],Tabella951[Ortschaftsname],0)), "Name not found")</f>
        <v>4556</v>
      </c>
    </row>
    <row r="870" spans="2:6">
      <c r="B870" s="92" t="s">
        <v>157</v>
      </c>
      <c r="C870" s="91" t="s">
        <v>2137</v>
      </c>
      <c r="D870" s="93">
        <v>104</v>
      </c>
      <c r="E870" s="93">
        <v>125</v>
      </c>
      <c r="F870" s="103">
        <f>IFERROR(INDEX(Tabella951[PLZ],MATCH(Tabella848[[#This Row],[Colonna2]],Tabella951[Ortschaftsname],0)), "Name not found")</f>
        <v>4618</v>
      </c>
    </row>
    <row r="871" spans="2:6">
      <c r="B871" s="92" t="s">
        <v>157</v>
      </c>
      <c r="C871" s="91" t="s">
        <v>2043</v>
      </c>
      <c r="D871" s="93">
        <v>104</v>
      </c>
      <c r="E871" s="93">
        <v>113</v>
      </c>
      <c r="F871" s="103">
        <f>IFERROR(INDEX(Tabella951[PLZ],MATCH(Tabella848[[#This Row],[Colonna2]],Tabella951[Ortschaftsname],0)), "Name not found")</f>
        <v>4226</v>
      </c>
    </row>
    <row r="872" spans="2:6">
      <c r="B872" s="92" t="s">
        <v>157</v>
      </c>
      <c r="C872" s="91" t="s">
        <v>2055</v>
      </c>
      <c r="D872" s="93">
        <v>104</v>
      </c>
      <c r="E872" s="93">
        <v>110</v>
      </c>
      <c r="F872" s="103">
        <v>4586</v>
      </c>
    </row>
    <row r="873" spans="2:6">
      <c r="B873" s="92" t="s">
        <v>157</v>
      </c>
      <c r="C873" s="91" t="s">
        <v>2134</v>
      </c>
      <c r="D873" s="93">
        <v>104</v>
      </c>
      <c r="E873" s="93">
        <v>125</v>
      </c>
      <c r="F873" s="103">
        <f>IFERROR(INDEX(Tabella951[PLZ],MATCH(Tabella848[[#This Row],[Colonna2]],Tabella951[Ortschaftsname],0)), "Name not found")</f>
        <v>4252</v>
      </c>
    </row>
    <row r="874" spans="2:6">
      <c r="B874" s="92" t="s">
        <v>157</v>
      </c>
      <c r="C874" s="91" t="s">
        <v>2093</v>
      </c>
      <c r="D874" s="93">
        <v>104</v>
      </c>
      <c r="E874" s="93">
        <v>122</v>
      </c>
      <c r="F874" s="103">
        <f>IFERROR(INDEX(Tabella951[PLZ],MATCH(Tabella848[[#This Row],[Colonna2]],Tabella951[Ortschaftsname],0)), "Name not found")</f>
        <v>4112</v>
      </c>
    </row>
    <row r="875" spans="2:6">
      <c r="B875" s="92" t="s">
        <v>157</v>
      </c>
      <c r="C875" s="91" t="s">
        <v>2109</v>
      </c>
      <c r="D875" s="93">
        <v>104</v>
      </c>
      <c r="E875" s="93">
        <v>125</v>
      </c>
      <c r="F875" s="103">
        <v>4413</v>
      </c>
    </row>
    <row r="876" spans="2:6">
      <c r="B876" s="92" t="s">
        <v>157</v>
      </c>
      <c r="C876" s="91" t="s">
        <v>2058</v>
      </c>
      <c r="D876" s="93">
        <v>104</v>
      </c>
      <c r="E876" s="93">
        <v>111</v>
      </c>
      <c r="F876" s="103">
        <f>IFERROR(INDEX(Tabella951[PLZ],MATCH(Tabella848[[#This Row],[Colonna2]],Tabella951[Ortschaftsname],0)), "Name not found")</f>
        <v>4227</v>
      </c>
    </row>
    <row r="877" spans="2:6">
      <c r="B877" s="92" t="s">
        <v>157</v>
      </c>
      <c r="C877" s="91" t="s">
        <v>2060</v>
      </c>
      <c r="D877" s="93">
        <v>104</v>
      </c>
      <c r="E877" s="93">
        <v>122</v>
      </c>
      <c r="F877" s="103">
        <f>IFERROR(INDEX(Tabella951[PLZ],MATCH(Tabella848[[#This Row],[Colonna2]],Tabella951[Ortschaftsname],0)), "Name not found")</f>
        <v>4543</v>
      </c>
    </row>
    <row r="878" spans="2:6">
      <c r="B878" s="92" t="s">
        <v>157</v>
      </c>
      <c r="C878" s="91" t="s">
        <v>2031</v>
      </c>
      <c r="D878" s="93">
        <v>104</v>
      </c>
      <c r="E878" s="93">
        <v>128</v>
      </c>
      <c r="F878" s="103">
        <f>IFERROR(INDEX(Tabella951[PLZ],MATCH(Tabella848[[#This Row],[Colonna2]],Tabella951[Ortschaftsname],0)), "Name not found")</f>
        <v>4552</v>
      </c>
    </row>
    <row r="879" spans="2:6">
      <c r="B879" s="92" t="s">
        <v>157</v>
      </c>
      <c r="C879" s="91" t="s">
        <v>2029</v>
      </c>
      <c r="D879" s="93">
        <v>104</v>
      </c>
      <c r="E879" s="93">
        <v>88</v>
      </c>
      <c r="F879" s="103">
        <f>IFERROR(INDEX(Tabella951[PLZ],MATCH(Tabella848[[#This Row],[Colonna2]],Tabella951[Ortschaftsname],0)), "Name not found")</f>
        <v>4143</v>
      </c>
    </row>
    <row r="880" spans="2:6">
      <c r="B880" s="92" t="s">
        <v>157</v>
      </c>
      <c r="C880" s="91" t="s">
        <v>2141</v>
      </c>
      <c r="D880" s="93">
        <v>104</v>
      </c>
      <c r="E880" s="93">
        <v>115</v>
      </c>
      <c r="F880" s="103">
        <v>4558</v>
      </c>
    </row>
    <row r="881" spans="2:6">
      <c r="B881" s="92" t="s">
        <v>157</v>
      </c>
      <c r="C881" s="91" t="s">
        <v>2038</v>
      </c>
      <c r="D881" s="93">
        <v>104</v>
      </c>
      <c r="E881" s="93">
        <v>119</v>
      </c>
      <c r="F881" s="103">
        <f>IFERROR(INDEX(Tabella951[PLZ],MATCH(Tabella848[[#This Row],[Colonna2]],Tabella951[Ortschaftsname],0)), "Name not found")</f>
        <v>4657</v>
      </c>
    </row>
    <row r="882" spans="2:6">
      <c r="B882" s="92" t="s">
        <v>157</v>
      </c>
      <c r="C882" s="91" t="s">
        <v>2053</v>
      </c>
      <c r="D882" s="93">
        <v>104</v>
      </c>
      <c r="E882" s="93">
        <v>80</v>
      </c>
      <c r="F882" s="103">
        <v>4658</v>
      </c>
    </row>
    <row r="883" spans="2:6">
      <c r="B883" s="92" t="s">
        <v>157</v>
      </c>
      <c r="C883" s="91" t="s">
        <v>2046</v>
      </c>
      <c r="D883" s="93">
        <v>104</v>
      </c>
      <c r="E883" s="93">
        <v>112</v>
      </c>
      <c r="F883" s="103">
        <f>IFERROR(INDEX(Tabella951[PLZ],MATCH(Tabella848[[#This Row],[Colonna2]],Tabella951[Ortschaftsname],0)), "Name not found")</f>
        <v>4622</v>
      </c>
    </row>
    <row r="884" spans="2:6">
      <c r="B884" s="92" t="s">
        <v>157</v>
      </c>
      <c r="C884" s="91" t="s">
        <v>2164</v>
      </c>
      <c r="D884" s="93">
        <v>104</v>
      </c>
      <c r="E884" s="93">
        <v>99</v>
      </c>
      <c r="F884" s="103">
        <v>5012</v>
      </c>
    </row>
    <row r="885" spans="2:6">
      <c r="B885" s="92" t="s">
        <v>157</v>
      </c>
      <c r="C885" s="91" t="s">
        <v>2045</v>
      </c>
      <c r="D885" s="93">
        <v>104</v>
      </c>
      <c r="E885" s="93">
        <v>102</v>
      </c>
      <c r="F885" s="103">
        <v>5015</v>
      </c>
    </row>
    <row r="886" spans="2:6">
      <c r="B886" s="92" t="s">
        <v>157</v>
      </c>
      <c r="C886" s="91" t="s">
        <v>2123</v>
      </c>
      <c r="D886" s="93">
        <v>104</v>
      </c>
      <c r="E886" s="93">
        <v>128</v>
      </c>
      <c r="F886" s="103">
        <f>IFERROR(INDEX(Tabella951[PLZ],MATCH(Tabella848[[#This Row],[Colonna2]],Tabella951[Ortschaftsname],0)), "Name not found")</f>
        <v>4228</v>
      </c>
    </row>
    <row r="887" spans="2:6">
      <c r="B887" s="92" t="s">
        <v>157</v>
      </c>
      <c r="C887" s="91" t="s">
        <v>2130</v>
      </c>
      <c r="D887" s="93">
        <v>104</v>
      </c>
      <c r="E887" s="93">
        <v>130</v>
      </c>
      <c r="F887" s="103">
        <f>IFERROR(INDEX(Tabella951[PLZ],MATCH(Tabella848[[#This Row],[Colonna2]],Tabella951[Ortschaftsname],0)), "Name not found")</f>
        <v>4554</v>
      </c>
    </row>
    <row r="888" spans="2:6">
      <c r="B888" s="92" t="s">
        <v>157</v>
      </c>
      <c r="C888" s="91" t="s">
        <v>2152</v>
      </c>
      <c r="D888" s="93">
        <v>104</v>
      </c>
      <c r="E888" s="93">
        <v>130</v>
      </c>
      <c r="F888" s="103">
        <f>IFERROR(INDEX(Tabella951[PLZ],MATCH(Tabella848[[#This Row],[Colonna2]],Tabella951[Ortschaftsname],0)), "Name not found")</f>
        <v>4232</v>
      </c>
    </row>
    <row r="889" spans="2:6">
      <c r="B889" s="92" t="s">
        <v>157</v>
      </c>
      <c r="C889" s="91" t="s">
        <v>2113</v>
      </c>
      <c r="D889" s="93">
        <v>104</v>
      </c>
      <c r="E889" s="93">
        <v>72</v>
      </c>
      <c r="F889" s="103">
        <v>4532</v>
      </c>
    </row>
    <row r="890" spans="2:6">
      <c r="B890" s="92" t="s">
        <v>157</v>
      </c>
      <c r="C890" s="91" t="s">
        <v>2117</v>
      </c>
      <c r="D890" s="93">
        <v>104</v>
      </c>
      <c r="E890" s="93">
        <v>125</v>
      </c>
      <c r="F890" s="103">
        <f>IFERROR(INDEX(Tabella951[PLZ],MATCH(Tabella848[[#This Row],[Colonna2]],Tabella951[Ortschaftsname],0)), "Name not found")</f>
        <v>4534</v>
      </c>
    </row>
    <row r="891" spans="2:6">
      <c r="B891" s="92" t="s">
        <v>157</v>
      </c>
      <c r="C891" s="91" t="s">
        <v>2068</v>
      </c>
      <c r="D891" s="93">
        <v>104</v>
      </c>
      <c r="E891" s="93">
        <v>110</v>
      </c>
      <c r="F891" s="103">
        <f>IFERROR(INDEX(Tabella951[PLZ],MATCH(Tabella848[[#This Row],[Colonna2]],Tabella951[Ortschaftsname],0)), "Name not found")</f>
        <v>4629</v>
      </c>
    </row>
    <row r="892" spans="2:6">
      <c r="B892" s="92" t="s">
        <v>157</v>
      </c>
      <c r="C892" s="91" t="s">
        <v>2125</v>
      </c>
      <c r="D892" s="93">
        <v>104</v>
      </c>
      <c r="E892" s="93">
        <v>117</v>
      </c>
      <c r="F892" s="103">
        <f>IFERROR(INDEX(Tabella951[PLZ],MATCH(Tabella848[[#This Row],[Colonna2]],Tabella951[Ortschaftsname],0)), "Name not found")</f>
        <v>4145</v>
      </c>
    </row>
    <row r="893" spans="2:6">
      <c r="B893" s="92" t="s">
        <v>157</v>
      </c>
      <c r="C893" s="91" t="s">
        <v>2035</v>
      </c>
      <c r="D893" s="93">
        <v>104</v>
      </c>
      <c r="E893" s="93">
        <v>125</v>
      </c>
      <c r="F893" s="103">
        <f>IFERROR(INDEX(Tabella951[PLZ],MATCH(Tabella848[[#This Row],[Colonna2]],Tabella951[Ortschaftsname],0)), "Name not found")</f>
        <v>4563</v>
      </c>
    </row>
    <row r="894" spans="2:6">
      <c r="B894" s="92" t="s">
        <v>157</v>
      </c>
      <c r="C894" s="91" t="s">
        <v>2026</v>
      </c>
      <c r="D894" s="93">
        <v>104</v>
      </c>
      <c r="E894" s="93">
        <v>117</v>
      </c>
      <c r="F894" s="103">
        <f>IFERROR(INDEX(Tabella951[PLZ],MATCH(Tabella848[[#This Row],[Colonna2]],Tabella951[Ortschaftsname],0)), "Name not found")</f>
        <v>2540</v>
      </c>
    </row>
    <row r="895" spans="2:6">
      <c r="B895" s="92" t="s">
        <v>157</v>
      </c>
      <c r="C895" s="91" t="s">
        <v>2054</v>
      </c>
      <c r="D895" s="93">
        <v>104</v>
      </c>
      <c r="E895" s="93">
        <v>118</v>
      </c>
      <c r="F895" s="103">
        <f>IFERROR(INDEX(Tabella951[PLZ],MATCH(Tabella848[[#This Row],[Colonna2]],Tabella951[Ortschaftsname],0)), "Name not found")</f>
        <v>5014</v>
      </c>
    </row>
    <row r="896" spans="2:6">
      <c r="B896" s="92" t="s">
        <v>157</v>
      </c>
      <c r="C896" s="91" t="s">
        <v>2160</v>
      </c>
      <c r="D896" s="93">
        <v>104</v>
      </c>
      <c r="E896" s="93">
        <v>130</v>
      </c>
      <c r="F896" s="103">
        <f>IFERROR(INDEX(Tabella951[PLZ],MATCH(Tabella848[[#This Row],[Colonna2]],Tabella951[Ortschaftsname],0)), "Name not found")</f>
        <v>4247</v>
      </c>
    </row>
    <row r="897" spans="2:6">
      <c r="B897" s="92" t="s">
        <v>157</v>
      </c>
      <c r="C897" s="91" t="s">
        <v>2072</v>
      </c>
      <c r="D897" s="93">
        <v>104</v>
      </c>
      <c r="E897" s="93">
        <v>108</v>
      </c>
      <c r="F897" s="103">
        <f>IFERROR(INDEX(Tabella951[PLZ],MATCH(Tabella848[[#This Row],[Colonna2]],Tabella951[Ortschaftsname],0)), "Name not found")</f>
        <v>4617</v>
      </c>
    </row>
    <row r="898" spans="2:6">
      <c r="B898" s="92" t="s">
        <v>157</v>
      </c>
      <c r="C898" s="91" t="s">
        <v>2097</v>
      </c>
      <c r="D898" s="93">
        <v>104</v>
      </c>
      <c r="E898" s="93">
        <v>120</v>
      </c>
      <c r="F898" s="103">
        <f>IFERROR(INDEX(Tabella951[PLZ],MATCH(Tabella848[[#This Row],[Colonna2]],Tabella951[Ortschaftsname],0)), "Name not found")</f>
        <v>4524</v>
      </c>
    </row>
    <row r="899" spans="2:6">
      <c r="B899" s="92" t="s">
        <v>157</v>
      </c>
      <c r="C899" s="91" t="s">
        <v>2127</v>
      </c>
      <c r="D899" s="93">
        <v>104</v>
      </c>
      <c r="E899" s="93">
        <v>120</v>
      </c>
      <c r="F899" s="103">
        <f>IFERROR(INDEX(Tabella951[PLZ],MATCH(Tabella848[[#This Row],[Colonna2]],Tabella951[Ortschaftsname],0)), "Name not found")</f>
        <v>4566</v>
      </c>
    </row>
    <row r="900" spans="2:6">
      <c r="B900" s="92" t="s">
        <v>157</v>
      </c>
      <c r="C900" s="91" t="s">
        <v>2170</v>
      </c>
      <c r="D900" s="93">
        <v>104</v>
      </c>
      <c r="E900" s="93">
        <v>125</v>
      </c>
      <c r="F900" s="103">
        <v>4633</v>
      </c>
    </row>
    <row r="901" spans="2:6">
      <c r="B901" s="92" t="s">
        <v>157</v>
      </c>
      <c r="C901" s="91" t="s">
        <v>2156</v>
      </c>
      <c r="D901" s="93">
        <v>104</v>
      </c>
      <c r="E901" s="93">
        <v>129</v>
      </c>
      <c r="F901" s="103">
        <f>IFERROR(INDEX(Tabella951[PLZ],MATCH(Tabella848[[#This Row],[Colonna2]],Tabella951[Ortschaftsname],0)), "Name not found")</f>
        <v>4715</v>
      </c>
    </row>
    <row r="902" spans="2:6">
      <c r="B902" s="92" t="s">
        <v>157</v>
      </c>
      <c r="C902" s="91" t="s">
        <v>2121</v>
      </c>
      <c r="D902" s="93">
        <v>104</v>
      </c>
      <c r="E902" s="93">
        <v>124</v>
      </c>
      <c r="F902" s="103">
        <f>IFERROR(INDEX(Tabella951[PLZ],MATCH(Tabella848[[#This Row],[Colonna2]],Tabella951[Ortschaftsname],0)), "Name not found")</f>
        <v>4204</v>
      </c>
    </row>
    <row r="903" spans="2:6">
      <c r="B903" s="92" t="s">
        <v>157</v>
      </c>
      <c r="C903" s="91" t="s">
        <v>2087</v>
      </c>
      <c r="D903" s="93">
        <v>104</v>
      </c>
      <c r="E903" s="93">
        <v>116</v>
      </c>
      <c r="F903" s="103">
        <f>IFERROR(INDEX(Tabella951[PLZ],MATCH(Tabella848[[#This Row],[Colonna2]],Tabella951[Ortschaftsname],0)), "Name not found")</f>
        <v>4146</v>
      </c>
    </row>
    <row r="904" spans="2:6">
      <c r="B904" s="92" t="s">
        <v>157</v>
      </c>
      <c r="C904" s="91" t="s">
        <v>2051</v>
      </c>
      <c r="D904" s="93">
        <v>104</v>
      </c>
      <c r="E904" s="93">
        <v>113</v>
      </c>
      <c r="F904" s="103">
        <v>4114</v>
      </c>
    </row>
    <row r="905" spans="2:6">
      <c r="B905" s="92" t="s">
        <v>157</v>
      </c>
      <c r="C905" s="91" t="s">
        <v>2145</v>
      </c>
      <c r="D905" s="93">
        <v>104</v>
      </c>
      <c r="E905" s="93">
        <v>132</v>
      </c>
      <c r="F905" s="103">
        <v>4718</v>
      </c>
    </row>
    <row r="906" spans="2:6">
      <c r="B906" s="92" t="s">
        <v>157</v>
      </c>
      <c r="C906" s="91" t="s">
        <v>2129</v>
      </c>
      <c r="D906" s="93">
        <v>104</v>
      </c>
      <c r="E906" s="93">
        <v>120</v>
      </c>
      <c r="F906" s="103">
        <f>IFERROR(INDEX(Tabella951[PLZ],MATCH(Tabella848[[#This Row],[Colonna2]],Tabella951[Ortschaftsname],0)), "Name not found")</f>
        <v>4557</v>
      </c>
    </row>
    <row r="907" spans="2:6">
      <c r="B907" s="92" t="s">
        <v>157</v>
      </c>
      <c r="C907" s="91" t="s">
        <v>2139</v>
      </c>
      <c r="D907" s="93">
        <v>104</v>
      </c>
      <c r="E907" s="93">
        <v>127</v>
      </c>
      <c r="F907" s="103">
        <f>IFERROR(INDEX(Tabella951[PLZ],MATCH(Tabella848[[#This Row],[Colonna2]],Tabella951[Ortschaftsname],0)), "Name not found")</f>
        <v>4535</v>
      </c>
    </row>
    <row r="908" spans="2:6">
      <c r="B908" s="92" t="s">
        <v>157</v>
      </c>
      <c r="C908" s="91" t="s">
        <v>2037</v>
      </c>
      <c r="D908" s="93">
        <v>104</v>
      </c>
      <c r="E908" s="93">
        <v>107</v>
      </c>
      <c r="F908" s="103">
        <f>IFERROR(INDEX(Tabella951[PLZ],MATCH(Tabella848[[#This Row],[Colonna2]],Tabella951[Ortschaftsname],0)), "Name not found")</f>
        <v>4614</v>
      </c>
    </row>
    <row r="909" spans="2:6">
      <c r="B909" s="92" t="s">
        <v>157</v>
      </c>
      <c r="C909" s="91" t="s">
        <v>2073</v>
      </c>
      <c r="D909" s="93">
        <v>104</v>
      </c>
      <c r="E909" s="93">
        <v>89</v>
      </c>
      <c r="F909" s="103">
        <f>IFERROR(INDEX(Tabella951[PLZ],MATCH(Tabella848[[#This Row],[Colonna2]],Tabella951[Ortschaftsname],0)), "Name not found")</f>
        <v>4624</v>
      </c>
    </row>
    <row r="910" spans="2:6">
      <c r="B910" s="92" t="s">
        <v>157</v>
      </c>
      <c r="C910" s="91" t="s">
        <v>2178</v>
      </c>
      <c r="D910" s="93">
        <v>104</v>
      </c>
      <c r="E910" s="93">
        <v>120</v>
      </c>
      <c r="F910" s="103">
        <f>IFERROR(INDEX(Tabella951[PLZ],MATCH(Tabella848[[#This Row],[Colonna2]],Tabella951[Ortschaftsname],0)), "Name not found")</f>
        <v>4554</v>
      </c>
    </row>
    <row r="911" spans="2:6">
      <c r="B911" s="92" t="s">
        <v>157</v>
      </c>
      <c r="C911" s="91" t="s">
        <v>2184</v>
      </c>
      <c r="D911" s="93">
        <v>104</v>
      </c>
      <c r="E911" s="93">
        <v>65</v>
      </c>
      <c r="F911" s="103">
        <f>IFERROR(INDEX(Tabella951[PLZ],MATCH(Tabella848[[#This Row],[Colonna2]],Tabella951[Ortschaftsname],0)), "Name not found")</f>
        <v>4535</v>
      </c>
    </row>
    <row r="912" spans="2:6">
      <c r="B912" s="92" t="s">
        <v>157</v>
      </c>
      <c r="C912" s="91" t="s">
        <v>2049</v>
      </c>
      <c r="D912" s="93">
        <v>104</v>
      </c>
      <c r="E912" s="93">
        <v>122</v>
      </c>
      <c r="F912" s="103">
        <v>4616</v>
      </c>
    </row>
    <row r="913" spans="2:6">
      <c r="B913" s="92" t="s">
        <v>157</v>
      </c>
      <c r="C913" s="91" t="s">
        <v>2067</v>
      </c>
      <c r="D913" s="93">
        <v>104</v>
      </c>
      <c r="E913" s="93">
        <v>117</v>
      </c>
      <c r="F913" s="103">
        <f>IFERROR(INDEX(Tabella951[PLZ],MATCH(Tabella848[[#This Row],[Colonna2]],Tabella951[Ortschaftsname],0)), "Name not found")</f>
        <v>4703</v>
      </c>
    </row>
    <row r="914" spans="2:6">
      <c r="B914" s="92" t="s">
        <v>157</v>
      </c>
      <c r="C914" s="91" t="s">
        <v>2158</v>
      </c>
      <c r="D914" s="93">
        <v>104</v>
      </c>
      <c r="E914" s="93">
        <v>129</v>
      </c>
      <c r="F914" s="103">
        <f>IFERROR(INDEX(Tabella951[PLZ],MATCH(Tabella848[[#This Row],[Colonna2]],Tabella951[Ortschaftsname],0)), "Name not found")</f>
        <v>4468</v>
      </c>
    </row>
    <row r="915" spans="2:6">
      <c r="B915" s="92" t="s">
        <v>157</v>
      </c>
      <c r="C915" s="91" t="s">
        <v>2089</v>
      </c>
      <c r="D915" s="93">
        <v>104</v>
      </c>
      <c r="E915" s="93">
        <v>129</v>
      </c>
      <c r="F915" s="103">
        <f>IFERROR(INDEX(Tabella951[PLZ],MATCH(Tabella848[[#This Row],[Colonna2]],Tabella951[Ortschaftsname],0)), "Name not found")</f>
        <v>4245</v>
      </c>
    </row>
    <row r="916" spans="2:6">
      <c r="B916" s="92" t="s">
        <v>157</v>
      </c>
      <c r="C916" s="91" t="s">
        <v>2085</v>
      </c>
      <c r="D916" s="93">
        <v>104</v>
      </c>
      <c r="E916" s="93">
        <v>119</v>
      </c>
      <c r="F916" s="103">
        <f>IFERROR(INDEX(Tabella951[PLZ],MATCH(Tabella848[[#This Row],[Colonna2]],Tabella951[Ortschaftsname],0)), "Name not found")</f>
        <v>4566</v>
      </c>
    </row>
    <row r="917" spans="2:6">
      <c r="B917" s="92" t="s">
        <v>157</v>
      </c>
      <c r="C917" s="91" t="s">
        <v>2044</v>
      </c>
      <c r="D917" s="93">
        <v>104</v>
      </c>
      <c r="E917" s="93">
        <v>119</v>
      </c>
      <c r="F917" s="103">
        <f>IFERROR(INDEX(Tabella951[PLZ],MATCH(Tabella848[[#This Row],[Colonna2]],Tabella951[Ortschaftsname],0)), "Name not found")</f>
        <v>4513</v>
      </c>
    </row>
    <row r="918" spans="2:6">
      <c r="B918" s="92" t="s">
        <v>157</v>
      </c>
      <c r="C918" s="91" t="s">
        <v>2069</v>
      </c>
      <c r="D918" s="93">
        <v>104</v>
      </c>
      <c r="E918" s="93">
        <v>123</v>
      </c>
      <c r="F918" s="103">
        <f>IFERROR(INDEX(Tabella951[PLZ],MATCH(Tabella848[[#This Row],[Colonna2]],Tabella951[Ortschaftsname],0)), "Name not found")</f>
        <v>4712</v>
      </c>
    </row>
    <row r="919" spans="2:6">
      <c r="B919" s="92" t="s">
        <v>157</v>
      </c>
      <c r="C919" s="91" t="s">
        <v>2052</v>
      </c>
      <c r="D919" s="93">
        <v>104</v>
      </c>
      <c r="E919" s="93">
        <v>100</v>
      </c>
      <c r="F919" s="103">
        <f>IFERROR(INDEX(Tabella951[PLZ],MATCH(Tabella848[[#This Row],[Colonna2]],Tabella951[Ortschaftsname],0)), "Name not found")</f>
        <v>4573</v>
      </c>
    </row>
    <row r="920" spans="2:6">
      <c r="B920" s="92" t="s">
        <v>157</v>
      </c>
      <c r="C920" s="91" t="s">
        <v>2074</v>
      </c>
      <c r="D920" s="93">
        <v>104</v>
      </c>
      <c r="E920" s="93">
        <v>127</v>
      </c>
      <c r="F920" s="103">
        <f>IFERROR(INDEX(Tabella951[PLZ],MATCH(Tabella848[[#This Row],[Colonna2]],Tabella951[Ortschaftsname],0)), "Name not found")</f>
        <v>4514</v>
      </c>
    </row>
    <row r="921" spans="2:6">
      <c r="B921" s="92" t="s">
        <v>157</v>
      </c>
      <c r="C921" s="91" t="s">
        <v>2041</v>
      </c>
      <c r="D921" s="93">
        <v>104</v>
      </c>
      <c r="E921" s="93">
        <v>113</v>
      </c>
      <c r="F921" s="103">
        <f>IFERROR(INDEX(Tabella951[PLZ],MATCH(Tabella848[[#This Row],[Colonna2]],Tabella951[Ortschaftsname],0)), "Name not found")</f>
        <v>4654</v>
      </c>
    </row>
    <row r="922" spans="2:6">
      <c r="B922" s="92" t="s">
        <v>157</v>
      </c>
      <c r="C922" s="91" t="s">
        <v>2047</v>
      </c>
      <c r="D922" s="93">
        <v>104</v>
      </c>
      <c r="E922" s="93">
        <v>123</v>
      </c>
      <c r="F922" s="103">
        <f>IFERROR(INDEX(Tabella951[PLZ],MATCH(Tabella848[[#This Row],[Colonna2]],Tabella951[Ortschaftsname],0)), "Name not found")</f>
        <v>4542</v>
      </c>
    </row>
    <row r="923" spans="2:6">
      <c r="B923" s="92" t="s">
        <v>157</v>
      </c>
      <c r="C923" s="91" t="s">
        <v>2107</v>
      </c>
      <c r="D923" s="93">
        <v>104</v>
      </c>
      <c r="E923" s="93">
        <v>125</v>
      </c>
      <c r="F923" s="103">
        <v>4574</v>
      </c>
    </row>
    <row r="924" spans="2:6">
      <c r="B924" s="92" t="s">
        <v>157</v>
      </c>
      <c r="C924" s="91" t="s">
        <v>2136</v>
      </c>
      <c r="D924" s="93">
        <v>104</v>
      </c>
      <c r="E924" s="93">
        <v>110</v>
      </c>
      <c r="F924" s="103">
        <v>4571</v>
      </c>
    </row>
    <row r="925" spans="2:6">
      <c r="B925" s="92" t="s">
        <v>157</v>
      </c>
      <c r="C925" s="91" t="s">
        <v>2081</v>
      </c>
      <c r="D925" s="93">
        <v>104</v>
      </c>
      <c r="E925" s="93">
        <v>130</v>
      </c>
      <c r="F925" s="103">
        <f>IFERROR(INDEX(Tabella951[PLZ],MATCH(Tabella848[[#This Row],[Colonna2]],Tabella951[Ortschaftsname],0)), "Name not found")</f>
        <v>4713</v>
      </c>
    </row>
    <row r="926" spans="2:6">
      <c r="B926" s="92" t="s">
        <v>157</v>
      </c>
      <c r="C926" s="91" t="s">
        <v>2149</v>
      </c>
      <c r="D926" s="93">
        <v>104</v>
      </c>
      <c r="E926" s="93">
        <v>123</v>
      </c>
      <c r="F926" s="103">
        <f>IFERROR(INDEX(Tabella951[PLZ],MATCH(Tabella848[[#This Row],[Colonna2]],Tabella951[Ortschaftsname],0)), "Name not found")</f>
        <v>4233</v>
      </c>
    </row>
    <row r="927" spans="2:6">
      <c r="B927" s="92" t="s">
        <v>157</v>
      </c>
      <c r="C927" s="91" t="s">
        <v>2077</v>
      </c>
      <c r="D927" s="93">
        <v>104</v>
      </c>
      <c r="E927" s="93">
        <v>113</v>
      </c>
      <c r="F927" s="103">
        <f>IFERROR(INDEX(Tabella951[PLZ],MATCH(Tabella848[[#This Row],[Colonna2]],Tabella951[Ortschaftsname],0)), "Name not found")</f>
        <v>3254</v>
      </c>
    </row>
    <row r="928" spans="2:6">
      <c r="B928" s="92" t="s">
        <v>157</v>
      </c>
      <c r="C928" s="91" t="s">
        <v>2119</v>
      </c>
      <c r="D928" s="93">
        <v>104</v>
      </c>
      <c r="E928" s="93">
        <v>124</v>
      </c>
      <c r="F928" s="103">
        <v>4116</v>
      </c>
    </row>
    <row r="929" spans="2:6">
      <c r="B929" s="92" t="s">
        <v>157</v>
      </c>
      <c r="C929" s="91" t="s">
        <v>2056</v>
      </c>
      <c r="D929" s="93">
        <v>104</v>
      </c>
      <c r="E929" s="93">
        <v>123</v>
      </c>
      <c r="F929" s="103">
        <v>4717</v>
      </c>
    </row>
    <row r="930" spans="2:6">
      <c r="B930" s="92" t="s">
        <v>157</v>
      </c>
      <c r="C930" s="91" t="s">
        <v>2063</v>
      </c>
      <c r="D930" s="93">
        <v>104</v>
      </c>
      <c r="E930" s="93">
        <v>118</v>
      </c>
      <c r="F930" s="103">
        <f>IFERROR(INDEX(Tabella951[PLZ],MATCH(Tabella848[[#This Row],[Colonna2]],Tabella951[Ortschaftsname],0)), "Name not found")</f>
        <v>4623</v>
      </c>
    </row>
    <row r="931" spans="2:6">
      <c r="B931" s="92" t="s">
        <v>157</v>
      </c>
      <c r="C931" s="91" t="s">
        <v>2095</v>
      </c>
      <c r="D931" s="93">
        <v>104</v>
      </c>
      <c r="E931" s="93">
        <v>107</v>
      </c>
      <c r="F931" s="103">
        <f>IFERROR(INDEX(Tabella951[PLZ],MATCH(Tabella848[[#This Row],[Colonna2]],Tabella951[Ortschaftsname],0)), "Name not found")</f>
        <v>4626</v>
      </c>
    </row>
    <row r="932" spans="2:6">
      <c r="B932" s="92" t="s">
        <v>157</v>
      </c>
      <c r="C932" s="91" t="s">
        <v>2042</v>
      </c>
      <c r="D932" s="93">
        <v>104</v>
      </c>
      <c r="E932" s="93">
        <v>105</v>
      </c>
      <c r="F932" s="103">
        <f>IFERROR(INDEX(Tabella951[PLZ],MATCH(Tabella848[[#This Row],[Colonna2]],Tabella951[Ortschaftsname],0)), "Name not found")</f>
        <v>5013</v>
      </c>
    </row>
    <row r="933" spans="2:6">
      <c r="B933" s="92" t="s">
        <v>157</v>
      </c>
      <c r="C933" s="91" t="s">
        <v>2079</v>
      </c>
      <c r="D933" s="93">
        <v>104</v>
      </c>
      <c r="E933" s="93">
        <v>121</v>
      </c>
      <c r="F933" s="103">
        <v>4412</v>
      </c>
    </row>
    <row r="934" spans="2:6">
      <c r="B934" s="92" t="s">
        <v>157</v>
      </c>
      <c r="C934" s="91" t="s">
        <v>2065</v>
      </c>
      <c r="D934" s="93">
        <v>104</v>
      </c>
      <c r="E934" s="93">
        <v>124</v>
      </c>
      <c r="F934" s="103">
        <f>IFERROR(INDEX(Tabella951[PLZ],MATCH(Tabella848[[#This Row],[Colonna2]],Tabella951[Ortschaftsname],0)), "Name not found")</f>
        <v>4208</v>
      </c>
    </row>
    <row r="935" spans="2:6">
      <c r="B935" s="92" t="s">
        <v>157</v>
      </c>
      <c r="C935" s="91" t="s">
        <v>2059</v>
      </c>
      <c r="D935" s="93">
        <v>104</v>
      </c>
      <c r="E935" s="93">
        <v>107</v>
      </c>
      <c r="F935" s="103">
        <f>IFERROR(INDEX(Tabella951[PLZ],MATCH(Tabella848[[#This Row],[Colonna2]],Tabella951[Ortschaftsname],0)), "Name not found")</f>
        <v>4625</v>
      </c>
    </row>
    <row r="936" spans="2:6">
      <c r="B936" s="92" t="s">
        <v>157</v>
      </c>
      <c r="C936" s="91" t="s">
        <v>2070</v>
      </c>
      <c r="D936" s="93">
        <v>104</v>
      </c>
      <c r="E936" s="93">
        <v>120</v>
      </c>
      <c r="F936" s="103">
        <v>4515</v>
      </c>
    </row>
    <row r="937" spans="2:6">
      <c r="B937" s="92" t="s">
        <v>157</v>
      </c>
      <c r="C937" s="91" t="s">
        <v>2099</v>
      </c>
      <c r="D937" s="93">
        <v>104</v>
      </c>
      <c r="E937" s="93">
        <v>110</v>
      </c>
      <c r="F937" s="103">
        <f>IFERROR(INDEX(Tabella951[PLZ],MATCH(Tabella848[[#This Row],[Colonna2]],Tabella951[Ortschaftsname],0)), "Name not found")</f>
        <v>4564</v>
      </c>
    </row>
    <row r="938" spans="2:6">
      <c r="B938" s="92" t="s">
        <v>157</v>
      </c>
      <c r="C938" s="91" t="s">
        <v>2061</v>
      </c>
      <c r="D938" s="93">
        <v>104</v>
      </c>
      <c r="E938" s="93">
        <v>122</v>
      </c>
      <c r="F938" s="103">
        <f>IFERROR(INDEX(Tabella951[PLZ],MATCH(Tabella848[[#This Row],[Colonna2]],Tabella951[Ortschaftsname],0)), "Name not found")</f>
        <v>4653</v>
      </c>
    </row>
    <row r="939" spans="2:6">
      <c r="B939" s="92" t="s">
        <v>157</v>
      </c>
      <c r="C939" s="91" t="s">
        <v>2132</v>
      </c>
      <c r="D939" s="93">
        <v>104</v>
      </c>
      <c r="E939" s="93">
        <v>122</v>
      </c>
      <c r="F939" s="103">
        <f>IFERROR(INDEX(Tabella951[PLZ],MATCH(Tabella848[[#This Row],[Colonna2]],Tabella951[Ortschaftsname],0)), "Name not found")</f>
        <v>4566</v>
      </c>
    </row>
    <row r="940" spans="2:6">
      <c r="B940" s="92" t="s">
        <v>157</v>
      </c>
      <c r="C940" s="91" t="s">
        <v>2032</v>
      </c>
      <c r="D940" s="93">
        <v>104</v>
      </c>
      <c r="E940" s="93">
        <v>111</v>
      </c>
      <c r="F940" s="103">
        <f>IFERROR(INDEX(Tabella951[PLZ],MATCH(Tabella848[[#This Row],[Colonna2]],Tabella951[Ortschaftsname],0)), "Name not found")</f>
        <v>4702</v>
      </c>
    </row>
    <row r="941" spans="2:6">
      <c r="B941" s="92" t="s">
        <v>157</v>
      </c>
      <c r="C941" s="91" t="s">
        <v>2024</v>
      </c>
      <c r="D941" s="93">
        <v>104</v>
      </c>
      <c r="E941" s="93">
        <v>108</v>
      </c>
      <c r="F941" s="103">
        <f>IFERROR(INDEX(Tabella951[PLZ],MATCH(Tabella848[[#This Row],[Colonna2]],Tabella951[Ortschaftsname],0)), "Name not found")</f>
        <v>4600</v>
      </c>
    </row>
    <row r="942" spans="2:6">
      <c r="B942" s="92" t="s">
        <v>157</v>
      </c>
      <c r="C942" s="91" t="s">
        <v>2064</v>
      </c>
      <c r="D942" s="93">
        <v>104</v>
      </c>
      <c r="E942" s="93">
        <v>120</v>
      </c>
      <c r="F942" s="103">
        <f>IFERROR(INDEX(Tabella951[PLZ],MATCH(Tabella848[[#This Row],[Colonna2]],Tabella951[Ortschaftsname],0)), "Name not found")</f>
        <v>4565</v>
      </c>
    </row>
    <row r="943" spans="2:6">
      <c r="B943" s="92" t="s">
        <v>157</v>
      </c>
      <c r="C943" s="91" t="s">
        <v>2115</v>
      </c>
      <c r="D943" s="93">
        <v>104</v>
      </c>
      <c r="E943" s="93">
        <v>95</v>
      </c>
      <c r="F943" s="103">
        <v>4613</v>
      </c>
    </row>
    <row r="944" spans="2:6">
      <c r="B944" s="92" t="s">
        <v>157</v>
      </c>
      <c r="C944" s="91" t="s">
        <v>2057</v>
      </c>
      <c r="D944" s="93">
        <v>104</v>
      </c>
      <c r="E944" s="93">
        <v>115</v>
      </c>
      <c r="F944" s="103">
        <f>IFERROR(INDEX(Tabella951[PLZ],MATCH(Tabella848[[#This Row],[Colonna2]],Tabella951[Ortschaftsname],0)), "Name not found")</f>
        <v>4533</v>
      </c>
    </row>
    <row r="945" spans="2:6">
      <c r="B945" s="92" t="s">
        <v>157</v>
      </c>
      <c r="C945" s="91" t="s">
        <v>2083</v>
      </c>
      <c r="D945" s="93">
        <v>104</v>
      </c>
      <c r="E945" s="93">
        <v>120</v>
      </c>
      <c r="F945" s="103">
        <f>IFERROR(INDEX(Tabella951[PLZ],MATCH(Tabella848[[#This Row],[Colonna2]],Tabella951[Ortschaftsname],0)), "Name not found")</f>
        <v>4118</v>
      </c>
    </row>
    <row r="946" spans="2:6">
      <c r="B946" s="92" t="s">
        <v>157</v>
      </c>
      <c r="C946" s="91" t="s">
        <v>2076</v>
      </c>
      <c r="D946" s="93">
        <v>104</v>
      </c>
      <c r="E946" s="93">
        <v>118</v>
      </c>
      <c r="F946" s="103">
        <f>IFERROR(INDEX(Tabella951[PLZ],MATCH(Tabella848[[#This Row],[Colonna2]],Tabella951[Ortschaftsname],0)), "Name not found")</f>
        <v>4522</v>
      </c>
    </row>
    <row r="947" spans="2:6">
      <c r="B947" s="92" t="s">
        <v>157</v>
      </c>
      <c r="C947" s="91" t="s">
        <v>2101</v>
      </c>
      <c r="D947" s="93">
        <v>104</v>
      </c>
      <c r="E947" s="93">
        <v>124</v>
      </c>
      <c r="F947" s="103">
        <f>IFERROR(INDEX(Tabella951[PLZ],MATCH(Tabella848[[#This Row],[Colonna2]],Tabella951[Ortschaftsname],0)), "Name not found")</f>
        <v>3253</v>
      </c>
    </row>
    <row r="948" spans="2:6">
      <c r="B948" s="92" t="s">
        <v>157</v>
      </c>
      <c r="C948" s="91" t="s">
        <v>2040</v>
      </c>
      <c r="D948" s="93">
        <v>104</v>
      </c>
      <c r="E948" s="93">
        <v>115</v>
      </c>
      <c r="F948" s="103">
        <f>IFERROR(INDEX(Tabella951[PLZ],MATCH(Tabella848[[#This Row],[Colonna2]],Tabella951[Ortschaftsname],0)), "Name not found")</f>
        <v>5012</v>
      </c>
    </row>
    <row r="949" spans="2:6">
      <c r="B949" s="92" t="s">
        <v>157</v>
      </c>
      <c r="C949" s="91" t="s">
        <v>2111</v>
      </c>
      <c r="D949" s="93">
        <v>104</v>
      </c>
      <c r="E949" s="93">
        <v>125</v>
      </c>
      <c r="F949" s="103">
        <v>4207</v>
      </c>
    </row>
    <row r="950" spans="2:6">
      <c r="B950" s="92" t="s">
        <v>157</v>
      </c>
      <c r="C950" s="91" t="s">
        <v>2048</v>
      </c>
      <c r="D950" s="93">
        <v>104</v>
      </c>
      <c r="E950" s="93">
        <v>108</v>
      </c>
      <c r="F950" s="103">
        <f>IFERROR(INDEX(Tabella951[PLZ],MATCH(Tabella848[[#This Row],[Colonna2]],Tabella951[Ortschaftsname],0)), "Name not found")</f>
        <v>2545</v>
      </c>
    </row>
    <row r="951" spans="2:6">
      <c r="B951" s="92" t="s">
        <v>157</v>
      </c>
      <c r="C951" s="91" t="s">
        <v>169</v>
      </c>
      <c r="D951" s="93">
        <v>104</v>
      </c>
      <c r="E951" s="93">
        <v>107</v>
      </c>
      <c r="F951" s="103">
        <f>IFERROR(INDEX(Tabella951[PLZ],MATCH(Tabella848[[#This Row],[Colonna2]],Tabella951[Ortschaftsname],0)), "Name not found")</f>
        <v>4500</v>
      </c>
    </row>
    <row r="952" spans="2:6">
      <c r="B952" s="92" t="s">
        <v>157</v>
      </c>
      <c r="C952" s="91" t="s">
        <v>2071</v>
      </c>
      <c r="D952" s="93">
        <v>104</v>
      </c>
      <c r="E952" s="93">
        <v>110</v>
      </c>
      <c r="F952" s="103">
        <f>IFERROR(INDEX(Tabella951[PLZ],MATCH(Tabella848[[#This Row],[Colonna2]],Tabella951[Ortschaftsname],0)), "Name not found")</f>
        <v>4656</v>
      </c>
    </row>
    <row r="953" spans="2:6">
      <c r="B953" s="92" t="s">
        <v>157</v>
      </c>
      <c r="C953" s="91" t="s">
        <v>2105</v>
      </c>
      <c r="D953" s="93">
        <v>104</v>
      </c>
      <c r="E953" s="93">
        <v>125</v>
      </c>
      <c r="F953" s="103">
        <f>IFERROR(INDEX(Tabella951[PLZ],MATCH(Tabella848[[#This Row],[Colonna2]],Tabella951[Ortschaftsname],0)), "Name not found")</f>
        <v>4655</v>
      </c>
    </row>
    <row r="954" spans="2:6">
      <c r="B954" s="92" t="s">
        <v>157</v>
      </c>
      <c r="C954" s="91" t="s">
        <v>2050</v>
      </c>
      <c r="D954" s="93">
        <v>104</v>
      </c>
      <c r="E954" s="93">
        <v>125</v>
      </c>
      <c r="F954" s="103">
        <f>IFERROR(INDEX(Tabella951[PLZ],MATCH(Tabella848[[#This Row],[Colonna2]],Tabella951[Ortschaftsname],0)), "Name not found")</f>
        <v>4553</v>
      </c>
    </row>
    <row r="955" spans="2:6">
      <c r="B955" s="92" t="s">
        <v>157</v>
      </c>
      <c r="C955" s="91" t="s">
        <v>2030</v>
      </c>
      <c r="D955" s="93">
        <v>104</v>
      </c>
      <c r="E955" s="93">
        <v>125</v>
      </c>
      <c r="F955" s="103">
        <f>IFERROR(INDEX(Tabella951[PLZ],MATCH(Tabella848[[#This Row],[Colonna2]],Tabella951[Ortschaftsname],0)), "Name not found")</f>
        <v>4632</v>
      </c>
    </row>
    <row r="956" spans="2:6">
      <c r="B956" s="92" t="s">
        <v>157</v>
      </c>
      <c r="C956" s="91" t="s">
        <v>2174</v>
      </c>
      <c r="D956" s="93">
        <v>104</v>
      </c>
      <c r="E956" s="93">
        <v>105</v>
      </c>
      <c r="F956" s="103">
        <f>IFERROR(INDEX(Tabella951[PLZ],MATCH(Tabella848[[#This Row],[Colonna2]],Tabella951[Ortschaftsname],0)), "Name not found")</f>
        <v>4588</v>
      </c>
    </row>
    <row r="957" spans="2:6">
      <c r="B957" s="92" t="s">
        <v>157</v>
      </c>
      <c r="C957" s="91" t="s">
        <v>2143</v>
      </c>
      <c r="D957" s="93">
        <v>104</v>
      </c>
      <c r="E957" s="93">
        <v>125</v>
      </c>
      <c r="F957" s="103">
        <v>5746</v>
      </c>
    </row>
    <row r="958" spans="2:6">
      <c r="B958" s="92" t="s">
        <v>157</v>
      </c>
      <c r="C958" s="91" t="s">
        <v>2036</v>
      </c>
      <c r="D958" s="93">
        <v>104</v>
      </c>
      <c r="E958" s="93">
        <v>119</v>
      </c>
      <c r="F958" s="103">
        <v>4612</v>
      </c>
    </row>
    <row r="959" spans="2:6">
      <c r="B959" s="92" t="s">
        <v>157</v>
      </c>
      <c r="C959" s="91" t="s">
        <v>2629</v>
      </c>
      <c r="D959" s="93">
        <v>104</v>
      </c>
      <c r="E959" s="93">
        <v>124</v>
      </c>
      <c r="F959" s="103">
        <v>4716</v>
      </c>
    </row>
    <row r="960" spans="2:6">
      <c r="B960" s="92" t="s">
        <v>157</v>
      </c>
      <c r="C960" s="91" t="s">
        <v>2066</v>
      </c>
      <c r="D960" s="93">
        <v>104</v>
      </c>
      <c r="E960" s="93">
        <v>121</v>
      </c>
      <c r="F960" s="103">
        <f>IFERROR(INDEX(Tabella951[PLZ],MATCH(Tabella848[[#This Row],[Colonna2]],Tabella951[Ortschaftsname],0)), "Name not found")</f>
        <v>4652</v>
      </c>
    </row>
    <row r="961" spans="2:6">
      <c r="B961" s="92" t="s">
        <v>157</v>
      </c>
      <c r="C961" s="91" t="s">
        <v>2162</v>
      </c>
      <c r="D961" s="93">
        <v>104</v>
      </c>
      <c r="E961" s="93">
        <v>125</v>
      </c>
      <c r="F961" s="103">
        <v>4634</v>
      </c>
    </row>
    <row r="962" spans="2:6">
      <c r="B962" s="92" t="s">
        <v>157</v>
      </c>
      <c r="C962" s="91" t="s">
        <v>2075</v>
      </c>
      <c r="D962" s="93">
        <v>104</v>
      </c>
      <c r="E962" s="93">
        <v>110</v>
      </c>
      <c r="F962" s="103">
        <f>IFERROR(INDEX(Tabella951[PLZ],MATCH(Tabella848[[#This Row],[Colonna2]],Tabella951[Ortschaftsname],0)), "Name not found")</f>
        <v>4108</v>
      </c>
    </row>
    <row r="963" spans="2:6">
      <c r="B963" s="92" t="s">
        <v>157</v>
      </c>
      <c r="C963" s="91" t="s">
        <v>2062</v>
      </c>
      <c r="D963" s="93">
        <v>104</v>
      </c>
      <c r="E963" s="93">
        <v>117</v>
      </c>
      <c r="F963" s="103">
        <f>IFERROR(INDEX(Tabella951[PLZ],MATCH(Tabella848[[#This Row],[Colonna2]],Tabella951[Ortschaftsname],0)), "Name not found")</f>
        <v>4628</v>
      </c>
    </row>
    <row r="964" spans="2:6">
      <c r="B964" s="92" t="s">
        <v>157</v>
      </c>
      <c r="C964" s="91" t="s">
        <v>2027</v>
      </c>
      <c r="D964" s="93">
        <v>104</v>
      </c>
      <c r="E964" s="93">
        <v>118</v>
      </c>
      <c r="F964" s="103">
        <f>IFERROR(INDEX(Tabella951[PLZ],MATCH(Tabella848[[#This Row],[Colonna2]],Tabella951[Ortschaftsname],0)), "Name not found")</f>
        <v>4528</v>
      </c>
    </row>
    <row r="965" spans="2:6">
      <c r="B965" s="92" t="s">
        <v>157</v>
      </c>
      <c r="C965" s="91" t="s">
        <v>2147</v>
      </c>
      <c r="D965" s="93">
        <v>104</v>
      </c>
      <c r="E965" s="93">
        <v>139</v>
      </c>
      <c r="F965" s="103">
        <f>IFERROR(INDEX(Tabella951[PLZ],MATCH(Tabella848[[#This Row],[Colonna2]],Tabella951[Ortschaftsname],0)), "Name not found")</f>
        <v>4234</v>
      </c>
    </row>
    <row r="966" spans="2:6">
      <c r="B966" s="92" t="s">
        <v>144</v>
      </c>
      <c r="C966" s="91" t="s">
        <v>1121</v>
      </c>
      <c r="D966" s="93">
        <v>50</v>
      </c>
      <c r="E966" s="93">
        <v>50</v>
      </c>
      <c r="F966" s="103">
        <f>IFERROR(INDEX(Tabella951[PLZ],MATCH(Tabella848[[#This Row],[Colonna2]],Tabella951[Ortschaftsname],0)), "Name not found")</f>
        <v>4001</v>
      </c>
    </row>
    <row r="967" spans="2:6">
      <c r="B967" s="92" t="s">
        <v>144</v>
      </c>
      <c r="C967" s="91" t="s">
        <v>1123</v>
      </c>
      <c r="D967" s="93">
        <v>50</v>
      </c>
      <c r="E967" s="93">
        <v>37.5</v>
      </c>
      <c r="F967" s="103">
        <f>IFERROR(INDEX(Tabella951[PLZ],MATCH(Tabella848[[#This Row],[Colonna2]],Tabella951[Ortschaftsname],0)), "Name not found")</f>
        <v>4126</v>
      </c>
    </row>
    <row r="968" spans="2:6">
      <c r="B968" s="92" t="s">
        <v>144</v>
      </c>
      <c r="C968" s="91" t="s">
        <v>1122</v>
      </c>
      <c r="D968" s="93">
        <v>50</v>
      </c>
      <c r="E968" s="93">
        <v>40</v>
      </c>
      <c r="F968" s="103">
        <f>IFERROR(INDEX(Tabella951[PLZ],MATCH(Tabella848[[#This Row],[Colonna2]],Tabella951[Ortschaftsname],0)), "Name not found")</f>
        <v>4125</v>
      </c>
    </row>
    <row r="969" spans="2:6">
      <c r="B969" s="92" t="s">
        <v>160</v>
      </c>
      <c r="C969" s="91" t="s">
        <v>1044</v>
      </c>
      <c r="D969" s="93">
        <v>100</v>
      </c>
      <c r="E969" s="93">
        <v>56</v>
      </c>
      <c r="F969" s="103">
        <v>4147</v>
      </c>
    </row>
    <row r="970" spans="2:6">
      <c r="B970" s="92" t="s">
        <v>160</v>
      </c>
      <c r="C970" s="91" t="s">
        <v>1034</v>
      </c>
      <c r="D970" s="93">
        <v>100</v>
      </c>
      <c r="E970" s="93">
        <v>58</v>
      </c>
      <c r="F970" s="103">
        <f>IFERROR(INDEX(Tabella951[PLZ],MATCH(Tabella848[[#This Row],[Colonna2]],Tabella951[Ortschaftsname],0)), "Name not found")</f>
        <v>4123</v>
      </c>
    </row>
    <row r="971" spans="2:6">
      <c r="B971" s="92" t="s">
        <v>160</v>
      </c>
      <c r="C971" s="91" t="s">
        <v>1101</v>
      </c>
      <c r="D971" s="93">
        <v>100</v>
      </c>
      <c r="E971" s="93">
        <v>60</v>
      </c>
      <c r="F971" s="103">
        <f>IFERROR(INDEX(Tabella951[PLZ],MATCH(Tabella848[[#This Row],[Colonna2]],Tabella951[Ortschaftsname],0)), "Name not found")</f>
        <v>4469</v>
      </c>
    </row>
    <row r="972" spans="2:6">
      <c r="B972" s="92" t="s">
        <v>160</v>
      </c>
      <c r="C972" s="91" t="s">
        <v>1102</v>
      </c>
      <c r="D972" s="93">
        <v>100</v>
      </c>
      <c r="E972" s="93">
        <v>60</v>
      </c>
      <c r="F972" s="103">
        <f>IFERROR(INDEX(Tabella951[PLZ],MATCH(Tabella848[[#This Row],[Colonna2]],Tabella951[Ortschaftsname],0)), "Name not found")</f>
        <v>4424</v>
      </c>
    </row>
    <row r="973" spans="2:6">
      <c r="B973" s="92" t="s">
        <v>160</v>
      </c>
      <c r="C973" s="91" t="s">
        <v>1069</v>
      </c>
      <c r="D973" s="93">
        <v>100</v>
      </c>
      <c r="E973" s="93">
        <v>59</v>
      </c>
      <c r="F973" s="103">
        <f>IFERROR(INDEX(Tabella951[PLZ],MATCH(Tabella848[[#This Row],[Colonna2]],Tabella951[Ortschaftsname],0)), "Name not found")</f>
        <v>4422</v>
      </c>
    </row>
    <row r="974" spans="2:6">
      <c r="B974" s="92" t="s">
        <v>160</v>
      </c>
      <c r="C974" s="91" t="s">
        <v>1046</v>
      </c>
      <c r="D974" s="93">
        <v>100</v>
      </c>
      <c r="E974" s="93">
        <v>47</v>
      </c>
      <c r="F974" s="103">
        <f>IFERROR(INDEX(Tabella951[PLZ],MATCH(Tabella848[[#This Row],[Colonna2]],Tabella951[Ortschaftsname],0)), "Name not found")</f>
        <v>4144</v>
      </c>
    </row>
    <row r="975" spans="2:6">
      <c r="B975" s="92" t="s">
        <v>160</v>
      </c>
      <c r="C975" s="91" t="s">
        <v>1083</v>
      </c>
      <c r="D975" s="93">
        <v>100</v>
      </c>
      <c r="E975" s="93">
        <v>53</v>
      </c>
      <c r="F975" s="103">
        <v>4302</v>
      </c>
    </row>
    <row r="976" spans="2:6">
      <c r="B976" s="92" t="s">
        <v>160</v>
      </c>
      <c r="C976" s="91" t="s">
        <v>1098</v>
      </c>
      <c r="D976" s="93">
        <v>100</v>
      </c>
      <c r="E976" s="93">
        <v>64</v>
      </c>
      <c r="F976" s="103">
        <f>IFERROR(INDEX(Tabella951[PLZ],MATCH(Tabella848[[#This Row],[Colonna2]],Tabella951[Ortschaftsname],0)), "Name not found")</f>
        <v>4431</v>
      </c>
    </row>
    <row r="977" spans="2:6">
      <c r="B977" s="92" t="s">
        <v>160</v>
      </c>
      <c r="C977" s="91" t="s">
        <v>1056</v>
      </c>
      <c r="D977" s="93">
        <v>100</v>
      </c>
      <c r="E977" s="93">
        <v>46</v>
      </c>
      <c r="F977" s="103">
        <v>4105</v>
      </c>
    </row>
    <row r="978" spans="2:6">
      <c r="B978" s="92" t="s">
        <v>160</v>
      </c>
      <c r="C978" s="91" t="s">
        <v>1039</v>
      </c>
      <c r="D978" s="93">
        <v>100</v>
      </c>
      <c r="E978" s="93">
        <v>49</v>
      </c>
      <c r="F978" s="103">
        <f>IFERROR(INDEX(Tabella951[PLZ],MATCH(Tabella848[[#This Row],[Colonna2]],Tabella951[Ortschaftsname],0)), "Name not found")</f>
        <v>4102</v>
      </c>
    </row>
    <row r="979" spans="2:6">
      <c r="B979" s="92" t="s">
        <v>160</v>
      </c>
      <c r="C979" s="91" t="s">
        <v>1043</v>
      </c>
      <c r="D979" s="93">
        <v>100</v>
      </c>
      <c r="E979" s="93">
        <v>62</v>
      </c>
      <c r="F979" s="103">
        <f>IFERROR(INDEX(Tabella951[PLZ],MATCH(Tabella848[[#This Row],[Colonna2]],Tabella951[Ortschaftsname],0)), "Name not found")</f>
        <v>4127</v>
      </c>
    </row>
    <row r="980" spans="2:6">
      <c r="B980" s="92" t="s">
        <v>160</v>
      </c>
      <c r="C980" s="91" t="s">
        <v>1097</v>
      </c>
      <c r="D980" s="93">
        <v>100</v>
      </c>
      <c r="E980" s="93">
        <v>59.5</v>
      </c>
      <c r="F980" s="103">
        <f>IFERROR(INDEX(Tabella951[PLZ],MATCH(Tabella848[[#This Row],[Colonna2]],Tabella951[Ortschaftsname],0)), "Name not found")</f>
        <v>4223</v>
      </c>
    </row>
    <row r="981" spans="2:6">
      <c r="B981" s="92" t="s">
        <v>160</v>
      </c>
      <c r="C981" s="91" t="s">
        <v>1048</v>
      </c>
      <c r="D981" s="93">
        <v>100</v>
      </c>
      <c r="E981" s="93">
        <v>45</v>
      </c>
      <c r="F981" s="103">
        <f>IFERROR(INDEX(Tabella951[PLZ],MATCH(Tabella848[[#This Row],[Colonna2]],Tabella951[Ortschaftsname],0)), "Name not found")</f>
        <v>4103</v>
      </c>
    </row>
    <row r="982" spans="2:6">
      <c r="B982" s="92" t="s">
        <v>160</v>
      </c>
      <c r="C982" s="91" t="s">
        <v>1090</v>
      </c>
      <c r="D982" s="93">
        <v>100</v>
      </c>
      <c r="E982" s="93">
        <v>58</v>
      </c>
      <c r="F982" s="103">
        <f>IFERROR(INDEX(Tabella951[PLZ],MATCH(Tabella848[[#This Row],[Colonna2]],Tabella951[Ortschaftsname],0)), "Name not found")</f>
        <v>4207</v>
      </c>
    </row>
    <row r="983" spans="2:6">
      <c r="B983" s="92" t="s">
        <v>160</v>
      </c>
      <c r="C983" s="91" t="s">
        <v>1068</v>
      </c>
      <c r="D983" s="93">
        <v>100</v>
      </c>
      <c r="E983" s="93">
        <v>57</v>
      </c>
      <c r="F983" s="103">
        <f>IFERROR(INDEX(Tabella951[PLZ],MATCH(Tabella848[[#This Row],[Colonna2]],Tabella951[Ortschaftsname],0)), "Name not found")</f>
        <v>4225</v>
      </c>
    </row>
    <row r="984" spans="2:6">
      <c r="B984" s="92" t="s">
        <v>160</v>
      </c>
      <c r="C984" s="91" t="s">
        <v>1055</v>
      </c>
      <c r="D984" s="93">
        <v>100</v>
      </c>
      <c r="E984" s="93">
        <v>60</v>
      </c>
      <c r="F984" s="103">
        <f>IFERROR(INDEX(Tabella951[PLZ],MATCH(Tabella848[[#This Row],[Colonna2]],Tabella951[Ortschaftsname],0)), "Name not found")</f>
        <v>4416</v>
      </c>
    </row>
    <row r="985" spans="2:6">
      <c r="B985" s="92" t="s">
        <v>160</v>
      </c>
      <c r="C985" s="91" t="s">
        <v>1096</v>
      </c>
      <c r="D985" s="93">
        <v>100</v>
      </c>
      <c r="E985" s="93">
        <v>64</v>
      </c>
      <c r="F985" s="103">
        <f>IFERROR(INDEX(Tabella951[PLZ],MATCH(Tabella848[[#This Row],[Colonna2]],Tabella951[Ortschaftsname],0)), "Name not found")</f>
        <v>4446</v>
      </c>
    </row>
    <row r="986" spans="2:6">
      <c r="B986" s="92" t="s">
        <v>160</v>
      </c>
      <c r="C986" s="91" t="s">
        <v>1116</v>
      </c>
      <c r="D986" s="93">
        <v>100</v>
      </c>
      <c r="E986" s="93">
        <v>68</v>
      </c>
      <c r="F986" s="103">
        <f>IFERROR(INDEX(Tabella951[PLZ],MATCH(Tabella848[[#This Row],[Colonna2]],Tabella951[Ortschaftsname],0)), "Name not found")</f>
        <v>4117</v>
      </c>
    </row>
    <row r="987" spans="2:6">
      <c r="B987" s="92" t="s">
        <v>160</v>
      </c>
      <c r="C987" s="91" t="s">
        <v>1081</v>
      </c>
      <c r="D987" s="93">
        <v>100</v>
      </c>
      <c r="E987" s="93">
        <v>58</v>
      </c>
      <c r="F987" s="103">
        <f>IFERROR(INDEX(Tabella951[PLZ],MATCH(Tabella848[[#This Row],[Colonna2]],Tabella951[Ortschaftsname],0)), "Name not found")</f>
        <v>4463</v>
      </c>
    </row>
    <row r="988" spans="2:6">
      <c r="B988" s="92" t="s">
        <v>160</v>
      </c>
      <c r="C988" s="91" t="s">
        <v>1088</v>
      </c>
      <c r="D988" s="93">
        <v>100</v>
      </c>
      <c r="E988" s="93">
        <v>59</v>
      </c>
      <c r="F988" s="103">
        <f>IFERROR(INDEX(Tabella951[PLZ],MATCH(Tabella848[[#This Row],[Colonna2]],Tabella951[Ortschaftsname],0)), "Name not found")</f>
        <v>4461</v>
      </c>
    </row>
    <row r="989" spans="2:6">
      <c r="B989" s="92" t="s">
        <v>160</v>
      </c>
      <c r="C989" s="91" t="s">
        <v>1067</v>
      </c>
      <c r="D989" s="93">
        <v>100</v>
      </c>
      <c r="E989" s="93">
        <v>56</v>
      </c>
      <c r="F989" s="103">
        <f>IFERROR(INDEX(Tabella951[PLZ],MATCH(Tabella848[[#This Row],[Colonna2]],Tabella951[Ortschaftsname],0)), "Name not found")</f>
        <v>4457</v>
      </c>
    </row>
    <row r="990" spans="2:6">
      <c r="B990" s="92" t="s">
        <v>160</v>
      </c>
      <c r="C990" s="91" t="s">
        <v>1093</v>
      </c>
      <c r="D990" s="93">
        <v>100</v>
      </c>
      <c r="E990" s="93">
        <v>65</v>
      </c>
      <c r="F990" s="103">
        <f>IFERROR(INDEX(Tabella951[PLZ],MATCH(Tabella848[[#This Row],[Colonna2]],Tabella951[Ortschaftsname],0)), "Name not found")</f>
        <v>4442</v>
      </c>
    </row>
    <row r="991" spans="2:6">
      <c r="B991" s="92" t="s">
        <v>160</v>
      </c>
      <c r="C991" s="91" t="s">
        <v>1094</v>
      </c>
      <c r="D991" s="93">
        <v>100</v>
      </c>
      <c r="E991" s="93">
        <v>64</v>
      </c>
      <c r="F991" s="103">
        <f>IFERROR(INDEX(Tabella951[PLZ],MATCH(Tabella848[[#This Row],[Colonna2]],Tabella951[Ortschaftsname],0)), "Name not found")</f>
        <v>4243</v>
      </c>
    </row>
    <row r="992" spans="2:6">
      <c r="B992" s="92" t="s">
        <v>160</v>
      </c>
      <c r="C992" s="91" t="s">
        <v>1072</v>
      </c>
      <c r="D992" s="93">
        <v>100</v>
      </c>
      <c r="E992" s="93">
        <v>54</v>
      </c>
      <c r="F992" s="103">
        <f>IFERROR(INDEX(Tabella951[PLZ],MATCH(Tabella848[[#This Row],[Colonna2]],Tabella951[Ortschaftsname],0)), "Name not found")</f>
        <v>4202</v>
      </c>
    </row>
    <row r="993" spans="2:6">
      <c r="B993" s="92" t="s">
        <v>160</v>
      </c>
      <c r="C993" s="91" t="s">
        <v>1103</v>
      </c>
      <c r="D993" s="93">
        <v>100</v>
      </c>
      <c r="E993" s="93">
        <v>65</v>
      </c>
      <c r="F993" s="103">
        <f>IFERROR(INDEX(Tabella951[PLZ],MATCH(Tabella848[[#This Row],[Colonna2]],Tabella951[Ortschaftsname],0)), "Name not found")</f>
        <v>4458</v>
      </c>
    </row>
    <row r="994" spans="2:6">
      <c r="B994" s="92" t="s">
        <v>160</v>
      </c>
      <c r="C994" s="91" t="s">
        <v>1052</v>
      </c>
      <c r="D994" s="93">
        <v>100</v>
      </c>
      <c r="E994" s="93">
        <v>61</v>
      </c>
      <c r="F994" s="103">
        <f>IFERROR(INDEX(Tabella951[PLZ],MATCH(Tabella848[[#This Row],[Colonna2]],Tabella951[Ortschaftsname],0)), "Name not found")</f>
        <v>4107</v>
      </c>
    </row>
    <row r="995" spans="2:6">
      <c r="B995" s="92" t="s">
        <v>160</v>
      </c>
      <c r="C995" s="91" t="s">
        <v>1049</v>
      </c>
      <c r="D995" s="93">
        <v>100</v>
      </c>
      <c r="E995" s="93">
        <v>57</v>
      </c>
      <c r="F995" s="103">
        <f>IFERROR(INDEX(Tabella951[PLZ],MATCH(Tabella848[[#This Row],[Colonna2]],Tabella951[Ortschaftsname],0)), "Name not found")</f>
        <v>4402</v>
      </c>
    </row>
    <row r="996" spans="2:6">
      <c r="B996" s="92" t="s">
        <v>160</v>
      </c>
      <c r="C996" s="91" t="s">
        <v>1054</v>
      </c>
      <c r="D996" s="93">
        <v>100</v>
      </c>
      <c r="E996" s="93">
        <v>60</v>
      </c>
      <c r="F996" s="103">
        <f>IFERROR(INDEX(Tabella951[PLZ],MATCH(Tabella848[[#This Row],[Colonna2]],Tabella951[Ortschaftsname],0)), "Name not found")</f>
        <v>4414</v>
      </c>
    </row>
    <row r="997" spans="2:6">
      <c r="B997" s="92" t="s">
        <v>160</v>
      </c>
      <c r="C997" s="91" t="s">
        <v>1050</v>
      </c>
      <c r="D997" s="93">
        <v>100</v>
      </c>
      <c r="E997" s="93">
        <v>59</v>
      </c>
      <c r="F997" s="103">
        <f>IFERROR(INDEX(Tabella951[PLZ],MATCH(Tabella848[[#This Row],[Colonna2]],Tabella951[Ortschaftsname],0)), "Name not found")</f>
        <v>4460</v>
      </c>
    </row>
    <row r="998" spans="2:6">
      <c r="B998" s="92" t="s">
        <v>160</v>
      </c>
      <c r="C998" s="91" t="s">
        <v>1082</v>
      </c>
      <c r="D998" s="93">
        <v>100</v>
      </c>
      <c r="E998" s="93">
        <v>55</v>
      </c>
      <c r="F998" s="103">
        <f>IFERROR(INDEX(Tabella951[PLZ],MATCH(Tabella848[[#This Row],[Colonna2]],Tabella951[Ortschaftsname],0)), "Name not found")</f>
        <v>4304</v>
      </c>
    </row>
    <row r="999" spans="2:6">
      <c r="B999" s="92" t="s">
        <v>160</v>
      </c>
      <c r="C999" s="91" t="s">
        <v>1065</v>
      </c>
      <c r="D999" s="93">
        <v>100</v>
      </c>
      <c r="E999" s="93">
        <v>62</v>
      </c>
      <c r="F999" s="103">
        <f>IFERROR(INDEX(Tabella951[PLZ],MATCH(Tabella848[[#This Row],[Colonna2]],Tabella951[Ortschaftsname],0)), "Name not found")</f>
        <v>4203</v>
      </c>
    </row>
    <row r="1000" spans="2:6">
      <c r="B1000" s="92" t="s">
        <v>160</v>
      </c>
      <c r="C1000" s="91" t="s">
        <v>1118</v>
      </c>
      <c r="D1000" s="93">
        <v>100</v>
      </c>
      <c r="E1000" s="93">
        <v>67</v>
      </c>
      <c r="F1000" s="103">
        <f>IFERROR(INDEX(Tabella951[PLZ],MATCH(Tabella848[[#This Row],[Colonna2]],Tabella951[Ortschaftsname],0)), "Name not found")</f>
        <v>4465</v>
      </c>
    </row>
    <row r="1001" spans="2:6">
      <c r="B1001" s="92" t="s">
        <v>160</v>
      </c>
      <c r="C1001" s="91" t="s">
        <v>1113</v>
      </c>
      <c r="D1001" s="93">
        <v>100</v>
      </c>
      <c r="E1001" s="93">
        <v>59</v>
      </c>
      <c r="F1001" s="103">
        <f>IFERROR(INDEX(Tabella951[PLZ],MATCH(Tabella848[[#This Row],[Colonna2]],Tabella951[Ortschaftsname],0)), "Name not found")</f>
        <v>4423</v>
      </c>
    </row>
    <row r="1002" spans="2:6">
      <c r="B1002" s="92" t="s">
        <v>160</v>
      </c>
      <c r="C1002" s="91" t="s">
        <v>1114</v>
      </c>
      <c r="D1002" s="93">
        <v>100</v>
      </c>
      <c r="E1002" s="93">
        <v>61</v>
      </c>
      <c r="F1002" s="103">
        <f>IFERROR(INDEX(Tabella951[PLZ],MATCH(Tabella848[[#This Row],[Colonna2]],Tabella951[Ortschaftsname],0)), "Name not found")</f>
        <v>4445</v>
      </c>
    </row>
    <row r="1003" spans="2:6">
      <c r="B1003" s="92" t="s">
        <v>160</v>
      </c>
      <c r="C1003" s="91" t="s">
        <v>1058</v>
      </c>
      <c r="D1003" s="93">
        <v>100</v>
      </c>
      <c r="E1003" s="93">
        <v>63</v>
      </c>
      <c r="F1003" s="103">
        <f>IFERROR(INDEX(Tabella951[PLZ],MATCH(Tabella848[[#This Row],[Colonna2]],Tabella951[Ortschaftsname],0)), "Name not found")</f>
        <v>4434</v>
      </c>
    </row>
    <row r="1004" spans="2:6">
      <c r="B1004" s="92" t="s">
        <v>160</v>
      </c>
      <c r="C1004" s="91" t="s">
        <v>1063</v>
      </c>
      <c r="D1004" s="93">
        <v>100</v>
      </c>
      <c r="E1004" s="93">
        <v>63</v>
      </c>
      <c r="F1004" s="103">
        <f>IFERROR(INDEX(Tabella951[PLZ],MATCH(Tabella848[[#This Row],[Colonna2]],Tabella951[Ortschaftsname],0)), "Name not found")</f>
        <v>4452</v>
      </c>
    </row>
    <row r="1005" spans="2:6">
      <c r="B1005" s="92" t="s">
        <v>160</v>
      </c>
      <c r="C1005" s="91" t="s">
        <v>1120</v>
      </c>
      <c r="D1005" s="93">
        <v>100</v>
      </c>
      <c r="E1005" s="93">
        <v>64</v>
      </c>
      <c r="F1005" s="103">
        <v>4496</v>
      </c>
    </row>
    <row r="1006" spans="2:6">
      <c r="B1006" s="92" t="s">
        <v>160</v>
      </c>
      <c r="C1006" s="91" t="s">
        <v>1104</v>
      </c>
      <c r="D1006" s="93">
        <v>100</v>
      </c>
      <c r="E1006" s="93">
        <v>63</v>
      </c>
      <c r="F1006" s="103">
        <f>IFERROR(INDEX(Tabella951[PLZ],MATCH(Tabella848[[#This Row],[Colonna2]],Tabella951[Ortschaftsname],0)), "Name not found")</f>
        <v>4447</v>
      </c>
    </row>
    <row r="1007" spans="2:6">
      <c r="B1007" s="92" t="s">
        <v>160</v>
      </c>
      <c r="C1007" s="91" t="s">
        <v>1105</v>
      </c>
      <c r="D1007" s="93">
        <v>100</v>
      </c>
      <c r="E1007" s="93">
        <v>62</v>
      </c>
      <c r="F1007" s="103">
        <f>IFERROR(INDEX(Tabella951[PLZ],MATCH(Tabella848[[#This Row],[Colonna2]],Tabella951[Ortschaftsname],0)), "Name not found")</f>
        <v>4432</v>
      </c>
    </row>
    <row r="1008" spans="2:6">
      <c r="B1008" s="92" t="s">
        <v>160</v>
      </c>
      <c r="C1008" s="91" t="s">
        <v>1084</v>
      </c>
      <c r="D1008" s="93">
        <v>100</v>
      </c>
      <c r="E1008" s="93">
        <v>56</v>
      </c>
      <c r="F1008" s="103">
        <f>IFERROR(INDEX(Tabella951[PLZ],MATCH(Tabella848[[#This Row],[Colonna2]],Tabella951[Ortschaftsname],0)), "Name not found")</f>
        <v>4438</v>
      </c>
    </row>
    <row r="1009" spans="2:6">
      <c r="B1009" s="92" t="s">
        <v>160</v>
      </c>
      <c r="C1009" s="91" t="s">
        <v>1051</v>
      </c>
      <c r="D1009" s="93">
        <v>100</v>
      </c>
      <c r="E1009" s="93">
        <v>59</v>
      </c>
      <c r="F1009" s="103">
        <f>IFERROR(INDEX(Tabella951[PLZ],MATCH(Tabella848[[#This Row],[Colonna2]],Tabella951[Ortschaftsname],0)), "Name not found")</f>
        <v>4242</v>
      </c>
    </row>
    <row r="1010" spans="2:6">
      <c r="B1010" s="92" t="s">
        <v>160</v>
      </c>
      <c r="C1010" s="91" t="s">
        <v>1053</v>
      </c>
      <c r="D1010" s="93">
        <v>100</v>
      </c>
      <c r="E1010" s="93">
        <v>55</v>
      </c>
      <c r="F1010" s="103">
        <f>IFERROR(INDEX(Tabella951[PLZ],MATCH(Tabella848[[#This Row],[Colonna2]],Tabella951[Ortschaftsname],0)), "Name not found")</f>
        <v>4415</v>
      </c>
    </row>
    <row r="1011" spans="2:6">
      <c r="B1011" s="92" t="s">
        <v>160</v>
      </c>
      <c r="C1011" s="91" t="s">
        <v>1112</v>
      </c>
      <c r="D1011" s="93">
        <v>100</v>
      </c>
      <c r="E1011" s="93">
        <v>60</v>
      </c>
      <c r="F1011" s="103">
        <f>IFERROR(INDEX(Tabella951[PLZ],MATCH(Tabella848[[#This Row],[Colonna2]],Tabella951[Ortschaftsname],0)), "Name not found")</f>
        <v>4426</v>
      </c>
    </row>
    <row r="1012" spans="2:6">
      <c r="B1012" s="92" t="s">
        <v>160</v>
      </c>
      <c r="C1012" s="91" t="s">
        <v>1119</v>
      </c>
      <c r="D1012" s="93">
        <v>100</v>
      </c>
      <c r="E1012" s="93">
        <v>55</v>
      </c>
      <c r="F1012" s="103">
        <f>IFERROR(INDEX(Tabella951[PLZ],MATCH(Tabella848[[#This Row],[Colonna2]],Tabella951[Ortschaftsname],0)), "Name not found")</f>
        <v>4436</v>
      </c>
    </row>
    <row r="1013" spans="2:6">
      <c r="B1013" s="92" t="s">
        <v>160</v>
      </c>
      <c r="C1013" s="91" t="s">
        <v>1079</v>
      </c>
      <c r="D1013" s="93">
        <v>100</v>
      </c>
      <c r="E1013" s="93">
        <v>61</v>
      </c>
      <c r="F1013" s="103">
        <f>IFERROR(INDEX(Tabella951[PLZ],MATCH(Tabella848[[#This Row],[Colonna2]],Tabella951[Ortschaftsname],0)), "Name not found")</f>
        <v>4253</v>
      </c>
    </row>
    <row r="1014" spans="2:6">
      <c r="B1014" s="92" t="s">
        <v>160</v>
      </c>
      <c r="C1014" s="91" t="s">
        <v>1040</v>
      </c>
      <c r="D1014" s="93">
        <v>100</v>
      </c>
      <c r="E1014" s="93">
        <v>65</v>
      </c>
      <c r="F1014" s="103">
        <f>IFERROR(INDEX(Tabella951[PLZ],MATCH(Tabella848[[#This Row],[Colonna2]],Tabella951[Ortschaftsname],0)), "Name not found")</f>
        <v>4410</v>
      </c>
    </row>
    <row r="1015" spans="2:6">
      <c r="B1015" s="92" t="s">
        <v>160</v>
      </c>
      <c r="C1015" s="91" t="s">
        <v>1073</v>
      </c>
      <c r="D1015" s="93">
        <v>100</v>
      </c>
      <c r="E1015" s="93">
        <v>58</v>
      </c>
      <c r="F1015" s="103">
        <f>IFERROR(INDEX(Tabella951[PLZ],MATCH(Tabella848[[#This Row],[Colonna2]],Tabella951[Ortschaftsname],0)), "Name not found")</f>
        <v>4419</v>
      </c>
    </row>
    <row r="1016" spans="2:6">
      <c r="B1016" s="92" t="s">
        <v>160</v>
      </c>
      <c r="C1016" s="91" t="s">
        <v>1077</v>
      </c>
      <c r="D1016" s="93">
        <v>100</v>
      </c>
      <c r="E1016" s="93">
        <v>64.2</v>
      </c>
      <c r="F1016" s="103">
        <f>IFERROR(INDEX(Tabella951[PLZ],MATCH(Tabella848[[#This Row],[Colonna2]],Tabella951[Ortschaftsname],0)), "Name not found")</f>
        <v>4448</v>
      </c>
    </row>
    <row r="1017" spans="2:6">
      <c r="B1017" s="92" t="s">
        <v>160</v>
      </c>
      <c r="C1017" s="91" t="s">
        <v>1085</v>
      </c>
      <c r="D1017" s="93">
        <v>100</v>
      </c>
      <c r="E1017" s="93">
        <v>56</v>
      </c>
      <c r="F1017" s="103">
        <f>IFERROR(INDEX(Tabella951[PLZ],MATCH(Tabella848[[#This Row],[Colonna2]],Tabella951[Ortschaftsname],0)), "Name not found")</f>
        <v>4464</v>
      </c>
    </row>
    <row r="1018" spans="2:6">
      <c r="B1018" s="92" t="s">
        <v>160</v>
      </c>
      <c r="C1018" s="91" t="s">
        <v>1037</v>
      </c>
      <c r="D1018" s="93">
        <v>100</v>
      </c>
      <c r="E1018" s="93">
        <v>56</v>
      </c>
      <c r="F1018" s="103">
        <f>IFERROR(INDEX(Tabella951[PLZ],MATCH(Tabella848[[#This Row],[Colonna2]],Tabella951[Ortschaftsname],0)), "Name not found")</f>
        <v>4132</v>
      </c>
    </row>
    <row r="1019" spans="2:6">
      <c r="B1019" s="92" t="s">
        <v>160</v>
      </c>
      <c r="C1019" s="91" t="s">
        <v>1041</v>
      </c>
      <c r="D1019" s="93">
        <v>100</v>
      </c>
      <c r="E1019" s="93">
        <v>60</v>
      </c>
      <c r="F1019" s="103">
        <f>IFERROR(INDEX(Tabella951[PLZ],MATCH(Tabella848[[#This Row],[Colonna2]],Tabella951[Ortschaftsname],0)), "Name not found")</f>
        <v>4142</v>
      </c>
    </row>
    <row r="1020" spans="2:6">
      <c r="B1020" s="92" t="s">
        <v>160</v>
      </c>
      <c r="C1020" s="91" t="s">
        <v>1109</v>
      </c>
      <c r="D1020" s="93">
        <v>100</v>
      </c>
      <c r="E1020" s="93">
        <v>62.5</v>
      </c>
      <c r="F1020" s="103">
        <f>IFERROR(INDEX(Tabella951[PLZ],MATCH(Tabella848[[#This Row],[Colonna2]],Tabella951[Ortschaftsname],0)), "Name not found")</f>
        <v>4224</v>
      </c>
    </row>
    <row r="1021" spans="2:6">
      <c r="B1021" s="92" t="s">
        <v>160</v>
      </c>
      <c r="C1021" s="91" t="s">
        <v>1066</v>
      </c>
      <c r="D1021" s="93">
        <v>100</v>
      </c>
      <c r="E1021" s="93">
        <v>64</v>
      </c>
      <c r="F1021" s="103">
        <f>IFERROR(INDEX(Tabella951[PLZ],MATCH(Tabella848[[#This Row],[Colonna2]],Tabella951[Ortschaftsname],0)), "Name not found")</f>
        <v>4435</v>
      </c>
    </row>
    <row r="1022" spans="2:6">
      <c r="B1022" s="92" t="s">
        <v>160</v>
      </c>
      <c r="C1022" s="91" t="s">
        <v>1117</v>
      </c>
      <c r="D1022" s="93">
        <v>100</v>
      </c>
      <c r="E1022" s="93">
        <v>59</v>
      </c>
      <c r="F1022" s="103">
        <f>IFERROR(INDEX(Tabella951[PLZ],MATCH(Tabella848[[#This Row],[Colonna2]],Tabella951[Ortschaftsname],0)), "Name not found")</f>
        <v>4453</v>
      </c>
    </row>
    <row r="1023" spans="2:6">
      <c r="B1023" s="92" t="s">
        <v>160</v>
      </c>
      <c r="C1023" s="91" t="s">
        <v>1059</v>
      </c>
      <c r="D1023" s="93">
        <v>100</v>
      </c>
      <c r="E1023" s="93">
        <v>65</v>
      </c>
      <c r="F1023" s="103">
        <v>4436</v>
      </c>
    </row>
    <row r="1024" spans="2:6">
      <c r="B1024" s="92" t="s">
        <v>160</v>
      </c>
      <c r="C1024" s="91" t="s">
        <v>1042</v>
      </c>
      <c r="D1024" s="93">
        <v>100</v>
      </c>
      <c r="E1024" s="93">
        <v>50</v>
      </c>
      <c r="F1024" s="103">
        <v>4104</v>
      </c>
    </row>
    <row r="1025" spans="2:6">
      <c r="B1025" s="92" t="s">
        <v>160</v>
      </c>
      <c r="C1025" s="91" t="s">
        <v>1107</v>
      </c>
      <c r="D1025" s="93">
        <v>100</v>
      </c>
      <c r="E1025" s="93">
        <v>64</v>
      </c>
      <c r="F1025" s="103">
        <f>IFERROR(INDEX(Tabella951[PLZ],MATCH(Tabella848[[#This Row],[Colonna2]],Tabella951[Ortschaftsname],0)), "Name not found")</f>
        <v>4494</v>
      </c>
    </row>
    <row r="1026" spans="2:6">
      <c r="B1026" s="92" t="s">
        <v>160</v>
      </c>
      <c r="C1026" s="91" t="s">
        <v>1062</v>
      </c>
      <c r="D1026" s="93">
        <v>100</v>
      </c>
      <c r="E1026" s="93">
        <v>59</v>
      </c>
      <c r="F1026" s="103">
        <f>IFERROR(INDEX(Tabella951[PLZ],MATCH(Tabella848[[#This Row],[Colonna2]],Tabella951[Ortschaftsname],0)), "Name not found")</f>
        <v>4466</v>
      </c>
    </row>
    <row r="1027" spans="2:6">
      <c r="B1027" s="92" t="s">
        <v>160</v>
      </c>
      <c r="C1027" s="91" t="s">
        <v>1060</v>
      </c>
      <c r="D1027" s="93">
        <v>100</v>
      </c>
      <c r="E1027" s="93">
        <v>45</v>
      </c>
      <c r="F1027" s="103">
        <f>IFERROR(INDEX(Tabella951[PLZ],MATCH(Tabella848[[#This Row],[Colonna2]],Tabella951[Ortschaftsname],0)), "Name not found")</f>
        <v>4148</v>
      </c>
    </row>
    <row r="1028" spans="2:6">
      <c r="B1028" s="92" t="s">
        <v>160</v>
      </c>
      <c r="C1028" s="91" t="s">
        <v>1038</v>
      </c>
      <c r="D1028" s="93">
        <v>100</v>
      </c>
      <c r="E1028" s="93">
        <v>58.5</v>
      </c>
      <c r="F1028" s="103">
        <f>IFERROR(INDEX(Tabella951[PLZ],MATCH(Tabella848[[#This Row],[Colonna2]],Tabella951[Ortschaftsname],0)), "Name not found")</f>
        <v>4133</v>
      </c>
    </row>
    <row r="1029" spans="2:6">
      <c r="B1029" s="92" t="s">
        <v>160</v>
      </c>
      <c r="C1029" s="91" t="s">
        <v>1092</v>
      </c>
      <c r="D1029" s="93">
        <v>100</v>
      </c>
      <c r="E1029" s="93">
        <v>52</v>
      </c>
      <c r="F1029" s="103">
        <f>IFERROR(INDEX(Tabella951[PLZ],MATCH(Tabella848[[#This Row],[Colonna2]],Tabella951[Ortschaftsname],0)), "Name not found")</f>
        <v>4433</v>
      </c>
    </row>
    <row r="1030" spans="2:6">
      <c r="B1030" s="92" t="s">
        <v>160</v>
      </c>
      <c r="C1030" s="91" t="s">
        <v>1070</v>
      </c>
      <c r="D1030" s="93">
        <v>100</v>
      </c>
      <c r="E1030" s="93">
        <v>66</v>
      </c>
      <c r="F1030" s="103">
        <f>IFERROR(INDEX(Tabella951[PLZ],MATCH(Tabella848[[#This Row],[Colonna2]],Tabella951[Ortschaftsname],0)), "Name not found")</f>
        <v>4418</v>
      </c>
    </row>
    <row r="1031" spans="2:6">
      <c r="B1031" s="92" t="s">
        <v>160</v>
      </c>
      <c r="C1031" s="91" t="s">
        <v>1036</v>
      </c>
      <c r="D1031" s="93">
        <v>100</v>
      </c>
      <c r="E1031" s="93">
        <v>54.5</v>
      </c>
      <c r="F1031" s="103">
        <v>4153</v>
      </c>
    </row>
    <row r="1032" spans="2:6">
      <c r="B1032" s="92" t="s">
        <v>160</v>
      </c>
      <c r="C1032" s="91" t="s">
        <v>2630</v>
      </c>
      <c r="D1032" s="93">
        <v>100</v>
      </c>
      <c r="E1032" s="93">
        <v>62</v>
      </c>
      <c r="F1032" s="103">
        <v>4462</v>
      </c>
    </row>
    <row r="1033" spans="2:6">
      <c r="B1033" s="92" t="s">
        <v>160</v>
      </c>
      <c r="C1033" s="91" t="s">
        <v>1115</v>
      </c>
      <c r="D1033" s="93">
        <v>100</v>
      </c>
      <c r="E1033" s="93">
        <v>62</v>
      </c>
      <c r="F1033" s="103">
        <f>IFERROR(INDEX(Tabella951[PLZ],MATCH(Tabella848[[#This Row],[Colonna2]],Tabella951[Ortschaftsname],0)), "Name not found")</f>
        <v>2814</v>
      </c>
    </row>
    <row r="1034" spans="2:6">
      <c r="B1034" s="92" t="s">
        <v>160</v>
      </c>
      <c r="C1034" s="91" t="s">
        <v>1089</v>
      </c>
      <c r="D1034" s="93">
        <v>100</v>
      </c>
      <c r="E1034" s="93">
        <v>62</v>
      </c>
      <c r="F1034" s="103">
        <f>IFERROR(INDEX(Tabella951[PLZ],MATCH(Tabella848[[#This Row],[Colonna2]],Tabella951[Ortschaftsname],0)), "Name not found")</f>
        <v>4467</v>
      </c>
    </row>
    <row r="1035" spans="2:6">
      <c r="B1035" s="92" t="s">
        <v>160</v>
      </c>
      <c r="C1035" s="91" t="s">
        <v>1064</v>
      </c>
      <c r="D1035" s="93">
        <v>100</v>
      </c>
      <c r="E1035" s="93">
        <v>58</v>
      </c>
      <c r="F1035" s="103">
        <f>IFERROR(INDEX(Tabella951[PLZ],MATCH(Tabella848[[#This Row],[Colonna2]],Tabella951[Ortschaftsname],0)), "Name not found")</f>
        <v>4244</v>
      </c>
    </row>
    <row r="1036" spans="2:6">
      <c r="B1036" s="92" t="s">
        <v>160</v>
      </c>
      <c r="C1036" s="91" t="s">
        <v>1111</v>
      </c>
      <c r="D1036" s="93">
        <v>100</v>
      </c>
      <c r="E1036" s="93">
        <v>63</v>
      </c>
      <c r="F1036" s="103">
        <f>IFERROR(INDEX(Tabella951[PLZ],MATCH(Tabella848[[#This Row],[Colonna2]],Tabella951[Ortschaftsname],0)), "Name not found")</f>
        <v>4444</v>
      </c>
    </row>
    <row r="1037" spans="2:6">
      <c r="B1037" s="92" t="s">
        <v>160</v>
      </c>
      <c r="C1037" s="91" t="s">
        <v>1091</v>
      </c>
      <c r="D1037" s="93">
        <v>100</v>
      </c>
      <c r="E1037" s="93">
        <v>62</v>
      </c>
      <c r="F1037" s="103">
        <f>IFERROR(INDEX(Tabella951[PLZ],MATCH(Tabella848[[#This Row],[Colonna2]],Tabella951[Ortschaftsname],0)), "Name not found")</f>
        <v>4497</v>
      </c>
    </row>
    <row r="1038" spans="2:6">
      <c r="B1038" s="92" t="s">
        <v>160</v>
      </c>
      <c r="C1038" s="91" t="s">
        <v>1076</v>
      </c>
      <c r="D1038" s="93">
        <v>100</v>
      </c>
      <c r="E1038" s="93">
        <v>52</v>
      </c>
      <c r="F1038" s="103">
        <f>IFERROR(INDEX(Tabella951[PLZ],MATCH(Tabella848[[#This Row],[Colonna2]],Tabella951[Ortschaftsname],0)), "Name not found")</f>
        <v>4124</v>
      </c>
    </row>
    <row r="1039" spans="2:6">
      <c r="B1039" s="92" t="s">
        <v>160</v>
      </c>
      <c r="C1039" s="91" t="s">
        <v>1078</v>
      </c>
      <c r="D1039" s="93">
        <v>100</v>
      </c>
      <c r="E1039" s="93">
        <v>59</v>
      </c>
      <c r="F1039" s="103">
        <f>IFERROR(INDEX(Tabella951[PLZ],MATCH(Tabella848[[#This Row],[Colonna2]],Tabella951[Ortschaftsname],0)), "Name not found")</f>
        <v>4411</v>
      </c>
    </row>
    <row r="1040" spans="2:6">
      <c r="B1040" s="92" t="s">
        <v>160</v>
      </c>
      <c r="C1040" s="91" t="s">
        <v>1047</v>
      </c>
      <c r="D1040" s="93">
        <v>100</v>
      </c>
      <c r="E1040" s="93">
        <v>57</v>
      </c>
      <c r="F1040" s="103">
        <f>IFERROR(INDEX(Tabella951[PLZ],MATCH(Tabella848[[#This Row],[Colonna2]],Tabella951[Ortschaftsname],0)), "Name not found")</f>
        <v>4450</v>
      </c>
    </row>
    <row r="1041" spans="2:6">
      <c r="B1041" s="92" t="s">
        <v>160</v>
      </c>
      <c r="C1041" s="91" t="s">
        <v>1087</v>
      </c>
      <c r="D1041" s="93">
        <v>100</v>
      </c>
      <c r="E1041" s="93">
        <v>60</v>
      </c>
      <c r="F1041" s="103">
        <f>IFERROR(INDEX(Tabella951[PLZ],MATCH(Tabella848[[#This Row],[Colonna2]],Tabella951[Ortschaftsname],0)), "Name not found")</f>
        <v>4492</v>
      </c>
    </row>
    <row r="1042" spans="2:6">
      <c r="B1042" s="92" t="s">
        <v>160</v>
      </c>
      <c r="C1042" s="91" t="s">
        <v>1086</v>
      </c>
      <c r="D1042" s="93">
        <v>100</v>
      </c>
      <c r="E1042" s="93">
        <v>60</v>
      </c>
      <c r="F1042" s="103">
        <f>IFERROR(INDEX(Tabella951[PLZ],MATCH(Tabella848[[#This Row],[Colonna2]],Tabella951[Ortschaftsname],0)), "Name not found")</f>
        <v>4456</v>
      </c>
    </row>
    <row r="1043" spans="2:6">
      <c r="B1043" s="92" t="s">
        <v>160</v>
      </c>
      <c r="C1043" s="91" t="s">
        <v>1045</v>
      </c>
      <c r="D1043" s="93">
        <v>100</v>
      </c>
      <c r="E1043" s="93">
        <v>52</v>
      </c>
      <c r="F1043" s="103">
        <f>IFERROR(INDEX(Tabella951[PLZ],MATCH(Tabella848[[#This Row],[Colonna2]],Tabella951[Ortschaftsname],0)), "Name not found")</f>
        <v>4106</v>
      </c>
    </row>
    <row r="1044" spans="2:6">
      <c r="B1044" s="92" t="s">
        <v>160</v>
      </c>
      <c r="C1044" s="91" t="s">
        <v>1075</v>
      </c>
      <c r="D1044" s="93">
        <v>100</v>
      </c>
      <c r="E1044" s="93">
        <v>56</v>
      </c>
      <c r="F1044" s="103">
        <f>IFERROR(INDEX(Tabella951[PLZ],MATCH(Tabella848[[#This Row],[Colonna2]],Tabella951[Ortschaftsname],0)), "Name not found")</f>
        <v>4441</v>
      </c>
    </row>
    <row r="1045" spans="2:6">
      <c r="B1045" s="92" t="s">
        <v>160</v>
      </c>
      <c r="C1045" s="91" t="s">
        <v>1110</v>
      </c>
      <c r="D1045" s="93">
        <v>100</v>
      </c>
      <c r="E1045" s="93">
        <v>65</v>
      </c>
      <c r="F1045" s="103">
        <f>IFERROR(INDEX(Tabella951[PLZ],MATCH(Tabella848[[#This Row],[Colonna2]],Tabella951[Ortschaftsname],0)), "Name not found")</f>
        <v>4425</v>
      </c>
    </row>
    <row r="1046" spans="2:6">
      <c r="B1046" s="92" t="s">
        <v>160</v>
      </c>
      <c r="C1046" s="91" t="s">
        <v>1074</v>
      </c>
      <c r="D1046" s="93">
        <v>100</v>
      </c>
      <c r="E1046" s="93">
        <v>60</v>
      </c>
      <c r="F1046" s="103">
        <v>4246</v>
      </c>
    </row>
    <row r="1047" spans="2:6">
      <c r="B1047" s="92" t="s">
        <v>160</v>
      </c>
      <c r="C1047" s="91" t="s">
        <v>1080</v>
      </c>
      <c r="D1047" s="93">
        <v>100</v>
      </c>
      <c r="E1047" s="93">
        <v>69.5</v>
      </c>
      <c r="F1047" s="103">
        <f>IFERROR(INDEX(Tabella951[PLZ],MATCH(Tabella848[[#This Row],[Colonna2]],Tabella951[Ortschaftsname],0)), "Name not found")</f>
        <v>4437</v>
      </c>
    </row>
    <row r="1048" spans="2:6">
      <c r="B1048" s="92" t="s">
        <v>160</v>
      </c>
      <c r="C1048" s="91" t="s">
        <v>1095</v>
      </c>
      <c r="D1048" s="93">
        <v>100</v>
      </c>
      <c r="E1048" s="93">
        <v>58</v>
      </c>
      <c r="F1048" s="103">
        <f>IFERROR(INDEX(Tabella951[PLZ],MATCH(Tabella848[[#This Row],[Colonna2]],Tabella951[Ortschaftsname],0)), "Name not found")</f>
        <v>4493</v>
      </c>
    </row>
    <row r="1049" spans="2:6">
      <c r="B1049" s="92" t="s">
        <v>160</v>
      </c>
      <c r="C1049" s="91" t="s">
        <v>1099</v>
      </c>
      <c r="D1049" s="93">
        <v>100</v>
      </c>
      <c r="E1049" s="93">
        <v>56</v>
      </c>
      <c r="F1049" s="103">
        <f>IFERROR(INDEX(Tabella951[PLZ],MATCH(Tabella848[[#This Row],[Colonna2]],Tabella951[Ortschaftsname],0)), "Name not found")</f>
        <v>4451</v>
      </c>
    </row>
    <row r="1050" spans="2:6">
      <c r="B1050" s="92" t="s">
        <v>160</v>
      </c>
      <c r="C1050" s="91" t="s">
        <v>1108</v>
      </c>
      <c r="D1050" s="93">
        <v>100</v>
      </c>
      <c r="E1050" s="93">
        <v>63</v>
      </c>
      <c r="F1050" s="103">
        <f>IFERROR(INDEX(Tabella951[PLZ],MATCH(Tabella848[[#This Row],[Colonna2]],Tabella951[Ortschaftsname],0)), "Name not found")</f>
        <v>4443</v>
      </c>
    </row>
    <row r="1051" spans="2:6">
      <c r="B1051" s="92" t="s">
        <v>160</v>
      </c>
      <c r="C1051" s="91" t="s">
        <v>1106</v>
      </c>
      <c r="D1051" s="93">
        <v>100</v>
      </c>
      <c r="E1051" s="93">
        <v>64</v>
      </c>
      <c r="F1051" s="103">
        <f>IFERROR(INDEX(Tabella951[PLZ],MATCH(Tabella848[[#This Row],[Colonna2]],Tabella951[Ortschaftsname],0)), "Name not found")</f>
        <v>4495</v>
      </c>
    </row>
    <row r="1052" spans="2:6">
      <c r="B1052" s="92" t="s">
        <v>160</v>
      </c>
      <c r="C1052" s="91" t="s">
        <v>1071</v>
      </c>
      <c r="D1052" s="93">
        <v>100</v>
      </c>
      <c r="E1052" s="93">
        <v>63</v>
      </c>
      <c r="F1052" s="103">
        <f>IFERROR(INDEX(Tabella951[PLZ],MATCH(Tabella848[[#This Row],[Colonna2]],Tabella951[Ortschaftsname],0)), "Name not found")</f>
        <v>4417</v>
      </c>
    </row>
    <row r="1053" spans="2:6">
      <c r="B1053" s="92" t="s">
        <v>160</v>
      </c>
      <c r="C1053" s="91" t="s">
        <v>1057</v>
      </c>
      <c r="D1053" s="93">
        <v>100</v>
      </c>
      <c r="E1053" s="93">
        <v>56</v>
      </c>
      <c r="F1053" s="103">
        <f>IFERROR(INDEX(Tabella951[PLZ],MATCH(Tabella848[[#This Row],[Colonna2]],Tabella951[Ortschaftsname],0)), "Name not found")</f>
        <v>4455</v>
      </c>
    </row>
    <row r="1054" spans="2:6">
      <c r="B1054" s="92" t="s">
        <v>160</v>
      </c>
      <c r="C1054" s="91" t="s">
        <v>1061</v>
      </c>
      <c r="D1054" s="93">
        <v>100</v>
      </c>
      <c r="E1054" s="93">
        <v>59</v>
      </c>
      <c r="F1054" s="103">
        <f>IFERROR(INDEX(Tabella951[PLZ],MATCH(Tabella848[[#This Row],[Colonna2]],Tabella951[Ortschaftsname],0)), "Name not found")</f>
        <v>4222</v>
      </c>
    </row>
    <row r="1055" spans="2:6">
      <c r="B1055" s="92" t="s">
        <v>146</v>
      </c>
      <c r="C1055" s="91" t="s">
        <v>1399</v>
      </c>
      <c r="D1055" s="93">
        <v>81</v>
      </c>
      <c r="E1055" s="93">
        <v>102</v>
      </c>
      <c r="F1055" s="103">
        <v>8238</v>
      </c>
    </row>
    <row r="1056" spans="2:6">
      <c r="B1056" s="92" t="s">
        <v>146</v>
      </c>
      <c r="C1056" s="91" t="s">
        <v>1394</v>
      </c>
      <c r="D1056" s="93">
        <v>81</v>
      </c>
      <c r="E1056" s="93">
        <v>117</v>
      </c>
      <c r="F1056" s="103">
        <f>IFERROR(INDEX(Tabella951[PLZ],MATCH(Tabella848[[#This Row],[Colonna2]],Tabella951[Ortschaftsname],0)), "Name not found")</f>
        <v>8228</v>
      </c>
    </row>
    <row r="1057" spans="2:6">
      <c r="B1057" s="92" t="s">
        <v>146</v>
      </c>
      <c r="C1057" s="91" t="s">
        <v>1377</v>
      </c>
      <c r="D1057" s="93">
        <v>81</v>
      </c>
      <c r="E1057" s="93">
        <v>91</v>
      </c>
      <c r="F1057" s="103">
        <f>IFERROR(INDEX(Tabella951[PLZ],MATCH(Tabella848[[#This Row],[Colonna2]],Tabella951[Ortschaftsname],0)), "Name not found")</f>
        <v>8222</v>
      </c>
    </row>
    <row r="1058" spans="2:6">
      <c r="B1058" s="92" t="s">
        <v>146</v>
      </c>
      <c r="C1058" s="91" t="s">
        <v>1398</v>
      </c>
      <c r="D1058" s="93">
        <v>81</v>
      </c>
      <c r="E1058" s="93">
        <v>96</v>
      </c>
      <c r="F1058" s="103">
        <v>8236</v>
      </c>
    </row>
    <row r="1059" spans="2:6">
      <c r="B1059" s="92" t="s">
        <v>146</v>
      </c>
      <c r="C1059" s="91" t="s">
        <v>1387</v>
      </c>
      <c r="D1059" s="93">
        <v>81</v>
      </c>
      <c r="E1059" s="93">
        <v>62</v>
      </c>
      <c r="F1059" s="103">
        <f>IFERROR(INDEX(Tabella951[PLZ],MATCH(Tabella848[[#This Row],[Colonna2]],Tabella951[Ortschaftsname],0)), "Name not found")</f>
        <v>8454</v>
      </c>
    </row>
    <row r="1060" spans="2:6">
      <c r="B1060" s="92" t="s">
        <v>146</v>
      </c>
      <c r="C1060" s="91" t="s">
        <v>1397</v>
      </c>
      <c r="D1060" s="93">
        <v>81</v>
      </c>
      <c r="E1060" s="93">
        <v>85</v>
      </c>
      <c r="F1060" s="103">
        <f>IFERROR(INDEX(Tabella951[PLZ],MATCH(Tabella848[[#This Row],[Colonna2]],Tabella951[Ortschaftsname],0)), "Name not found")</f>
        <v>8236</v>
      </c>
    </row>
    <row r="1061" spans="2:6">
      <c r="B1061" s="92" t="s">
        <v>146</v>
      </c>
      <c r="C1061" s="91" t="s">
        <v>1386</v>
      </c>
      <c r="D1061" s="93">
        <v>81</v>
      </c>
      <c r="E1061" s="93">
        <v>88</v>
      </c>
      <c r="F1061" s="103">
        <f>IFERROR(INDEX(Tabella951[PLZ],MATCH(Tabella848[[#This Row],[Colonna2]],Tabella951[Ortschaftsname],0)), "Name not found")</f>
        <v>8239</v>
      </c>
    </row>
    <row r="1062" spans="2:6">
      <c r="B1062" s="92" t="s">
        <v>146</v>
      </c>
      <c r="C1062" s="91" t="s">
        <v>1388</v>
      </c>
      <c r="D1062" s="93">
        <v>81</v>
      </c>
      <c r="E1062" s="93">
        <v>107</v>
      </c>
      <c r="F1062" s="103">
        <f>IFERROR(INDEX(Tabella951[PLZ],MATCH(Tabella848[[#This Row],[Colonna2]],Tabella951[Ortschaftsname],0)), "Name not found")</f>
        <v>8214</v>
      </c>
    </row>
    <row r="1063" spans="2:6">
      <c r="B1063" s="92" t="s">
        <v>146</v>
      </c>
      <c r="C1063" s="91" t="s">
        <v>1380</v>
      </c>
      <c r="D1063" s="93">
        <v>81</v>
      </c>
      <c r="E1063" s="93">
        <v>112</v>
      </c>
      <c r="F1063" s="103">
        <f>IFERROR(INDEX(Tabella951[PLZ],MATCH(Tabella848[[#This Row],[Colonna2]],Tabella951[Ortschaftsname],0)), "Name not found")</f>
        <v>8215</v>
      </c>
    </row>
    <row r="1064" spans="2:6">
      <c r="B1064" s="92" t="s">
        <v>146</v>
      </c>
      <c r="C1064" s="91" t="s">
        <v>1395</v>
      </c>
      <c r="D1064" s="93">
        <v>81</v>
      </c>
      <c r="E1064" s="93">
        <v>96</v>
      </c>
      <c r="F1064" s="103">
        <f>IFERROR(INDEX(Tabella951[PLZ],MATCH(Tabella848[[#This Row],[Colonna2]],Tabella951[Ortschaftsname],0)), "Name not found")</f>
        <v>8261</v>
      </c>
    </row>
    <row r="1065" spans="2:6">
      <c r="B1065" s="92" t="s">
        <v>146</v>
      </c>
      <c r="C1065" s="91" t="s">
        <v>1391</v>
      </c>
      <c r="D1065" s="93">
        <v>81</v>
      </c>
      <c r="E1065" s="93">
        <v>98</v>
      </c>
      <c r="F1065" s="103">
        <v>8235</v>
      </c>
    </row>
    <row r="1066" spans="2:6">
      <c r="B1066" s="92" t="s">
        <v>146</v>
      </c>
      <c r="C1066" s="91" t="s">
        <v>1384</v>
      </c>
      <c r="D1066" s="93">
        <v>81</v>
      </c>
      <c r="E1066" s="93">
        <v>89</v>
      </c>
      <c r="F1066" s="103">
        <f>IFERROR(INDEX(Tabella951[PLZ],MATCH(Tabella848[[#This Row],[Colonna2]],Tabella951[Ortschaftsname],0)), "Name not found")</f>
        <v>8224</v>
      </c>
    </row>
    <row r="1067" spans="2:6">
      <c r="B1067" s="92" t="s">
        <v>146</v>
      </c>
      <c r="C1067" s="91" t="s">
        <v>1390</v>
      </c>
      <c r="D1067" s="93">
        <v>81</v>
      </c>
      <c r="E1067" s="93">
        <v>110</v>
      </c>
      <c r="F1067" s="103">
        <f>IFERROR(INDEX(Tabella951[PLZ],MATCH(Tabella848[[#This Row],[Colonna2]],Tabella951[Ortschaftsname],0)), "Name not found")</f>
        <v>8232</v>
      </c>
    </row>
    <row r="1068" spans="2:6">
      <c r="B1068" s="92" t="s">
        <v>146</v>
      </c>
      <c r="C1068" s="91" t="s">
        <v>1375</v>
      </c>
      <c r="D1068" s="93">
        <v>81</v>
      </c>
      <c r="E1068" s="93">
        <v>93</v>
      </c>
      <c r="F1068" s="103">
        <f>IFERROR(INDEX(Tabella951[PLZ],MATCH(Tabella848[[#This Row],[Colonna2]],Tabella951[Ortschaftsname],0)), "Name not found")</f>
        <v>8212</v>
      </c>
    </row>
    <row r="1069" spans="2:6">
      <c r="B1069" s="92" t="s">
        <v>146</v>
      </c>
      <c r="C1069" s="91" t="s">
        <v>1379</v>
      </c>
      <c r="D1069" s="93">
        <v>81</v>
      </c>
      <c r="E1069" s="93">
        <v>99</v>
      </c>
      <c r="F1069" s="103">
        <f>IFERROR(INDEX(Tabella951[PLZ],MATCH(Tabella848[[#This Row],[Colonna2]],Tabella951[Ortschaftsname],0)), "Name not found")</f>
        <v>8213</v>
      </c>
    </row>
    <row r="1070" spans="2:6">
      <c r="B1070" s="92" t="s">
        <v>146</v>
      </c>
      <c r="C1070" s="91" t="s">
        <v>1396</v>
      </c>
      <c r="D1070" s="93">
        <v>81</v>
      </c>
      <c r="E1070" s="93">
        <v>117</v>
      </c>
      <c r="F1070" s="103">
        <f>IFERROR(INDEX(Tabella951[PLZ],MATCH(Tabella848[[#This Row],[Colonna2]],Tabella951[Ortschaftsname],0)), "Name not found")</f>
        <v>8216</v>
      </c>
    </row>
    <row r="1071" spans="2:6">
      <c r="B1071" s="92" t="s">
        <v>146</v>
      </c>
      <c r="C1071" s="91" t="s">
        <v>1383</v>
      </c>
      <c r="D1071" s="93">
        <v>81</v>
      </c>
      <c r="E1071" s="93">
        <v>95</v>
      </c>
      <c r="F1071" s="103">
        <f>IFERROR(INDEX(Tabella951[PLZ],MATCH(Tabella848[[#This Row],[Colonna2]],Tabella951[Ortschaftsname],0)), "Name not found")</f>
        <v>8262</v>
      </c>
    </row>
    <row r="1072" spans="2:6">
      <c r="B1072" s="92" t="s">
        <v>146</v>
      </c>
      <c r="C1072" s="91" t="s">
        <v>1392</v>
      </c>
      <c r="D1072" s="93">
        <v>81</v>
      </c>
      <c r="E1072" s="93">
        <v>75</v>
      </c>
      <c r="F1072" s="103">
        <f>IFERROR(INDEX(Tabella951[PLZ],MATCH(Tabella848[[#This Row],[Colonna2]],Tabella951[Ortschaftsname],0)), "Name not found")</f>
        <v>8455</v>
      </c>
    </row>
    <row r="1073" spans="2:6">
      <c r="B1073" s="92" t="s">
        <v>146</v>
      </c>
      <c r="C1073" s="91" t="s">
        <v>175</v>
      </c>
      <c r="D1073" s="93">
        <v>81</v>
      </c>
      <c r="E1073" s="93">
        <v>90</v>
      </c>
      <c r="F1073" s="103">
        <f>IFERROR(INDEX(Tabella951[PLZ],MATCH(Tabella848[[#This Row],[Colonna2]],Tabella951[Ortschaftsname],0)), "Name not found")</f>
        <v>8200</v>
      </c>
    </row>
    <row r="1074" spans="2:6">
      <c r="B1074" s="92" t="s">
        <v>146</v>
      </c>
      <c r="C1074" s="91" t="s">
        <v>1382</v>
      </c>
      <c r="D1074" s="93">
        <v>81</v>
      </c>
      <c r="E1074" s="93">
        <v>115</v>
      </c>
      <c r="F1074" s="103">
        <f>IFERROR(INDEX(Tabella951[PLZ],MATCH(Tabella848[[#This Row],[Colonna2]],Tabella951[Ortschaftsname],0)), "Name not found")</f>
        <v>8226</v>
      </c>
    </row>
    <row r="1075" spans="2:6">
      <c r="B1075" s="92" t="s">
        <v>146</v>
      </c>
      <c r="C1075" s="91" t="s">
        <v>1389</v>
      </c>
      <c r="D1075" s="93">
        <v>81</v>
      </c>
      <c r="E1075" s="93">
        <v>105</v>
      </c>
      <c r="F1075" s="103">
        <f>IFERROR(INDEX(Tabella951[PLZ],MATCH(Tabella848[[#This Row],[Colonna2]],Tabella951[Ortschaftsname],0)), "Name not found")</f>
        <v>8225</v>
      </c>
    </row>
    <row r="1076" spans="2:6">
      <c r="B1076" s="92" t="s">
        <v>146</v>
      </c>
      <c r="C1076" s="91" t="s">
        <v>1378</v>
      </c>
      <c r="D1076" s="93">
        <v>81</v>
      </c>
      <c r="E1076" s="93">
        <v>95</v>
      </c>
      <c r="F1076" s="103">
        <f>IFERROR(INDEX(Tabella951[PLZ],MATCH(Tabella848[[#This Row],[Colonna2]],Tabella951[Ortschaftsname],0)), "Name not found")</f>
        <v>8260</v>
      </c>
    </row>
    <row r="1077" spans="2:6">
      <c r="B1077" s="92" t="s">
        <v>146</v>
      </c>
      <c r="C1077" s="91" t="s">
        <v>1385</v>
      </c>
      <c r="D1077" s="93">
        <v>81</v>
      </c>
      <c r="E1077" s="93">
        <v>61</v>
      </c>
      <c r="F1077" s="103">
        <v>8234</v>
      </c>
    </row>
    <row r="1078" spans="2:6">
      <c r="B1078" s="92" t="s">
        <v>146</v>
      </c>
      <c r="C1078" s="91" t="s">
        <v>1376</v>
      </c>
      <c r="D1078" s="93">
        <v>81</v>
      </c>
      <c r="E1078" s="93">
        <v>92</v>
      </c>
      <c r="F1078" s="103">
        <f>IFERROR(INDEX(Tabella951[PLZ],MATCH(Tabella848[[#This Row],[Colonna2]],Tabella951[Ortschaftsname],0)), "Name not found")</f>
        <v>8240</v>
      </c>
    </row>
    <row r="1079" spans="2:6">
      <c r="B1079" s="92" t="s">
        <v>146</v>
      </c>
      <c r="C1079" s="91" t="s">
        <v>1393</v>
      </c>
      <c r="D1079" s="93">
        <v>81</v>
      </c>
      <c r="E1079" s="93">
        <v>112</v>
      </c>
      <c r="F1079" s="103">
        <f>IFERROR(INDEX(Tabella951[PLZ],MATCH(Tabella848[[#This Row],[Colonna2]],Tabella951[Ortschaftsname],0)), "Name not found")</f>
        <v>8219</v>
      </c>
    </row>
    <row r="1080" spans="2:6">
      <c r="B1080" s="92" t="s">
        <v>146</v>
      </c>
      <c r="C1080" s="91" t="s">
        <v>1381</v>
      </c>
      <c r="D1080" s="93">
        <v>81</v>
      </c>
      <c r="E1080" s="93">
        <v>112</v>
      </c>
      <c r="F1080" s="103">
        <f>IFERROR(INDEX(Tabella951[PLZ],MATCH(Tabella848[[#This Row],[Colonna2]],Tabella951[Ortschaftsname],0)), "Name not found")</f>
        <v>8217</v>
      </c>
    </row>
    <row r="1081" spans="2:6">
      <c r="B1081" s="92" t="s">
        <v>154</v>
      </c>
      <c r="C1081" s="91" t="s">
        <v>1887</v>
      </c>
      <c r="D1081" s="93">
        <v>330</v>
      </c>
      <c r="E1081" s="93">
        <v>390</v>
      </c>
      <c r="F1081" s="103">
        <f>IFERROR(INDEX(Tabella951[PLZ],MATCH(Tabella848[[#This Row],[Colonna2]],Tabella951[Ortschaftsname],0)), "Name not found")</f>
        <v>9055</v>
      </c>
    </row>
    <row r="1082" spans="2:6">
      <c r="B1082" s="92" t="s">
        <v>154</v>
      </c>
      <c r="C1082" s="91" t="s">
        <v>1882</v>
      </c>
      <c r="D1082" s="93">
        <v>330</v>
      </c>
      <c r="E1082" s="93">
        <v>335</v>
      </c>
      <c r="F1082" s="103">
        <f>IFERROR(INDEX(Tabella951[PLZ],MATCH(Tabella848[[#This Row],[Colonna2]],Tabella951[Ortschaftsname],0)), "Name not found")</f>
        <v>9056</v>
      </c>
    </row>
    <row r="1083" spans="2:6">
      <c r="B1083" s="92" t="s">
        <v>154</v>
      </c>
      <c r="C1083" s="91" t="s">
        <v>1893</v>
      </c>
      <c r="D1083" s="93">
        <v>330</v>
      </c>
      <c r="E1083" s="93">
        <v>400</v>
      </c>
      <c r="F1083" s="103">
        <v>9035</v>
      </c>
    </row>
    <row r="1084" spans="2:6">
      <c r="B1084" s="92" t="s">
        <v>154</v>
      </c>
      <c r="C1084" s="91" t="s">
        <v>1881</v>
      </c>
      <c r="D1084" s="93">
        <v>330</v>
      </c>
      <c r="E1084" s="93">
        <v>370</v>
      </c>
      <c r="F1084" s="103">
        <f>IFERROR(INDEX(Tabella951[PLZ],MATCH(Tabella848[[#This Row],[Colonna2]],Tabella951[Ortschaftsname],0)), "Name not found")</f>
        <v>9410</v>
      </c>
    </row>
    <row r="1085" spans="2:6">
      <c r="B1085" s="92" t="s">
        <v>154</v>
      </c>
      <c r="C1085" s="91" t="s">
        <v>1877</v>
      </c>
      <c r="D1085" s="93">
        <v>330</v>
      </c>
      <c r="E1085" s="93">
        <v>409.99999999999994</v>
      </c>
      <c r="F1085" s="103">
        <f>IFERROR(INDEX(Tabella951[PLZ],MATCH(Tabella848[[#This Row],[Colonna2]],Tabella951[Ortschaftsname],0)), "Name not found")</f>
        <v>9100</v>
      </c>
    </row>
    <row r="1086" spans="2:6">
      <c r="B1086" s="92" t="s">
        <v>154</v>
      </c>
      <c r="C1086" s="91" t="s">
        <v>1894</v>
      </c>
      <c r="D1086" s="93">
        <v>330</v>
      </c>
      <c r="E1086" s="93">
        <v>470</v>
      </c>
      <c r="F1086" s="103">
        <f>IFERROR(INDEX(Tabella951[PLZ],MATCH(Tabella848[[#This Row],[Colonna2]],Tabella951[Ortschaftsname],0)), "Name not found")</f>
        <v>9064</v>
      </c>
    </row>
    <row r="1087" spans="2:6">
      <c r="B1087" s="92" t="s">
        <v>154</v>
      </c>
      <c r="C1087" s="91" t="s">
        <v>1892</v>
      </c>
      <c r="D1087" s="93">
        <v>330</v>
      </c>
      <c r="E1087" s="93">
        <v>350</v>
      </c>
      <c r="F1087" s="103">
        <f>IFERROR(INDEX(Tabella951[PLZ],MATCH(Tabella848[[#This Row],[Colonna2]],Tabella951[Ortschaftsname],0)), "Name not found")</f>
        <v>9426</v>
      </c>
    </row>
    <row r="1088" spans="2:6">
      <c r="B1088" s="92" t="s">
        <v>154</v>
      </c>
      <c r="C1088" s="91" t="s">
        <v>1888</v>
      </c>
      <c r="D1088" s="93">
        <v>330</v>
      </c>
      <c r="E1088" s="93">
        <v>420</v>
      </c>
      <c r="F1088" s="103">
        <f>IFERROR(INDEX(Tabella951[PLZ],MATCH(Tabella848[[#This Row],[Colonna2]],Tabella951[Ortschaftsname],0)), "Name not found")</f>
        <v>9038</v>
      </c>
    </row>
    <row r="1089" spans="2:6">
      <c r="B1089" s="92" t="s">
        <v>154</v>
      </c>
      <c r="C1089" s="91" t="s">
        <v>1896</v>
      </c>
      <c r="D1089" s="93">
        <v>330</v>
      </c>
      <c r="E1089" s="93">
        <v>370</v>
      </c>
      <c r="F1089" s="103">
        <v>9411</v>
      </c>
    </row>
    <row r="1090" spans="2:6">
      <c r="B1090" s="92" t="s">
        <v>154</v>
      </c>
      <c r="C1090" s="91" t="s">
        <v>1890</v>
      </c>
      <c r="D1090" s="93">
        <v>330</v>
      </c>
      <c r="E1090" s="93">
        <v>420</v>
      </c>
      <c r="F1090" s="103">
        <f>IFERROR(INDEX(Tabella951[PLZ],MATCH(Tabella848[[#This Row],[Colonna2]],Tabella951[Ortschaftsname],0)), "Name not found")</f>
        <v>9103</v>
      </c>
    </row>
    <row r="1091" spans="2:6">
      <c r="B1091" s="92" t="s">
        <v>154</v>
      </c>
      <c r="C1091" s="91" t="s">
        <v>1897</v>
      </c>
      <c r="D1091" s="93">
        <v>330</v>
      </c>
      <c r="E1091" s="93">
        <v>420</v>
      </c>
      <c r="F1091" s="103">
        <f>IFERROR(INDEX(Tabella951[PLZ],MATCH(Tabella848[[#This Row],[Colonna2]],Tabella951[Ortschaftsname],0)), "Name not found")</f>
        <v>9105</v>
      </c>
    </row>
    <row r="1092" spans="2:6">
      <c r="B1092" s="92" t="s">
        <v>154</v>
      </c>
      <c r="C1092" s="91" t="s">
        <v>1880</v>
      </c>
      <c r="D1092" s="93">
        <v>330</v>
      </c>
      <c r="E1092" s="93">
        <v>360</v>
      </c>
      <c r="F1092" s="103">
        <f>IFERROR(INDEX(Tabella951[PLZ],MATCH(Tabella848[[#This Row],[Colonna2]],Tabella951[Ortschaftsname],0)), "Name not found")</f>
        <v>9042</v>
      </c>
    </row>
    <row r="1093" spans="2:6">
      <c r="B1093" s="92" t="s">
        <v>154</v>
      </c>
      <c r="C1093" s="91" t="s">
        <v>1891</v>
      </c>
      <c r="D1093" s="93">
        <v>330</v>
      </c>
      <c r="E1093" s="93">
        <v>370</v>
      </c>
      <c r="F1093" s="103">
        <v>9063</v>
      </c>
    </row>
    <row r="1094" spans="2:6">
      <c r="B1094" s="92" t="s">
        <v>154</v>
      </c>
      <c r="C1094" s="91" t="s">
        <v>1879</v>
      </c>
      <c r="D1094" s="93">
        <v>330</v>
      </c>
      <c r="E1094" s="93">
        <v>260</v>
      </c>
      <c r="F1094" s="103">
        <v>9053</v>
      </c>
    </row>
    <row r="1095" spans="2:6">
      <c r="B1095" s="92" t="s">
        <v>154</v>
      </c>
      <c r="C1095" s="91" t="s">
        <v>1889</v>
      </c>
      <c r="D1095" s="93">
        <v>330</v>
      </c>
      <c r="E1095" s="93">
        <v>450</v>
      </c>
      <c r="F1095" s="103">
        <f>IFERROR(INDEX(Tabella951[PLZ],MATCH(Tabella848[[#This Row],[Colonna2]],Tabella951[Ortschaftsname],0)), "Name not found")</f>
        <v>9043</v>
      </c>
    </row>
    <row r="1096" spans="2:6">
      <c r="B1096" s="92" t="s">
        <v>154</v>
      </c>
      <c r="C1096" s="91" t="s">
        <v>1883</v>
      </c>
      <c r="D1096" s="93">
        <v>330</v>
      </c>
      <c r="E1096" s="93">
        <v>420</v>
      </c>
      <c r="F1096" s="103">
        <f>IFERROR(INDEX(Tabella951[PLZ],MATCH(Tabella848[[#This Row],[Colonna2]],Tabella951[Ortschaftsname],0)), "Name not found")</f>
        <v>9107</v>
      </c>
    </row>
    <row r="1097" spans="2:6">
      <c r="B1097" s="92" t="s">
        <v>154</v>
      </c>
      <c r="C1097" s="91" t="s">
        <v>1895</v>
      </c>
      <c r="D1097" s="93">
        <v>330</v>
      </c>
      <c r="E1097" s="93">
        <v>409.99999999999994</v>
      </c>
      <c r="F1097" s="103">
        <v>9044</v>
      </c>
    </row>
    <row r="1098" spans="2:6">
      <c r="B1098" s="92" t="s">
        <v>154</v>
      </c>
      <c r="C1098" s="91" t="s">
        <v>1885</v>
      </c>
      <c r="D1098" s="93">
        <v>330</v>
      </c>
      <c r="E1098" s="93">
        <v>390</v>
      </c>
      <c r="F1098" s="103">
        <f>IFERROR(INDEX(Tabella951[PLZ],MATCH(Tabella848[[#This Row],[Colonna2]],Tabella951[Ortschaftsname],0)), "Name not found")</f>
        <v>9104</v>
      </c>
    </row>
    <row r="1099" spans="2:6">
      <c r="B1099" s="92" t="s">
        <v>154</v>
      </c>
      <c r="C1099" s="91" t="s">
        <v>1884</v>
      </c>
      <c r="D1099" s="93">
        <v>330</v>
      </c>
      <c r="E1099" s="93">
        <v>320</v>
      </c>
      <c r="F1099" s="103">
        <f>IFERROR(INDEX(Tabella951[PLZ],MATCH(Tabella848[[#This Row],[Colonna2]],Tabella951[Ortschaftsname],0)), "Name not found")</f>
        <v>9428</v>
      </c>
    </row>
    <row r="1100" spans="2:6">
      <c r="B1100" s="92" t="s">
        <v>154</v>
      </c>
      <c r="C1100" s="91" t="s">
        <v>1886</v>
      </c>
      <c r="D1100" s="93">
        <v>330</v>
      </c>
      <c r="E1100" s="93">
        <v>390</v>
      </c>
      <c r="F1100" s="103">
        <f>IFERROR(INDEX(Tabella951[PLZ],MATCH(Tabella848[[#This Row],[Colonna2]],Tabella951[Ortschaftsname],0)), "Name not found")</f>
        <v>9427</v>
      </c>
    </row>
    <row r="1101" spans="2:6">
      <c r="B1101" s="92" t="s">
        <v>155</v>
      </c>
      <c r="C1101" s="91" t="s">
        <v>1898</v>
      </c>
      <c r="D1101" s="93">
        <v>96</v>
      </c>
      <c r="E1101" s="93">
        <v>56</v>
      </c>
      <c r="F1101" s="103">
        <f>IFERROR(INDEX(Tabella951[PLZ],MATCH(Tabella848[[#This Row],[Colonna2]],Tabella951[Ortschaftsname],0)), "Name not found")</f>
        <v>9050</v>
      </c>
    </row>
    <row r="1102" spans="2:6">
      <c r="B1102" s="92" t="s">
        <v>155</v>
      </c>
      <c r="C1102" s="91" t="s">
        <v>2631</v>
      </c>
      <c r="D1102" s="93">
        <v>96</v>
      </c>
      <c r="E1102" s="93">
        <v>79</v>
      </c>
      <c r="F1102" s="103">
        <f>IFERROR(INDEX(Tabella951[PLZ],MATCH(Tabella848[[#This Row],[Colonna2]],Tabella951[Ortschaftsname],0)), "Name not found")</f>
        <v>9108</v>
      </c>
    </row>
    <row r="1103" spans="2:6">
      <c r="B1103" s="92" t="s">
        <v>155</v>
      </c>
      <c r="C1103" s="91" t="s">
        <v>2632</v>
      </c>
      <c r="D1103" s="93">
        <v>96</v>
      </c>
      <c r="E1103" s="93">
        <v>96</v>
      </c>
      <c r="F1103" s="103">
        <f>IFERROR(INDEX(Tabella951[PLZ],MATCH(Tabella848[[#This Row],[Colonna2]],Tabella951[Ortschaftsname],0)), "Name not found")</f>
        <v>9413</v>
      </c>
    </row>
    <row r="1104" spans="2:6">
      <c r="B1104" s="92" t="s">
        <v>155</v>
      </c>
      <c r="C1104" s="91" t="s">
        <v>2633</v>
      </c>
      <c r="D1104" s="93">
        <v>96</v>
      </c>
      <c r="E1104" s="93">
        <v>87</v>
      </c>
      <c r="F1104" s="103">
        <v>9054</v>
      </c>
    </row>
    <row r="1105" spans="2:6">
      <c r="B1105" s="92" t="s">
        <v>155</v>
      </c>
      <c r="C1105" s="91" t="s">
        <v>2634</v>
      </c>
      <c r="D1105" s="93">
        <v>96</v>
      </c>
      <c r="E1105" s="93">
        <v>83</v>
      </c>
      <c r="F1105" s="103">
        <v>9050</v>
      </c>
    </row>
    <row r="1106" spans="2:6">
      <c r="B1106" s="92" t="s">
        <v>142</v>
      </c>
      <c r="C1106" s="91" t="s">
        <v>1826</v>
      </c>
      <c r="D1106" s="93">
        <v>105</v>
      </c>
      <c r="E1106" s="93">
        <v>113</v>
      </c>
      <c r="F1106" s="103">
        <v>9450</v>
      </c>
    </row>
    <row r="1107" spans="2:6">
      <c r="B1107" s="92" t="s">
        <v>142</v>
      </c>
      <c r="C1107" s="91" t="s">
        <v>1864</v>
      </c>
      <c r="D1107" s="93">
        <v>105</v>
      </c>
      <c r="E1107" s="93">
        <v>107</v>
      </c>
      <c r="F1107" s="103">
        <f>IFERROR(INDEX(Tabella951[PLZ],MATCH(Tabella848[[#This Row],[Colonna2]],Tabella951[Ortschaftsname],0)), "Name not found")</f>
        <v>8873</v>
      </c>
    </row>
    <row r="1108" spans="2:6">
      <c r="B1108" s="92" t="s">
        <v>142</v>
      </c>
      <c r="C1108" s="91" t="s">
        <v>1862</v>
      </c>
      <c r="D1108" s="93">
        <v>105</v>
      </c>
      <c r="E1108" s="93">
        <v>113</v>
      </c>
      <c r="F1108" s="103">
        <v>9204</v>
      </c>
    </row>
    <row r="1109" spans="2:6">
      <c r="B1109" s="92" t="s">
        <v>142</v>
      </c>
      <c r="C1109" s="91" t="s">
        <v>2635</v>
      </c>
      <c r="D1109" s="93">
        <v>105</v>
      </c>
      <c r="E1109" s="93">
        <v>89</v>
      </c>
      <c r="F1109" s="103">
        <v>9434</v>
      </c>
    </row>
    <row r="1110" spans="2:6">
      <c r="B1110" s="92" t="s">
        <v>142</v>
      </c>
      <c r="C1110" s="91" t="s">
        <v>2636</v>
      </c>
      <c r="D1110" s="93">
        <v>105</v>
      </c>
      <c r="E1110" s="93">
        <v>92</v>
      </c>
      <c r="F1110" s="103">
        <f>IFERROR(INDEX(Tabella951[PLZ],MATCH(Tabella848[[#This Row],[Colonna2]],Tabella951[Ortschaftsname],0)), "Name not found")</f>
        <v>7310</v>
      </c>
    </row>
    <row r="1111" spans="2:6">
      <c r="B1111" s="92" t="s">
        <v>142</v>
      </c>
      <c r="C1111" s="91" t="s">
        <v>1840</v>
      </c>
      <c r="D1111" s="93">
        <v>105</v>
      </c>
      <c r="E1111" s="93">
        <v>61</v>
      </c>
      <c r="F1111" s="103">
        <f>IFERROR(INDEX(Tabella951[PLZ],MATCH(Tabella848[[#This Row],[Colonna2]],Tabella951[Ortschaftsname],0)), "Name not found")</f>
        <v>9436</v>
      </c>
    </row>
    <row r="1112" spans="2:6">
      <c r="B1112" s="92" t="s">
        <v>142</v>
      </c>
      <c r="C1112" s="91" t="s">
        <v>1856</v>
      </c>
      <c r="D1112" s="93">
        <v>105</v>
      </c>
      <c r="E1112" s="93">
        <v>117</v>
      </c>
      <c r="F1112" s="103">
        <v>8717</v>
      </c>
    </row>
    <row r="1113" spans="2:6">
      <c r="B1113" s="92" t="s">
        <v>142</v>
      </c>
      <c r="C1113" s="91" t="s">
        <v>1876</v>
      </c>
      <c r="D1113" s="93">
        <v>105</v>
      </c>
      <c r="E1113" s="93">
        <v>123</v>
      </c>
      <c r="F1113" s="103">
        <v>9305</v>
      </c>
    </row>
    <row r="1114" spans="2:6">
      <c r="B1114" s="92" t="s">
        <v>142</v>
      </c>
      <c r="C1114" s="91" t="s">
        <v>1845</v>
      </c>
      <c r="D1114" s="93">
        <v>105</v>
      </c>
      <c r="E1114" s="93">
        <v>92</v>
      </c>
      <c r="F1114" s="103">
        <f>IFERROR(INDEX(Tabella951[PLZ],MATCH(Tabella848[[#This Row],[Colonna2]],Tabella951[Ortschaftsname],0)), "Name not found")</f>
        <v>9442</v>
      </c>
    </row>
    <row r="1115" spans="2:6">
      <c r="B1115" s="92" t="s">
        <v>142</v>
      </c>
      <c r="C1115" s="91" t="s">
        <v>2637</v>
      </c>
      <c r="D1115" s="93">
        <v>105</v>
      </c>
      <c r="E1115" s="93">
        <v>118</v>
      </c>
      <c r="F1115" s="103">
        <v>9470</v>
      </c>
    </row>
    <row r="1116" spans="2:6">
      <c r="B1116" s="92" t="s">
        <v>142</v>
      </c>
      <c r="C1116" s="91" t="s">
        <v>1839</v>
      </c>
      <c r="D1116" s="93">
        <v>105</v>
      </c>
      <c r="E1116" s="93">
        <v>119</v>
      </c>
      <c r="F1116" s="103">
        <v>9606</v>
      </c>
    </row>
    <row r="1117" spans="2:6">
      <c r="B1117" s="92" t="s">
        <v>142</v>
      </c>
      <c r="C1117" s="91" t="s">
        <v>1844</v>
      </c>
      <c r="D1117" s="93">
        <v>105</v>
      </c>
      <c r="E1117" s="93">
        <v>144</v>
      </c>
      <c r="F1117" s="103">
        <f>IFERROR(INDEX(Tabella951[PLZ],MATCH(Tabella848[[#This Row],[Colonna2]],Tabella951[Ortschaftsname],0)), "Name not found")</f>
        <v>9113</v>
      </c>
    </row>
    <row r="1118" spans="2:6">
      <c r="B1118" s="92" t="s">
        <v>142</v>
      </c>
      <c r="C1118" s="91" t="s">
        <v>2638</v>
      </c>
      <c r="D1118" s="93">
        <v>105</v>
      </c>
      <c r="E1118" s="93">
        <v>81</v>
      </c>
      <c r="F1118" s="103">
        <f>IFERROR(INDEX(Tabella951[PLZ],MATCH(Tabella848[[#This Row],[Colonna2]],Tabella951[Ortschaftsname],0)), "Name not found")</f>
        <v>9444</v>
      </c>
    </row>
    <row r="1119" spans="2:6">
      <c r="B1119" s="92" t="s">
        <v>142</v>
      </c>
      <c r="C1119" s="91" t="s">
        <v>1834</v>
      </c>
      <c r="D1119" s="93">
        <v>105</v>
      </c>
      <c r="E1119" s="93">
        <v>139</v>
      </c>
      <c r="F1119" s="103">
        <f>IFERROR(INDEX(Tabella951[PLZ],MATCH(Tabella848[[#This Row],[Colonna2]],Tabella951[Ortschaftsname],0)), "Name not found")</f>
        <v>9642</v>
      </c>
    </row>
    <row r="1120" spans="2:6">
      <c r="B1120" s="92" t="s">
        <v>142</v>
      </c>
      <c r="C1120" s="91" t="s">
        <v>1860</v>
      </c>
      <c r="D1120" s="93">
        <v>105</v>
      </c>
      <c r="E1120" s="93">
        <v>120</v>
      </c>
      <c r="F1120" s="103">
        <f>IFERROR(INDEX(Tabella951[PLZ],MATCH(Tabella848[[#This Row],[Colonna2]],Tabella951[Ortschaftsname],0)), "Name not found")</f>
        <v>9034</v>
      </c>
    </row>
    <row r="1121" spans="2:6">
      <c r="B1121" s="92" t="s">
        <v>142</v>
      </c>
      <c r="C1121" s="91" t="s">
        <v>1869</v>
      </c>
      <c r="D1121" s="93">
        <v>105</v>
      </c>
      <c r="E1121" s="93">
        <v>104</v>
      </c>
      <c r="F1121" s="103">
        <f>IFERROR(INDEX(Tabella951[PLZ],MATCH(Tabella848[[#This Row],[Colonna2]],Tabella951[Ortschaftsname],0)), "Name not found")</f>
        <v>9453</v>
      </c>
    </row>
    <row r="1122" spans="2:6">
      <c r="B1122" s="92" t="s">
        <v>142</v>
      </c>
      <c r="C1122" s="91" t="s">
        <v>2639</v>
      </c>
      <c r="D1122" s="93">
        <v>105</v>
      </c>
      <c r="E1122" s="93">
        <v>117</v>
      </c>
      <c r="F1122" s="103">
        <v>8733</v>
      </c>
    </row>
    <row r="1123" spans="2:6">
      <c r="B1123" s="92" t="s">
        <v>142</v>
      </c>
      <c r="C1123" s="91" t="s">
        <v>2640</v>
      </c>
      <c r="D1123" s="93">
        <v>105</v>
      </c>
      <c r="E1123" s="93">
        <v>124</v>
      </c>
      <c r="F1123" s="103">
        <f>IFERROR(INDEX(Tabella951[PLZ],MATCH(Tabella848[[#This Row],[Colonna2]],Tabella951[Ortschaftsname],0)), "Name not found")</f>
        <v>9230</v>
      </c>
    </row>
    <row r="1124" spans="2:6">
      <c r="B1124" s="92" t="s">
        <v>142</v>
      </c>
      <c r="C1124" s="91" t="s">
        <v>1835</v>
      </c>
      <c r="D1124" s="93">
        <v>105</v>
      </c>
      <c r="E1124" s="93">
        <v>125</v>
      </c>
      <c r="F1124" s="103">
        <f>IFERROR(INDEX(Tabella951[PLZ],MATCH(Tabella848[[#This Row],[Colonna2]],Tabella951[Ortschaftsname],0)), "Name not found")</f>
        <v>8890</v>
      </c>
    </row>
    <row r="1125" spans="2:6">
      <c r="B1125" s="92" t="s">
        <v>142</v>
      </c>
      <c r="C1125" s="91" t="s">
        <v>2641</v>
      </c>
      <c r="D1125" s="93">
        <v>105</v>
      </c>
      <c r="E1125" s="93">
        <v>103</v>
      </c>
      <c r="F1125" s="103">
        <v>9030</v>
      </c>
    </row>
    <row r="1126" spans="2:6">
      <c r="B1126" s="92" t="s">
        <v>142</v>
      </c>
      <c r="C1126" s="91" t="s">
        <v>1854</v>
      </c>
      <c r="D1126" s="93">
        <v>105</v>
      </c>
      <c r="E1126" s="93">
        <v>118</v>
      </c>
      <c r="F1126" s="103">
        <f>IFERROR(INDEX(Tabella951[PLZ],MATCH(Tabella848[[#This Row],[Colonna2]],Tabella951[Ortschaftsname],0)), "Name not found")</f>
        <v>9473</v>
      </c>
    </row>
    <row r="1127" spans="2:6">
      <c r="B1127" s="92" t="s">
        <v>142</v>
      </c>
      <c r="C1127" s="91" t="s">
        <v>2642</v>
      </c>
      <c r="D1127" s="93">
        <v>105</v>
      </c>
      <c r="E1127" s="93">
        <v>91</v>
      </c>
      <c r="F1127" s="103">
        <f>IFERROR(INDEX(Tabella951[PLZ],MATCH(Tabella848[[#This Row],[Colonna2]],Tabella951[Ortschaftsname],0)), "Name not found")</f>
        <v>9403</v>
      </c>
    </row>
    <row r="1128" spans="2:6">
      <c r="B1128" s="92" t="s">
        <v>142</v>
      </c>
      <c r="C1128" s="91" t="s">
        <v>1832</v>
      </c>
      <c r="D1128" s="93">
        <v>105</v>
      </c>
      <c r="E1128" s="93">
        <v>103</v>
      </c>
      <c r="F1128" s="103">
        <f>IFERROR(INDEX(Tabella951[PLZ],MATCH(Tabella848[[#This Row],[Colonna2]],Tabella951[Ortschaftsname],0)), "Name not found")</f>
        <v>8737</v>
      </c>
    </row>
    <row r="1129" spans="2:6">
      <c r="B1129" s="92" t="s">
        <v>142</v>
      </c>
      <c r="C1129" s="91" t="s">
        <v>2643</v>
      </c>
      <c r="D1129" s="93">
        <v>105</v>
      </c>
      <c r="E1129" s="93">
        <v>116</v>
      </c>
      <c r="F1129" s="103">
        <v>9200</v>
      </c>
    </row>
    <row r="1130" spans="2:6">
      <c r="B1130" s="92" t="s">
        <v>142</v>
      </c>
      <c r="C1130" s="91" t="s">
        <v>2643</v>
      </c>
      <c r="D1130" s="93">
        <v>105</v>
      </c>
      <c r="E1130" s="93">
        <v>116</v>
      </c>
      <c r="F1130" s="103">
        <v>9201</v>
      </c>
    </row>
    <row r="1131" spans="2:6">
      <c r="B1131" s="92" t="s">
        <v>142</v>
      </c>
      <c r="C1131" s="91" t="s">
        <v>2644</v>
      </c>
      <c r="D1131" s="93">
        <v>105</v>
      </c>
      <c r="E1131" s="93">
        <v>100</v>
      </c>
      <c r="F1131" s="103">
        <f>IFERROR(INDEX(Tabella951[PLZ],MATCH(Tabella848[[#This Row],[Colonna2]],Tabella951[Ortschaftsname],0)), "Name not found")</f>
        <v>9472</v>
      </c>
    </row>
    <row r="1132" spans="2:6">
      <c r="B1132" s="92" t="s">
        <v>142</v>
      </c>
      <c r="C1132" s="91" t="s">
        <v>1871</v>
      </c>
      <c r="D1132" s="93">
        <v>105</v>
      </c>
      <c r="E1132" s="93">
        <v>115</v>
      </c>
      <c r="F1132" s="103">
        <f>IFERROR(INDEX(Tabella951[PLZ],MATCH(Tabella848[[#This Row],[Colonna2]],Tabella951[Ortschaftsname],0)), "Name not found")</f>
        <v>9312</v>
      </c>
    </row>
    <row r="1133" spans="2:6">
      <c r="B1133" s="92" t="s">
        <v>142</v>
      </c>
      <c r="C1133" s="91" t="s">
        <v>1847</v>
      </c>
      <c r="D1133" s="93">
        <v>105</v>
      </c>
      <c r="E1133" s="93">
        <v>117</v>
      </c>
      <c r="F1133" s="103">
        <f>IFERROR(INDEX(Tabella951[PLZ],MATCH(Tabella848[[#This Row],[Colonna2]],Tabella951[Ortschaftsname],0)), "Name not found")</f>
        <v>9243</v>
      </c>
    </row>
    <row r="1134" spans="2:6">
      <c r="B1134" s="92" t="s">
        <v>142</v>
      </c>
      <c r="C1134" s="91" t="s">
        <v>1837</v>
      </c>
      <c r="D1134" s="93">
        <v>105</v>
      </c>
      <c r="E1134" s="93">
        <v>106</v>
      </c>
      <c r="F1134" s="103">
        <f>IFERROR(INDEX(Tabella951[PLZ],MATCH(Tabella848[[#This Row],[Colonna2]],Tabella951[Ortschaftsname],0)), "Name not found")</f>
        <v>8722</v>
      </c>
    </row>
    <row r="1135" spans="2:6">
      <c r="B1135" s="92" t="s">
        <v>142</v>
      </c>
      <c r="C1135" s="91" t="s">
        <v>2645</v>
      </c>
      <c r="D1135" s="93">
        <v>105</v>
      </c>
      <c r="E1135" s="93">
        <v>120</v>
      </c>
      <c r="F1135" s="103">
        <v>9533</v>
      </c>
    </row>
    <row r="1136" spans="2:6">
      <c r="B1136" s="92" t="s">
        <v>142</v>
      </c>
      <c r="C1136" s="91" t="s">
        <v>1863</v>
      </c>
      <c r="D1136" s="93">
        <v>105</v>
      </c>
      <c r="E1136" s="93">
        <v>129</v>
      </c>
      <c r="F1136" s="103">
        <f>IFERROR(INDEX(Tabella951[PLZ],MATCH(Tabella848[[#This Row],[Colonna2]],Tabella951[Ortschaftsname],0)), "Name not found")</f>
        <v>9620</v>
      </c>
    </row>
    <row r="1137" spans="2:6">
      <c r="B1137" s="92" t="s">
        <v>142</v>
      </c>
      <c r="C1137" s="91" t="s">
        <v>1867</v>
      </c>
      <c r="D1137" s="93">
        <v>105</v>
      </c>
      <c r="E1137" s="93">
        <v>125</v>
      </c>
      <c r="F1137" s="103">
        <f>IFERROR(INDEX(Tabella951[PLZ],MATCH(Tabella848[[#This Row],[Colonna2]],Tabella951[Ortschaftsname],0)), "Name not found")</f>
        <v>9604</v>
      </c>
    </row>
    <row r="1138" spans="2:6">
      <c r="B1138" s="92" t="s">
        <v>142</v>
      </c>
      <c r="C1138" s="91" t="s">
        <v>1861</v>
      </c>
      <c r="D1138" s="93">
        <v>105</v>
      </c>
      <c r="E1138" s="93">
        <v>102</v>
      </c>
      <c r="F1138" s="103">
        <v>9437</v>
      </c>
    </row>
    <row r="1139" spans="2:6">
      <c r="B1139" s="92" t="s">
        <v>142</v>
      </c>
      <c r="C1139" s="91" t="s">
        <v>2646</v>
      </c>
      <c r="D1139" s="93">
        <v>105</v>
      </c>
      <c r="E1139" s="93">
        <v>128</v>
      </c>
      <c r="F1139" s="103">
        <f>IFERROR(INDEX(Tabella951[PLZ],MATCH(Tabella848[[#This Row],[Colonna2]],Tabella951[Ortschaftsname],0)), "Name not found")</f>
        <v>8887</v>
      </c>
    </row>
    <row r="1140" spans="2:6">
      <c r="B1140" s="92" t="s">
        <v>142</v>
      </c>
      <c r="C1140" s="91" t="s">
        <v>1857</v>
      </c>
      <c r="D1140" s="93">
        <v>105</v>
      </c>
      <c r="E1140" s="93">
        <v>129</v>
      </c>
      <c r="F1140" s="103">
        <f>IFERROR(INDEX(Tabella951[PLZ],MATCH(Tabella848[[#This Row],[Colonna2]],Tabella951[Ortschaftsname],0)), "Name not found")</f>
        <v>9607</v>
      </c>
    </row>
    <row r="1141" spans="2:6">
      <c r="B1141" s="92" t="s">
        <v>142</v>
      </c>
      <c r="C1141" s="91" t="s">
        <v>1873</v>
      </c>
      <c r="D1141" s="93">
        <v>105</v>
      </c>
      <c r="E1141" s="93">
        <v>119</v>
      </c>
      <c r="F1141" s="103">
        <f>IFERROR(INDEX(Tabella951[PLZ],MATCH(Tabella848[[#This Row],[Colonna2]],Tabella951[Ortschaftsname],0)), "Name not found")</f>
        <v>9313</v>
      </c>
    </row>
    <row r="1142" spans="2:6">
      <c r="B1142" s="92" t="s">
        <v>142</v>
      </c>
      <c r="C1142" s="91" t="s">
        <v>1851</v>
      </c>
      <c r="D1142" s="93">
        <v>105</v>
      </c>
      <c r="E1142" s="93">
        <v>70</v>
      </c>
      <c r="F1142" s="103">
        <f>IFERROR(INDEX(Tabella951[PLZ],MATCH(Tabella848[[#This Row],[Colonna2]],Tabella951[Ortschaftsname],0)), "Name not found")</f>
        <v>9402</v>
      </c>
    </row>
    <row r="1143" spans="2:6">
      <c r="B1143" s="92" t="s">
        <v>142</v>
      </c>
      <c r="C1143" s="91" t="s">
        <v>1843</v>
      </c>
      <c r="D1143" s="93">
        <v>105</v>
      </c>
      <c r="E1143" s="93">
        <v>120</v>
      </c>
      <c r="F1143" s="103">
        <v>9122</v>
      </c>
    </row>
    <row r="1144" spans="2:6">
      <c r="B1144" s="92" t="s">
        <v>142</v>
      </c>
      <c r="C1144" s="91" t="s">
        <v>1849</v>
      </c>
      <c r="D1144" s="93">
        <v>105</v>
      </c>
      <c r="E1144" s="93">
        <v>114</v>
      </c>
      <c r="F1144" s="103">
        <f>IFERROR(INDEX(Tabella951[PLZ],MATCH(Tabella848[[#This Row],[Colonna2]],Tabella951[Ortschaftsname],0)), "Name not found")</f>
        <v>9650</v>
      </c>
    </row>
    <row r="1145" spans="2:6">
      <c r="B1145" s="92" t="s">
        <v>142</v>
      </c>
      <c r="C1145" s="91" t="s">
        <v>1868</v>
      </c>
      <c r="D1145" s="93">
        <v>105</v>
      </c>
      <c r="E1145" s="93">
        <v>120</v>
      </c>
      <c r="F1145" s="103">
        <f>IFERROR(INDEX(Tabella951[PLZ],MATCH(Tabella848[[#This Row],[Colonna2]],Tabella951[Ortschaftsname],0)), "Name not found")</f>
        <v>9246</v>
      </c>
    </row>
    <row r="1146" spans="2:6">
      <c r="B1146" s="92" t="s">
        <v>142</v>
      </c>
      <c r="C1146" s="91" t="s">
        <v>1855</v>
      </c>
      <c r="D1146" s="93">
        <v>105</v>
      </c>
      <c r="E1146" s="93">
        <v>104</v>
      </c>
      <c r="F1146" s="103">
        <f>IFERROR(INDEX(Tabella951[PLZ],MATCH(Tabella848[[#This Row],[Colonna2]],Tabella951[Ortschaftsname],0)), "Name not found")</f>
        <v>9527</v>
      </c>
    </row>
    <row r="1147" spans="2:6">
      <c r="B1147" s="92" t="s">
        <v>142</v>
      </c>
      <c r="C1147" s="91" t="s">
        <v>1842</v>
      </c>
      <c r="D1147" s="93">
        <v>105</v>
      </c>
      <c r="E1147" s="93">
        <v>100</v>
      </c>
      <c r="F1147" s="103">
        <f>IFERROR(INDEX(Tabella951[PLZ],MATCH(Tabella848[[#This Row],[Colonna2]],Tabella951[Ortschaftsname],0)), "Name not found")</f>
        <v>9245</v>
      </c>
    </row>
    <row r="1148" spans="2:6">
      <c r="B1148" s="92" t="s">
        <v>142</v>
      </c>
      <c r="C1148" s="91" t="s">
        <v>2647</v>
      </c>
      <c r="D1148" s="93">
        <v>105</v>
      </c>
      <c r="E1148" s="93">
        <v>99</v>
      </c>
      <c r="F1148" s="103">
        <v>9463</v>
      </c>
    </row>
    <row r="1149" spans="2:6">
      <c r="B1149" s="92" t="s">
        <v>142</v>
      </c>
      <c r="C1149" s="91" t="s">
        <v>2648</v>
      </c>
      <c r="D1149" s="93">
        <v>105</v>
      </c>
      <c r="E1149" s="93">
        <v>117</v>
      </c>
      <c r="F1149" s="103">
        <f>IFERROR(INDEX(Tabella951[PLZ],MATCH(Tabella848[[#This Row],[Colonna2]],Tabella951[Ortschaftsname],0)), "Name not found")</f>
        <v>9242</v>
      </c>
    </row>
    <row r="1150" spans="2:6">
      <c r="B1150" s="92" t="s">
        <v>142</v>
      </c>
      <c r="C1150" s="91" t="s">
        <v>1866</v>
      </c>
      <c r="D1150" s="93">
        <v>105</v>
      </c>
      <c r="E1150" s="93">
        <v>139</v>
      </c>
      <c r="F1150" s="103">
        <f>IFERROR(INDEX(Tabella951[PLZ],MATCH(Tabella848[[#This Row],[Colonna2]],Tabella951[Ortschaftsname],0)), "Name not found")</f>
        <v>7312</v>
      </c>
    </row>
    <row r="1151" spans="2:6">
      <c r="B1151" s="92" t="s">
        <v>142</v>
      </c>
      <c r="C1151" s="91" t="s">
        <v>2649</v>
      </c>
      <c r="D1151" s="93">
        <v>105</v>
      </c>
      <c r="E1151" s="93">
        <v>107</v>
      </c>
      <c r="F1151" s="103">
        <f>IFERROR(INDEX(Tabella951[PLZ],MATCH(Tabella848[[#This Row],[Colonna2]],Tabella951[Ortschaftsname],0)), "Name not found")</f>
        <v>8883</v>
      </c>
    </row>
    <row r="1152" spans="2:6">
      <c r="B1152" s="92" t="s">
        <v>142</v>
      </c>
      <c r="C1152" s="91" t="s">
        <v>1823</v>
      </c>
      <c r="D1152" s="93">
        <v>105</v>
      </c>
      <c r="E1152" s="93">
        <v>74</v>
      </c>
      <c r="F1152" s="103">
        <v>8640</v>
      </c>
    </row>
    <row r="1153" spans="2:6">
      <c r="B1153" s="92" t="s">
        <v>142</v>
      </c>
      <c r="C1153" s="91" t="s">
        <v>1841</v>
      </c>
      <c r="D1153" s="93">
        <v>105</v>
      </c>
      <c r="E1153" s="93">
        <v>101</v>
      </c>
      <c r="F1153" s="103">
        <f>IFERROR(INDEX(Tabella951[PLZ],MATCH(Tabella848[[#This Row],[Colonna2]],Tabella951[Ortschaftsname],0)), "Name not found")</f>
        <v>9445</v>
      </c>
    </row>
    <row r="1154" spans="2:6">
      <c r="B1154" s="92" t="s">
        <v>142</v>
      </c>
      <c r="C1154" s="91" t="s">
        <v>1853</v>
      </c>
      <c r="D1154" s="93">
        <v>105</v>
      </c>
      <c r="E1154" s="93">
        <v>113</v>
      </c>
      <c r="F1154" s="103">
        <f>IFERROR(INDEX(Tabella951[PLZ],MATCH(Tabella848[[#This Row],[Colonna2]],Tabella951[Ortschaftsname],0)), "Name not found")</f>
        <v>9424</v>
      </c>
    </row>
    <row r="1155" spans="2:6">
      <c r="B1155" s="92" t="s">
        <v>142</v>
      </c>
      <c r="C1155" s="91" t="s">
        <v>2650</v>
      </c>
      <c r="D1155" s="93">
        <v>105</v>
      </c>
      <c r="E1155" s="93">
        <v>129</v>
      </c>
      <c r="F1155" s="103">
        <f>IFERROR(INDEX(Tabella951[PLZ],MATCH(Tabella848[[#This Row],[Colonna2]],Tabella951[Ortschaftsname],0)), "Name not found")</f>
        <v>9400</v>
      </c>
    </row>
    <row r="1156" spans="2:6">
      <c r="B1156" s="92" t="s">
        <v>142</v>
      </c>
      <c r="C1156" s="91" t="s">
        <v>2651</v>
      </c>
      <c r="D1156" s="93">
        <v>105</v>
      </c>
      <c r="E1156" s="93">
        <v>98</v>
      </c>
      <c r="F1156" s="103">
        <f>IFERROR(INDEX(Tabella951[PLZ],MATCH(Tabella848[[#This Row],[Colonna2]],Tabella951[Ortschaftsname],0)), "Name not found")</f>
        <v>9404</v>
      </c>
    </row>
    <row r="1157" spans="2:6">
      <c r="B1157" s="92" t="s">
        <v>142</v>
      </c>
      <c r="C1157" s="91" t="s">
        <v>1859</v>
      </c>
      <c r="D1157" s="93">
        <v>105</v>
      </c>
      <c r="E1157" s="93">
        <v>109</v>
      </c>
      <c r="F1157" s="103">
        <v>9464</v>
      </c>
    </row>
    <row r="1158" spans="2:6">
      <c r="B1158" s="92" t="s">
        <v>142</v>
      </c>
      <c r="C1158" s="91" t="s">
        <v>1829</v>
      </c>
      <c r="D1158" s="93">
        <v>105</v>
      </c>
      <c r="E1158" s="93">
        <v>129</v>
      </c>
      <c r="F1158" s="103">
        <f>IFERROR(INDEX(Tabella951[PLZ],MATCH(Tabella848[[#This Row],[Colonna2]],Tabella951[Ortschaftsname],0)), "Name not found")</f>
        <v>7320</v>
      </c>
    </row>
    <row r="1159" spans="2:6">
      <c r="B1159" s="92" t="s">
        <v>142</v>
      </c>
      <c r="C1159" s="91" t="s">
        <v>1848</v>
      </c>
      <c r="D1159" s="93">
        <v>105</v>
      </c>
      <c r="E1159" s="93">
        <v>113</v>
      </c>
      <c r="F1159" s="103">
        <f>IFERROR(INDEX(Tabella951[PLZ],MATCH(Tabella848[[#This Row],[Colonna2]],Tabella951[Ortschaftsname],0)), "Name not found")</f>
        <v>8716</v>
      </c>
    </row>
    <row r="1160" spans="2:6">
      <c r="B1160" s="92" t="s">
        <v>142</v>
      </c>
      <c r="C1160" s="91" t="s">
        <v>1846</v>
      </c>
      <c r="D1160" s="93">
        <v>105</v>
      </c>
      <c r="E1160" s="93">
        <v>125</v>
      </c>
      <c r="F1160" s="103">
        <f>IFERROR(INDEX(Tabella951[PLZ],MATCH(Tabella848[[#This Row],[Colonna2]],Tabella951[Ortschaftsname],0)), "Name not found")</f>
        <v>8718</v>
      </c>
    </row>
    <row r="1161" spans="2:6">
      <c r="B1161" s="92" t="s">
        <v>142</v>
      </c>
      <c r="C1161" s="91" t="s">
        <v>1830</v>
      </c>
      <c r="D1161" s="93">
        <v>105</v>
      </c>
      <c r="E1161" s="93">
        <v>70</v>
      </c>
      <c r="F1161" s="103">
        <f>IFERROR(INDEX(Tabella951[PLZ],MATCH(Tabella848[[#This Row],[Colonna2]],Tabella951[Ortschaftsname],0)), "Name not found")</f>
        <v>9466</v>
      </c>
    </row>
    <row r="1162" spans="2:6">
      <c r="B1162" s="92" t="s">
        <v>142</v>
      </c>
      <c r="C1162" s="91" t="s">
        <v>1833</v>
      </c>
      <c r="D1162" s="93">
        <v>105</v>
      </c>
      <c r="E1162" s="93">
        <v>118</v>
      </c>
      <c r="F1162" s="103">
        <f>IFERROR(INDEX(Tabella951[PLZ],MATCH(Tabella848[[#This Row],[Colonna2]],Tabella951[Ortschaftsname],0)), "Name not found")</f>
        <v>9475</v>
      </c>
    </row>
    <row r="1163" spans="2:6">
      <c r="B1163" s="92" t="s">
        <v>142</v>
      </c>
      <c r="C1163" s="91" t="s">
        <v>170</v>
      </c>
      <c r="D1163" s="93">
        <v>105</v>
      </c>
      <c r="E1163" s="93">
        <v>138</v>
      </c>
      <c r="F1163" s="103">
        <f>IFERROR(INDEX(Tabella951[PLZ],MATCH(Tabella848[[#This Row],[Colonna2]],Tabella951[Ortschaftsname],0)), "Name not found")</f>
        <v>9014</v>
      </c>
    </row>
    <row r="1164" spans="2:6">
      <c r="B1164" s="92" t="s">
        <v>142</v>
      </c>
      <c r="C1164" s="91" t="s">
        <v>2652</v>
      </c>
      <c r="D1164" s="93">
        <v>105</v>
      </c>
      <c r="E1164" s="93">
        <v>102</v>
      </c>
      <c r="F1164" s="103">
        <v>9430</v>
      </c>
    </row>
    <row r="1165" spans="2:6">
      <c r="B1165" s="92" t="s">
        <v>142</v>
      </c>
      <c r="C1165" s="91" t="s">
        <v>1850</v>
      </c>
      <c r="D1165" s="93">
        <v>105</v>
      </c>
      <c r="E1165" s="93">
        <v>115</v>
      </c>
      <c r="F1165" s="103">
        <f>IFERROR(INDEX(Tabella951[PLZ],MATCH(Tabella848[[#This Row],[Colonna2]],Tabella951[Ortschaftsname],0)), "Name not found")</f>
        <v>9323</v>
      </c>
    </row>
    <row r="1166" spans="2:6">
      <c r="B1166" s="92" t="s">
        <v>142</v>
      </c>
      <c r="C1166" s="91" t="s">
        <v>2653</v>
      </c>
      <c r="D1166" s="93">
        <v>105</v>
      </c>
      <c r="E1166" s="93">
        <v>89</v>
      </c>
      <c r="F1166" s="103">
        <f>IFERROR(INDEX(Tabella951[PLZ],MATCH(Tabella848[[#This Row],[Colonna2]],Tabella951[Ortschaftsname],0)), "Name not found")</f>
        <v>9425</v>
      </c>
    </row>
    <row r="1167" spans="2:6">
      <c r="B1167" s="92" t="s">
        <v>142</v>
      </c>
      <c r="C1167" s="91" t="s">
        <v>1870</v>
      </c>
      <c r="D1167" s="93">
        <v>105</v>
      </c>
      <c r="E1167" s="93">
        <v>79</v>
      </c>
      <c r="F1167" s="103">
        <f>IFERROR(INDEX(Tabella951[PLZ],MATCH(Tabella848[[#This Row],[Colonna2]],Tabella951[Ortschaftsname],0)), "Name not found")</f>
        <v>9327</v>
      </c>
    </row>
    <row r="1168" spans="2:6">
      <c r="B1168" s="92" t="s">
        <v>142</v>
      </c>
      <c r="C1168" s="91" t="s">
        <v>1874</v>
      </c>
      <c r="D1168" s="93">
        <v>105</v>
      </c>
      <c r="E1168" s="93">
        <v>119</v>
      </c>
      <c r="F1168" s="103">
        <f>IFERROR(INDEX(Tabella951[PLZ],MATCH(Tabella848[[#This Row],[Colonna2]],Tabella951[Ortschaftsname],0)), "Name not found")</f>
        <v>9033</v>
      </c>
    </row>
    <row r="1169" spans="2:6">
      <c r="B1169" s="92" t="s">
        <v>142</v>
      </c>
      <c r="C1169" s="91" t="s">
        <v>1825</v>
      </c>
      <c r="D1169" s="93">
        <v>105</v>
      </c>
      <c r="E1169" s="93">
        <v>110</v>
      </c>
      <c r="F1169" s="103">
        <f>IFERROR(INDEX(Tabella951[PLZ],MATCH(Tabella848[[#This Row],[Colonna2]],Tabella951[Ortschaftsname],0)), "Name not found")</f>
        <v>8730</v>
      </c>
    </row>
    <row r="1170" spans="2:6">
      <c r="B1170" s="92" t="s">
        <v>142</v>
      </c>
      <c r="C1170" s="91" t="s">
        <v>2654</v>
      </c>
      <c r="D1170" s="93">
        <v>105</v>
      </c>
      <c r="E1170" s="93">
        <v>122</v>
      </c>
      <c r="F1170" s="103">
        <f>IFERROR(INDEX(Tabella951[PLZ],MATCH(Tabella848[[#This Row],[Colonna2]],Tabella951[Ortschaftsname],0)), "Name not found")</f>
        <v>9240</v>
      </c>
    </row>
    <row r="1171" spans="2:6">
      <c r="B1171" s="92" t="s">
        <v>142</v>
      </c>
      <c r="C1171" s="91" t="s">
        <v>1836</v>
      </c>
      <c r="D1171" s="93">
        <v>105</v>
      </c>
      <c r="E1171" s="93">
        <v>120</v>
      </c>
      <c r="F1171" s="103">
        <v>7323</v>
      </c>
    </row>
    <row r="1172" spans="2:6">
      <c r="B1172" s="92" t="s">
        <v>142</v>
      </c>
      <c r="C1172" s="91" t="s">
        <v>1852</v>
      </c>
      <c r="D1172" s="93">
        <v>105</v>
      </c>
      <c r="E1172" s="93">
        <v>122</v>
      </c>
      <c r="F1172" s="103">
        <f>IFERROR(INDEX(Tabella951[PLZ],MATCH(Tabella848[[#This Row],[Colonna2]],Tabella951[Ortschaftsname],0)), "Name not found")</f>
        <v>9205</v>
      </c>
    </row>
    <row r="1173" spans="2:6">
      <c r="B1173" s="92" t="s">
        <v>142</v>
      </c>
      <c r="C1173" s="91" t="s">
        <v>1827</v>
      </c>
      <c r="D1173" s="93">
        <v>105</v>
      </c>
      <c r="E1173" s="93">
        <v>110</v>
      </c>
      <c r="F1173" s="103">
        <f>IFERROR(INDEX(Tabella951[PLZ],MATCH(Tabella848[[#This Row],[Colonna2]],Tabella951[Ortschaftsname],0)), "Name not found")</f>
        <v>8880</v>
      </c>
    </row>
    <row r="1174" spans="2:6">
      <c r="B1174" s="92" t="s">
        <v>142</v>
      </c>
      <c r="C1174" s="91" t="s">
        <v>1831</v>
      </c>
      <c r="D1174" s="93">
        <v>105</v>
      </c>
      <c r="E1174" s="93">
        <v>145</v>
      </c>
      <c r="F1174" s="103">
        <v>9478</v>
      </c>
    </row>
    <row r="1175" spans="2:6">
      <c r="B1175" s="92" t="s">
        <v>142</v>
      </c>
      <c r="C1175" s="91" t="s">
        <v>2655</v>
      </c>
      <c r="D1175" s="93">
        <v>105</v>
      </c>
      <c r="E1175" s="93">
        <v>129</v>
      </c>
      <c r="F1175" s="103">
        <f>IFERROR(INDEX(Tabella951[PLZ],MATCH(Tabella848[[#This Row],[Colonna2]],Tabella951[Ortschaftsname],0)), "Name not found")</f>
        <v>9630</v>
      </c>
    </row>
    <row r="1176" spans="2:6">
      <c r="B1176" s="92" t="s">
        <v>142</v>
      </c>
      <c r="C1176" s="91" t="s">
        <v>1865</v>
      </c>
      <c r="D1176" s="93">
        <v>105</v>
      </c>
      <c r="E1176" s="93">
        <v>115</v>
      </c>
      <c r="F1176" s="103">
        <f>IFERROR(INDEX(Tabella951[PLZ],MATCH(Tabella848[[#This Row],[Colonna2]],Tabella951[Ortschaftsname],0)), "Name not found")</f>
        <v>8872</v>
      </c>
    </row>
    <row r="1177" spans="2:6">
      <c r="B1177" s="92" t="s">
        <v>142</v>
      </c>
      <c r="C1177" s="91" t="s">
        <v>2656</v>
      </c>
      <c r="D1177" s="93">
        <v>105</v>
      </c>
      <c r="E1177" s="93">
        <v>76</v>
      </c>
      <c r="F1177" s="103">
        <f>IFERROR(INDEX(Tabella951[PLZ],MATCH(Tabella848[[#This Row],[Colonna2]],Tabella951[Ortschaftsname],0)), "Name not found")</f>
        <v>9443</v>
      </c>
    </row>
    <row r="1178" spans="2:6">
      <c r="B1178" s="92" t="s">
        <v>142</v>
      </c>
      <c r="C1178" s="91" t="s">
        <v>2657</v>
      </c>
      <c r="D1178" s="93">
        <v>105</v>
      </c>
      <c r="E1178" s="93">
        <v>115</v>
      </c>
      <c r="F1178" s="103">
        <v>9500</v>
      </c>
    </row>
    <row r="1179" spans="2:6">
      <c r="B1179" s="92" t="s">
        <v>142</v>
      </c>
      <c r="C1179" s="91" t="s">
        <v>2657</v>
      </c>
      <c r="D1179" s="93">
        <v>105</v>
      </c>
      <c r="E1179" s="93">
        <v>115</v>
      </c>
      <c r="F1179" s="103">
        <v>9501</v>
      </c>
    </row>
    <row r="1180" spans="2:6">
      <c r="B1180" s="92" t="s">
        <v>142</v>
      </c>
      <c r="C1180" s="91" t="s">
        <v>1858</v>
      </c>
      <c r="D1180" s="93">
        <v>105</v>
      </c>
      <c r="E1180" s="93">
        <v>118</v>
      </c>
      <c r="F1180" s="103">
        <v>9658</v>
      </c>
    </row>
    <row r="1181" spans="2:6">
      <c r="B1181" s="92" t="s">
        <v>142</v>
      </c>
      <c r="C1181" s="91" t="s">
        <v>2658</v>
      </c>
      <c r="D1181" s="93">
        <v>105</v>
      </c>
      <c r="E1181" s="93">
        <v>128</v>
      </c>
      <c r="F1181" s="103">
        <f>IFERROR(INDEX(Tabella951[PLZ],MATCH(Tabella848[[#This Row],[Colonna2]],Tabella951[Ortschaftsname],0)), "Name not found")</f>
        <v>9300</v>
      </c>
    </row>
    <row r="1182" spans="2:6">
      <c r="B1182" s="92" t="s">
        <v>142</v>
      </c>
      <c r="C1182" s="91" t="s">
        <v>1838</v>
      </c>
      <c r="D1182" s="93">
        <v>105</v>
      </c>
      <c r="E1182" s="93">
        <v>77</v>
      </c>
      <c r="F1182" s="103">
        <v>9524</v>
      </c>
    </row>
    <row r="1183" spans="2:6">
      <c r="B1183" s="92" t="s">
        <v>151</v>
      </c>
      <c r="C1183" s="91" t="s">
        <v>2659</v>
      </c>
      <c r="D1183" s="93">
        <v>95</v>
      </c>
      <c r="E1183" s="93">
        <v>100</v>
      </c>
      <c r="F1183" s="103">
        <v>7450</v>
      </c>
    </row>
    <row r="1184" spans="2:6">
      <c r="B1184" s="92" t="s">
        <v>151</v>
      </c>
      <c r="C1184" s="91" t="s">
        <v>758</v>
      </c>
      <c r="D1184" s="93">
        <v>95</v>
      </c>
      <c r="E1184" s="93">
        <v>90</v>
      </c>
      <c r="F1184" s="103">
        <f>IFERROR(INDEX(Tabella951[PLZ],MATCH(Tabella848[[#This Row],[Colonna2]],Tabella951[Ortschaftsname],0)), "Name not found")</f>
        <v>7440</v>
      </c>
    </row>
    <row r="1185" spans="2:6">
      <c r="B1185" s="92" t="s">
        <v>151</v>
      </c>
      <c r="C1185" s="91" t="s">
        <v>711</v>
      </c>
      <c r="D1185" s="93">
        <v>95</v>
      </c>
      <c r="E1185" s="93">
        <v>90</v>
      </c>
      <c r="F1185" s="103">
        <f>IFERROR(INDEX(Tabella951[PLZ],MATCH(Tabella848[[#This Row],[Colonna2]],Tabella951[Ortschaftsname],0)), "Name not found")</f>
        <v>7050</v>
      </c>
    </row>
    <row r="1186" spans="2:6">
      <c r="B1186" s="92" t="s">
        <v>151</v>
      </c>
      <c r="C1186" s="91" t="s">
        <v>799</v>
      </c>
      <c r="D1186" s="93">
        <v>95</v>
      </c>
      <c r="E1186" s="93">
        <v>110</v>
      </c>
      <c r="F1186" s="103">
        <f>IFERROR(INDEX(Tabella951[PLZ],MATCH(Tabella848[[#This Row],[Colonna2]],Tabella951[Ortschaftsname],0)), "Name not found")</f>
        <v>7447</v>
      </c>
    </row>
    <row r="1187" spans="2:6">
      <c r="B1187" s="92" t="s">
        <v>151</v>
      </c>
      <c r="C1187" s="91" t="s">
        <v>760</v>
      </c>
      <c r="D1187" s="93">
        <v>95</v>
      </c>
      <c r="E1187" s="93">
        <v>100</v>
      </c>
      <c r="F1187" s="103">
        <v>7482</v>
      </c>
    </row>
    <row r="1188" spans="2:6">
      <c r="B1188" s="92" t="s">
        <v>151</v>
      </c>
      <c r="C1188" s="91" t="s">
        <v>779</v>
      </c>
      <c r="D1188" s="93">
        <v>95</v>
      </c>
      <c r="E1188" s="93">
        <v>70</v>
      </c>
      <c r="F1188" s="103">
        <f>IFERROR(INDEX(Tabella951[PLZ],MATCH(Tabella848[[#This Row],[Colonna2]],Tabella951[Ortschaftsname],0)), "Name not found")</f>
        <v>7502</v>
      </c>
    </row>
    <row r="1189" spans="2:6">
      <c r="B1189" s="92" t="s">
        <v>151</v>
      </c>
      <c r="C1189" s="91" t="s">
        <v>708</v>
      </c>
      <c r="D1189" s="93">
        <v>95</v>
      </c>
      <c r="E1189" s="93">
        <v>84</v>
      </c>
      <c r="F1189" s="103">
        <f>IFERROR(INDEX(Tabella951[PLZ],MATCH(Tabella848[[#This Row],[Colonna2]],Tabella951[Ortschaftsname],0)), "Name not found")</f>
        <v>7402</v>
      </c>
    </row>
    <row r="1190" spans="2:6">
      <c r="B1190" s="92" t="s">
        <v>151</v>
      </c>
      <c r="C1190" s="91" t="s">
        <v>736</v>
      </c>
      <c r="D1190" s="93">
        <v>95</v>
      </c>
      <c r="E1190" s="93">
        <v>90</v>
      </c>
      <c r="F1190" s="103">
        <v>7606</v>
      </c>
    </row>
    <row r="1191" spans="2:6">
      <c r="B1191" s="92" t="s">
        <v>151</v>
      </c>
      <c r="C1191" s="91" t="s">
        <v>2660</v>
      </c>
      <c r="D1191" s="93">
        <v>95</v>
      </c>
      <c r="E1191" s="93">
        <v>90</v>
      </c>
      <c r="F1191" s="103">
        <f>IFERROR(INDEX(Tabella951[PLZ],MATCH(Tabella848[[#This Row],[Colonna2]],Tabella951[Ortschaftsname],0)), "Name not found")</f>
        <v>7165</v>
      </c>
    </row>
    <row r="1192" spans="2:6">
      <c r="B1192" s="92" t="s">
        <v>151</v>
      </c>
      <c r="C1192" s="91" t="s">
        <v>754</v>
      </c>
      <c r="D1192" s="93">
        <v>95</v>
      </c>
      <c r="E1192" s="93">
        <v>85</v>
      </c>
      <c r="F1192" s="103">
        <f>IFERROR(INDEX(Tabella951[PLZ],MATCH(Tabella848[[#This Row],[Colonna2]],Tabella951[Ortschaftsname],0)), "Name not found")</f>
        <v>7743</v>
      </c>
    </row>
    <row r="1193" spans="2:6">
      <c r="B1193" s="92" t="s">
        <v>151</v>
      </c>
      <c r="C1193" s="91" t="s">
        <v>805</v>
      </c>
      <c r="D1193" s="93">
        <v>95</v>
      </c>
      <c r="E1193" s="93">
        <v>100</v>
      </c>
      <c r="F1193" s="103">
        <f>IFERROR(INDEX(Tabella951[PLZ],MATCH(Tabella848[[#This Row],[Colonna2]],Tabella951[Ortschaftsname],0)), "Name not found")</f>
        <v>6542</v>
      </c>
    </row>
    <row r="1194" spans="2:6">
      <c r="B1194" s="92" t="s">
        <v>151</v>
      </c>
      <c r="C1194" s="91" t="s">
        <v>798</v>
      </c>
      <c r="D1194" s="93">
        <v>95</v>
      </c>
      <c r="E1194" s="93">
        <v>100</v>
      </c>
      <c r="F1194" s="103">
        <v>6543</v>
      </c>
    </row>
    <row r="1195" spans="2:6">
      <c r="B1195" s="92" t="s">
        <v>151</v>
      </c>
      <c r="C1195" s="91" t="s">
        <v>780</v>
      </c>
      <c r="D1195" s="93">
        <v>95</v>
      </c>
      <c r="E1195" s="93">
        <v>73</v>
      </c>
      <c r="F1195" s="103">
        <f>IFERROR(INDEX(Tabella951[PLZ],MATCH(Tabella848[[#This Row],[Colonna2]],Tabella951[Ortschaftsname],0)), "Name not found")</f>
        <v>6557</v>
      </c>
    </row>
    <row r="1196" spans="2:6">
      <c r="B1196" s="92" t="s">
        <v>151</v>
      </c>
      <c r="C1196" s="91" t="s">
        <v>791</v>
      </c>
      <c r="D1196" s="93">
        <v>95</v>
      </c>
      <c r="E1196" s="93">
        <v>90</v>
      </c>
      <c r="F1196" s="103">
        <f>IFERROR(INDEX(Tabella951[PLZ],MATCH(Tabella848[[#This Row],[Colonna2]],Tabella951[Ortschaftsname],0)), "Name not found")</f>
        <v>6540</v>
      </c>
    </row>
    <row r="1197" spans="2:6">
      <c r="B1197" s="92" t="s">
        <v>151</v>
      </c>
      <c r="C1197" s="91" t="s">
        <v>724</v>
      </c>
      <c r="D1197" s="93">
        <v>95</v>
      </c>
      <c r="E1197" s="93">
        <v>115</v>
      </c>
      <c r="F1197" s="103">
        <f>IFERROR(INDEX(Tabella951[PLZ],MATCH(Tabella848[[#This Row],[Colonna2]],Tabella951[Ortschaftsname],0)), "Name not found")</f>
        <v>7408</v>
      </c>
    </row>
    <row r="1198" spans="2:6">
      <c r="B1198" s="92" t="s">
        <v>151</v>
      </c>
      <c r="C1198" s="91" t="s">
        <v>2661</v>
      </c>
      <c r="D1198" s="93">
        <v>95</v>
      </c>
      <c r="E1198" s="93">
        <v>50</v>
      </c>
      <c r="F1198" s="103">
        <f>IFERROR(INDEX(Tabella951[PLZ],MATCH(Tabella848[[#This Row],[Colonna2]],Tabella951[Ortschaftsname],0)), "Name not found")</f>
        <v>7505</v>
      </c>
    </row>
    <row r="1199" spans="2:6">
      <c r="B1199" s="92" t="s">
        <v>151</v>
      </c>
      <c r="C1199" s="91" t="s">
        <v>696</v>
      </c>
      <c r="D1199" s="93">
        <v>95</v>
      </c>
      <c r="E1199" s="93">
        <v>88</v>
      </c>
      <c r="F1199" s="103">
        <f>IFERROR(INDEX(Tabella951[PLZ],MATCH(Tabella848[[#This Row],[Colonna2]],Tabella951[Ortschaftsname],0)), "Name not found")</f>
        <v>7000</v>
      </c>
    </row>
    <row r="1200" spans="2:6">
      <c r="B1200" s="92" t="s">
        <v>151</v>
      </c>
      <c r="C1200" s="91" t="s">
        <v>729</v>
      </c>
      <c r="D1200" s="93">
        <v>95</v>
      </c>
      <c r="E1200" s="93">
        <v>90</v>
      </c>
      <c r="F1200" s="103">
        <f>IFERROR(INDEX(Tabella951[PLZ],MATCH(Tabella848[[#This Row],[Colonna2]],Tabella951[Ortschaftsname],0)), "Name not found")</f>
        <v>7075</v>
      </c>
    </row>
    <row r="1201" spans="2:6">
      <c r="B1201" s="92" t="s">
        <v>151</v>
      </c>
      <c r="C1201" s="91" t="s">
        <v>794</v>
      </c>
      <c r="D1201" s="93">
        <v>95</v>
      </c>
      <c r="E1201" s="93">
        <v>60</v>
      </c>
      <c r="F1201" s="103">
        <f>IFERROR(INDEX(Tabella951[PLZ],MATCH(Tabella848[[#This Row],[Colonna2]],Tabella951[Ortschaftsname],0)), "Name not found")</f>
        <v>7241</v>
      </c>
    </row>
    <row r="1202" spans="2:6">
      <c r="B1202" s="92" t="s">
        <v>151</v>
      </c>
      <c r="C1202" s="91" t="s">
        <v>697</v>
      </c>
      <c r="D1202" s="93">
        <v>95</v>
      </c>
      <c r="E1202" s="93">
        <v>95</v>
      </c>
      <c r="F1202" s="103">
        <v>7270</v>
      </c>
    </row>
    <row r="1203" spans="2:6">
      <c r="B1203" s="92" t="s">
        <v>151</v>
      </c>
      <c r="C1203" s="91" t="s">
        <v>2662</v>
      </c>
      <c r="D1203" s="93">
        <v>95</v>
      </c>
      <c r="E1203" s="93">
        <v>99</v>
      </c>
      <c r="F1203" s="103">
        <f>IFERROR(INDEX(Tabella951[PLZ],MATCH(Tabella848[[#This Row],[Colonna2]],Tabella951[Ortschaftsname],0)), "Name not found")</f>
        <v>7180</v>
      </c>
    </row>
    <row r="1204" spans="2:6">
      <c r="B1204" s="92" t="s">
        <v>151</v>
      </c>
      <c r="C1204" s="91" t="s">
        <v>2663</v>
      </c>
      <c r="D1204" s="93">
        <v>95</v>
      </c>
      <c r="E1204" s="93">
        <v>85</v>
      </c>
      <c r="F1204" s="103">
        <f>IFERROR(INDEX(Tabella951[PLZ],MATCH(Tabella848[[#This Row],[Colonna2]],Tabella951[Ortschaftsname],0)), "Name not found")</f>
        <v>7013</v>
      </c>
    </row>
    <row r="1205" spans="2:6">
      <c r="B1205" s="92" t="s">
        <v>151</v>
      </c>
      <c r="C1205" s="91" t="s">
        <v>730</v>
      </c>
      <c r="D1205" s="93">
        <v>95</v>
      </c>
      <c r="E1205" s="93">
        <v>110</v>
      </c>
      <c r="F1205" s="103">
        <v>7435</v>
      </c>
    </row>
    <row r="1206" spans="2:6">
      <c r="B1206" s="92" t="s">
        <v>151</v>
      </c>
      <c r="C1206" s="91" t="s">
        <v>777</v>
      </c>
      <c r="D1206" s="93">
        <v>95</v>
      </c>
      <c r="E1206" s="93">
        <v>65</v>
      </c>
      <c r="F1206" s="103">
        <f>IFERROR(INDEX(Tabella951[PLZ],MATCH(Tabella848[[#This Row],[Colonna2]],Tabella951[Ortschaftsname],0)), "Name not found")</f>
        <v>7153</v>
      </c>
    </row>
    <row r="1207" spans="2:6">
      <c r="B1207" s="92" t="s">
        <v>151</v>
      </c>
      <c r="C1207" s="91" t="s">
        <v>718</v>
      </c>
      <c r="D1207" s="93">
        <v>95</v>
      </c>
      <c r="E1207" s="93">
        <v>95</v>
      </c>
      <c r="F1207" s="103">
        <f>IFERROR(INDEX(Tabella951[PLZ],MATCH(Tabella848[[#This Row],[Colonna2]],Tabella951[Ortschaftsname],0)), "Name not found")</f>
        <v>7012</v>
      </c>
    </row>
    <row r="1208" spans="2:6">
      <c r="B1208" s="92" t="s">
        <v>151</v>
      </c>
      <c r="C1208" s="91" t="s">
        <v>806</v>
      </c>
      <c r="D1208" s="93">
        <v>95</v>
      </c>
      <c r="E1208" s="93">
        <v>70</v>
      </c>
      <c r="F1208" s="103">
        <v>7444</v>
      </c>
    </row>
    <row r="1209" spans="2:6">
      <c r="B1209" s="92" t="s">
        <v>151</v>
      </c>
      <c r="C1209" s="91" t="s">
        <v>778</v>
      </c>
      <c r="D1209" s="93">
        <v>95</v>
      </c>
      <c r="E1209" s="93">
        <v>100</v>
      </c>
      <c r="F1209" s="103">
        <f>IFERROR(INDEX(Tabella951[PLZ],MATCH(Tabella848[[#This Row],[Colonna2]],Tabella951[Ortschaftsname],0)), "Name not found")</f>
        <v>7235</v>
      </c>
    </row>
    <row r="1210" spans="2:6">
      <c r="B1210" s="92" t="s">
        <v>151</v>
      </c>
      <c r="C1210" s="91" t="s">
        <v>792</v>
      </c>
      <c r="D1210" s="93">
        <v>95</v>
      </c>
      <c r="E1210" s="93">
        <v>120</v>
      </c>
      <c r="F1210" s="103">
        <f>IFERROR(INDEX(Tabella951[PLZ],MATCH(Tabella848[[#This Row],[Colonna2]],Tabella951[Ortschaftsname],0)), "Name not found")</f>
        <v>7426</v>
      </c>
    </row>
    <row r="1211" spans="2:6">
      <c r="B1211" s="92" t="s">
        <v>151</v>
      </c>
      <c r="C1211" s="91" t="s">
        <v>714</v>
      </c>
      <c r="D1211" s="93">
        <v>95</v>
      </c>
      <c r="E1211" s="93">
        <v>60</v>
      </c>
      <c r="F1211" s="103">
        <v>7017</v>
      </c>
    </row>
    <row r="1212" spans="2:6">
      <c r="B1212" s="92" t="s">
        <v>151</v>
      </c>
      <c r="C1212" s="91" t="s">
        <v>767</v>
      </c>
      <c r="D1212" s="93">
        <v>95</v>
      </c>
      <c r="E1212" s="93">
        <v>70</v>
      </c>
      <c r="F1212" s="103">
        <f>IFERROR(INDEX(Tabella951[PLZ],MATCH(Tabella848[[#This Row],[Colonna2]],Tabella951[Ortschaftsname],0)), "Name not found")</f>
        <v>7306</v>
      </c>
    </row>
    <row r="1213" spans="2:6">
      <c r="B1213" s="92" t="s">
        <v>151</v>
      </c>
      <c r="C1213" s="91" t="s">
        <v>795</v>
      </c>
      <c r="D1213" s="93">
        <v>95</v>
      </c>
      <c r="E1213" s="93">
        <v>120</v>
      </c>
      <c r="F1213" s="103">
        <f>IFERROR(INDEX(Tabella951[PLZ],MATCH(Tabella848[[#This Row],[Colonna2]],Tabella951[Ortschaftsname],0)), "Name not found")</f>
        <v>7232</v>
      </c>
    </row>
    <row r="1214" spans="2:6">
      <c r="B1214" s="92" t="s">
        <v>151</v>
      </c>
      <c r="C1214" s="91" t="s">
        <v>787</v>
      </c>
      <c r="D1214" s="93">
        <v>95</v>
      </c>
      <c r="E1214" s="93">
        <v>100</v>
      </c>
      <c r="F1214" s="103">
        <f>IFERROR(INDEX(Tabella951[PLZ],MATCH(Tabella848[[#This Row],[Colonna2]],Tabella951[Ortschaftsname],0)), "Name not found")</f>
        <v>7414</v>
      </c>
    </row>
    <row r="1215" spans="2:6">
      <c r="B1215" s="92" t="s">
        <v>151</v>
      </c>
      <c r="C1215" s="91" t="s">
        <v>744</v>
      </c>
      <c r="D1215" s="93">
        <v>95</v>
      </c>
      <c r="E1215" s="93">
        <v>90</v>
      </c>
      <c r="F1215" s="103">
        <f>IFERROR(INDEX(Tabella951[PLZ],MATCH(Tabella848[[#This Row],[Colonna2]],Tabella951[Ortschaftsname],0)), "Name not found")</f>
        <v>6537</v>
      </c>
    </row>
    <row r="1216" spans="2:6">
      <c r="B1216" s="92" t="s">
        <v>151</v>
      </c>
      <c r="C1216" s="91" t="s">
        <v>727</v>
      </c>
      <c r="D1216" s="93">
        <v>95</v>
      </c>
      <c r="E1216" s="93">
        <v>90</v>
      </c>
      <c r="F1216" s="103">
        <f>IFERROR(INDEX(Tabella951[PLZ],MATCH(Tabella848[[#This Row],[Colonna2]],Tabella951[Ortschaftsname],0)), "Name not found")</f>
        <v>7214</v>
      </c>
    </row>
    <row r="1217" spans="2:6">
      <c r="B1217" s="92" t="s">
        <v>151</v>
      </c>
      <c r="C1217" s="91" t="s">
        <v>2664</v>
      </c>
      <c r="D1217" s="93">
        <v>95</v>
      </c>
      <c r="E1217" s="93">
        <v>100</v>
      </c>
      <c r="F1217" s="103">
        <v>7130</v>
      </c>
    </row>
    <row r="1218" spans="2:6">
      <c r="B1218" s="92" t="s">
        <v>151</v>
      </c>
      <c r="C1218" s="91" t="s">
        <v>752</v>
      </c>
      <c r="D1218" s="93">
        <v>95</v>
      </c>
      <c r="E1218" s="93">
        <v>95</v>
      </c>
      <c r="F1218" s="103">
        <f>IFERROR(INDEX(Tabella951[PLZ],MATCH(Tabella848[[#This Row],[Colonna2]],Tabella951[Ortschaftsname],0)), "Name not found")</f>
        <v>7233</v>
      </c>
    </row>
    <row r="1219" spans="2:6">
      <c r="B1219" s="92" t="s">
        <v>151</v>
      </c>
      <c r="C1219" s="91" t="s">
        <v>762</v>
      </c>
      <c r="D1219" s="93">
        <v>95</v>
      </c>
      <c r="E1219" s="93">
        <v>93</v>
      </c>
      <c r="F1219" s="103">
        <f>IFERROR(INDEX(Tabella951[PLZ],MATCH(Tabella848[[#This Row],[Colonna2]],Tabella951[Ortschaftsname],0)), "Name not found")</f>
        <v>7307</v>
      </c>
    </row>
    <row r="1220" spans="2:6">
      <c r="B1220" s="92" t="s">
        <v>151</v>
      </c>
      <c r="C1220" s="91" t="s">
        <v>2665</v>
      </c>
      <c r="D1220" s="93">
        <v>95</v>
      </c>
      <c r="E1220" s="93">
        <v>78</v>
      </c>
      <c r="F1220" s="103">
        <f>IFERROR(INDEX(Tabella951[PLZ],MATCH(Tabella848[[#This Row],[Colonna2]],Tabella951[Ortschaftsname],0)), "Name not found")</f>
        <v>7250</v>
      </c>
    </row>
    <row r="1221" spans="2:6">
      <c r="B1221" s="92" t="s">
        <v>151</v>
      </c>
      <c r="C1221" s="91" t="s">
        <v>764</v>
      </c>
      <c r="D1221" s="93">
        <v>95</v>
      </c>
      <c r="E1221" s="93">
        <v>110</v>
      </c>
      <c r="F1221" s="103">
        <f>IFERROR(INDEX(Tabella951[PLZ],MATCH(Tabella848[[#This Row],[Colonna2]],Tabella951[Ortschaftsname],0)), "Name not found")</f>
        <v>7240</v>
      </c>
    </row>
    <row r="1222" spans="2:6">
      <c r="B1222" s="92" t="s">
        <v>151</v>
      </c>
      <c r="C1222" s="91" t="s">
        <v>2666</v>
      </c>
      <c r="D1222" s="93">
        <v>95</v>
      </c>
      <c r="E1222" s="93">
        <v>49</v>
      </c>
      <c r="F1222" s="103">
        <f>IFERROR(INDEX(Tabella951[PLZ],MATCH(Tabella848[[#This Row],[Colonna2]],Tabella951[Ortschaftsname],0)), "Name not found")</f>
        <v>7522</v>
      </c>
    </row>
    <row r="1223" spans="2:6">
      <c r="B1223" s="92" t="s">
        <v>151</v>
      </c>
      <c r="C1223" s="91" t="s">
        <v>733</v>
      </c>
      <c r="D1223" s="93">
        <v>95</v>
      </c>
      <c r="E1223" s="93">
        <v>40</v>
      </c>
      <c r="F1223" s="103">
        <v>7031</v>
      </c>
    </row>
    <row r="1224" spans="2:6">
      <c r="B1224" s="92" t="s">
        <v>151</v>
      </c>
      <c r="C1224" s="91" t="s">
        <v>698</v>
      </c>
      <c r="D1224" s="93">
        <v>95</v>
      </c>
      <c r="E1224" s="93">
        <v>95</v>
      </c>
      <c r="F1224" s="103">
        <f>IFERROR(INDEX(Tabella951[PLZ],MATCH(Tabella848[[#This Row],[Colonna2]],Tabella951[Ortschaftsname],0)), "Name not found")</f>
        <v>7302</v>
      </c>
    </row>
    <row r="1225" spans="2:6">
      <c r="B1225" s="92" t="s">
        <v>151</v>
      </c>
      <c r="C1225" s="91" t="s">
        <v>2667</v>
      </c>
      <c r="D1225" s="93">
        <v>95</v>
      </c>
      <c r="E1225" s="93">
        <v>75</v>
      </c>
      <c r="F1225" s="103">
        <f>IFERROR(INDEX(Tabella951[PLZ],MATCH(Tabella848[[#This Row],[Colonna2]],Tabella951[Ortschaftsname],0)), "Name not found")</f>
        <v>7083</v>
      </c>
    </row>
    <row r="1226" spans="2:6">
      <c r="B1226" s="92" t="s">
        <v>151</v>
      </c>
      <c r="C1226" s="91" t="s">
        <v>769</v>
      </c>
      <c r="D1226" s="93">
        <v>95</v>
      </c>
      <c r="E1226" s="93">
        <v>80</v>
      </c>
      <c r="F1226" s="103">
        <f>IFERROR(INDEX(Tabella951[PLZ],MATCH(Tabella848[[#This Row],[Colonna2]],Tabella951[Ortschaftsname],0)), "Name not found")</f>
        <v>6558</v>
      </c>
    </row>
    <row r="1227" spans="2:6">
      <c r="B1227" s="92" t="s">
        <v>151</v>
      </c>
      <c r="C1227" s="91" t="s">
        <v>728</v>
      </c>
      <c r="D1227" s="93">
        <v>95</v>
      </c>
      <c r="E1227" s="93">
        <v>90</v>
      </c>
      <c r="F1227" s="103">
        <v>7148</v>
      </c>
    </row>
    <row r="1228" spans="2:6">
      <c r="B1228" s="92" t="s">
        <v>151</v>
      </c>
      <c r="C1228" s="91" t="s">
        <v>734</v>
      </c>
      <c r="D1228" s="93">
        <v>95</v>
      </c>
      <c r="E1228" s="93">
        <v>85</v>
      </c>
      <c r="F1228" s="103">
        <f>IFERROR(INDEX(Tabella951[PLZ],MATCH(Tabella848[[#This Row],[Colonna2]],Tabella951[Ortschaftsname],0)), "Name not found")</f>
        <v>7242</v>
      </c>
    </row>
    <row r="1229" spans="2:6">
      <c r="B1229" s="92" t="s">
        <v>151</v>
      </c>
      <c r="C1229" s="91" t="s">
        <v>797</v>
      </c>
      <c r="D1229" s="93">
        <v>95</v>
      </c>
      <c r="E1229" s="93">
        <v>85</v>
      </c>
      <c r="F1229" s="103">
        <f>IFERROR(INDEX(Tabella951[PLZ],MATCH(Tabella848[[#This Row],[Colonna2]],Tabella951[Ortschaftsname],0)), "Name not found")</f>
        <v>7523</v>
      </c>
    </row>
    <row r="1230" spans="2:6">
      <c r="B1230" s="92" t="s">
        <v>151</v>
      </c>
      <c r="C1230" s="91" t="s">
        <v>713</v>
      </c>
      <c r="D1230" s="93">
        <v>95</v>
      </c>
      <c r="E1230" s="93">
        <v>70</v>
      </c>
      <c r="F1230" s="103">
        <f>IFERROR(INDEX(Tabella951[PLZ],MATCH(Tabella848[[#This Row],[Colonna2]],Tabella951[Ortschaftsname],0)), "Name not found")</f>
        <v>7304</v>
      </c>
    </row>
    <row r="1231" spans="2:6">
      <c r="B1231" s="92" t="s">
        <v>151</v>
      </c>
      <c r="C1231" s="91" t="s">
        <v>722</v>
      </c>
      <c r="D1231" s="93">
        <v>95</v>
      </c>
      <c r="E1231" s="93">
        <v>75</v>
      </c>
      <c r="F1231" s="103">
        <v>7208</v>
      </c>
    </row>
    <row r="1232" spans="2:6">
      <c r="B1232" s="92" t="s">
        <v>151</v>
      </c>
      <c r="C1232" s="91" t="s">
        <v>784</v>
      </c>
      <c r="D1232" s="93">
        <v>95</v>
      </c>
      <c r="E1232" s="93">
        <v>120</v>
      </c>
      <c r="F1232" s="103">
        <f>IFERROR(INDEX(Tabella951[PLZ],MATCH(Tabella848[[#This Row],[Colonna2]],Tabella951[Ortschaftsname],0)), "Name not found")</f>
        <v>7425</v>
      </c>
    </row>
    <row r="1233" spans="2:6">
      <c r="B1233" s="92" t="s">
        <v>151</v>
      </c>
      <c r="C1233" s="91" t="s">
        <v>786</v>
      </c>
      <c r="D1233" s="93">
        <v>95</v>
      </c>
      <c r="E1233" s="93">
        <v>70</v>
      </c>
      <c r="F1233" s="103">
        <v>7182</v>
      </c>
    </row>
    <row r="1234" spans="2:6">
      <c r="B1234" s="92" t="s">
        <v>151</v>
      </c>
      <c r="C1234" s="91" t="s">
        <v>743</v>
      </c>
      <c r="D1234" s="93">
        <v>95</v>
      </c>
      <c r="E1234" s="93">
        <v>87</v>
      </c>
      <c r="F1234" s="103">
        <f>IFERROR(INDEX(Tabella951[PLZ],MATCH(Tabella848[[#This Row],[Colonna2]],Tabella951[Ortschaftsname],0)), "Name not found")</f>
        <v>6563</v>
      </c>
    </row>
    <row r="1235" spans="2:6">
      <c r="B1235" s="92" t="s">
        <v>151</v>
      </c>
      <c r="C1235" s="91" t="s">
        <v>2668</v>
      </c>
      <c r="D1235" s="93">
        <v>95</v>
      </c>
      <c r="E1235" s="93">
        <v>100</v>
      </c>
      <c r="F1235" s="103">
        <v>7433</v>
      </c>
    </row>
    <row r="1236" spans="2:6">
      <c r="B1236" s="92" t="s">
        <v>151</v>
      </c>
      <c r="C1236" s="91" t="s">
        <v>753</v>
      </c>
      <c r="D1236" s="93">
        <v>95</v>
      </c>
      <c r="E1236" s="93">
        <v>95</v>
      </c>
      <c r="F1236" s="103">
        <v>7134</v>
      </c>
    </row>
    <row r="1237" spans="2:6">
      <c r="B1237" s="92" t="s">
        <v>151</v>
      </c>
      <c r="C1237" s="91" t="s">
        <v>723</v>
      </c>
      <c r="D1237" s="93">
        <v>95</v>
      </c>
      <c r="E1237" s="93">
        <v>75</v>
      </c>
      <c r="F1237" s="103">
        <f>IFERROR(INDEX(Tabella951[PLZ],MATCH(Tabella848[[#This Row],[Colonna2]],Tabella951[Ortschaftsname],0)), "Name not found")</f>
        <v>7504</v>
      </c>
    </row>
    <row r="1238" spans="2:6">
      <c r="B1238" s="92" t="s">
        <v>151</v>
      </c>
      <c r="C1238" s="91" t="s">
        <v>706</v>
      </c>
      <c r="D1238" s="93">
        <v>95</v>
      </c>
      <c r="E1238" s="93">
        <v>95</v>
      </c>
      <c r="F1238" s="103">
        <f>IFERROR(INDEX(Tabella951[PLZ],MATCH(Tabella848[[#This Row],[Colonna2]],Tabella951[Ortschaftsname],0)), "Name not found")</f>
        <v>7742</v>
      </c>
    </row>
    <row r="1239" spans="2:6">
      <c r="B1239" s="92" t="s">
        <v>151</v>
      </c>
      <c r="C1239" s="91" t="s">
        <v>775</v>
      </c>
      <c r="D1239" s="93">
        <v>95</v>
      </c>
      <c r="E1239" s="93">
        <v>100</v>
      </c>
      <c r="F1239" s="103">
        <v>7438</v>
      </c>
    </row>
    <row r="1240" spans="2:6">
      <c r="B1240" s="92" t="s">
        <v>151</v>
      </c>
      <c r="C1240" s="91" t="s">
        <v>740</v>
      </c>
      <c r="D1240" s="93">
        <v>95</v>
      </c>
      <c r="E1240" s="93">
        <v>120</v>
      </c>
      <c r="F1240" s="103">
        <f>IFERROR(INDEX(Tabella951[PLZ],MATCH(Tabella848[[#This Row],[Colonna2]],Tabella951[Ortschaftsname],0)), "Name not found")</f>
        <v>7403</v>
      </c>
    </row>
    <row r="1241" spans="2:6">
      <c r="B1241" s="92" t="s">
        <v>151</v>
      </c>
      <c r="C1241" s="91" t="s">
        <v>808</v>
      </c>
      <c r="D1241" s="93">
        <v>95</v>
      </c>
      <c r="E1241" s="93">
        <v>30</v>
      </c>
      <c r="F1241" s="103">
        <f>IFERROR(INDEX(Tabella951[PLZ],MATCH(Tabella848[[#This Row],[Colonna2]],Tabella951[Ortschaftsname],0)), "Name not found")</f>
        <v>7430</v>
      </c>
    </row>
    <row r="1242" spans="2:6">
      <c r="B1242" s="92" t="s">
        <v>151</v>
      </c>
      <c r="C1242" s="91" t="s">
        <v>800</v>
      </c>
      <c r="D1242" s="93">
        <v>95</v>
      </c>
      <c r="E1242" s="93">
        <v>80</v>
      </c>
      <c r="F1242" s="103">
        <f>IFERROR(INDEX(Tabella951[PLZ],MATCH(Tabella848[[#This Row],[Colonna2]],Tabella951[Ortschaftsname],0)), "Name not found")</f>
        <v>6548</v>
      </c>
    </row>
    <row r="1243" spans="2:6">
      <c r="B1243" s="92" t="s">
        <v>151</v>
      </c>
      <c r="C1243" s="91" t="s">
        <v>790</v>
      </c>
      <c r="D1243" s="93">
        <v>95</v>
      </c>
      <c r="E1243" s="93">
        <v>80</v>
      </c>
      <c r="F1243" s="103">
        <f>IFERROR(INDEX(Tabella951[PLZ],MATCH(Tabella848[[#This Row],[Colonna2]],Tabella951[Ortschaftsname],0)), "Name not found")</f>
        <v>7405</v>
      </c>
    </row>
    <row r="1244" spans="2:6">
      <c r="B1244" s="92" t="s">
        <v>151</v>
      </c>
      <c r="C1244" s="91" t="s">
        <v>720</v>
      </c>
      <c r="D1244" s="93">
        <v>95</v>
      </c>
      <c r="E1244" s="93">
        <v>105</v>
      </c>
      <c r="F1244" s="103">
        <v>6535</v>
      </c>
    </row>
    <row r="1245" spans="2:6">
      <c r="B1245" s="92" t="s">
        <v>151</v>
      </c>
      <c r="C1245" s="91" t="s">
        <v>774</v>
      </c>
      <c r="D1245" s="93">
        <v>95</v>
      </c>
      <c r="E1245" s="93">
        <v>65</v>
      </c>
      <c r="F1245" s="103">
        <f>IFERROR(INDEX(Tabella951[PLZ],MATCH(Tabella848[[#This Row],[Colonna2]],Tabella951[Ortschaftsname],0)), "Name not found")</f>
        <v>7525</v>
      </c>
    </row>
    <row r="1246" spans="2:6">
      <c r="B1246" s="92" t="s">
        <v>151</v>
      </c>
      <c r="C1246" s="91" t="s">
        <v>761</v>
      </c>
      <c r="D1246" s="93">
        <v>95</v>
      </c>
      <c r="E1246" s="93">
        <v>105</v>
      </c>
      <c r="F1246" s="103">
        <v>7107</v>
      </c>
    </row>
    <row r="1247" spans="2:6">
      <c r="B1247" s="92" t="s">
        <v>151</v>
      </c>
      <c r="C1247" s="91" t="s">
        <v>773</v>
      </c>
      <c r="D1247" s="93">
        <v>95</v>
      </c>
      <c r="E1247" s="93">
        <v>80</v>
      </c>
      <c r="F1247" s="103">
        <f>IFERROR(INDEX(Tabella951[PLZ],MATCH(Tabella848[[#This Row],[Colonna2]],Tabella951[Ortschaftsname],0)), "Name not found")</f>
        <v>7152</v>
      </c>
    </row>
    <row r="1248" spans="2:6">
      <c r="B1248" s="92" t="s">
        <v>151</v>
      </c>
      <c r="C1248" s="91" t="s">
        <v>712</v>
      </c>
      <c r="D1248" s="93">
        <v>95</v>
      </c>
      <c r="E1248" s="93">
        <v>85</v>
      </c>
      <c r="F1248" s="103">
        <f>IFERROR(INDEX(Tabella951[PLZ],MATCH(Tabella848[[#This Row],[Colonna2]],Tabella951[Ortschaftsname],0)), "Name not found")</f>
        <v>7503</v>
      </c>
    </row>
    <row r="1249" spans="2:6">
      <c r="B1249" s="92" t="s">
        <v>151</v>
      </c>
      <c r="C1249" s="91" t="s">
        <v>768</v>
      </c>
      <c r="D1249" s="93">
        <v>95</v>
      </c>
      <c r="E1249" s="93">
        <v>100</v>
      </c>
      <c r="F1249" s="103">
        <v>7563</v>
      </c>
    </row>
    <row r="1250" spans="2:6">
      <c r="B1250" s="92" t="s">
        <v>151</v>
      </c>
      <c r="C1250" s="91" t="s">
        <v>765</v>
      </c>
      <c r="D1250" s="93">
        <v>95</v>
      </c>
      <c r="E1250" s="93">
        <v>75</v>
      </c>
      <c r="F1250" s="103">
        <v>6534</v>
      </c>
    </row>
    <row r="1251" spans="2:6">
      <c r="B1251" s="92" t="s">
        <v>151</v>
      </c>
      <c r="C1251" s="91" t="s">
        <v>804</v>
      </c>
      <c r="D1251" s="93">
        <v>95</v>
      </c>
      <c r="E1251" s="93">
        <v>100</v>
      </c>
      <c r="F1251" s="103">
        <v>6541</v>
      </c>
    </row>
    <row r="1252" spans="2:6">
      <c r="B1252" s="92" t="s">
        <v>151</v>
      </c>
      <c r="C1252" s="91" t="s">
        <v>766</v>
      </c>
      <c r="D1252" s="93">
        <v>95</v>
      </c>
      <c r="E1252" s="93">
        <v>90</v>
      </c>
      <c r="F1252" s="103">
        <f>IFERROR(INDEX(Tabella951[PLZ],MATCH(Tabella848[[#This Row],[Colonna2]],Tabella951[Ortschaftsname],0)), "Name not found")</f>
        <v>7412</v>
      </c>
    </row>
    <row r="1253" spans="2:6">
      <c r="B1253" s="92" t="s">
        <v>151</v>
      </c>
      <c r="C1253" s="91" t="s">
        <v>717</v>
      </c>
      <c r="D1253" s="93">
        <v>95</v>
      </c>
      <c r="E1253" s="93">
        <v>109</v>
      </c>
      <c r="F1253" s="103">
        <f>IFERROR(INDEX(Tabella951[PLZ],MATCH(Tabella848[[#This Row],[Colonna2]],Tabella951[Ortschaftsname],0)), "Name not found")</f>
        <v>7220</v>
      </c>
    </row>
    <row r="1254" spans="2:6">
      <c r="B1254" s="92" t="s">
        <v>151</v>
      </c>
      <c r="C1254" s="91" t="s">
        <v>776</v>
      </c>
      <c r="D1254" s="93">
        <v>95</v>
      </c>
      <c r="E1254" s="93">
        <v>50</v>
      </c>
      <c r="F1254" s="103">
        <f>IFERROR(INDEX(Tabella951[PLZ],MATCH(Tabella848[[#This Row],[Colonna2]],Tabella951[Ortschaftsname],0)), "Name not found")</f>
        <v>7151</v>
      </c>
    </row>
    <row r="1255" spans="2:6">
      <c r="B1255" s="92" t="s">
        <v>151</v>
      </c>
      <c r="C1255" s="91" t="s">
        <v>793</v>
      </c>
      <c r="D1255" s="93">
        <v>95</v>
      </c>
      <c r="E1255" s="93">
        <v>100</v>
      </c>
      <c r="F1255" s="103">
        <v>7493</v>
      </c>
    </row>
    <row r="1256" spans="2:6">
      <c r="B1256" s="92" t="s">
        <v>151</v>
      </c>
      <c r="C1256" s="91" t="s">
        <v>704</v>
      </c>
      <c r="D1256" s="93">
        <v>95</v>
      </c>
      <c r="E1256" s="93">
        <v>100</v>
      </c>
      <c r="F1256" s="103">
        <f>IFERROR(INDEX(Tabella951[PLZ],MATCH(Tabella848[[#This Row],[Colonna2]],Tabella951[Ortschaftsname],0)), "Name not found")</f>
        <v>7550</v>
      </c>
    </row>
    <row r="1257" spans="2:6">
      <c r="B1257" s="92" t="s">
        <v>151</v>
      </c>
      <c r="C1257" s="91" t="s">
        <v>742</v>
      </c>
      <c r="D1257" s="93">
        <v>95</v>
      </c>
      <c r="E1257" s="93">
        <v>110</v>
      </c>
      <c r="F1257" s="103">
        <v>7212</v>
      </c>
    </row>
    <row r="1258" spans="2:6">
      <c r="B1258" s="92" t="s">
        <v>151</v>
      </c>
      <c r="C1258" s="91" t="s">
        <v>759</v>
      </c>
      <c r="D1258" s="93">
        <v>95</v>
      </c>
      <c r="E1258" s="93">
        <v>110</v>
      </c>
      <c r="F1258" s="103">
        <f>IFERROR(INDEX(Tabella951[PLZ],MATCH(Tabella848[[#This Row],[Colonna2]],Tabella951[Ortschaftsname],0)), "Name not found")</f>
        <v>7411</v>
      </c>
    </row>
    <row r="1259" spans="2:6">
      <c r="B1259" s="92" t="s">
        <v>151</v>
      </c>
      <c r="C1259" s="91" t="s">
        <v>2669</v>
      </c>
      <c r="D1259" s="93">
        <v>95</v>
      </c>
      <c r="E1259" s="93">
        <v>70</v>
      </c>
      <c r="F1259" s="103">
        <v>7515</v>
      </c>
    </row>
    <row r="1260" spans="2:6">
      <c r="B1260" s="92" t="s">
        <v>151</v>
      </c>
      <c r="C1260" s="91" t="s">
        <v>2669</v>
      </c>
      <c r="D1260" s="93">
        <v>95</v>
      </c>
      <c r="E1260" s="93">
        <v>70</v>
      </c>
      <c r="F1260" s="103">
        <v>7514</v>
      </c>
    </row>
    <row r="1261" spans="2:6">
      <c r="B1261" s="92" t="s">
        <v>151</v>
      </c>
      <c r="C1261" s="91" t="s">
        <v>755</v>
      </c>
      <c r="D1261" s="93">
        <v>95</v>
      </c>
      <c r="E1261" s="93">
        <v>62</v>
      </c>
      <c r="F1261" s="103">
        <f>IFERROR(INDEX(Tabella951[PLZ],MATCH(Tabella848[[#This Row],[Colonna2]],Tabella951[Ortschaftsname],0)), "Name not found")</f>
        <v>7513</v>
      </c>
    </row>
    <row r="1262" spans="2:6">
      <c r="B1262" s="92" t="s">
        <v>151</v>
      </c>
      <c r="C1262" s="91" t="s">
        <v>788</v>
      </c>
      <c r="D1262" s="93">
        <v>95</v>
      </c>
      <c r="E1262" s="93">
        <v>60</v>
      </c>
      <c r="F1262" s="103">
        <f>IFERROR(INDEX(Tabella951[PLZ],MATCH(Tabella848[[#This Row],[Colonna2]],Tabella951[Ortschaftsname],0)), "Name not found")</f>
        <v>6562</v>
      </c>
    </row>
    <row r="1263" spans="2:6">
      <c r="B1263" s="92" t="s">
        <v>151</v>
      </c>
      <c r="C1263" s="91" t="s">
        <v>701</v>
      </c>
      <c r="D1263" s="93">
        <v>95</v>
      </c>
      <c r="E1263" s="93">
        <v>55</v>
      </c>
      <c r="F1263" s="103">
        <f>IFERROR(INDEX(Tabella951[PLZ],MATCH(Tabella848[[#This Row],[Colonna2]],Tabella951[Ortschaftsname],0)), "Name not found")</f>
        <v>7500</v>
      </c>
    </row>
    <row r="1264" spans="2:6">
      <c r="B1264" s="92" t="s">
        <v>151</v>
      </c>
      <c r="C1264" s="91" t="s">
        <v>802</v>
      </c>
      <c r="D1264" s="93">
        <v>95</v>
      </c>
      <c r="E1264" s="93">
        <v>75</v>
      </c>
      <c r="F1264" s="103">
        <f>IFERROR(INDEX(Tabella951[PLZ],MATCH(Tabella848[[#This Row],[Colonna2]],Tabella951[Ortschaftsname],0)), "Name not found")</f>
        <v>7434</v>
      </c>
    </row>
    <row r="1265" spans="2:6">
      <c r="B1265" s="92" t="s">
        <v>151</v>
      </c>
      <c r="C1265" s="91" t="s">
        <v>750</v>
      </c>
      <c r="D1265" s="93">
        <v>95</v>
      </c>
      <c r="E1265" s="93">
        <v>105</v>
      </c>
      <c r="F1265" s="103">
        <f>IFERROR(INDEX(Tabella951[PLZ],MATCH(Tabella848[[#This Row],[Colonna2]],Tabella951[Ortschaftsname],0)), "Name not found")</f>
        <v>7175</v>
      </c>
    </row>
    <row r="1266" spans="2:6">
      <c r="B1266" s="92" t="s">
        <v>151</v>
      </c>
      <c r="C1266" s="91" t="s">
        <v>721</v>
      </c>
      <c r="D1266" s="93">
        <v>95</v>
      </c>
      <c r="E1266" s="93">
        <v>90</v>
      </c>
      <c r="F1266" s="103">
        <v>7457</v>
      </c>
    </row>
    <row r="1267" spans="2:6">
      <c r="B1267" s="92" t="s">
        <v>151</v>
      </c>
      <c r="C1267" s="91" t="s">
        <v>748</v>
      </c>
      <c r="D1267" s="93">
        <v>95</v>
      </c>
      <c r="E1267" s="93">
        <v>100</v>
      </c>
      <c r="F1267" s="103">
        <f>IFERROR(INDEX(Tabella951[PLZ],MATCH(Tabella848[[#This Row],[Colonna2]],Tabella951[Ortschaftsname],0)), "Name not found")</f>
        <v>7015</v>
      </c>
    </row>
    <row r="1268" spans="2:6">
      <c r="B1268" s="92" t="s">
        <v>151</v>
      </c>
      <c r="C1268" s="91" t="s">
        <v>710</v>
      </c>
      <c r="D1268" s="93">
        <v>95</v>
      </c>
      <c r="E1268" s="93">
        <v>115</v>
      </c>
      <c r="F1268" s="103">
        <f>IFERROR(INDEX(Tabella951[PLZ],MATCH(Tabella848[[#This Row],[Colonna2]],Tabella951[Ortschaftsname],0)), "Name not found")</f>
        <v>7430</v>
      </c>
    </row>
    <row r="1269" spans="2:6">
      <c r="B1269" s="92" t="s">
        <v>151</v>
      </c>
      <c r="C1269" s="91" t="s">
        <v>709</v>
      </c>
      <c r="D1269" s="93">
        <v>95</v>
      </c>
      <c r="E1269" s="93">
        <v>85</v>
      </c>
      <c r="F1269" s="103">
        <f>IFERROR(INDEX(Tabella951[PLZ],MATCH(Tabella848[[#This Row],[Colonna2]],Tabella951[Ortschaftsname],0)), "Name not found")</f>
        <v>7203</v>
      </c>
    </row>
    <row r="1270" spans="2:6">
      <c r="B1270" s="92" t="s">
        <v>151</v>
      </c>
      <c r="C1270" s="91" t="s">
        <v>741</v>
      </c>
      <c r="D1270" s="93">
        <v>95</v>
      </c>
      <c r="E1270" s="93">
        <v>95</v>
      </c>
      <c r="F1270" s="103">
        <f>IFERROR(INDEX(Tabella951[PLZ],MATCH(Tabella848[[#This Row],[Colonna2]],Tabella951[Ortschaftsname],0)), "Name not found")</f>
        <v>7014</v>
      </c>
    </row>
    <row r="1271" spans="2:6">
      <c r="B1271" s="92" t="s">
        <v>151</v>
      </c>
      <c r="C1271" s="91" t="s">
        <v>751</v>
      </c>
      <c r="D1271" s="93">
        <v>95</v>
      </c>
      <c r="E1271" s="93">
        <v>95</v>
      </c>
      <c r="F1271" s="103">
        <f>IFERROR(INDEX(Tabella951[PLZ],MATCH(Tabella848[[#This Row],[Colonna2]],Tabella951[Ortschaftsname],0)), "Name not found")</f>
        <v>7166</v>
      </c>
    </row>
    <row r="1272" spans="2:6">
      <c r="B1272" s="92" t="s">
        <v>151</v>
      </c>
      <c r="C1272" s="91" t="s">
        <v>803</v>
      </c>
      <c r="D1272" s="93">
        <v>95</v>
      </c>
      <c r="E1272" s="93">
        <v>100</v>
      </c>
      <c r="F1272" s="103">
        <f>IFERROR(INDEX(Tabella951[PLZ],MATCH(Tabella848[[#This Row],[Colonna2]],Tabella951[Ortschaftsname],0)), "Name not found")</f>
        <v>7428</v>
      </c>
    </row>
    <row r="1273" spans="2:6">
      <c r="B1273" s="92" t="s">
        <v>151</v>
      </c>
      <c r="C1273" s="91" t="s">
        <v>789</v>
      </c>
      <c r="D1273" s="93">
        <v>95</v>
      </c>
      <c r="E1273" s="93">
        <v>120</v>
      </c>
      <c r="F1273" s="103">
        <v>7063</v>
      </c>
    </row>
    <row r="1274" spans="2:6">
      <c r="B1274" s="92" t="s">
        <v>151</v>
      </c>
      <c r="C1274" s="91" t="s">
        <v>747</v>
      </c>
      <c r="D1274" s="93">
        <v>95</v>
      </c>
      <c r="E1274" s="93">
        <v>95</v>
      </c>
      <c r="F1274" s="103">
        <v>7189</v>
      </c>
    </row>
    <row r="1275" spans="2:6">
      <c r="B1275" s="92" t="s">
        <v>151</v>
      </c>
      <c r="C1275" s="91" t="s">
        <v>719</v>
      </c>
      <c r="D1275" s="93">
        <v>95</v>
      </c>
      <c r="E1275" s="93">
        <v>85</v>
      </c>
      <c r="F1275" s="103">
        <f>IFERROR(INDEX(Tabella951[PLZ],MATCH(Tabella848[[#This Row],[Colonna2]],Tabella951[Ortschaftsname],0)), "Name not found")</f>
        <v>7204</v>
      </c>
    </row>
    <row r="1276" spans="2:6">
      <c r="B1276" s="92" t="s">
        <v>151</v>
      </c>
      <c r="C1276" s="91" t="s">
        <v>801</v>
      </c>
      <c r="D1276" s="93">
        <v>95</v>
      </c>
      <c r="E1276" s="93">
        <v>70</v>
      </c>
      <c r="F1276" s="103">
        <f>IFERROR(INDEX(Tabella951[PLZ],MATCH(Tabella848[[#This Row],[Colonna2]],Tabella951[Ortschaftsname],0)), "Name not found")</f>
        <v>7427</v>
      </c>
    </row>
    <row r="1277" spans="2:6">
      <c r="B1277" s="92" t="s">
        <v>151</v>
      </c>
      <c r="C1277" s="91" t="s">
        <v>737</v>
      </c>
      <c r="D1277" s="93">
        <v>95</v>
      </c>
      <c r="E1277" s="93">
        <v>120</v>
      </c>
      <c r="F1277" s="103">
        <v>7536</v>
      </c>
    </row>
    <row r="1278" spans="2:6">
      <c r="B1278" s="92" t="s">
        <v>151</v>
      </c>
      <c r="C1278" s="91" t="s">
        <v>756</v>
      </c>
      <c r="D1278" s="93">
        <v>95</v>
      </c>
      <c r="E1278" s="93">
        <v>100</v>
      </c>
      <c r="F1278" s="103">
        <f>IFERROR(INDEX(Tabella951[PLZ],MATCH(Tabella848[[#This Row],[Colonna2]],Tabella951[Ortschaftsname],0)), "Name not found")</f>
        <v>7132</v>
      </c>
    </row>
    <row r="1279" spans="2:6">
      <c r="B1279" s="92" t="s">
        <v>151</v>
      </c>
      <c r="C1279" s="91" t="s">
        <v>763</v>
      </c>
      <c r="D1279" s="93">
        <v>95</v>
      </c>
      <c r="E1279" s="93">
        <v>95</v>
      </c>
      <c r="F1279" s="103">
        <v>7556</v>
      </c>
    </row>
    <row r="1280" spans="2:6">
      <c r="B1280" s="92" t="s">
        <v>151</v>
      </c>
      <c r="C1280" s="91" t="s">
        <v>2670</v>
      </c>
      <c r="D1280" s="93">
        <v>95</v>
      </c>
      <c r="E1280" s="93">
        <v>70</v>
      </c>
      <c r="F1280" s="103">
        <f>IFERROR(INDEX(Tabella951[PLZ],MATCH(Tabella848[[#This Row],[Colonna2]],Tabella951[Ortschaftsname],0)), "Name not found")</f>
        <v>7082</v>
      </c>
    </row>
    <row r="1281" spans="2:6">
      <c r="B1281" s="92" t="s">
        <v>151</v>
      </c>
      <c r="C1281" s="91" t="s">
        <v>735</v>
      </c>
      <c r="D1281" s="93">
        <v>95</v>
      </c>
      <c r="E1281" s="93">
        <v>84</v>
      </c>
      <c r="F1281" s="103">
        <f>IFERROR(INDEX(Tabella951[PLZ],MATCH(Tabella848[[#This Row],[Colonna2]],Tabella951[Ortschaftsname],0)), "Name not found")</f>
        <v>7530</v>
      </c>
    </row>
    <row r="1282" spans="2:6">
      <c r="B1282" s="92" t="s">
        <v>151</v>
      </c>
      <c r="C1282" s="91" t="s">
        <v>785</v>
      </c>
      <c r="D1282" s="93">
        <v>95</v>
      </c>
      <c r="E1282" s="93">
        <v>70</v>
      </c>
      <c r="F1282" s="103">
        <v>7432</v>
      </c>
    </row>
    <row r="1283" spans="2:6">
      <c r="B1283" s="92" t="s">
        <v>151</v>
      </c>
      <c r="C1283" s="91" t="s">
        <v>707</v>
      </c>
      <c r="D1283" s="93">
        <v>95</v>
      </c>
      <c r="E1283" s="93">
        <v>80</v>
      </c>
      <c r="F1283" s="103">
        <f>IFERROR(INDEX(Tabella951[PLZ],MATCH(Tabella848[[#This Row],[Colonna2]],Tabella951[Ortschaftsname],0)), "Name not found")</f>
        <v>7205</v>
      </c>
    </row>
    <row r="1284" spans="2:6">
      <c r="B1284" s="92" t="s">
        <v>151</v>
      </c>
      <c r="C1284" s="91" t="s">
        <v>749</v>
      </c>
      <c r="D1284" s="93">
        <v>95</v>
      </c>
      <c r="E1284" s="93">
        <v>65</v>
      </c>
      <c r="F1284" s="103">
        <f>IFERROR(INDEX(Tabella951[PLZ],MATCH(Tabella848[[#This Row],[Colonna2]],Tabella951[Ortschaftsname],0)), "Name not found")</f>
        <v>7524</v>
      </c>
    </row>
    <row r="1285" spans="2:6">
      <c r="B1285" s="92" t="s">
        <v>143</v>
      </c>
      <c r="C1285" s="91" t="s">
        <v>1615</v>
      </c>
      <c r="D1285" s="93">
        <v>112</v>
      </c>
      <c r="E1285" s="93">
        <v>96</v>
      </c>
      <c r="F1285" s="103">
        <f>IFERROR(INDEX(Tabella951[PLZ],MATCH(Tabella848[[#This Row],[Colonna2]],Tabella951[Ortschaftsname],0)), "Name not found")</f>
        <v>5000</v>
      </c>
    </row>
    <row r="1286" spans="2:6">
      <c r="B1286" s="92" t="s">
        <v>143</v>
      </c>
      <c r="C1286" s="91" t="s">
        <v>502</v>
      </c>
      <c r="D1286" s="93">
        <v>112</v>
      </c>
      <c r="E1286" s="93">
        <v>116</v>
      </c>
      <c r="F1286" s="103">
        <f>IFERROR(INDEX(Tabella951[PLZ],MATCH(Tabella848[[#This Row],[Colonna2]],Tabella951[Ortschaftsname],0)), "Name not found")</f>
        <v>4663</v>
      </c>
    </row>
    <row r="1287" spans="2:6">
      <c r="B1287" s="92" t="s">
        <v>143</v>
      </c>
      <c r="C1287" s="91" t="s">
        <v>648</v>
      </c>
      <c r="D1287" s="93">
        <v>112</v>
      </c>
      <c r="E1287" s="93">
        <v>113</v>
      </c>
      <c r="F1287" s="103">
        <v>5646</v>
      </c>
    </row>
    <row r="1288" spans="2:6">
      <c r="B1288" s="92" t="s">
        <v>143</v>
      </c>
      <c r="C1288" s="91" t="s">
        <v>671</v>
      </c>
      <c r="D1288" s="93">
        <v>112</v>
      </c>
      <c r="E1288" s="93">
        <v>109</v>
      </c>
      <c r="F1288" s="103">
        <v>5600</v>
      </c>
    </row>
    <row r="1289" spans="2:6">
      <c r="B1289" s="92" t="s">
        <v>143</v>
      </c>
      <c r="C1289" s="91" t="s">
        <v>611</v>
      </c>
      <c r="D1289" s="93">
        <v>112</v>
      </c>
      <c r="E1289" s="93">
        <v>109</v>
      </c>
      <c r="F1289" s="103">
        <f>IFERROR(INDEX(Tabella951[PLZ],MATCH(Tabella848[[#This Row],[Colonna2]],Tabella951[Ortschaftsname],0)), "Name not found")</f>
        <v>5628</v>
      </c>
    </row>
    <row r="1290" spans="2:6">
      <c r="B1290" s="92" t="s">
        <v>143</v>
      </c>
      <c r="C1290" s="91" t="s">
        <v>593</v>
      </c>
      <c r="D1290" s="93">
        <v>112</v>
      </c>
      <c r="E1290" s="93">
        <v>83</v>
      </c>
      <c r="F1290" s="103">
        <v>8905</v>
      </c>
    </row>
    <row r="1291" spans="2:6">
      <c r="B1291" s="92" t="s">
        <v>143</v>
      </c>
      <c r="C1291" s="91" t="s">
        <v>603</v>
      </c>
      <c r="D1291" s="93">
        <v>112</v>
      </c>
      <c r="E1291" s="93">
        <v>93</v>
      </c>
      <c r="F1291" s="103">
        <f>IFERROR(INDEX(Tabella951[PLZ],MATCH(Tabella848[[#This Row],[Colonna2]],Tabella951[Ortschaftsname],0)), "Name not found")</f>
        <v>5105</v>
      </c>
    </row>
    <row r="1292" spans="2:6">
      <c r="B1292" s="92" t="s">
        <v>143</v>
      </c>
      <c r="C1292" s="91" t="s">
        <v>583</v>
      </c>
      <c r="D1292" s="93">
        <v>112</v>
      </c>
      <c r="E1292" s="93">
        <v>106</v>
      </c>
      <c r="F1292" s="103">
        <f>IFERROR(INDEX(Tabella951[PLZ],MATCH(Tabella848[[#This Row],[Colonna2]],Tabella951[Ortschaftsname],0)), "Name not found")</f>
        <v>5644</v>
      </c>
    </row>
    <row r="1293" spans="2:6">
      <c r="B1293" s="92" t="s">
        <v>143</v>
      </c>
      <c r="C1293" s="91" t="s">
        <v>1616</v>
      </c>
      <c r="D1293" s="93">
        <v>112</v>
      </c>
      <c r="E1293" s="93">
        <v>92</v>
      </c>
      <c r="F1293" s="103">
        <f>IFERROR(INDEX(Tabella951[PLZ],MATCH(Tabella848[[#This Row],[Colonna2]],Tabella951[Ortschaftsname],0)), "Name not found")</f>
        <v>5400</v>
      </c>
    </row>
    <row r="1294" spans="2:6">
      <c r="B1294" s="92" t="s">
        <v>143</v>
      </c>
      <c r="C1294" s="91" t="s">
        <v>635</v>
      </c>
      <c r="D1294" s="93">
        <v>112</v>
      </c>
      <c r="E1294" s="93">
        <v>98</v>
      </c>
      <c r="F1294" s="103">
        <f>IFERROR(INDEX(Tabella951[PLZ],MATCH(Tabella848[[#This Row],[Colonna2]],Tabella951[Ortschaftsname],0)), "Name not found")</f>
        <v>5637</v>
      </c>
    </row>
    <row r="1295" spans="2:6">
      <c r="B1295" s="92" t="s">
        <v>143</v>
      </c>
      <c r="C1295" s="91" t="s">
        <v>555</v>
      </c>
      <c r="D1295" s="93">
        <v>112</v>
      </c>
      <c r="E1295" s="93">
        <v>102</v>
      </c>
      <c r="F1295" s="103">
        <f>IFERROR(INDEX(Tabella951[PLZ],MATCH(Tabella848[[#This Row],[Colonna2]],Tabella951[Ortschaftsname],0)), "Name not found")</f>
        <v>5712</v>
      </c>
    </row>
    <row r="1296" spans="2:6">
      <c r="B1296" s="92" t="s">
        <v>143</v>
      </c>
      <c r="C1296" s="91" t="s">
        <v>607</v>
      </c>
      <c r="D1296" s="93">
        <v>112</v>
      </c>
      <c r="E1296" s="93">
        <v>89</v>
      </c>
      <c r="F1296" s="103">
        <f>IFERROR(INDEX(Tabella951[PLZ],MATCH(Tabella848[[#This Row],[Colonna2]],Tabella951[Ortschaftsname],0)), "Name not found")</f>
        <v>5454</v>
      </c>
    </row>
    <row r="1297" spans="2:6">
      <c r="B1297" s="92" t="s">
        <v>143</v>
      </c>
      <c r="C1297" s="91" t="s">
        <v>566</v>
      </c>
      <c r="D1297" s="93">
        <v>112</v>
      </c>
      <c r="E1297" s="93">
        <v>84</v>
      </c>
      <c r="F1297" s="103">
        <f>IFERROR(INDEX(Tabella951[PLZ],MATCH(Tabella848[[#This Row],[Colonna2]],Tabella951[Ortschaftsname],0)), "Name not found")</f>
        <v>8962</v>
      </c>
    </row>
    <row r="1298" spans="2:6">
      <c r="B1298" s="92" t="s">
        <v>143</v>
      </c>
      <c r="C1298" s="91" t="s">
        <v>523</v>
      </c>
      <c r="D1298" s="93">
        <v>112</v>
      </c>
      <c r="E1298" s="93">
        <v>89</v>
      </c>
      <c r="F1298" s="103">
        <f>IFERROR(INDEX(Tabella951[PLZ],MATCH(Tabella848[[#This Row],[Colonna2]],Tabella951[Ortschaftsname],0)), "Name not found")</f>
        <v>8965</v>
      </c>
    </row>
    <row r="1299" spans="2:6">
      <c r="B1299" s="92" t="s">
        <v>143</v>
      </c>
      <c r="C1299" s="91" t="s">
        <v>674</v>
      </c>
      <c r="D1299" s="93">
        <v>112</v>
      </c>
      <c r="E1299" s="93">
        <v>113</v>
      </c>
      <c r="F1299" s="103">
        <f>IFERROR(INDEX(Tabella951[PLZ],MATCH(Tabella848[[#This Row],[Colonna2]],Tabella951[Ortschaftsname],0)), "Name not found")</f>
        <v>5627</v>
      </c>
    </row>
    <row r="1300" spans="2:6">
      <c r="B1300" s="92" t="s">
        <v>143</v>
      </c>
      <c r="C1300" s="91" t="s">
        <v>675</v>
      </c>
      <c r="D1300" s="93">
        <v>112</v>
      </c>
      <c r="E1300" s="93">
        <v>102</v>
      </c>
      <c r="F1300" s="103">
        <f>IFERROR(INDEX(Tabella951[PLZ],MATCH(Tabella848[[#This Row],[Colonna2]],Tabella951[Ortschaftsname],0)), "Name not found")</f>
        <v>5618</v>
      </c>
    </row>
    <row r="1301" spans="2:6">
      <c r="B1301" s="92" t="s">
        <v>143</v>
      </c>
      <c r="C1301" s="91" t="s">
        <v>600</v>
      </c>
      <c r="D1301" s="93">
        <v>112</v>
      </c>
      <c r="E1301" s="93">
        <v>92</v>
      </c>
      <c r="F1301" s="103">
        <f>IFERROR(INDEX(Tabella951[PLZ],MATCH(Tabella848[[#This Row],[Colonna2]],Tabella951[Ortschaftsname],0)), "Name not found")</f>
        <v>5023</v>
      </c>
    </row>
    <row r="1302" spans="2:6">
      <c r="B1302" s="92" t="s">
        <v>143</v>
      </c>
      <c r="C1302" s="91" t="s">
        <v>559</v>
      </c>
      <c r="D1302" s="93">
        <v>112</v>
      </c>
      <c r="E1302" s="93">
        <v>98</v>
      </c>
      <c r="F1302" s="103">
        <v>5413</v>
      </c>
    </row>
    <row r="1303" spans="2:6">
      <c r="B1303" s="92" t="s">
        <v>143</v>
      </c>
      <c r="C1303" s="91" t="s">
        <v>525</v>
      </c>
      <c r="D1303" s="93">
        <v>112</v>
      </c>
      <c r="E1303" s="93">
        <v>117</v>
      </c>
      <c r="F1303" s="103">
        <f>IFERROR(INDEX(Tabella951[PLZ],MATCH(Tabella848[[#This Row],[Colonna2]],Tabella951[Ortschaftsname],0)), "Name not found")</f>
        <v>5242</v>
      </c>
    </row>
    <row r="1304" spans="2:6">
      <c r="B1304" s="92" t="s">
        <v>143</v>
      </c>
      <c r="C1304" s="91" t="s">
        <v>670</v>
      </c>
      <c r="D1304" s="93">
        <v>112</v>
      </c>
      <c r="E1304" s="93">
        <v>109</v>
      </c>
      <c r="F1304" s="103">
        <f>IFERROR(INDEX(Tabella951[PLZ],MATCH(Tabella848[[#This Row],[Colonna2]],Tabella951[Ortschaftsname],0)), "Name not found")</f>
        <v>5244</v>
      </c>
    </row>
    <row r="1305" spans="2:6">
      <c r="B1305" s="92" t="s">
        <v>143</v>
      </c>
      <c r="C1305" s="91" t="s">
        <v>631</v>
      </c>
      <c r="D1305" s="93">
        <v>112</v>
      </c>
      <c r="E1305" s="93">
        <v>95</v>
      </c>
      <c r="F1305" s="103">
        <f>IFERROR(INDEX(Tabella951[PLZ],MATCH(Tabella848[[#This Row],[Colonna2]],Tabella951[Ortschaftsname],0)), "Name not found")</f>
        <v>5708</v>
      </c>
    </row>
    <row r="1306" spans="2:6">
      <c r="B1306" s="92" t="s">
        <v>143</v>
      </c>
      <c r="C1306" s="91" t="s">
        <v>615</v>
      </c>
      <c r="D1306" s="93">
        <v>112</v>
      </c>
      <c r="E1306" s="93">
        <v>105</v>
      </c>
      <c r="F1306" s="103">
        <f>IFERROR(INDEX(Tabella951[PLZ],MATCH(Tabella848[[#This Row],[Colonna2]],Tabella951[Ortschaftsname],0)), "Name not found")</f>
        <v>5706</v>
      </c>
    </row>
    <row r="1307" spans="2:6">
      <c r="B1307" s="92" t="s">
        <v>143</v>
      </c>
      <c r="C1307" s="91" t="s">
        <v>568</v>
      </c>
      <c r="D1307" s="93">
        <v>112</v>
      </c>
      <c r="E1307" s="93">
        <v>101</v>
      </c>
      <c r="F1307" s="103">
        <f>IFERROR(INDEX(Tabella951[PLZ],MATCH(Tabella848[[#This Row],[Colonna2]],Tabella951[Ortschaftsname],0)), "Name not found")</f>
        <v>5623</v>
      </c>
    </row>
    <row r="1308" spans="2:6">
      <c r="B1308" s="92" t="s">
        <v>143</v>
      </c>
      <c r="C1308" s="91" t="s">
        <v>664</v>
      </c>
      <c r="D1308" s="93">
        <v>112</v>
      </c>
      <c r="E1308" s="93">
        <v>119</v>
      </c>
      <c r="F1308" s="103">
        <f>IFERROR(INDEX(Tabella951[PLZ],MATCH(Tabella848[[#This Row],[Colonna2]],Tabella951[Ortschaftsname],0)), "Name not found")</f>
        <v>4814</v>
      </c>
    </row>
    <row r="1309" spans="2:6">
      <c r="B1309" s="92" t="s">
        <v>143</v>
      </c>
      <c r="C1309" s="91" t="s">
        <v>505</v>
      </c>
      <c r="D1309" s="93">
        <v>112</v>
      </c>
      <c r="E1309" s="93">
        <v>97</v>
      </c>
      <c r="F1309" s="103">
        <v>5620</v>
      </c>
    </row>
    <row r="1310" spans="2:6">
      <c r="B1310" s="92" t="s">
        <v>143</v>
      </c>
      <c r="C1310" s="91" t="s">
        <v>541</v>
      </c>
      <c r="D1310" s="93">
        <v>112</v>
      </c>
      <c r="E1310" s="93">
        <v>114</v>
      </c>
      <c r="F1310" s="103">
        <f>IFERROR(INDEX(Tabella951[PLZ],MATCH(Tabella848[[#This Row],[Colonna2]],Tabella951[Ortschaftsname],0)), "Name not found")</f>
        <v>4805</v>
      </c>
    </row>
    <row r="1311" spans="2:6">
      <c r="B1311" s="92" t="s">
        <v>143</v>
      </c>
      <c r="C1311" s="91" t="s">
        <v>2671</v>
      </c>
      <c r="D1311" s="93">
        <v>112</v>
      </c>
      <c r="E1311" s="93">
        <v>97</v>
      </c>
      <c r="F1311" s="103">
        <v>5200</v>
      </c>
    </row>
    <row r="1312" spans="2:6">
      <c r="B1312" s="92" t="s">
        <v>143</v>
      </c>
      <c r="C1312" s="91" t="s">
        <v>2671</v>
      </c>
      <c r="D1312" s="93">
        <v>112</v>
      </c>
      <c r="E1312" s="93">
        <v>97</v>
      </c>
      <c r="F1312" s="103">
        <v>5201</v>
      </c>
    </row>
    <row r="1313" spans="2:6">
      <c r="B1313" s="92" t="s">
        <v>143</v>
      </c>
      <c r="C1313" s="91" t="s">
        <v>663</v>
      </c>
      <c r="D1313" s="93">
        <v>112</v>
      </c>
      <c r="E1313" s="93">
        <v>105</v>
      </c>
      <c r="F1313" s="103">
        <f>IFERROR(INDEX(Tabella951[PLZ],MATCH(Tabella848[[#This Row],[Colonna2]],Tabella951[Ortschaftsname],0)), "Name not found")</f>
        <v>5505</v>
      </c>
    </row>
    <row r="1314" spans="2:6">
      <c r="B1314" s="92" t="s">
        <v>143</v>
      </c>
      <c r="C1314" s="91" t="s">
        <v>503</v>
      </c>
      <c r="D1314" s="93">
        <v>112</v>
      </c>
      <c r="E1314" s="93">
        <v>118</v>
      </c>
      <c r="F1314" s="103">
        <v>5033</v>
      </c>
    </row>
    <row r="1315" spans="2:6">
      <c r="B1315" s="92" t="s">
        <v>143</v>
      </c>
      <c r="C1315" s="91" t="s">
        <v>628</v>
      </c>
      <c r="D1315" s="93">
        <v>112</v>
      </c>
      <c r="E1315" s="93">
        <v>102</v>
      </c>
      <c r="F1315" s="103">
        <f>IFERROR(INDEX(Tabella951[PLZ],MATCH(Tabella848[[#This Row],[Colonna2]],Tabella951[Ortschaftsname],0)), "Name not found")</f>
        <v>5632</v>
      </c>
    </row>
    <row r="1316" spans="2:6">
      <c r="B1316" s="92" t="s">
        <v>143</v>
      </c>
      <c r="C1316" s="91" t="s">
        <v>538</v>
      </c>
      <c r="D1316" s="93">
        <v>112</v>
      </c>
      <c r="E1316" s="93">
        <v>107</v>
      </c>
      <c r="F1316" s="103">
        <f>IFERROR(INDEX(Tabella951[PLZ],MATCH(Tabella848[[#This Row],[Colonna2]],Tabella951[Ortschaftsname],0)), "Name not found")</f>
        <v>5315</v>
      </c>
    </row>
    <row r="1317" spans="2:6">
      <c r="B1317" s="92" t="s">
        <v>143</v>
      </c>
      <c r="C1317" s="91" t="s">
        <v>604</v>
      </c>
      <c r="D1317" s="93">
        <v>112</v>
      </c>
      <c r="E1317" s="93">
        <v>96</v>
      </c>
      <c r="F1317" s="103">
        <f>IFERROR(INDEX(Tabella951[PLZ],MATCH(Tabella848[[#This Row],[Colonna2]],Tabella951[Ortschaftsname],0)), "Name not found")</f>
        <v>5225</v>
      </c>
    </row>
    <row r="1318" spans="2:6">
      <c r="B1318" s="92" t="s">
        <v>143</v>
      </c>
      <c r="C1318" s="91" t="s">
        <v>2672</v>
      </c>
      <c r="D1318" s="93">
        <v>112</v>
      </c>
      <c r="E1318" s="93">
        <v>114</v>
      </c>
      <c r="F1318" s="103">
        <v>5075</v>
      </c>
    </row>
    <row r="1319" spans="2:6">
      <c r="B1319" s="92" t="s">
        <v>143</v>
      </c>
      <c r="C1319" s="91" t="s">
        <v>636</v>
      </c>
      <c r="D1319" s="93">
        <v>112</v>
      </c>
      <c r="E1319" s="93">
        <v>110</v>
      </c>
      <c r="F1319" s="103">
        <f>IFERROR(INDEX(Tabella951[PLZ],MATCH(Tabella848[[#This Row],[Colonna2]],Tabella951[Ortschaftsname],0)), "Name not found")</f>
        <v>5624</v>
      </c>
    </row>
    <row r="1320" spans="2:6">
      <c r="B1320" s="92" t="s">
        <v>143</v>
      </c>
      <c r="C1320" s="91" t="s">
        <v>647</v>
      </c>
      <c r="D1320" s="93">
        <v>112</v>
      </c>
      <c r="E1320" s="93">
        <v>96</v>
      </c>
      <c r="F1320" s="103">
        <v>5619</v>
      </c>
    </row>
    <row r="1321" spans="2:6">
      <c r="B1321" s="92" t="s">
        <v>143</v>
      </c>
      <c r="C1321" s="91" t="s">
        <v>669</v>
      </c>
      <c r="D1321" s="93">
        <v>112</v>
      </c>
      <c r="E1321" s="93">
        <v>117</v>
      </c>
      <c r="F1321" s="103">
        <f>IFERROR(INDEX(Tabella951[PLZ],MATCH(Tabella848[[#This Row],[Colonna2]],Tabella951[Ortschaftsname],0)), "Name not found")</f>
        <v>5026</v>
      </c>
    </row>
    <row r="1322" spans="2:6">
      <c r="B1322" s="92" t="s">
        <v>143</v>
      </c>
      <c r="C1322" s="91" t="s">
        <v>621</v>
      </c>
      <c r="D1322" s="93">
        <v>112</v>
      </c>
      <c r="E1322" s="93">
        <v>104</v>
      </c>
      <c r="F1322" s="103">
        <f>IFERROR(INDEX(Tabella951[PLZ],MATCH(Tabella848[[#This Row],[Colonna2]],Tabella951[Ortschaftsname],0)), "Name not found")</f>
        <v>6042</v>
      </c>
    </row>
    <row r="1323" spans="2:6">
      <c r="B1323" s="92" t="s">
        <v>143</v>
      </c>
      <c r="C1323" s="91" t="s">
        <v>579</v>
      </c>
      <c r="D1323" s="93">
        <v>112</v>
      </c>
      <c r="E1323" s="93">
        <v>98</v>
      </c>
      <c r="F1323" s="103">
        <f>IFERROR(INDEX(Tabella951[PLZ],MATCH(Tabella848[[#This Row],[Colonna2]],Tabella951[Ortschaftsname],0)), "Name not found")</f>
        <v>5606</v>
      </c>
    </row>
    <row r="1324" spans="2:6">
      <c r="B1324" s="92" t="s">
        <v>143</v>
      </c>
      <c r="C1324" s="91" t="s">
        <v>543</v>
      </c>
      <c r="D1324" s="93">
        <v>112</v>
      </c>
      <c r="E1324" s="93">
        <v>92</v>
      </c>
      <c r="F1324" s="103">
        <f>IFERROR(INDEX(Tabella951[PLZ],MATCH(Tabella848[[#This Row],[Colonna2]],Tabella951[Ortschaftsname],0)), "Name not found")</f>
        <v>5605</v>
      </c>
    </row>
    <row r="1325" spans="2:6">
      <c r="B1325" s="92" t="s">
        <v>143</v>
      </c>
      <c r="C1325" s="91" t="s">
        <v>542</v>
      </c>
      <c r="D1325" s="93">
        <v>112</v>
      </c>
      <c r="E1325" s="93">
        <v>110</v>
      </c>
      <c r="F1325" s="103">
        <f>IFERROR(INDEX(Tabella951[PLZ],MATCH(Tabella848[[#This Row],[Colonna2]],Tabella951[Ortschaftsname],0)), "Name not found")</f>
        <v>5312</v>
      </c>
    </row>
    <row r="1326" spans="2:6">
      <c r="B1326" s="92" t="s">
        <v>143</v>
      </c>
      <c r="C1326" s="91" t="s">
        <v>625</v>
      </c>
      <c r="D1326" s="93">
        <v>112</v>
      </c>
      <c r="E1326" s="93">
        <v>118</v>
      </c>
      <c r="F1326" s="103">
        <f>IFERROR(INDEX(Tabella951[PLZ],MATCH(Tabella848[[#This Row],[Colonna2]],Tabella951[Ortschaftsname],0)), "Name not found")</f>
        <v>5724</v>
      </c>
    </row>
    <row r="1327" spans="2:6">
      <c r="B1327" s="92" t="s">
        <v>143</v>
      </c>
      <c r="C1327" s="91" t="s">
        <v>646</v>
      </c>
      <c r="D1327" s="93">
        <v>112</v>
      </c>
      <c r="E1327" s="93">
        <v>106</v>
      </c>
      <c r="F1327" s="103">
        <f>IFERROR(INDEX(Tabella951[PLZ],MATCH(Tabella848[[#This Row],[Colonna2]],Tabella951[Ortschaftsname],0)), "Name not found")</f>
        <v>5445</v>
      </c>
    </row>
    <row r="1328" spans="2:6">
      <c r="B1328" s="92" t="s">
        <v>143</v>
      </c>
      <c r="C1328" s="91" t="s">
        <v>614</v>
      </c>
      <c r="D1328" s="93">
        <v>112</v>
      </c>
      <c r="E1328" s="93">
        <v>105</v>
      </c>
      <c r="F1328" s="103">
        <f>IFERROR(INDEX(Tabella951[PLZ],MATCH(Tabella848[[#This Row],[Colonna2]],Tabella951[Ortschaftsname],0)), "Name not found")</f>
        <v>5704</v>
      </c>
    </row>
    <row r="1329" spans="2:6">
      <c r="B1329" s="92" t="s">
        <v>143</v>
      </c>
      <c r="C1329" s="91" t="s">
        <v>520</v>
      </c>
      <c r="D1329" s="93">
        <v>112</v>
      </c>
      <c r="E1329" s="93">
        <v>108</v>
      </c>
      <c r="F1329" s="103">
        <f>IFERROR(INDEX(Tabella951[PLZ],MATCH(Tabella848[[#This Row],[Colonna2]],Tabella951[Ortschaftsname],0)), "Name not found")</f>
        <v>5420</v>
      </c>
    </row>
    <row r="1330" spans="2:6">
      <c r="B1330" s="92" t="s">
        <v>143</v>
      </c>
      <c r="C1330" s="91" t="s">
        <v>576</v>
      </c>
      <c r="D1330" s="93">
        <v>112</v>
      </c>
      <c r="E1330" s="93">
        <v>111</v>
      </c>
      <c r="F1330" s="103">
        <f>IFERROR(INDEX(Tabella951[PLZ],MATCH(Tabella848[[#This Row],[Colonna2]],Tabella951[Ortschaftsname],0)), "Name not found")</f>
        <v>5074</v>
      </c>
    </row>
    <row r="1331" spans="2:6">
      <c r="B1331" s="92" t="s">
        <v>143</v>
      </c>
      <c r="C1331" s="91" t="s">
        <v>572</v>
      </c>
      <c r="D1331" s="93">
        <v>112</v>
      </c>
      <c r="E1331" s="93">
        <v>111</v>
      </c>
      <c r="F1331" s="103">
        <f>IFERROR(INDEX(Tabella951[PLZ],MATCH(Tabella848[[#This Row],[Colonna2]],Tabella951[Ortschaftsname],0)), "Name not found")</f>
        <v>5304</v>
      </c>
    </row>
    <row r="1332" spans="2:6">
      <c r="B1332" s="92" t="s">
        <v>143</v>
      </c>
      <c r="C1332" s="91" t="s">
        <v>551</v>
      </c>
      <c r="D1332" s="93">
        <v>112</v>
      </c>
      <c r="E1332" s="93">
        <v>92</v>
      </c>
      <c r="F1332" s="103">
        <f>IFERROR(INDEX(Tabella951[PLZ],MATCH(Tabella848[[#This Row],[Colonna2]],Tabella951[Ortschaftsname],0)), "Name not found")</f>
        <v>5408</v>
      </c>
    </row>
    <row r="1333" spans="2:6">
      <c r="B1333" s="92" t="s">
        <v>143</v>
      </c>
      <c r="C1333" s="91" t="s">
        <v>533</v>
      </c>
      <c r="D1333" s="93">
        <v>112</v>
      </c>
      <c r="E1333" s="93">
        <v>89</v>
      </c>
      <c r="F1333" s="103">
        <v>5018</v>
      </c>
    </row>
    <row r="1334" spans="2:6">
      <c r="B1334" s="92" t="s">
        <v>143</v>
      </c>
      <c r="C1334" s="91" t="s">
        <v>588</v>
      </c>
      <c r="D1334" s="93">
        <v>112</v>
      </c>
      <c r="E1334" s="93">
        <v>118</v>
      </c>
      <c r="F1334" s="103">
        <f>IFERROR(INDEX(Tabella951[PLZ],MATCH(Tabella848[[#This Row],[Colonna2]],Tabella951[Ortschaftsname],0)), "Name not found")</f>
        <v>5615</v>
      </c>
    </row>
    <row r="1335" spans="2:6">
      <c r="B1335" s="92" t="s">
        <v>143</v>
      </c>
      <c r="C1335" s="91" t="s">
        <v>597</v>
      </c>
      <c r="D1335" s="93">
        <v>112</v>
      </c>
      <c r="E1335" s="93">
        <v>109</v>
      </c>
      <c r="F1335" s="103">
        <f>IFERROR(INDEX(Tabella951[PLZ],MATCH(Tabella848[[#This Row],[Colonna2]],Tabella951[Ortschaftsname],0)), "Name not found")</f>
        <v>5525</v>
      </c>
    </row>
    <row r="1336" spans="2:6">
      <c r="B1336" s="92" t="s">
        <v>143</v>
      </c>
      <c r="C1336" s="91" t="s">
        <v>679</v>
      </c>
      <c r="D1336" s="93">
        <v>112</v>
      </c>
      <c r="E1336" s="93">
        <v>115</v>
      </c>
      <c r="F1336" s="103">
        <f>IFERROR(INDEX(Tabella951[PLZ],MATCH(Tabella848[[#This Row],[Colonna2]],Tabella951[Ortschaftsname],0)), "Name not found")</f>
        <v>5467</v>
      </c>
    </row>
    <row r="1337" spans="2:6">
      <c r="B1337" s="92" t="s">
        <v>143</v>
      </c>
      <c r="C1337" s="91" t="s">
        <v>515</v>
      </c>
      <c r="D1337" s="93">
        <v>112</v>
      </c>
      <c r="E1337" s="93">
        <v>109</v>
      </c>
      <c r="F1337" s="103">
        <f>IFERROR(INDEX(Tabella951[PLZ],MATCH(Tabella848[[#This Row],[Colonna2]],Tabella951[Ortschaftsname],0)), "Name not found")</f>
        <v>5442</v>
      </c>
    </row>
    <row r="1338" spans="2:6">
      <c r="B1338" s="92" t="s">
        <v>143</v>
      </c>
      <c r="C1338" s="91" t="s">
        <v>642</v>
      </c>
      <c r="D1338" s="93">
        <v>112</v>
      </c>
      <c r="E1338" s="93">
        <v>114</v>
      </c>
      <c r="F1338" s="103">
        <f>IFERROR(INDEX(Tabella951[PLZ],MATCH(Tabella848[[#This Row],[Colonna2]],Tabella951[Ortschaftsname],0)), "Name not found")</f>
        <v>5423</v>
      </c>
    </row>
    <row r="1339" spans="2:6">
      <c r="B1339" s="92" t="s">
        <v>143</v>
      </c>
      <c r="C1339" s="91" t="s">
        <v>514</v>
      </c>
      <c r="D1339" s="93">
        <v>112</v>
      </c>
      <c r="E1339" s="93">
        <v>102</v>
      </c>
      <c r="F1339" s="103">
        <f>IFERROR(INDEX(Tabella951[PLZ],MATCH(Tabella848[[#This Row],[Colonna2]],Tabella951[Ortschaftsname],0)), "Name not found")</f>
        <v>5070</v>
      </c>
    </row>
    <row r="1340" spans="2:6">
      <c r="B1340" s="92" t="s">
        <v>143</v>
      </c>
      <c r="C1340" s="91" t="s">
        <v>655</v>
      </c>
      <c r="D1340" s="93">
        <v>112</v>
      </c>
      <c r="E1340" s="93">
        <v>122</v>
      </c>
      <c r="F1340" s="103">
        <f>IFERROR(INDEX(Tabella951[PLZ],MATCH(Tabella848[[#This Row],[Colonna2]],Tabella951[Ortschaftsname],0)), "Name not found")</f>
        <v>5324</v>
      </c>
    </row>
    <row r="1341" spans="2:6">
      <c r="B1341" s="92" t="s">
        <v>143</v>
      </c>
      <c r="C1341" s="91" t="s">
        <v>643</v>
      </c>
      <c r="D1341" s="93">
        <v>112</v>
      </c>
      <c r="E1341" s="93">
        <v>120</v>
      </c>
      <c r="F1341" s="103">
        <f>IFERROR(INDEX(Tabella951[PLZ],MATCH(Tabella848[[#This Row],[Colonna2]],Tabella951[Ortschaftsname],0)), "Name not found")</f>
        <v>5272</v>
      </c>
    </row>
    <row r="1342" spans="2:6">
      <c r="B1342" s="92" t="s">
        <v>143</v>
      </c>
      <c r="C1342" s="91" t="s">
        <v>518</v>
      </c>
      <c r="D1342" s="93">
        <v>112</v>
      </c>
      <c r="E1342" s="93">
        <v>105</v>
      </c>
      <c r="F1342" s="103">
        <f>IFERROR(INDEX(Tabella951[PLZ],MATCH(Tabella848[[#This Row],[Colonna2]],Tabella951[Ortschaftsname],0)), "Name not found")</f>
        <v>5412</v>
      </c>
    </row>
    <row r="1343" spans="2:6">
      <c r="B1343" s="92" t="s">
        <v>143</v>
      </c>
      <c r="C1343" s="91" t="s">
        <v>693</v>
      </c>
      <c r="D1343" s="93">
        <v>112</v>
      </c>
      <c r="E1343" s="93">
        <v>50</v>
      </c>
      <c r="F1343" s="103">
        <f>IFERROR(INDEX(Tabella951[PLZ],MATCH(Tabella848[[#This Row],[Colonna2]],Tabella951[Ortschaftsname],0)), "Name not found")</f>
        <v>5637</v>
      </c>
    </row>
    <row r="1344" spans="2:6">
      <c r="B1344" s="92" t="s">
        <v>143</v>
      </c>
      <c r="C1344" s="91" t="s">
        <v>550</v>
      </c>
      <c r="D1344" s="93">
        <v>112</v>
      </c>
      <c r="E1344" s="93">
        <v>99</v>
      </c>
      <c r="F1344" s="103">
        <f>IFERROR(INDEX(Tabella951[PLZ],MATCH(Tabella848[[#This Row],[Colonna2]],Tabella951[Ortschaftsname],0)), "Name not found")</f>
        <v>5073</v>
      </c>
    </row>
    <row r="1345" spans="2:6">
      <c r="B1345" s="92" t="s">
        <v>143</v>
      </c>
      <c r="C1345" s="91" t="s">
        <v>581</v>
      </c>
      <c r="D1345" s="93">
        <v>112</v>
      </c>
      <c r="E1345" s="93">
        <v>117</v>
      </c>
      <c r="F1345" s="103">
        <f>IFERROR(INDEX(Tabella951[PLZ],MATCH(Tabella848[[#This Row],[Colonna2]],Tabella951[Ortschaftsname],0)), "Name not found")</f>
        <v>5728</v>
      </c>
    </row>
    <row r="1346" spans="2:6">
      <c r="B1346" s="92" t="s">
        <v>143</v>
      </c>
      <c r="C1346" s="91" t="s">
        <v>506</v>
      </c>
      <c r="D1346" s="93">
        <v>112</v>
      </c>
      <c r="E1346" s="93">
        <v>111</v>
      </c>
      <c r="F1346" s="103">
        <f>IFERROR(INDEX(Tabella951[PLZ],MATCH(Tabella848[[#This Row],[Colonna2]],Tabella951[Ortschaftsname],0)), "Name not found")</f>
        <v>5722</v>
      </c>
    </row>
    <row r="1347" spans="2:6">
      <c r="B1347" s="92" t="s">
        <v>143</v>
      </c>
      <c r="C1347" s="91" t="s">
        <v>682</v>
      </c>
      <c r="D1347" s="93">
        <v>112</v>
      </c>
      <c r="E1347" s="93">
        <v>82</v>
      </c>
      <c r="F1347" s="103">
        <f>IFERROR(INDEX(Tabella951[PLZ],MATCH(Tabella848[[#This Row],[Colonna2]],Tabella951[Ortschaftsname],0)), "Name not found")</f>
        <v>5245</v>
      </c>
    </row>
    <row r="1348" spans="2:6">
      <c r="B1348" s="92" t="s">
        <v>143</v>
      </c>
      <c r="C1348" s="91" t="s">
        <v>656</v>
      </c>
      <c r="D1348" s="93">
        <v>112</v>
      </c>
      <c r="E1348" s="93">
        <v>127</v>
      </c>
      <c r="F1348" s="103">
        <f>IFERROR(INDEX(Tabella951[PLZ],MATCH(Tabella848[[#This Row],[Colonna2]],Tabella951[Ortschaftsname],0)), "Name not found")</f>
        <v>5705</v>
      </c>
    </row>
    <row r="1349" spans="2:6">
      <c r="B1349" s="92" t="s">
        <v>143</v>
      </c>
      <c r="C1349" s="91" t="s">
        <v>548</v>
      </c>
      <c r="D1349" s="93">
        <v>112</v>
      </c>
      <c r="E1349" s="93">
        <v>110</v>
      </c>
      <c r="F1349" s="103">
        <v>5212</v>
      </c>
    </row>
    <row r="1350" spans="2:6">
      <c r="B1350" s="92" t="s">
        <v>143</v>
      </c>
      <c r="C1350" s="91" t="s">
        <v>665</v>
      </c>
      <c r="D1350" s="93">
        <v>112</v>
      </c>
      <c r="E1350" s="93">
        <v>120</v>
      </c>
      <c r="F1350" s="103">
        <f>IFERROR(INDEX(Tabella951[PLZ],MATCH(Tabella848[[#This Row],[Colonna2]],Tabella951[Ortschaftsname],0)), "Name not found")</f>
        <v>4316</v>
      </c>
    </row>
    <row r="1351" spans="2:6">
      <c r="B1351" s="92" t="s">
        <v>143</v>
      </c>
      <c r="C1351" s="91" t="s">
        <v>627</v>
      </c>
      <c r="D1351" s="93">
        <v>112</v>
      </c>
      <c r="E1351" s="93">
        <v>125</v>
      </c>
      <c r="F1351" s="103">
        <f>IFERROR(INDEX(Tabella951[PLZ],MATCH(Tabella848[[#This Row],[Colonna2]],Tabella951[Ortschaftsname],0)), "Name not found")</f>
        <v>5604</v>
      </c>
    </row>
    <row r="1352" spans="2:6">
      <c r="B1352" s="92" t="s">
        <v>143</v>
      </c>
      <c r="C1352" s="91" t="s">
        <v>2673</v>
      </c>
      <c r="D1352" s="93">
        <v>112</v>
      </c>
      <c r="E1352" s="93">
        <v>110</v>
      </c>
      <c r="F1352" s="103">
        <v>5027</v>
      </c>
    </row>
    <row r="1353" spans="2:6">
      <c r="B1353" s="92" t="s">
        <v>143</v>
      </c>
      <c r="C1353" s="91" t="s">
        <v>601</v>
      </c>
      <c r="D1353" s="93">
        <v>112</v>
      </c>
      <c r="E1353" s="93">
        <v>100</v>
      </c>
      <c r="F1353" s="103">
        <f>IFERROR(INDEX(Tabella951[PLZ],MATCH(Tabella848[[#This Row],[Colonna2]],Tabella951[Ortschaftsname],0)), "Name not found")</f>
        <v>5042</v>
      </c>
    </row>
    <row r="1354" spans="2:6">
      <c r="B1354" s="92" t="s">
        <v>143</v>
      </c>
      <c r="C1354" s="91" t="s">
        <v>629</v>
      </c>
      <c r="D1354" s="93">
        <v>112</v>
      </c>
      <c r="E1354" s="93">
        <v>98</v>
      </c>
      <c r="F1354" s="103">
        <v>5113</v>
      </c>
    </row>
    <row r="1355" spans="2:6">
      <c r="B1355" s="92" t="s">
        <v>143</v>
      </c>
      <c r="C1355" s="91" t="s">
        <v>619</v>
      </c>
      <c r="D1355" s="93">
        <v>112</v>
      </c>
      <c r="E1355" s="93">
        <v>106</v>
      </c>
      <c r="F1355" s="103">
        <f>IFERROR(INDEX(Tabella951[PLZ],MATCH(Tabella848[[#This Row],[Colonna2]],Tabella951[Ortschaftsname],0)), "Name not found")</f>
        <v>5043</v>
      </c>
    </row>
    <row r="1356" spans="2:6">
      <c r="B1356" s="92" t="s">
        <v>143</v>
      </c>
      <c r="C1356" s="91" t="s">
        <v>536</v>
      </c>
      <c r="D1356" s="93">
        <v>112</v>
      </c>
      <c r="E1356" s="93">
        <v>102</v>
      </c>
      <c r="F1356" s="103">
        <f>IFERROR(INDEX(Tabella951[PLZ],MATCH(Tabella848[[#This Row],[Colonna2]],Tabella951[Ortschaftsname],0)), "Name not found")</f>
        <v>5502</v>
      </c>
    </row>
    <row r="1357" spans="2:6">
      <c r="B1357" s="92" t="s">
        <v>143</v>
      </c>
      <c r="C1357" s="91" t="s">
        <v>573</v>
      </c>
      <c r="D1357" s="93">
        <v>112</v>
      </c>
      <c r="E1357" s="93">
        <v>114</v>
      </c>
      <c r="F1357" s="103">
        <f>IFERROR(INDEX(Tabella951[PLZ],MATCH(Tabella848[[#This Row],[Colonna2]],Tabella951[Ortschaftsname],0)), "Name not found")</f>
        <v>5607</v>
      </c>
    </row>
    <row r="1358" spans="2:6">
      <c r="B1358" s="92" t="s">
        <v>143</v>
      </c>
      <c r="C1358" s="91" t="s">
        <v>676</v>
      </c>
      <c r="D1358" s="93">
        <v>112</v>
      </c>
      <c r="E1358" s="93">
        <v>92</v>
      </c>
      <c r="F1358" s="103">
        <f>IFERROR(INDEX(Tabella951[PLZ],MATCH(Tabella848[[#This Row],[Colonna2]],Tabella951[Ortschaftsname],0)), "Name not found")</f>
        <v>8905</v>
      </c>
    </row>
    <row r="1359" spans="2:6">
      <c r="B1359" s="92" t="s">
        <v>143</v>
      </c>
      <c r="C1359" s="91" t="s">
        <v>587</v>
      </c>
      <c r="D1359" s="93">
        <v>112</v>
      </c>
      <c r="E1359" s="93">
        <v>87</v>
      </c>
      <c r="F1359" s="103">
        <f>IFERROR(INDEX(Tabella951[PLZ],MATCH(Tabella848[[#This Row],[Colonna2]],Tabella951[Ortschaftsname],0)), "Name not found")</f>
        <v>8916</v>
      </c>
    </row>
    <row r="1360" spans="2:6">
      <c r="B1360" s="92" t="s">
        <v>143</v>
      </c>
      <c r="C1360" s="91" t="s">
        <v>513</v>
      </c>
      <c r="D1360" s="93">
        <v>112</v>
      </c>
      <c r="E1360" s="93">
        <v>60</v>
      </c>
      <c r="F1360" s="103">
        <f>IFERROR(INDEX(Tabella951[PLZ],MATCH(Tabella848[[#This Row],[Colonna2]],Tabella951[Ortschaftsname],0)), "Name not found")</f>
        <v>4303</v>
      </c>
    </row>
    <row r="1361" spans="2:6">
      <c r="B1361" s="92" t="s">
        <v>143</v>
      </c>
      <c r="C1361" s="91" t="s">
        <v>571</v>
      </c>
      <c r="D1361" s="93">
        <v>112</v>
      </c>
      <c r="E1361" s="93">
        <v>102</v>
      </c>
      <c r="F1361" s="103">
        <f>IFERROR(INDEX(Tabella951[PLZ],MATCH(Tabella848[[#This Row],[Colonna2]],Tabella951[Ortschaftsname],0)), "Name not found")</f>
        <v>5082</v>
      </c>
    </row>
    <row r="1362" spans="2:6">
      <c r="B1362" s="92" t="s">
        <v>143</v>
      </c>
      <c r="C1362" s="91" t="s">
        <v>685</v>
      </c>
      <c r="D1362" s="93">
        <v>112</v>
      </c>
      <c r="E1362" s="93">
        <v>102</v>
      </c>
      <c r="F1362" s="103">
        <f>IFERROR(INDEX(Tabella951[PLZ],MATCH(Tabella848[[#This Row],[Colonna2]],Tabella951[Ortschaftsname],0)), "Name not found")</f>
        <v>5625</v>
      </c>
    </row>
    <row r="1363" spans="2:6">
      <c r="B1363" s="92" t="s">
        <v>143</v>
      </c>
      <c r="C1363" s="91" t="s">
        <v>586</v>
      </c>
      <c r="D1363" s="93">
        <v>112</v>
      </c>
      <c r="E1363" s="93">
        <v>105</v>
      </c>
      <c r="F1363" s="103">
        <f>IFERROR(INDEX(Tabella951[PLZ],MATCH(Tabella848[[#This Row],[Colonna2]],Tabella951[Ortschaftsname],0)), "Name not found")</f>
        <v>8956</v>
      </c>
    </row>
    <row r="1364" spans="2:6">
      <c r="B1364" s="92" t="s">
        <v>143</v>
      </c>
      <c r="C1364" s="91" t="s">
        <v>658</v>
      </c>
      <c r="D1364" s="93">
        <v>112</v>
      </c>
      <c r="E1364" s="93">
        <v>123</v>
      </c>
      <c r="F1364" s="103">
        <f>IFERROR(INDEX(Tabella951[PLZ],MATCH(Tabella848[[#This Row],[Colonna2]],Tabella951[Ortschaftsname],0)), "Name not found")</f>
        <v>5054</v>
      </c>
    </row>
    <row r="1365" spans="2:6">
      <c r="B1365" s="92" t="s">
        <v>143</v>
      </c>
      <c r="C1365" s="91" t="s">
        <v>552</v>
      </c>
      <c r="D1365" s="93">
        <v>112</v>
      </c>
      <c r="E1365" s="93">
        <v>114</v>
      </c>
      <c r="F1365" s="103">
        <f>IFERROR(INDEX(Tabella951[PLZ],MATCH(Tabella848[[#This Row],[Colonna2]],Tabella951[Ortschaftsname],0)), "Name not found")</f>
        <v>5313</v>
      </c>
    </row>
    <row r="1366" spans="2:6">
      <c r="B1366" s="92" t="s">
        <v>143</v>
      </c>
      <c r="C1366" s="91" t="s">
        <v>595</v>
      </c>
      <c r="D1366" s="93">
        <v>112</v>
      </c>
      <c r="E1366" s="93">
        <v>118</v>
      </c>
      <c r="F1366" s="103">
        <f>IFERROR(INDEX(Tabella951[PLZ],MATCH(Tabella848[[#This Row],[Colonna2]],Tabella951[Ortschaftsname],0)), "Name not found")</f>
        <v>5322</v>
      </c>
    </row>
    <row r="1367" spans="2:6">
      <c r="B1367" s="92" t="s">
        <v>143</v>
      </c>
      <c r="C1367" s="91" t="s">
        <v>529</v>
      </c>
      <c r="D1367" s="93">
        <v>112</v>
      </c>
      <c r="E1367" s="93">
        <v>114</v>
      </c>
      <c r="F1367" s="103">
        <f>IFERROR(INDEX(Tabella951[PLZ],MATCH(Tabella848[[#This Row],[Colonna2]],Tabella951[Ortschaftsname],0)), "Name not found")</f>
        <v>5742</v>
      </c>
    </row>
    <row r="1368" spans="2:6">
      <c r="B1368" s="92" t="s">
        <v>143</v>
      </c>
      <c r="C1368" s="91" t="s">
        <v>594</v>
      </c>
      <c r="D1368" s="93">
        <v>112</v>
      </c>
      <c r="E1368" s="93">
        <v>104</v>
      </c>
      <c r="F1368" s="103">
        <f>IFERROR(INDEX(Tabella951[PLZ],MATCH(Tabella848[[#This Row],[Colonna2]],Tabella951[Ortschaftsname],0)), "Name not found")</f>
        <v>5444</v>
      </c>
    </row>
    <row r="1369" spans="2:6">
      <c r="B1369" s="92" t="s">
        <v>143</v>
      </c>
      <c r="C1369" s="91" t="s">
        <v>512</v>
      </c>
      <c r="D1369" s="93">
        <v>112</v>
      </c>
      <c r="E1369" s="93">
        <v>100</v>
      </c>
      <c r="F1369" s="103">
        <f>IFERROR(INDEX(Tabella951[PLZ],MATCH(Tabella848[[#This Row],[Colonna2]],Tabella951[Ortschaftsname],0)), "Name not found")</f>
        <v>5024</v>
      </c>
    </row>
    <row r="1370" spans="2:6">
      <c r="B1370" s="92" t="s">
        <v>143</v>
      </c>
      <c r="C1370" s="91" t="s">
        <v>547</v>
      </c>
      <c r="D1370" s="93">
        <v>112</v>
      </c>
      <c r="E1370" s="93">
        <v>108</v>
      </c>
      <c r="F1370" s="103">
        <f>IFERROR(INDEX(Tabella951[PLZ],MATCH(Tabella848[[#This Row],[Colonna2]],Tabella951[Ortschaftsname],0)), "Name not found")</f>
        <v>5080</v>
      </c>
    </row>
    <row r="1371" spans="2:6">
      <c r="B1371" s="92" t="s">
        <v>143</v>
      </c>
      <c r="C1371" s="91" t="s">
        <v>624</v>
      </c>
      <c r="D1371" s="93">
        <v>112</v>
      </c>
      <c r="E1371" s="93">
        <v>102</v>
      </c>
      <c r="F1371" s="103">
        <f>IFERROR(INDEX(Tabella951[PLZ],MATCH(Tabella848[[#This Row],[Colonna2]],Tabella951[Ortschaftsname],0)), "Name not found")</f>
        <v>5325</v>
      </c>
    </row>
    <row r="1372" spans="2:6">
      <c r="B1372" s="92" t="s">
        <v>143</v>
      </c>
      <c r="C1372" s="91" t="s">
        <v>681</v>
      </c>
      <c r="D1372" s="93">
        <v>112</v>
      </c>
      <c r="E1372" s="93">
        <v>122</v>
      </c>
      <c r="F1372" s="103">
        <v>5733</v>
      </c>
    </row>
    <row r="1373" spans="2:6">
      <c r="B1373" s="92" t="s">
        <v>143</v>
      </c>
      <c r="C1373" s="91" t="s">
        <v>569</v>
      </c>
      <c r="D1373" s="93">
        <v>112</v>
      </c>
      <c r="E1373" s="93">
        <v>103</v>
      </c>
      <c r="F1373" s="103">
        <v>5426</v>
      </c>
    </row>
    <row r="1374" spans="2:6">
      <c r="B1374" s="92" t="s">
        <v>143</v>
      </c>
      <c r="C1374" s="91" t="s">
        <v>495</v>
      </c>
      <c r="D1374" s="93">
        <v>112</v>
      </c>
      <c r="E1374" s="93">
        <v>105</v>
      </c>
      <c r="F1374" s="103">
        <f>IFERROR(INDEX(Tabella951[PLZ],MATCH(Tabella848[[#This Row],[Colonna2]],Tabella951[Ortschaftsname],0)), "Name not found")</f>
        <v>5600</v>
      </c>
    </row>
    <row r="1375" spans="2:6">
      <c r="B1375" s="92" t="s">
        <v>143</v>
      </c>
      <c r="C1375" s="91" t="s">
        <v>580</v>
      </c>
      <c r="D1375" s="93">
        <v>112</v>
      </c>
      <c r="E1375" s="93">
        <v>107</v>
      </c>
      <c r="F1375" s="103">
        <f>IFERROR(INDEX(Tabella951[PLZ],MATCH(Tabella848[[#This Row],[Colonna2]],Tabella951[Ortschaftsname],0)), "Name not found")</f>
        <v>5316</v>
      </c>
    </row>
    <row r="1376" spans="2:6">
      <c r="B1376" s="92" t="s">
        <v>143</v>
      </c>
      <c r="C1376" s="91" t="s">
        <v>666</v>
      </c>
      <c r="D1376" s="93">
        <v>112</v>
      </c>
      <c r="E1376" s="93">
        <v>121</v>
      </c>
      <c r="F1376" s="103">
        <f>IFERROR(INDEX(Tabella951[PLZ],MATCH(Tabella848[[#This Row],[Colonna2]],Tabella951[Ortschaftsname],0)), "Name not found")</f>
        <v>5725</v>
      </c>
    </row>
    <row r="1377" spans="2:6">
      <c r="B1377" s="92" t="s">
        <v>143</v>
      </c>
      <c r="C1377" s="91" t="s">
        <v>557</v>
      </c>
      <c r="D1377" s="93">
        <v>112</v>
      </c>
      <c r="E1377" s="93">
        <v>110</v>
      </c>
      <c r="F1377" s="103">
        <f>IFERROR(INDEX(Tabella951[PLZ],MATCH(Tabella848[[#This Row],[Colonna2]],Tabella951[Ortschaftsname],0)), "Name not found")</f>
        <v>5242</v>
      </c>
    </row>
    <row r="1378" spans="2:6">
      <c r="B1378" s="92" t="s">
        <v>143</v>
      </c>
      <c r="C1378" s="91" t="s">
        <v>540</v>
      </c>
      <c r="D1378" s="93">
        <v>112</v>
      </c>
      <c r="E1378" s="93">
        <v>95</v>
      </c>
      <c r="F1378" s="103">
        <f>IFERROR(INDEX(Tabella951[PLZ],MATCH(Tabella848[[#This Row],[Colonna2]],Tabella951[Ortschaftsname],0)), "Name not found")</f>
        <v>4312</v>
      </c>
    </row>
    <row r="1379" spans="2:6">
      <c r="B1379" s="92" t="s">
        <v>143</v>
      </c>
      <c r="C1379" s="91" t="s">
        <v>688</v>
      </c>
      <c r="D1379" s="93">
        <v>112</v>
      </c>
      <c r="E1379" s="93">
        <v>117</v>
      </c>
      <c r="F1379" s="103">
        <f>IFERROR(INDEX(Tabella951[PLZ],MATCH(Tabella848[[#This Row],[Colonna2]],Tabella951[Ortschaftsname],0)), "Name not found")</f>
        <v>5318</v>
      </c>
    </row>
    <row r="1380" spans="2:6">
      <c r="B1380" s="92" t="s">
        <v>143</v>
      </c>
      <c r="C1380" s="91" t="s">
        <v>561</v>
      </c>
      <c r="D1380" s="93">
        <v>112</v>
      </c>
      <c r="E1380" s="93">
        <v>60</v>
      </c>
      <c r="F1380" s="103">
        <f>IFERROR(INDEX(Tabella951[PLZ],MATCH(Tabella848[[#This Row],[Colonna2]],Tabella951[Ortschaftsname],0)), "Name not found")</f>
        <v>5616</v>
      </c>
    </row>
    <row r="1381" spans="2:6">
      <c r="B1381" s="92" t="s">
        <v>143</v>
      </c>
      <c r="C1381" s="91" t="s">
        <v>692</v>
      </c>
      <c r="D1381" s="93">
        <v>112</v>
      </c>
      <c r="E1381" s="93">
        <v>127</v>
      </c>
      <c r="F1381" s="103">
        <f>IFERROR(INDEX(Tabella951[PLZ],MATCH(Tabella848[[#This Row],[Colonna2]],Tabella951[Ortschaftsname],0)), "Name not found")</f>
        <v>5465</v>
      </c>
    </row>
    <row r="1382" spans="2:6">
      <c r="B1382" s="92" t="s">
        <v>143</v>
      </c>
      <c r="C1382" s="91" t="s">
        <v>516</v>
      </c>
      <c r="D1382" s="93">
        <v>112</v>
      </c>
      <c r="E1382" s="93">
        <v>110</v>
      </c>
      <c r="F1382" s="103">
        <f>IFERROR(INDEX(Tabella951[PLZ],MATCH(Tabella848[[#This Row],[Colonna2]],Tabella951[Ortschaftsname],0)), "Name not found")</f>
        <v>5507</v>
      </c>
    </row>
    <row r="1383" spans="2:6">
      <c r="B1383" s="92" t="s">
        <v>143</v>
      </c>
      <c r="C1383" s="91" t="s">
        <v>511</v>
      </c>
      <c r="D1383" s="93">
        <v>112</v>
      </c>
      <c r="E1383" s="93">
        <v>118</v>
      </c>
      <c r="F1383" s="103">
        <f>IFERROR(INDEX(Tabella951[PLZ],MATCH(Tabella848[[#This Row],[Colonna2]],Tabella951[Ortschaftsname],0)), "Name not found")</f>
        <v>5737</v>
      </c>
    </row>
    <row r="1384" spans="2:6">
      <c r="B1384" s="92" t="s">
        <v>143</v>
      </c>
      <c r="C1384" s="91" t="s">
        <v>549</v>
      </c>
      <c r="D1384" s="93">
        <v>112</v>
      </c>
      <c r="E1384" s="93">
        <v>96</v>
      </c>
      <c r="F1384" s="103">
        <f>IFERROR(INDEX(Tabella951[PLZ],MATCH(Tabella848[[#This Row],[Colonna2]],Tabella951[Ortschaftsname],0)), "Name not found")</f>
        <v>5634</v>
      </c>
    </row>
    <row r="1385" spans="2:6">
      <c r="B1385" s="92" t="s">
        <v>143</v>
      </c>
      <c r="C1385" s="91" t="s">
        <v>590</v>
      </c>
      <c r="D1385" s="93">
        <v>112</v>
      </c>
      <c r="E1385" s="93">
        <v>109</v>
      </c>
      <c r="F1385" s="103">
        <v>5274</v>
      </c>
    </row>
    <row r="1386" spans="2:6">
      <c r="B1386" s="92" t="s">
        <v>143</v>
      </c>
      <c r="C1386" s="91" t="s">
        <v>652</v>
      </c>
      <c r="D1386" s="93">
        <v>112</v>
      </c>
      <c r="E1386" s="93">
        <v>123</v>
      </c>
      <c r="F1386" s="103">
        <f>IFERROR(INDEX(Tabella951[PLZ],MATCH(Tabella848[[#This Row],[Colonna2]],Tabella951[Ortschaftsname],0)), "Name not found")</f>
        <v>5054</v>
      </c>
    </row>
    <row r="1387" spans="2:6">
      <c r="B1387" s="92" t="s">
        <v>143</v>
      </c>
      <c r="C1387" s="91" t="s">
        <v>544</v>
      </c>
      <c r="D1387" s="93">
        <v>112</v>
      </c>
      <c r="E1387" s="93">
        <v>112</v>
      </c>
      <c r="F1387" s="103">
        <f>IFERROR(INDEX(Tabella951[PLZ],MATCH(Tabella848[[#This Row],[Colonna2]],Tabella951[Ortschaftsname],0)), "Name not found")</f>
        <v>5037</v>
      </c>
    </row>
    <row r="1388" spans="2:6">
      <c r="B1388" s="92" t="s">
        <v>143</v>
      </c>
      <c r="C1388" s="91" t="s">
        <v>613</v>
      </c>
      <c r="D1388" s="93">
        <v>112</v>
      </c>
      <c r="E1388" s="93">
        <v>119</v>
      </c>
      <c r="F1388" s="103">
        <f>IFERROR(INDEX(Tabella951[PLZ],MATCH(Tabella848[[#This Row],[Colonna2]],Tabella951[Ortschaftsname],0)), "Name not found")</f>
        <v>4322</v>
      </c>
    </row>
    <row r="1389" spans="2:6">
      <c r="B1389" s="92" t="s">
        <v>143</v>
      </c>
      <c r="C1389" s="91" t="s">
        <v>562</v>
      </c>
      <c r="D1389" s="93">
        <v>112</v>
      </c>
      <c r="E1389" s="93">
        <v>115</v>
      </c>
      <c r="F1389" s="103">
        <f>IFERROR(INDEX(Tabella951[PLZ],MATCH(Tabella848[[#This Row],[Colonna2]],Tabella951[Ortschaftsname],0)), "Name not found")</f>
        <v>4853</v>
      </c>
    </row>
    <row r="1390" spans="2:6">
      <c r="B1390" s="92" t="s">
        <v>143</v>
      </c>
      <c r="C1390" s="91" t="s">
        <v>504</v>
      </c>
      <c r="D1390" s="93">
        <v>112</v>
      </c>
      <c r="E1390" s="93">
        <v>102</v>
      </c>
      <c r="F1390" s="103">
        <v>5630</v>
      </c>
    </row>
    <row r="1391" spans="2:6">
      <c r="B1391" s="92" t="s">
        <v>143</v>
      </c>
      <c r="C1391" s="91" t="s">
        <v>582</v>
      </c>
      <c r="D1391" s="93">
        <v>112</v>
      </c>
      <c r="E1391" s="93">
        <v>113</v>
      </c>
      <c r="F1391" s="103">
        <f>IFERROR(INDEX(Tabella951[PLZ],MATCH(Tabella848[[#This Row],[Colonna2]],Tabella951[Ortschaftsname],0)), "Name not found")</f>
        <v>5506</v>
      </c>
    </row>
    <row r="1392" spans="2:6">
      <c r="B1392" s="92" t="s">
        <v>143</v>
      </c>
      <c r="C1392" s="91" t="s">
        <v>494</v>
      </c>
      <c r="D1392" s="93">
        <v>112</v>
      </c>
      <c r="E1392" s="93">
        <v>112</v>
      </c>
      <c r="F1392" s="103">
        <f>IFERROR(INDEX(Tabella951[PLZ],MATCH(Tabella848[[#This Row],[Colonna2]],Tabella951[Ortschaftsname],0)), "Name not found")</f>
        <v>4313</v>
      </c>
    </row>
    <row r="1393" spans="2:6">
      <c r="B1393" s="92" t="s">
        <v>143</v>
      </c>
      <c r="C1393" s="91" t="s">
        <v>684</v>
      </c>
      <c r="D1393" s="93">
        <v>112</v>
      </c>
      <c r="E1393" s="93">
        <v>115</v>
      </c>
      <c r="F1393" s="103">
        <f>IFERROR(INDEX(Tabella951[PLZ],MATCH(Tabella848[[#This Row],[Colonna2]],Tabella951[Ortschaftsname],0)), "Name not found")</f>
        <v>5237</v>
      </c>
    </row>
    <row r="1394" spans="2:6">
      <c r="B1394" s="92" t="s">
        <v>143</v>
      </c>
      <c r="C1394" s="91" t="s">
        <v>528</v>
      </c>
      <c r="D1394" s="93">
        <v>112</v>
      </c>
      <c r="E1394" s="93">
        <v>94</v>
      </c>
      <c r="F1394" s="103">
        <v>5103</v>
      </c>
    </row>
    <row r="1395" spans="2:6">
      <c r="B1395" s="92" t="s">
        <v>143</v>
      </c>
      <c r="C1395" s="91" t="s">
        <v>632</v>
      </c>
      <c r="D1395" s="93">
        <v>112</v>
      </c>
      <c r="E1395" s="93">
        <v>117</v>
      </c>
      <c r="F1395" s="103">
        <f>IFERROR(INDEX(Tabella951[PLZ],MATCH(Tabella848[[#This Row],[Colonna2]],Tabella951[Ortschaftsname],0)), "Name not found")</f>
        <v>5642</v>
      </c>
    </row>
    <row r="1396" spans="2:6">
      <c r="B1396" s="92" t="s">
        <v>143</v>
      </c>
      <c r="C1396" s="91" t="s">
        <v>637</v>
      </c>
      <c r="D1396" s="93">
        <v>112</v>
      </c>
      <c r="E1396" s="93">
        <v>109</v>
      </c>
      <c r="F1396" s="103">
        <f>IFERROR(INDEX(Tabella951[PLZ],MATCH(Tabella848[[#This Row],[Colonna2]],Tabella951[Ortschaftsname],0)), "Name not found")</f>
        <v>5243</v>
      </c>
    </row>
    <row r="1397" spans="2:6">
      <c r="B1397" s="92" t="s">
        <v>143</v>
      </c>
      <c r="C1397" s="91" t="s">
        <v>651</v>
      </c>
      <c r="D1397" s="93">
        <v>112</v>
      </c>
      <c r="E1397" s="93">
        <v>113</v>
      </c>
      <c r="F1397" s="103">
        <v>4333</v>
      </c>
    </row>
    <row r="1398" spans="2:6">
      <c r="B1398" s="92" t="s">
        <v>143</v>
      </c>
      <c r="C1398" s="91" t="s">
        <v>498</v>
      </c>
      <c r="D1398" s="93">
        <v>112</v>
      </c>
      <c r="E1398" s="93">
        <v>112</v>
      </c>
      <c r="F1398" s="103">
        <f>IFERROR(INDEX(Tabella951[PLZ],MATCH(Tabella848[[#This Row],[Colonna2]],Tabella951[Ortschaftsname],0)), "Name not found")</f>
        <v>5432</v>
      </c>
    </row>
    <row r="1399" spans="2:6">
      <c r="B1399" s="92" t="s">
        <v>143</v>
      </c>
      <c r="C1399" s="91" t="s">
        <v>522</v>
      </c>
      <c r="D1399" s="93">
        <v>112</v>
      </c>
      <c r="E1399" s="93">
        <v>117</v>
      </c>
      <c r="F1399" s="103">
        <f>IFERROR(INDEX(Tabella951[PLZ],MATCH(Tabella848[[#This Row],[Colonna2]],Tabella951[Ortschaftsname],0)), "Name not found")</f>
        <v>5702</v>
      </c>
    </row>
    <row r="1400" spans="2:6">
      <c r="B1400" s="92" t="s">
        <v>143</v>
      </c>
      <c r="C1400" s="91" t="s">
        <v>537</v>
      </c>
      <c r="D1400" s="93">
        <v>112</v>
      </c>
      <c r="E1400" s="93">
        <v>97</v>
      </c>
      <c r="F1400" s="103">
        <f>IFERROR(INDEX(Tabella951[PLZ],MATCH(Tabella848[[#This Row],[Colonna2]],Tabella951[Ortschaftsname],0)), "Name not found")</f>
        <v>5443</v>
      </c>
    </row>
    <row r="1401" spans="2:6">
      <c r="B1401" s="92" t="s">
        <v>143</v>
      </c>
      <c r="C1401" s="91" t="s">
        <v>565</v>
      </c>
      <c r="D1401" s="93">
        <v>112</v>
      </c>
      <c r="E1401" s="93">
        <v>103</v>
      </c>
      <c r="F1401" s="103">
        <v>5524</v>
      </c>
    </row>
    <row r="1402" spans="2:6">
      <c r="B1402" s="92" t="s">
        <v>143</v>
      </c>
      <c r="C1402" s="91" t="s">
        <v>501</v>
      </c>
      <c r="D1402" s="93">
        <v>112</v>
      </c>
      <c r="E1402" s="93">
        <v>110</v>
      </c>
      <c r="F1402" s="103">
        <f>IFERROR(INDEX(Tabella951[PLZ],MATCH(Tabella848[[#This Row],[Colonna2]],Tabella951[Ortschaftsname],0)), "Name not found")</f>
        <v>5036</v>
      </c>
    </row>
    <row r="1403" spans="2:6">
      <c r="B1403" s="92" t="s">
        <v>143</v>
      </c>
      <c r="C1403" s="91" t="s">
        <v>677</v>
      </c>
      <c r="D1403" s="93">
        <v>112</v>
      </c>
      <c r="E1403" s="93">
        <v>125</v>
      </c>
      <c r="F1403" s="103">
        <f>IFERROR(INDEX(Tabella951[PLZ],MATCH(Tabella848[[#This Row],[Colonna2]],Tabella951[Ortschaftsname],0)), "Name not found")</f>
        <v>5062</v>
      </c>
    </row>
    <row r="1404" spans="2:6">
      <c r="B1404" s="92" t="s">
        <v>143</v>
      </c>
      <c r="C1404" s="91" t="s">
        <v>570</v>
      </c>
      <c r="D1404" s="93">
        <v>112</v>
      </c>
      <c r="E1404" s="93">
        <v>119</v>
      </c>
      <c r="F1404" s="103">
        <f>IFERROR(INDEX(Tabella951[PLZ],MATCH(Tabella848[[#This Row],[Colonna2]],Tabella951[Ortschaftsname],0)), "Name not found")</f>
        <v>5727</v>
      </c>
    </row>
    <row r="1405" spans="2:6">
      <c r="B1405" s="92" t="s">
        <v>143</v>
      </c>
      <c r="C1405" s="91" t="s">
        <v>589</v>
      </c>
      <c r="D1405" s="93">
        <v>112</v>
      </c>
      <c r="E1405" s="93">
        <v>74</v>
      </c>
      <c r="F1405" s="103">
        <f>IFERROR(INDEX(Tabella951[PLZ],MATCH(Tabella848[[#This Row],[Colonna2]],Tabella951[Ortschaftsname],0)), "Name not found")</f>
        <v>8917</v>
      </c>
    </row>
    <row r="1406" spans="2:6">
      <c r="B1406" s="92" t="s">
        <v>143</v>
      </c>
      <c r="C1406" s="91" t="s">
        <v>640</v>
      </c>
      <c r="D1406" s="93">
        <v>112</v>
      </c>
      <c r="E1406" s="93">
        <v>122</v>
      </c>
      <c r="F1406" s="103">
        <f>IFERROR(INDEX(Tabella951[PLZ],MATCH(Tabella848[[#This Row],[Colonna2]],Tabella951[Ortschaftsname],0)), "Name not found")</f>
        <v>4324</v>
      </c>
    </row>
    <row r="1407" spans="2:6">
      <c r="B1407" s="92" t="s">
        <v>143</v>
      </c>
      <c r="C1407" s="91" t="s">
        <v>534</v>
      </c>
      <c r="D1407" s="93">
        <v>112</v>
      </c>
      <c r="E1407" s="93">
        <v>85</v>
      </c>
      <c r="F1407" s="103">
        <f>IFERROR(INDEX(Tabella951[PLZ],MATCH(Tabella848[[#This Row],[Colonna2]],Tabella951[Ortschaftsname],0)), "Name not found")</f>
        <v>5452</v>
      </c>
    </row>
    <row r="1408" spans="2:6">
      <c r="B1408" s="92" t="s">
        <v>143</v>
      </c>
      <c r="C1408" s="91" t="s">
        <v>602</v>
      </c>
      <c r="D1408" s="93">
        <v>112</v>
      </c>
      <c r="E1408" s="93">
        <v>114</v>
      </c>
      <c r="F1408" s="103">
        <f>IFERROR(INDEX(Tabella951[PLZ],MATCH(Tabella848[[#This Row],[Colonna2]],Tabella951[Ortschaftsname],0)), "Name not found")</f>
        <v>5647</v>
      </c>
    </row>
    <row r="1409" spans="2:6">
      <c r="B1409" s="92" t="s">
        <v>143</v>
      </c>
      <c r="C1409" s="91" t="s">
        <v>499</v>
      </c>
      <c r="D1409" s="93">
        <v>112</v>
      </c>
      <c r="E1409" s="93">
        <v>110</v>
      </c>
      <c r="F1409" s="103">
        <v>5415</v>
      </c>
    </row>
    <row r="1410" spans="2:6">
      <c r="B1410" s="92" t="s">
        <v>143</v>
      </c>
      <c r="C1410" s="91" t="s">
        <v>574</v>
      </c>
      <c r="D1410" s="93">
        <v>112</v>
      </c>
      <c r="E1410" s="93">
        <v>48</v>
      </c>
      <c r="F1410" s="103">
        <f>IFERROR(INDEX(Tabella951[PLZ],MATCH(Tabella848[[#This Row],[Colonna2]],Tabella951[Ortschaftsname],0)), "Name not found")</f>
        <v>8966</v>
      </c>
    </row>
    <row r="1411" spans="2:6">
      <c r="B1411" s="92" t="s">
        <v>143</v>
      </c>
      <c r="C1411" s="91" t="s">
        <v>645</v>
      </c>
      <c r="D1411" s="93">
        <v>112</v>
      </c>
      <c r="E1411" s="93">
        <v>114</v>
      </c>
      <c r="F1411" s="103">
        <f>IFERROR(INDEX(Tabella951[PLZ],MATCH(Tabella848[[#This Row],[Colonna2]],Tabella951[Ortschaftsname],0)), "Name not found")</f>
        <v>5072</v>
      </c>
    </row>
    <row r="1412" spans="2:6">
      <c r="B1412" s="92" t="s">
        <v>143</v>
      </c>
      <c r="C1412" s="91" t="s">
        <v>2674</v>
      </c>
      <c r="D1412" s="93">
        <v>112</v>
      </c>
      <c r="E1412" s="93">
        <v>113</v>
      </c>
      <c r="F1412" s="103">
        <f>IFERROR(INDEX(Tabella951[PLZ],MATCH(Tabella848[[#This Row],[Colonna2]],Tabella951[Ortschaftsname],0)), "Name not found")</f>
        <v>4665</v>
      </c>
    </row>
    <row r="1413" spans="2:6">
      <c r="B1413" s="92" t="s">
        <v>143</v>
      </c>
      <c r="C1413" s="91" t="s">
        <v>686</v>
      </c>
      <c r="D1413" s="93">
        <v>112</v>
      </c>
      <c r="E1413" s="93">
        <v>92</v>
      </c>
      <c r="F1413" s="103">
        <f>IFERROR(INDEX(Tabella951[PLZ],MATCH(Tabella848[[#This Row],[Colonna2]],Tabella951[Ortschaftsname],0)), "Name not found")</f>
        <v>4305</v>
      </c>
    </row>
    <row r="1414" spans="2:6">
      <c r="B1414" s="92" t="s">
        <v>143</v>
      </c>
      <c r="C1414" s="91" t="s">
        <v>567</v>
      </c>
      <c r="D1414" s="93">
        <v>112</v>
      </c>
      <c r="E1414" s="93">
        <v>104</v>
      </c>
      <c r="F1414" s="103">
        <f>IFERROR(INDEX(Tabella951[PLZ],MATCH(Tabella848[[#This Row],[Colonna2]],Tabella951[Ortschaftsname],0)), "Name not found")</f>
        <v>5504</v>
      </c>
    </row>
    <row r="1415" spans="2:6">
      <c r="B1415" s="92" t="s">
        <v>143</v>
      </c>
      <c r="C1415" s="91" t="s">
        <v>500</v>
      </c>
      <c r="D1415" s="93">
        <v>112</v>
      </c>
      <c r="E1415" s="93">
        <v>115</v>
      </c>
      <c r="F1415" s="103">
        <v>5734</v>
      </c>
    </row>
    <row r="1416" spans="2:6">
      <c r="B1416" s="92" t="s">
        <v>143</v>
      </c>
      <c r="C1416" s="91" t="s">
        <v>605</v>
      </c>
      <c r="D1416" s="93">
        <v>112</v>
      </c>
      <c r="E1416" s="93">
        <v>122</v>
      </c>
      <c r="F1416" s="103">
        <f>IFERROR(INDEX(Tabella951[PLZ],MATCH(Tabella848[[#This Row],[Colonna2]],Tabella951[Ortschaftsname],0)), "Name not found")</f>
        <v>5057</v>
      </c>
    </row>
    <row r="1417" spans="2:6">
      <c r="B1417" s="92" t="s">
        <v>143</v>
      </c>
      <c r="C1417" s="91" t="s">
        <v>585</v>
      </c>
      <c r="D1417" s="93">
        <v>112</v>
      </c>
      <c r="E1417" s="93">
        <v>92</v>
      </c>
      <c r="F1417" s="103">
        <f>IFERROR(INDEX(Tabella951[PLZ],MATCH(Tabella848[[#This Row],[Colonna2]],Tabella951[Ortschaftsname],0)), "Name not found")</f>
        <v>5453</v>
      </c>
    </row>
    <row r="1418" spans="2:6">
      <c r="B1418" s="92" t="s">
        <v>143</v>
      </c>
      <c r="C1418" s="91" t="s">
        <v>639</v>
      </c>
      <c r="D1418" s="93">
        <v>112</v>
      </c>
      <c r="E1418" s="93">
        <v>98</v>
      </c>
      <c r="F1418" s="103">
        <f>IFERROR(INDEX(Tabella951[PLZ],MATCH(Tabella848[[#This Row],[Colonna2]],Tabella951[Ortschaftsname],0)), "Name not found")</f>
        <v>5236</v>
      </c>
    </row>
    <row r="1419" spans="2:6">
      <c r="B1419" s="92" t="s">
        <v>143</v>
      </c>
      <c r="C1419" s="91" t="s">
        <v>2675</v>
      </c>
      <c r="D1419" s="93">
        <v>112</v>
      </c>
      <c r="E1419" s="93">
        <v>90</v>
      </c>
      <c r="F1419" s="103">
        <f>IFERROR(INDEX(Tabella951[PLZ],MATCH(Tabella848[[#This Row],[Colonna2]],Tabella951[Ortschaftsname],0)), "Name not found")</f>
        <v>4310</v>
      </c>
    </row>
    <row r="1420" spans="2:6">
      <c r="B1420" s="92" t="s">
        <v>143</v>
      </c>
      <c r="C1420" s="91" t="s">
        <v>610</v>
      </c>
      <c r="D1420" s="93">
        <v>112</v>
      </c>
      <c r="E1420" s="93">
        <v>119</v>
      </c>
      <c r="F1420" s="103">
        <f>IFERROR(INDEX(Tabella951[PLZ],MATCH(Tabella848[[#This Row],[Colonna2]],Tabella951[Ortschaftsname],0)), "Name not found")</f>
        <v>5223</v>
      </c>
    </row>
    <row r="1421" spans="2:6">
      <c r="B1421" s="92" t="s">
        <v>143</v>
      </c>
      <c r="C1421" s="91" t="s">
        <v>497</v>
      </c>
      <c r="D1421" s="93">
        <v>112</v>
      </c>
      <c r="E1421" s="93">
        <v>110</v>
      </c>
      <c r="F1421" s="103">
        <f>IFERROR(INDEX(Tabella951[PLZ],MATCH(Tabella848[[#This Row],[Colonna2]],Tabella951[Ortschaftsname],0)), "Name not found")</f>
        <v>4852</v>
      </c>
    </row>
    <row r="1422" spans="2:6">
      <c r="B1422" s="92" t="s">
        <v>143</v>
      </c>
      <c r="C1422" s="91" t="s">
        <v>662</v>
      </c>
      <c r="D1422" s="93">
        <v>112</v>
      </c>
      <c r="E1422" s="93">
        <v>99</v>
      </c>
      <c r="F1422" s="103">
        <f>IFERROR(INDEX(Tabella951[PLZ],MATCH(Tabella848[[#This Row],[Colonna2]],Tabella951[Ortschaftsname],0)), "Name not found")</f>
        <v>8919</v>
      </c>
    </row>
    <row r="1423" spans="2:6">
      <c r="B1423" s="92" t="s">
        <v>143</v>
      </c>
      <c r="C1423" s="91" t="s">
        <v>526</v>
      </c>
      <c r="D1423" s="93">
        <v>112</v>
      </c>
      <c r="E1423" s="93">
        <v>95</v>
      </c>
      <c r="F1423" s="103">
        <v>8964</v>
      </c>
    </row>
    <row r="1424" spans="2:6">
      <c r="B1424" s="92" t="s">
        <v>143</v>
      </c>
      <c r="C1424" s="91" t="s">
        <v>517</v>
      </c>
      <c r="D1424" s="93">
        <v>112</v>
      </c>
      <c r="E1424" s="93">
        <v>99</v>
      </c>
      <c r="F1424" s="103">
        <f>IFERROR(INDEX(Tabella951[PLZ],MATCH(Tabella848[[#This Row],[Colonna2]],Tabella951[Ortschaftsname],0)), "Name not found")</f>
        <v>5102</v>
      </c>
    </row>
    <row r="1425" spans="2:6">
      <c r="B1425" s="92" t="s">
        <v>143</v>
      </c>
      <c r="C1425" s="91" t="s">
        <v>657</v>
      </c>
      <c r="D1425" s="93">
        <v>112</v>
      </c>
      <c r="E1425" s="93">
        <v>118</v>
      </c>
      <c r="F1425" s="103">
        <v>5235</v>
      </c>
    </row>
    <row r="1426" spans="2:6">
      <c r="B1426" s="92" t="s">
        <v>143</v>
      </c>
      <c r="C1426" s="91" t="s">
        <v>545</v>
      </c>
      <c r="D1426" s="93">
        <v>112</v>
      </c>
      <c r="E1426" s="93">
        <v>115</v>
      </c>
      <c r="F1426" s="103">
        <f>IFERROR(INDEX(Tabella951[PLZ],MATCH(Tabella848[[#This Row],[Colonna2]],Tabella951[Ortschaftsname],0)), "Name not found")</f>
        <v>5745</v>
      </c>
    </row>
    <row r="1427" spans="2:6">
      <c r="B1427" s="92" t="s">
        <v>143</v>
      </c>
      <c r="C1427" s="91" t="s">
        <v>564</v>
      </c>
      <c r="D1427" s="93">
        <v>112</v>
      </c>
      <c r="E1427" s="93">
        <v>105</v>
      </c>
      <c r="F1427" s="103">
        <f>IFERROR(INDEX(Tabella951[PLZ],MATCH(Tabella848[[#This Row],[Colonna2]],Tabella951[Ortschaftsname],0)), "Name not found")</f>
        <v>5614</v>
      </c>
    </row>
    <row r="1428" spans="2:6">
      <c r="B1428" s="92" t="s">
        <v>143</v>
      </c>
      <c r="C1428" s="91" t="s">
        <v>558</v>
      </c>
      <c r="D1428" s="93">
        <v>112</v>
      </c>
      <c r="E1428" s="93">
        <v>99</v>
      </c>
      <c r="F1428" s="103">
        <f>IFERROR(INDEX(Tabella951[PLZ],MATCH(Tabella848[[#This Row],[Colonna2]],Tabella951[Ortschaftsname],0)), "Name not found")</f>
        <v>5503</v>
      </c>
    </row>
    <row r="1429" spans="2:6">
      <c r="B1429" s="92" t="s">
        <v>143</v>
      </c>
      <c r="C1429" s="91" t="s">
        <v>578</v>
      </c>
      <c r="D1429" s="93">
        <v>112</v>
      </c>
      <c r="E1429" s="93">
        <v>110</v>
      </c>
      <c r="F1429" s="103">
        <v>5107</v>
      </c>
    </row>
    <row r="1430" spans="2:6">
      <c r="B1430" s="92" t="s">
        <v>143</v>
      </c>
      <c r="C1430" s="91" t="s">
        <v>578</v>
      </c>
      <c r="D1430" s="93">
        <v>112</v>
      </c>
      <c r="E1430" s="93">
        <v>110</v>
      </c>
      <c r="F1430" s="103">
        <v>5108</v>
      </c>
    </row>
    <row r="1431" spans="2:6">
      <c r="B1431" s="92" t="s">
        <v>143</v>
      </c>
      <c r="C1431" s="91" t="s">
        <v>659</v>
      </c>
      <c r="D1431" s="93">
        <v>112</v>
      </c>
      <c r="E1431" s="93">
        <v>120</v>
      </c>
      <c r="F1431" s="103">
        <f>IFERROR(INDEX(Tabella951[PLZ],MATCH(Tabella848[[#This Row],[Colonna2]],Tabella951[Ortschaftsname],0)), "Name not found")</f>
        <v>5044</v>
      </c>
    </row>
    <row r="1432" spans="2:6">
      <c r="B1432" s="92" t="s">
        <v>143</v>
      </c>
      <c r="C1432" s="91" t="s">
        <v>634</v>
      </c>
      <c r="D1432" s="93">
        <v>112</v>
      </c>
      <c r="E1432" s="93">
        <v>120</v>
      </c>
      <c r="F1432" s="103">
        <f>IFERROR(INDEX(Tabella951[PLZ],MATCH(Tabella848[[#This Row],[Colonna2]],Tabella951[Ortschaftsname],0)), "Name not found")</f>
        <v>5046</v>
      </c>
    </row>
    <row r="1433" spans="2:6">
      <c r="B1433" s="92" t="s">
        <v>143</v>
      </c>
      <c r="C1433" s="91" t="s">
        <v>616</v>
      </c>
      <c r="D1433" s="93">
        <v>112</v>
      </c>
      <c r="E1433" s="93">
        <v>115</v>
      </c>
      <c r="F1433" s="103">
        <f>IFERROR(INDEX(Tabella951[PLZ],MATCH(Tabella848[[#This Row],[Colonna2]],Tabella951[Ortschaftsname],0)), "Name not found")</f>
        <v>5425</v>
      </c>
    </row>
    <row r="1434" spans="2:6">
      <c r="B1434" s="92" t="s">
        <v>143</v>
      </c>
      <c r="C1434" s="91" t="s">
        <v>661</v>
      </c>
      <c r="D1434" s="93">
        <v>112</v>
      </c>
      <c r="E1434" s="93">
        <v>110</v>
      </c>
      <c r="F1434" s="103">
        <f>IFERROR(INDEX(Tabella951[PLZ],MATCH(Tabella848[[#This Row],[Colonna2]],Tabella951[Ortschaftsname],0)), "Name not found")</f>
        <v>4325</v>
      </c>
    </row>
    <row r="1435" spans="2:6">
      <c r="B1435" s="92" t="s">
        <v>143</v>
      </c>
      <c r="C1435" s="91" t="s">
        <v>672</v>
      </c>
      <c r="D1435" s="93">
        <v>112</v>
      </c>
      <c r="E1435" s="93">
        <v>123</v>
      </c>
      <c r="F1435" s="103">
        <f>IFERROR(INDEX(Tabella951[PLZ],MATCH(Tabella848[[#This Row],[Colonna2]],Tabella951[Ortschaftsname],0)), "Name not found")</f>
        <v>5326</v>
      </c>
    </row>
    <row r="1436" spans="2:6">
      <c r="B1436" s="92" t="s">
        <v>143</v>
      </c>
      <c r="C1436" s="91" t="s">
        <v>531</v>
      </c>
      <c r="D1436" s="93">
        <v>112</v>
      </c>
      <c r="E1436" s="93">
        <v>103</v>
      </c>
      <c r="F1436" s="103">
        <f>IFERROR(INDEX(Tabella951[PLZ],MATCH(Tabella848[[#This Row],[Colonna2]],Tabella951[Ortschaftsname],0)), "Name not found")</f>
        <v>5040</v>
      </c>
    </row>
    <row r="1437" spans="2:6">
      <c r="B1437" s="92" t="s">
        <v>143</v>
      </c>
      <c r="C1437" s="91" t="s">
        <v>539</v>
      </c>
      <c r="D1437" s="93">
        <v>112</v>
      </c>
      <c r="E1437" s="93">
        <v>72</v>
      </c>
      <c r="F1437" s="103">
        <f>IFERROR(INDEX(Tabella951[PLZ],MATCH(Tabella848[[#This Row],[Colonna2]],Tabella951[Ortschaftsname],0)), "Name not found")</f>
        <v>5707</v>
      </c>
    </row>
    <row r="1438" spans="2:6">
      <c r="B1438" s="92" t="s">
        <v>143</v>
      </c>
      <c r="C1438" s="91" t="s">
        <v>519</v>
      </c>
      <c r="D1438" s="93">
        <v>112</v>
      </c>
      <c r="E1438" s="93">
        <v>108</v>
      </c>
      <c r="F1438" s="103">
        <f>IFERROR(INDEX(Tabella951[PLZ],MATCH(Tabella848[[#This Row],[Colonna2]],Tabella951[Ortschaftsname],0)), "Name not found")</f>
        <v>5703</v>
      </c>
    </row>
    <row r="1439" spans="2:6">
      <c r="B1439" s="92" t="s">
        <v>143</v>
      </c>
      <c r="C1439" s="91" t="s">
        <v>673</v>
      </c>
      <c r="D1439" s="93">
        <v>112</v>
      </c>
      <c r="E1439" s="93">
        <v>121</v>
      </c>
      <c r="F1439" s="103">
        <f>IFERROR(INDEX(Tabella951[PLZ],MATCH(Tabella848[[#This Row],[Colonna2]],Tabella951[Ortschaftsname],0)), "Name not found")</f>
        <v>5462</v>
      </c>
    </row>
    <row r="1440" spans="2:6">
      <c r="B1440" s="92" t="s">
        <v>143</v>
      </c>
      <c r="C1440" s="91" t="s">
        <v>530</v>
      </c>
      <c r="D1440" s="93">
        <v>112</v>
      </c>
      <c r="E1440" s="93">
        <v>98</v>
      </c>
      <c r="F1440" s="103">
        <f>IFERROR(INDEX(Tabella951[PLZ],MATCH(Tabella848[[#This Row],[Colonna2]],Tabella951[Ortschaftsname],0)), "Name not found")</f>
        <v>5643</v>
      </c>
    </row>
    <row r="1441" spans="2:6">
      <c r="B1441" s="92" t="s">
        <v>143</v>
      </c>
      <c r="C1441" s="91" t="s">
        <v>599</v>
      </c>
      <c r="D1441" s="93">
        <v>112</v>
      </c>
      <c r="E1441" s="93">
        <v>80</v>
      </c>
      <c r="F1441" s="103">
        <v>4334</v>
      </c>
    </row>
    <row r="1442" spans="2:6">
      <c r="B1442" s="92" t="s">
        <v>143</v>
      </c>
      <c r="C1442" s="91" t="s">
        <v>2676</v>
      </c>
      <c r="D1442" s="93">
        <v>112</v>
      </c>
      <c r="E1442" s="93">
        <v>100</v>
      </c>
      <c r="F1442" s="103">
        <f>IFERROR(INDEX(Tabella951[PLZ],MATCH(Tabella848[[#This Row],[Colonna2]],Tabella951[Ortschaftsname],0)), "Name not found")</f>
        <v>8957</v>
      </c>
    </row>
    <row r="1443" spans="2:6">
      <c r="B1443" s="92" t="s">
        <v>143</v>
      </c>
      <c r="C1443" s="91" t="s">
        <v>626</v>
      </c>
      <c r="D1443" s="93">
        <v>112</v>
      </c>
      <c r="E1443" s="93">
        <v>119</v>
      </c>
      <c r="F1443" s="103">
        <f>IFERROR(INDEX(Tabella951[PLZ],MATCH(Tabella848[[#This Row],[Colonna2]],Tabella951[Ortschaftsname],0)), "Name not found")</f>
        <v>5053</v>
      </c>
    </row>
    <row r="1444" spans="2:6">
      <c r="B1444" s="92" t="s">
        <v>143</v>
      </c>
      <c r="C1444" s="91" t="s">
        <v>553</v>
      </c>
      <c r="D1444" s="93">
        <v>112</v>
      </c>
      <c r="E1444" s="93">
        <v>82</v>
      </c>
      <c r="F1444" s="103">
        <f>IFERROR(INDEX(Tabella951[PLZ],MATCH(Tabella848[[#This Row],[Colonna2]],Tabella951[Ortschaftsname],0)), "Name not found")</f>
        <v>5603</v>
      </c>
    </row>
    <row r="1445" spans="2:6">
      <c r="B1445" s="92" t="s">
        <v>143</v>
      </c>
      <c r="C1445" s="91" t="s">
        <v>554</v>
      </c>
      <c r="D1445" s="93">
        <v>112</v>
      </c>
      <c r="E1445" s="93">
        <v>88</v>
      </c>
      <c r="F1445" s="103">
        <v>4332</v>
      </c>
    </row>
    <row r="1446" spans="2:6">
      <c r="B1446" s="92" t="s">
        <v>143</v>
      </c>
      <c r="C1446" s="91" t="s">
        <v>577</v>
      </c>
      <c r="D1446" s="93">
        <v>112</v>
      </c>
      <c r="E1446" s="93">
        <v>105</v>
      </c>
      <c r="F1446" s="103">
        <v>5604</v>
      </c>
    </row>
    <row r="1447" spans="2:6">
      <c r="B1447" s="92" t="s">
        <v>143</v>
      </c>
      <c r="C1447" s="91" t="s">
        <v>521</v>
      </c>
      <c r="D1447" s="93">
        <v>112</v>
      </c>
      <c r="E1447" s="93">
        <v>103</v>
      </c>
      <c r="F1447" s="103">
        <f>IFERROR(INDEX(Tabella951[PLZ],MATCH(Tabella848[[#This Row],[Colonna2]],Tabella951[Ortschaftsname],0)), "Name not found")</f>
        <v>4802</v>
      </c>
    </row>
    <row r="1448" spans="2:6">
      <c r="B1448" s="92" t="s">
        <v>143</v>
      </c>
      <c r="C1448" s="91" t="s">
        <v>496</v>
      </c>
      <c r="D1448" s="93">
        <v>112</v>
      </c>
      <c r="E1448" s="93">
        <v>112</v>
      </c>
      <c r="F1448" s="103">
        <f>IFERROR(INDEX(Tabella951[PLZ],MATCH(Tabella848[[#This Row],[Colonna2]],Tabella951[Ortschaftsname],0)), "Name not found")</f>
        <v>5034</v>
      </c>
    </row>
    <row r="1449" spans="2:6">
      <c r="B1449" s="92" t="s">
        <v>143</v>
      </c>
      <c r="C1449" s="91" t="s">
        <v>630</v>
      </c>
      <c r="D1449" s="93">
        <v>112</v>
      </c>
      <c r="E1449" s="93">
        <v>107</v>
      </c>
      <c r="F1449" s="103">
        <f>IFERROR(INDEX(Tabella951[PLZ],MATCH(Tabella848[[#This Row],[Colonna2]],Tabella951[Ortschaftsname],0)), "Name not found")</f>
        <v>5306</v>
      </c>
    </row>
    <row r="1450" spans="2:6">
      <c r="B1450" s="92" t="s">
        <v>143</v>
      </c>
      <c r="C1450" s="91" t="s">
        <v>598</v>
      </c>
      <c r="D1450" s="93">
        <v>112</v>
      </c>
      <c r="E1450" s="93">
        <v>122</v>
      </c>
      <c r="F1450" s="103">
        <v>5723</v>
      </c>
    </row>
    <row r="1451" spans="2:6">
      <c r="B1451" s="92" t="s">
        <v>143</v>
      </c>
      <c r="C1451" s="91" t="s">
        <v>660</v>
      </c>
      <c r="D1451" s="93">
        <v>112</v>
      </c>
      <c r="E1451" s="93">
        <v>109</v>
      </c>
      <c r="F1451" s="103">
        <v>5112</v>
      </c>
    </row>
    <row r="1452" spans="2:6">
      <c r="B1452" s="92" t="s">
        <v>143</v>
      </c>
      <c r="C1452" s="91" t="s">
        <v>608</v>
      </c>
      <c r="D1452" s="93">
        <v>112</v>
      </c>
      <c r="E1452" s="93">
        <v>127</v>
      </c>
      <c r="F1452" s="103">
        <f>IFERROR(INDEX(Tabella951[PLZ],MATCH(Tabella848[[#This Row],[Colonna2]],Tabella951[Ortschaftsname],0)), "Name not found")</f>
        <v>5522</v>
      </c>
    </row>
    <row r="1453" spans="2:6">
      <c r="B1453" s="92" t="s">
        <v>143</v>
      </c>
      <c r="C1453" s="91" t="s">
        <v>618</v>
      </c>
      <c r="D1453" s="93">
        <v>112</v>
      </c>
      <c r="E1453" s="93">
        <v>119</v>
      </c>
      <c r="F1453" s="103">
        <f>IFERROR(INDEX(Tabella951[PLZ],MATCH(Tabella848[[#This Row],[Colonna2]],Tabella951[Ortschaftsname],0)), "Name not found")</f>
        <v>4813</v>
      </c>
    </row>
    <row r="1454" spans="2:6">
      <c r="B1454" s="92" t="s">
        <v>143</v>
      </c>
      <c r="C1454" s="91" t="s">
        <v>680</v>
      </c>
      <c r="D1454" s="93">
        <v>112</v>
      </c>
      <c r="E1454" s="93">
        <v>106</v>
      </c>
      <c r="F1454" s="103">
        <f>IFERROR(INDEX(Tabella951[PLZ],MATCH(Tabella848[[#This Row],[Colonna2]],Tabella951[Ortschaftsname],0)), "Name not found")</f>
        <v>5619</v>
      </c>
    </row>
    <row r="1455" spans="2:6">
      <c r="B1455" s="92" t="s">
        <v>143</v>
      </c>
      <c r="C1455" s="91" t="s">
        <v>535</v>
      </c>
      <c r="D1455" s="93">
        <v>112</v>
      </c>
      <c r="E1455" s="93">
        <v>113</v>
      </c>
      <c r="F1455" s="103">
        <f>IFERROR(INDEX(Tabella951[PLZ],MATCH(Tabella848[[#This Row],[Colonna2]],Tabella951[Ortschaftsname],0)), "Name not found")</f>
        <v>5035</v>
      </c>
    </row>
    <row r="1456" spans="2:6">
      <c r="B1456" s="92" t="s">
        <v>143</v>
      </c>
      <c r="C1456" s="91" t="s">
        <v>556</v>
      </c>
      <c r="D1456" s="93">
        <v>112</v>
      </c>
      <c r="E1456" s="93">
        <v>115</v>
      </c>
      <c r="F1456" s="103">
        <f>IFERROR(INDEX(Tabella951[PLZ],MATCH(Tabella848[[#This Row],[Colonna2]],Tabella951[Ortschaftsname],0)), "Name not found")</f>
        <v>5726</v>
      </c>
    </row>
    <row r="1457" spans="2:6">
      <c r="B1457" s="92" t="s">
        <v>143</v>
      </c>
      <c r="C1457" s="91" t="s">
        <v>617</v>
      </c>
      <c r="D1457" s="93">
        <v>112</v>
      </c>
      <c r="E1457" s="93">
        <v>69</v>
      </c>
      <c r="F1457" s="103">
        <f>IFERROR(INDEX(Tabella951[PLZ],MATCH(Tabella848[[#This Row],[Colonna2]],Tabella951[Ortschaftsname],0)), "Name not found")</f>
        <v>8918</v>
      </c>
    </row>
    <row r="1458" spans="2:6">
      <c r="B1458" s="92" t="s">
        <v>143</v>
      </c>
      <c r="C1458" s="91" t="s">
        <v>509</v>
      </c>
      <c r="D1458" s="93">
        <v>112</v>
      </c>
      <c r="E1458" s="93">
        <v>105</v>
      </c>
      <c r="F1458" s="103">
        <f>IFERROR(INDEX(Tabella951[PLZ],MATCH(Tabella848[[#This Row],[Colonna2]],Tabella951[Ortschaftsname],0)), "Name not found")</f>
        <v>5417</v>
      </c>
    </row>
    <row r="1459" spans="2:6">
      <c r="B1459" s="92" t="s">
        <v>143</v>
      </c>
      <c r="C1459" s="91" t="s">
        <v>612</v>
      </c>
      <c r="D1459" s="93">
        <v>112</v>
      </c>
      <c r="E1459" s="93">
        <v>105</v>
      </c>
      <c r="F1459" s="103">
        <v>5106</v>
      </c>
    </row>
    <row r="1460" spans="2:6">
      <c r="B1460" s="92" t="s">
        <v>143</v>
      </c>
      <c r="C1460" s="91" t="s">
        <v>584</v>
      </c>
      <c r="D1460" s="93">
        <v>112</v>
      </c>
      <c r="E1460" s="93">
        <v>87</v>
      </c>
      <c r="F1460" s="103">
        <f>IFERROR(INDEX(Tabella951[PLZ],MATCH(Tabella848[[#This Row],[Colonna2]],Tabella951[Ortschaftsname],0)), "Name not found")</f>
        <v>5234</v>
      </c>
    </row>
    <row r="1461" spans="2:6">
      <c r="B1461" s="92" t="s">
        <v>143</v>
      </c>
      <c r="C1461" s="91" t="s">
        <v>508</v>
      </c>
      <c r="D1461" s="93">
        <v>112</v>
      </c>
      <c r="E1461" s="93">
        <v>102</v>
      </c>
      <c r="F1461" s="103">
        <f>IFERROR(INDEX(Tabella951[PLZ],MATCH(Tabella848[[#This Row],[Colonna2]],Tabella951[Ortschaftsname],0)), "Name not found")</f>
        <v>5612</v>
      </c>
    </row>
    <row r="1462" spans="2:6">
      <c r="B1462" s="92" t="s">
        <v>143</v>
      </c>
      <c r="C1462" s="91" t="s">
        <v>596</v>
      </c>
      <c r="D1462" s="93">
        <v>112</v>
      </c>
      <c r="E1462" s="93">
        <v>120</v>
      </c>
      <c r="F1462" s="103">
        <f>IFERROR(INDEX(Tabella951[PLZ],MATCH(Tabella848[[#This Row],[Colonna2]],Tabella951[Ortschaftsname],0)), "Name not found")</f>
        <v>5213</v>
      </c>
    </row>
    <row r="1463" spans="2:6">
      <c r="B1463" s="92" t="s">
        <v>143</v>
      </c>
      <c r="C1463" s="91" t="s">
        <v>592</v>
      </c>
      <c r="D1463" s="93">
        <v>112</v>
      </c>
      <c r="E1463" s="93">
        <v>118</v>
      </c>
      <c r="F1463" s="103">
        <f>IFERROR(INDEX(Tabella951[PLZ],MATCH(Tabella848[[#This Row],[Colonna2]],Tabella951[Ortschaftsname],0)), "Name not found")</f>
        <v>4803</v>
      </c>
    </row>
    <row r="1464" spans="2:6">
      <c r="B1464" s="92" t="s">
        <v>143</v>
      </c>
      <c r="C1464" s="91" t="s">
        <v>591</v>
      </c>
      <c r="D1464" s="93">
        <v>112</v>
      </c>
      <c r="E1464" s="93">
        <v>95</v>
      </c>
      <c r="F1464" s="103">
        <f>IFERROR(INDEX(Tabella951[PLZ],MATCH(Tabella848[[#This Row],[Colonna2]],Tabella951[Ortschaftsname],0)), "Name not found")</f>
        <v>4323</v>
      </c>
    </row>
    <row r="1465" spans="2:6">
      <c r="B1465" s="92" t="s">
        <v>143</v>
      </c>
      <c r="C1465" s="91" t="s">
        <v>563</v>
      </c>
      <c r="D1465" s="93">
        <v>112</v>
      </c>
      <c r="E1465" s="93">
        <v>106</v>
      </c>
      <c r="F1465" s="103">
        <f>IFERROR(INDEX(Tabella951[PLZ],MATCH(Tabella848[[#This Row],[Colonna2]],Tabella951[Ortschaftsname],0)), "Name not found")</f>
        <v>5622</v>
      </c>
    </row>
    <row r="1466" spans="2:6">
      <c r="B1466" s="92" t="s">
        <v>143</v>
      </c>
      <c r="C1466" s="91" t="s">
        <v>638</v>
      </c>
      <c r="D1466" s="93">
        <v>112</v>
      </c>
      <c r="E1466" s="93">
        <v>118</v>
      </c>
      <c r="F1466" s="103">
        <f>IFERROR(INDEX(Tabella951[PLZ],MATCH(Tabella848[[#This Row],[Colonna2]],Tabella951[Ortschaftsname],0)), "Name not found")</f>
        <v>4317</v>
      </c>
    </row>
    <row r="1467" spans="2:6">
      <c r="B1467" s="92" t="s">
        <v>143</v>
      </c>
      <c r="C1467" s="91" t="s">
        <v>2677</v>
      </c>
      <c r="D1467" s="93">
        <v>112</v>
      </c>
      <c r="E1467" s="93">
        <v>95</v>
      </c>
      <c r="F1467" s="103">
        <f>IFERROR(INDEX(Tabella951[PLZ],MATCH(Tabella848[[#This Row],[Colonna2]],Tabella951[Ortschaftsname],0)), "Name not found")</f>
        <v>5430</v>
      </c>
    </row>
    <row r="1468" spans="2:6">
      <c r="B1468" s="92" t="s">
        <v>143</v>
      </c>
      <c r="C1468" s="91" t="s">
        <v>546</v>
      </c>
      <c r="D1468" s="93">
        <v>112</v>
      </c>
      <c r="E1468" s="93">
        <v>75</v>
      </c>
      <c r="F1468" s="103">
        <f>IFERROR(INDEX(Tabella951[PLZ],MATCH(Tabella848[[#This Row],[Colonna2]],Tabella951[Ortschaftsname],0)), "Name not found")</f>
        <v>8967</v>
      </c>
    </row>
    <row r="1469" spans="2:6">
      <c r="B1469" s="92" t="s">
        <v>143</v>
      </c>
      <c r="C1469" s="91" t="s">
        <v>695</v>
      </c>
      <c r="D1469" s="93">
        <v>112</v>
      </c>
      <c r="E1469" s="93">
        <v>109</v>
      </c>
      <c r="F1469" s="103">
        <f>IFERROR(INDEX(Tabella951[PLZ],MATCH(Tabella848[[#This Row],[Colonna2]],Tabella951[Ortschaftsname],0)), "Name not found")</f>
        <v>5058</v>
      </c>
    </row>
    <row r="1470" spans="2:6">
      <c r="B1470" s="92" t="s">
        <v>143</v>
      </c>
      <c r="C1470" s="91" t="s">
        <v>507</v>
      </c>
      <c r="D1470" s="93">
        <v>112</v>
      </c>
      <c r="E1470" s="93">
        <v>115</v>
      </c>
      <c r="F1470" s="103">
        <f>IFERROR(INDEX(Tabella951[PLZ],MATCH(Tabella848[[#This Row],[Colonna2]],Tabella951[Ortschaftsname],0)), "Name not found")</f>
        <v>5210</v>
      </c>
    </row>
    <row r="1471" spans="2:6">
      <c r="B1471" s="92" t="s">
        <v>143</v>
      </c>
      <c r="C1471" s="91" t="s">
        <v>620</v>
      </c>
      <c r="D1471" s="93">
        <v>112</v>
      </c>
      <c r="E1471" s="93">
        <v>119</v>
      </c>
      <c r="F1471" s="103">
        <f>IFERROR(INDEX(Tabella951[PLZ],MATCH(Tabella848[[#This Row],[Colonna2]],Tabella951[Ortschaftsname],0)), "Name not found")</f>
        <v>5064</v>
      </c>
    </row>
    <row r="1472" spans="2:6">
      <c r="B1472" s="92" t="s">
        <v>143</v>
      </c>
      <c r="C1472" s="91" t="s">
        <v>2678</v>
      </c>
      <c r="D1472" s="93">
        <v>112</v>
      </c>
      <c r="E1472" s="93">
        <v>116</v>
      </c>
      <c r="F1472" s="103">
        <v>5610</v>
      </c>
    </row>
    <row r="1473" spans="2:6">
      <c r="B1473" s="92" t="s">
        <v>143</v>
      </c>
      <c r="C1473" s="91" t="s">
        <v>606</v>
      </c>
      <c r="D1473" s="93">
        <v>112</v>
      </c>
      <c r="E1473" s="93">
        <v>116</v>
      </c>
      <c r="F1473" s="103">
        <f>IFERROR(INDEX(Tabella951[PLZ],MATCH(Tabella848[[#This Row],[Colonna2]],Tabella951[Ortschaftsname],0)), "Name not found")</f>
        <v>5512</v>
      </c>
    </row>
    <row r="1474" spans="2:6">
      <c r="B1474" s="92" t="s">
        <v>143</v>
      </c>
      <c r="C1474" s="91" t="s">
        <v>641</v>
      </c>
      <c r="D1474" s="93">
        <v>112</v>
      </c>
      <c r="E1474" s="93">
        <v>125</v>
      </c>
      <c r="F1474" s="103">
        <f>IFERROR(INDEX(Tabella951[PLZ],MATCH(Tabella848[[#This Row],[Colonna2]],Tabella951[Ortschaftsname],0)), "Name not found")</f>
        <v>5063</v>
      </c>
    </row>
    <row r="1475" spans="2:6">
      <c r="B1475" s="92" t="s">
        <v>143</v>
      </c>
      <c r="C1475" s="91" t="s">
        <v>524</v>
      </c>
      <c r="D1475" s="93">
        <v>112</v>
      </c>
      <c r="E1475" s="93">
        <v>100</v>
      </c>
      <c r="F1475" s="103">
        <f>IFERROR(INDEX(Tabella951[PLZ],MATCH(Tabella848[[#This Row],[Colonna2]],Tabella951[Ortschaftsname],0)), "Name not found")</f>
        <v>5303</v>
      </c>
    </row>
    <row r="1476" spans="2:6">
      <c r="B1476" s="92" t="s">
        <v>143</v>
      </c>
      <c r="C1476" s="91" t="s">
        <v>510</v>
      </c>
      <c r="D1476" s="93">
        <v>112</v>
      </c>
      <c r="E1476" s="93">
        <v>99</v>
      </c>
      <c r="F1476" s="103">
        <f>IFERROR(INDEX(Tabella951[PLZ],MATCH(Tabella848[[#This Row],[Colonna2]],Tabella951[Ortschaftsname],0)), "Name not found")</f>
        <v>5436</v>
      </c>
    </row>
    <row r="1477" spans="2:6">
      <c r="B1477" s="92" t="s">
        <v>143</v>
      </c>
      <c r="C1477" s="91" t="s">
        <v>633</v>
      </c>
      <c r="D1477" s="93">
        <v>112</v>
      </c>
      <c r="E1477" s="93">
        <v>114</v>
      </c>
      <c r="F1477" s="103">
        <f>IFERROR(INDEX(Tabella951[PLZ],MATCH(Tabella848[[#This Row],[Colonna2]],Tabella951[Ortschaftsname],0)), "Name not found")</f>
        <v>5079</v>
      </c>
    </row>
    <row r="1478" spans="2:6">
      <c r="B1478" s="92" t="s">
        <v>143</v>
      </c>
      <c r="C1478" s="91" t="s">
        <v>575</v>
      </c>
      <c r="D1478" s="93">
        <v>112</v>
      </c>
      <c r="E1478" s="93">
        <v>112</v>
      </c>
      <c r="F1478" s="103">
        <f>IFERROR(INDEX(Tabella951[PLZ],MATCH(Tabella848[[#This Row],[Colonna2]],Tabella951[Ortschaftsname],0)), "Name not found")</f>
        <v>4314</v>
      </c>
    </row>
    <row r="1479" spans="2:6">
      <c r="B1479" s="92" t="s">
        <v>143</v>
      </c>
      <c r="C1479" s="91" t="s">
        <v>622</v>
      </c>
      <c r="D1479" s="93">
        <v>112</v>
      </c>
      <c r="E1479" s="93">
        <v>118</v>
      </c>
      <c r="F1479" s="103">
        <f>IFERROR(INDEX(Tabella951[PLZ],MATCH(Tabella848[[#This Row],[Colonna2]],Tabella951[Ortschaftsname],0)), "Name not found")</f>
        <v>5732</v>
      </c>
    </row>
    <row r="1480" spans="2:6">
      <c r="B1480" s="92" t="s">
        <v>143</v>
      </c>
      <c r="C1480" s="91" t="s">
        <v>1619</v>
      </c>
      <c r="D1480" s="93">
        <v>112</v>
      </c>
      <c r="E1480" s="93">
        <v>99</v>
      </c>
      <c r="F1480" s="103">
        <f>IFERROR(INDEX(Tabella951[PLZ],MATCH(Tabella848[[#This Row],[Colonna2]],Tabella951[Ortschaftsname],0)), "Name not found")</f>
        <v>4800</v>
      </c>
    </row>
    <row r="1481" spans="2:6">
      <c r="B1481" s="92" t="s">
        <v>143</v>
      </c>
      <c r="C1481" s="91" t="s">
        <v>527</v>
      </c>
      <c r="D1481" s="93">
        <v>112</v>
      </c>
      <c r="E1481" s="93">
        <v>79</v>
      </c>
      <c r="F1481" s="103">
        <f>IFERROR(INDEX(Tabella951[PLZ],MATCH(Tabella848[[#This Row],[Colonna2]],Tabella951[Ortschaftsname],0)), "Name not found")</f>
        <v>5621</v>
      </c>
    </row>
    <row r="1482" spans="2:6">
      <c r="B1482" s="92" t="s">
        <v>143</v>
      </c>
      <c r="C1482" s="91" t="s">
        <v>2679</v>
      </c>
      <c r="D1482" s="93">
        <v>112</v>
      </c>
      <c r="E1482" s="93">
        <v>115</v>
      </c>
      <c r="F1482" s="103">
        <v>5330</v>
      </c>
    </row>
    <row r="1483" spans="2:6">
      <c r="B1483" s="92" t="s">
        <v>143</v>
      </c>
      <c r="C1483" s="91" t="s">
        <v>654</v>
      </c>
      <c r="D1483" s="93">
        <v>112</v>
      </c>
      <c r="E1483" s="93">
        <v>119</v>
      </c>
      <c r="F1483" s="103">
        <f>IFERROR(INDEX(Tabella951[PLZ],MATCH(Tabella848[[#This Row],[Colonna2]],Tabella951[Ortschaftsname],0)), "Name not found")</f>
        <v>4315</v>
      </c>
    </row>
    <row r="1484" spans="2:6">
      <c r="B1484" s="92" t="s">
        <v>145</v>
      </c>
      <c r="C1484" s="91" t="s">
        <v>1911</v>
      </c>
      <c r="D1484" s="93">
        <v>109</v>
      </c>
      <c r="E1484" s="93">
        <v>155</v>
      </c>
      <c r="F1484" s="103">
        <f>IFERROR(INDEX(Tabella951[PLZ],MATCH(Tabella848[[#This Row],[Colonna2]],Tabella951[Ortschaftsname],0)), "Name not found")</f>
        <v>8355</v>
      </c>
    </row>
    <row r="1485" spans="2:6">
      <c r="B1485" s="92" t="s">
        <v>145</v>
      </c>
      <c r="C1485" s="91" t="s">
        <v>1938</v>
      </c>
      <c r="D1485" s="93">
        <v>109</v>
      </c>
      <c r="E1485" s="93">
        <v>149</v>
      </c>
      <c r="F1485" s="103">
        <f>IFERROR(INDEX(Tabella951[PLZ],MATCH(Tabella848[[#This Row],[Colonna2]],Tabella951[Ortschaftsname],0)), "Name not found")</f>
        <v>9556</v>
      </c>
    </row>
    <row r="1486" spans="2:6">
      <c r="B1486" s="92" t="s">
        <v>145</v>
      </c>
      <c r="C1486" s="91" t="s">
        <v>1944</v>
      </c>
      <c r="D1486" s="93">
        <v>109</v>
      </c>
      <c r="E1486" s="93">
        <v>141</v>
      </c>
      <c r="F1486" s="103">
        <f>IFERROR(INDEX(Tabella951[PLZ],MATCH(Tabella848[[#This Row],[Colonna2]],Tabella951[Ortschaftsname],0)), "Name not found")</f>
        <v>8595</v>
      </c>
    </row>
    <row r="1487" spans="2:6">
      <c r="B1487" s="92" t="s">
        <v>145</v>
      </c>
      <c r="C1487" s="91" t="s">
        <v>1961</v>
      </c>
      <c r="D1487" s="93">
        <v>109</v>
      </c>
      <c r="E1487" s="93">
        <v>163</v>
      </c>
      <c r="F1487" s="103">
        <f>IFERROR(INDEX(Tabella951[PLZ],MATCH(Tabella848[[#This Row],[Colonna2]],Tabella951[Ortschaftsname],0)), "Name not found")</f>
        <v>8514</v>
      </c>
    </row>
    <row r="1488" spans="2:6">
      <c r="B1488" s="92" t="s">
        <v>145</v>
      </c>
      <c r="C1488" s="91" t="s">
        <v>1908</v>
      </c>
      <c r="D1488" s="93">
        <v>109</v>
      </c>
      <c r="E1488" s="93">
        <v>156</v>
      </c>
      <c r="F1488" s="103">
        <f>IFERROR(INDEX(Tabella951[PLZ],MATCH(Tabella848[[#This Row],[Colonna2]],Tabella951[Ortschaftsname],0)), "Name not found")</f>
        <v>8580</v>
      </c>
    </row>
    <row r="1489" spans="2:6">
      <c r="B1489" s="92" t="s">
        <v>145</v>
      </c>
      <c r="C1489" s="91" t="s">
        <v>1907</v>
      </c>
      <c r="D1489" s="93">
        <v>109</v>
      </c>
      <c r="E1489" s="93">
        <v>183</v>
      </c>
      <c r="F1489" s="103">
        <f>IFERROR(INDEX(Tabella951[PLZ],MATCH(Tabella848[[#This Row],[Colonna2]],Tabella951[Ortschaftsname],0)), "Name not found")</f>
        <v>9320</v>
      </c>
    </row>
    <row r="1490" spans="2:6">
      <c r="B1490" s="92" t="s">
        <v>145</v>
      </c>
      <c r="C1490" s="91" t="s">
        <v>1949</v>
      </c>
      <c r="D1490" s="93">
        <v>109</v>
      </c>
      <c r="E1490" s="93">
        <v>143</v>
      </c>
      <c r="F1490" s="103">
        <v>8254</v>
      </c>
    </row>
    <row r="1491" spans="2:6">
      <c r="B1491" s="92" t="s">
        <v>145</v>
      </c>
      <c r="C1491" s="91" t="s">
        <v>1928</v>
      </c>
      <c r="D1491" s="93">
        <v>109</v>
      </c>
      <c r="E1491" s="93">
        <v>137</v>
      </c>
      <c r="F1491" s="103">
        <v>8572</v>
      </c>
    </row>
    <row r="1492" spans="2:6">
      <c r="B1492" s="92" t="s">
        <v>145</v>
      </c>
      <c r="C1492" s="91" t="s">
        <v>1975</v>
      </c>
      <c r="D1492" s="93">
        <v>109</v>
      </c>
      <c r="E1492" s="93">
        <v>129</v>
      </c>
      <c r="F1492" s="103">
        <f>IFERROR(INDEX(Tabella951[PLZ],MATCH(Tabella848[[#This Row],[Colonna2]],Tabella951[Ortschaftsname],0)), "Name not found")</f>
        <v>8267</v>
      </c>
    </row>
    <row r="1493" spans="2:6">
      <c r="B1493" s="92" t="s">
        <v>145</v>
      </c>
      <c r="C1493" s="91" t="s">
        <v>1965</v>
      </c>
      <c r="D1493" s="93">
        <v>109</v>
      </c>
      <c r="E1493" s="93">
        <v>135</v>
      </c>
      <c r="F1493" s="103">
        <f>IFERROR(INDEX(Tabella951[PLZ],MATCH(Tabella848[[#This Row],[Colonna2]],Tabella951[Ortschaftsname],0)), "Name not found")</f>
        <v>9553</v>
      </c>
    </row>
    <row r="1494" spans="2:6">
      <c r="B1494" s="92" t="s">
        <v>145</v>
      </c>
      <c r="C1494" s="91" t="s">
        <v>1932</v>
      </c>
      <c r="D1494" s="93">
        <v>109</v>
      </c>
      <c r="E1494" s="93">
        <v>150</v>
      </c>
      <c r="F1494" s="103">
        <v>8363</v>
      </c>
    </row>
    <row r="1495" spans="2:6">
      <c r="B1495" s="92" t="s">
        <v>145</v>
      </c>
      <c r="C1495" s="91" t="s">
        <v>1960</v>
      </c>
      <c r="D1495" s="93">
        <v>109</v>
      </c>
      <c r="E1495" s="93">
        <v>153</v>
      </c>
      <c r="F1495" s="103">
        <f>IFERROR(INDEX(Tabella951[PLZ],MATCH(Tabella848[[#This Row],[Colonna2]],Tabella951[Ortschaftsname],0)), "Name not found")</f>
        <v>8585</v>
      </c>
    </row>
    <row r="1496" spans="2:6">
      <c r="B1496" s="92" t="s">
        <v>145</v>
      </c>
      <c r="C1496" s="91" t="s">
        <v>1913</v>
      </c>
      <c r="D1496" s="93">
        <v>109</v>
      </c>
      <c r="E1496" s="93">
        <v>161</v>
      </c>
      <c r="F1496" s="103">
        <f>IFERROR(INDEX(Tabella951[PLZ],MATCH(Tabella848[[#This Row],[Colonna2]],Tabella951[Ortschaftsname],0)), "Name not found")</f>
        <v>9220</v>
      </c>
    </row>
    <row r="1497" spans="2:6">
      <c r="B1497" s="92" t="s">
        <v>145</v>
      </c>
      <c r="C1497" s="91" t="s">
        <v>1945</v>
      </c>
      <c r="D1497" s="93">
        <v>109</v>
      </c>
      <c r="E1497" s="93">
        <v>92</v>
      </c>
      <c r="F1497" s="103">
        <f>IFERROR(INDEX(Tabella951[PLZ],MATCH(Tabella848[[#This Row],[Colonna2]],Tabella951[Ortschaftsname],0)), "Name not found")</f>
        <v>8598</v>
      </c>
    </row>
    <row r="1498" spans="2:6">
      <c r="B1498" s="92" t="s">
        <v>145</v>
      </c>
      <c r="C1498" s="91" t="s">
        <v>1978</v>
      </c>
      <c r="D1498" s="93">
        <v>109</v>
      </c>
      <c r="E1498" s="93">
        <v>147</v>
      </c>
      <c r="F1498" s="103">
        <f>IFERROR(INDEX(Tabella951[PLZ],MATCH(Tabella848[[#This Row],[Colonna2]],Tabella951[Ortschaftsname],0)), "Name not found")</f>
        <v>9502</v>
      </c>
    </row>
    <row r="1499" spans="2:6">
      <c r="B1499" s="92" t="s">
        <v>145</v>
      </c>
      <c r="C1499" s="91" t="s">
        <v>1943</v>
      </c>
      <c r="D1499" s="93">
        <v>109</v>
      </c>
      <c r="E1499" s="93">
        <v>146</v>
      </c>
      <c r="F1499" s="103">
        <f>IFERROR(INDEX(Tabella951[PLZ],MATCH(Tabella848[[#This Row],[Colonna2]],Tabella951[Ortschaftsname],0)), "Name not found")</f>
        <v>9565</v>
      </c>
    </row>
    <row r="1500" spans="2:6">
      <c r="B1500" s="92" t="s">
        <v>145</v>
      </c>
      <c r="C1500" s="91" t="s">
        <v>1921</v>
      </c>
      <c r="D1500" s="93">
        <v>109</v>
      </c>
      <c r="E1500" s="93">
        <v>151</v>
      </c>
      <c r="F1500" s="103">
        <v>8575</v>
      </c>
    </row>
    <row r="1501" spans="2:6">
      <c r="B1501" s="92" t="s">
        <v>145</v>
      </c>
      <c r="C1501" s="91" t="s">
        <v>1920</v>
      </c>
      <c r="D1501" s="93">
        <v>109</v>
      </c>
      <c r="E1501" s="93">
        <v>140</v>
      </c>
      <c r="F1501" s="103">
        <f>IFERROR(INDEX(Tabella951[PLZ],MATCH(Tabella848[[#This Row],[Colonna2]],Tabella951[Ortschaftsname],0)), "Name not found")</f>
        <v>8253</v>
      </c>
    </row>
    <row r="1502" spans="2:6">
      <c r="B1502" s="92" t="s">
        <v>145</v>
      </c>
      <c r="C1502" s="91" t="s">
        <v>1979</v>
      </c>
      <c r="D1502" s="93">
        <v>109</v>
      </c>
      <c r="E1502" s="93">
        <v>122</v>
      </c>
      <c r="F1502" s="103">
        <f>IFERROR(INDEX(Tabella951[PLZ],MATCH(Tabella848[[#This Row],[Colonna2]],Tabella951[Ortschaftsname],0)), "Name not found")</f>
        <v>8582</v>
      </c>
    </row>
    <row r="1503" spans="2:6">
      <c r="B1503" s="92" t="s">
        <v>145</v>
      </c>
      <c r="C1503" s="91" t="s">
        <v>1915</v>
      </c>
      <c r="D1503" s="93">
        <v>109</v>
      </c>
      <c r="E1503" s="93">
        <v>150</v>
      </c>
      <c r="F1503" s="103">
        <f>IFERROR(INDEX(Tabella951[PLZ],MATCH(Tabella848[[#This Row],[Colonna2]],Tabella951[Ortschaftsname],0)), "Name not found")</f>
        <v>9322</v>
      </c>
    </row>
    <row r="1504" spans="2:6">
      <c r="B1504" s="92" t="s">
        <v>145</v>
      </c>
      <c r="C1504" s="91" t="s">
        <v>1924</v>
      </c>
      <c r="D1504" s="93">
        <v>109</v>
      </c>
      <c r="E1504" s="93">
        <v>148</v>
      </c>
      <c r="F1504" s="103">
        <f>IFERROR(INDEX(Tabella951[PLZ],MATCH(Tabella848[[#This Row],[Colonna2]],Tabella951[Ortschaftsname],0)), "Name not found")</f>
        <v>8586</v>
      </c>
    </row>
    <row r="1505" spans="2:6">
      <c r="B1505" s="92" t="s">
        <v>145</v>
      </c>
      <c r="C1505" s="91" t="s">
        <v>1927</v>
      </c>
      <c r="D1505" s="93">
        <v>109</v>
      </c>
      <c r="E1505" s="93">
        <v>106</v>
      </c>
      <c r="F1505" s="103">
        <f>IFERROR(INDEX(Tabella951[PLZ],MATCH(Tabella848[[#This Row],[Colonna2]],Tabella951[Ortschaftsname],0)), "Name not found")</f>
        <v>8272</v>
      </c>
    </row>
    <row r="1506" spans="2:6">
      <c r="B1506" s="92" t="s">
        <v>145</v>
      </c>
      <c r="C1506" s="91" t="s">
        <v>1950</v>
      </c>
      <c r="D1506" s="93">
        <v>109</v>
      </c>
      <c r="E1506" s="93">
        <v>142</v>
      </c>
      <c r="F1506" s="103">
        <f>IFERROR(INDEX(Tabella951[PLZ],MATCH(Tabella848[[#This Row],[Colonna2]],Tabella951[Ortschaftsname],0)), "Name not found")</f>
        <v>8264</v>
      </c>
    </row>
    <row r="1507" spans="2:6">
      <c r="B1507" s="92" t="s">
        <v>145</v>
      </c>
      <c r="C1507" s="91" t="s">
        <v>1918</v>
      </c>
      <c r="D1507" s="93">
        <v>109</v>
      </c>
      <c r="E1507" s="93">
        <v>144</v>
      </c>
      <c r="F1507" s="103">
        <v>8360</v>
      </c>
    </row>
    <row r="1508" spans="2:6">
      <c r="B1508" s="92" t="s">
        <v>145</v>
      </c>
      <c r="C1508" s="91" t="s">
        <v>1934</v>
      </c>
      <c r="D1508" s="93">
        <v>109</v>
      </c>
      <c r="E1508" s="93">
        <v>143</v>
      </c>
      <c r="F1508" s="103">
        <f>IFERROR(INDEX(Tabella951[PLZ],MATCH(Tabella848[[#This Row],[Colonna2]],Tabella951[Ortschaftsname],0)), "Name not found")</f>
        <v>8552</v>
      </c>
    </row>
    <row r="1509" spans="2:6">
      <c r="B1509" s="92" t="s">
        <v>145</v>
      </c>
      <c r="C1509" s="91" t="s">
        <v>1937</v>
      </c>
      <c r="D1509" s="93">
        <v>109</v>
      </c>
      <c r="E1509" s="93">
        <v>155</v>
      </c>
      <c r="F1509" s="103">
        <f>IFERROR(INDEX(Tabella951[PLZ],MATCH(Tabella848[[#This Row],[Colonna2]],Tabella951[Ortschaftsname],0)), "Name not found")</f>
        <v>8376</v>
      </c>
    </row>
    <row r="1510" spans="2:6">
      <c r="B1510" s="92" t="s">
        <v>145</v>
      </c>
      <c r="C1510" s="91" t="s">
        <v>1905</v>
      </c>
      <c r="D1510" s="93">
        <v>109</v>
      </c>
      <c r="E1510" s="93">
        <v>144</v>
      </c>
      <c r="F1510" s="103">
        <f>IFERROR(INDEX(Tabella951[PLZ],MATCH(Tabella848[[#This Row],[Colonna2]],Tabella951[Ortschaftsname],0)), "Name not found")</f>
        <v>8500</v>
      </c>
    </row>
    <row r="1511" spans="2:6">
      <c r="B1511" s="92" t="s">
        <v>145</v>
      </c>
      <c r="C1511" s="91" t="s">
        <v>1919</v>
      </c>
      <c r="D1511" s="93">
        <v>109</v>
      </c>
      <c r="E1511" s="93">
        <v>132</v>
      </c>
      <c r="F1511" s="103">
        <f>IFERROR(INDEX(Tabella951[PLZ],MATCH(Tabella848[[#This Row],[Colonna2]],Tabella951[Ortschaftsname],0)), "Name not found")</f>
        <v>8547</v>
      </c>
    </row>
    <row r="1512" spans="2:6">
      <c r="B1512" s="92" t="s">
        <v>145</v>
      </c>
      <c r="C1512" s="91" t="s">
        <v>1984</v>
      </c>
      <c r="D1512" s="93">
        <v>109</v>
      </c>
      <c r="E1512" s="93">
        <v>129</v>
      </c>
      <c r="F1512" s="103">
        <f>IFERROR(INDEX(Tabella951[PLZ],MATCH(Tabella848[[#This Row],[Colonna2]],Tabella951[Ortschaftsname],0)), "Name not found")</f>
        <v>8274</v>
      </c>
    </row>
    <row r="1513" spans="2:6">
      <c r="B1513" s="92" t="s">
        <v>145</v>
      </c>
      <c r="C1513" s="91" t="s">
        <v>1955</v>
      </c>
      <c r="D1513" s="93">
        <v>109</v>
      </c>
      <c r="E1513" s="93">
        <v>142</v>
      </c>
      <c r="F1513" s="103">
        <f>IFERROR(INDEX(Tabella951[PLZ],MATCH(Tabella848[[#This Row],[Colonna2]],Tabella951[Ortschaftsname],0)), "Name not found")</f>
        <v>8594</v>
      </c>
    </row>
    <row r="1514" spans="2:6">
      <c r="B1514" s="92" t="s">
        <v>145</v>
      </c>
      <c r="C1514" s="91" t="s">
        <v>1947</v>
      </c>
      <c r="D1514" s="93">
        <v>109</v>
      </c>
      <c r="E1514" s="93">
        <v>145</v>
      </c>
      <c r="F1514" s="103">
        <v>9213</v>
      </c>
    </row>
    <row r="1515" spans="2:6">
      <c r="B1515" s="92" t="s">
        <v>145</v>
      </c>
      <c r="C1515" s="91" t="s">
        <v>1968</v>
      </c>
      <c r="D1515" s="93">
        <v>109</v>
      </c>
      <c r="E1515" s="93">
        <v>159</v>
      </c>
      <c r="F1515" s="103">
        <f>IFERROR(INDEX(Tabella951[PLZ],MATCH(Tabella848[[#This Row],[Colonna2]],Tabella951[Ortschaftsname],0)), "Name not found")</f>
        <v>8580</v>
      </c>
    </row>
    <row r="1516" spans="2:6">
      <c r="B1516" s="92" t="s">
        <v>145</v>
      </c>
      <c r="C1516" s="91" t="s">
        <v>1972</v>
      </c>
      <c r="D1516" s="93">
        <v>109</v>
      </c>
      <c r="E1516" s="93">
        <v>146</v>
      </c>
      <c r="F1516" s="103">
        <f>IFERROR(INDEX(Tabella951[PLZ],MATCH(Tabella848[[#This Row],[Colonna2]],Tabella951[Ortschaftsname],0)), "Name not found")</f>
        <v>8535</v>
      </c>
    </row>
    <row r="1517" spans="2:6">
      <c r="B1517" s="92" t="s">
        <v>145</v>
      </c>
      <c r="C1517" s="91" t="s">
        <v>1981</v>
      </c>
      <c r="D1517" s="93">
        <v>109</v>
      </c>
      <c r="E1517" s="93">
        <v>143</v>
      </c>
      <c r="F1517" s="103">
        <f>IFERROR(INDEX(Tabella951[PLZ],MATCH(Tabella848[[#This Row],[Colonna2]],Tabella951[Ortschaftsname],0)), "Name not found")</f>
        <v>9216</v>
      </c>
    </row>
    <row r="1518" spans="2:6">
      <c r="B1518" s="92" t="s">
        <v>145</v>
      </c>
      <c r="C1518" s="91" t="s">
        <v>1957</v>
      </c>
      <c r="D1518" s="93">
        <v>109</v>
      </c>
      <c r="E1518" s="93">
        <v>156</v>
      </c>
      <c r="F1518" s="103">
        <f>IFERROR(INDEX(Tabella951[PLZ],MATCH(Tabella848[[#This Row],[Colonna2]],Tabella951[Ortschaftsname],0)), "Name not found")</f>
        <v>8508</v>
      </c>
    </row>
    <row r="1519" spans="2:6">
      <c r="B1519" s="92" t="s">
        <v>145</v>
      </c>
      <c r="C1519" s="91" t="s">
        <v>1936</v>
      </c>
      <c r="D1519" s="93">
        <v>109</v>
      </c>
      <c r="E1519" s="93">
        <v>99</v>
      </c>
      <c r="F1519" s="103">
        <f>IFERROR(INDEX(Tabella951[PLZ],MATCH(Tabella848[[#This Row],[Colonna2]],Tabella951[Ortschaftsname],0)), "Name not found")</f>
        <v>9326</v>
      </c>
    </row>
    <row r="1520" spans="2:6">
      <c r="B1520" s="92" t="s">
        <v>145</v>
      </c>
      <c r="C1520" s="91" t="s">
        <v>1977</v>
      </c>
      <c r="D1520" s="93">
        <v>109</v>
      </c>
      <c r="E1520" s="93">
        <v>155</v>
      </c>
      <c r="F1520" s="103">
        <f>IFERROR(INDEX(Tabella951[PLZ],MATCH(Tabella848[[#This Row],[Colonna2]],Tabella951[Ortschaftsname],0)), "Name not found")</f>
        <v>8553</v>
      </c>
    </row>
    <row r="1521" spans="2:6">
      <c r="B1521" s="92" t="s">
        <v>145</v>
      </c>
      <c r="C1521" s="91" t="s">
        <v>1952</v>
      </c>
      <c r="D1521" s="93">
        <v>109</v>
      </c>
      <c r="E1521" s="93">
        <v>143</v>
      </c>
      <c r="F1521" s="103">
        <f>IFERROR(INDEX(Tabella951[PLZ],MATCH(Tabella848[[#This Row],[Colonna2]],Tabella951[Ortschaftsname],0)), "Name not found")</f>
        <v>8536</v>
      </c>
    </row>
    <row r="1522" spans="2:6">
      <c r="B1522" s="92" t="s">
        <v>145</v>
      </c>
      <c r="C1522" s="91" t="s">
        <v>1940</v>
      </c>
      <c r="D1522" s="93">
        <v>109</v>
      </c>
      <c r="E1522" s="93">
        <v>151</v>
      </c>
      <c r="F1522" s="103">
        <v>8573</v>
      </c>
    </row>
    <row r="1523" spans="2:6">
      <c r="B1523" s="92" t="s">
        <v>145</v>
      </c>
      <c r="C1523" s="91" t="s">
        <v>1974</v>
      </c>
      <c r="D1523" s="93">
        <v>109</v>
      </c>
      <c r="E1523" s="93">
        <v>128</v>
      </c>
      <c r="F1523" s="103">
        <f>IFERROR(INDEX(Tabella951[PLZ],MATCH(Tabella848[[#This Row],[Colonna2]],Tabella951[Ortschaftsname],0)), "Name not found")</f>
        <v>8593</v>
      </c>
    </row>
    <row r="1524" spans="2:6">
      <c r="B1524" s="92" t="s">
        <v>145</v>
      </c>
      <c r="C1524" s="91" t="s">
        <v>1925</v>
      </c>
      <c r="D1524" s="93">
        <v>109</v>
      </c>
      <c r="E1524" s="93">
        <v>148</v>
      </c>
      <c r="F1524" s="103">
        <v>9214</v>
      </c>
    </row>
    <row r="1525" spans="2:6">
      <c r="B1525" s="92" t="s">
        <v>145</v>
      </c>
      <c r="C1525" s="91" t="s">
        <v>1906</v>
      </c>
      <c r="D1525" s="93">
        <v>109</v>
      </c>
      <c r="E1525" s="93">
        <v>132</v>
      </c>
      <c r="F1525" s="103">
        <f>IFERROR(INDEX(Tabella951[PLZ],MATCH(Tabella848[[#This Row],[Colonna2]],Tabella951[Ortschaftsname],0)), "Name not found")</f>
        <v>8280</v>
      </c>
    </row>
    <row r="1526" spans="2:6">
      <c r="B1526" s="92" t="s">
        <v>145</v>
      </c>
      <c r="C1526" s="91" t="s">
        <v>1963</v>
      </c>
      <c r="D1526" s="93">
        <v>109</v>
      </c>
      <c r="E1526" s="93">
        <v>149</v>
      </c>
      <c r="F1526" s="103">
        <f>IFERROR(INDEX(Tabella951[PLZ],MATCH(Tabella848[[#This Row],[Colonna2]],Tabella951[Ortschaftsname],0)), "Name not found")</f>
        <v>8585</v>
      </c>
    </row>
    <row r="1527" spans="2:6">
      <c r="B1527" s="92" t="s">
        <v>145</v>
      </c>
      <c r="C1527" s="91" t="s">
        <v>1951</v>
      </c>
      <c r="D1527" s="93">
        <v>109</v>
      </c>
      <c r="E1527" s="93">
        <v>147</v>
      </c>
      <c r="F1527" s="103">
        <f>IFERROR(INDEX(Tabella951[PLZ],MATCH(Tabella848[[#This Row],[Colonna2]],Tabella951[Ortschaftsname],0)), "Name not found")</f>
        <v>8574</v>
      </c>
    </row>
    <row r="1528" spans="2:6">
      <c r="B1528" s="92" t="s">
        <v>145</v>
      </c>
      <c r="C1528" s="91" t="s">
        <v>1966</v>
      </c>
      <c r="D1528" s="93">
        <v>109</v>
      </c>
      <c r="E1528" s="93">
        <v>140</v>
      </c>
      <c r="F1528" s="103">
        <f>IFERROR(INDEX(Tabella951[PLZ],MATCH(Tabella848[[#This Row],[Colonna2]],Tabella951[Ortschaftsname],0)), "Name not found")</f>
        <v>9506</v>
      </c>
    </row>
    <row r="1529" spans="2:6">
      <c r="B1529" s="92" t="s">
        <v>145</v>
      </c>
      <c r="C1529" s="91" t="s">
        <v>1980</v>
      </c>
      <c r="D1529" s="93">
        <v>109</v>
      </c>
      <c r="E1529" s="93">
        <v>139</v>
      </c>
      <c r="F1529" s="103">
        <f>IFERROR(INDEX(Tabella951[PLZ],MATCH(Tabella848[[#This Row],[Colonna2]],Tabella951[Ortschaftsname],0)), "Name not found")</f>
        <v>8265</v>
      </c>
    </row>
    <row r="1530" spans="2:6">
      <c r="B1530" s="92" t="s">
        <v>145</v>
      </c>
      <c r="C1530" s="91" t="s">
        <v>1931</v>
      </c>
      <c r="D1530" s="93">
        <v>109</v>
      </c>
      <c r="E1530" s="93">
        <v>156</v>
      </c>
      <c r="F1530" s="103">
        <f>IFERROR(INDEX(Tabella951[PLZ],MATCH(Tabella848[[#This Row],[Colonna2]],Tabella951[Ortschaftsname],0)), "Name not found")</f>
        <v>9548</v>
      </c>
    </row>
    <row r="1531" spans="2:6">
      <c r="B1531" s="92" t="s">
        <v>145</v>
      </c>
      <c r="C1531" s="91" t="s">
        <v>1933</v>
      </c>
      <c r="D1531" s="93">
        <v>109</v>
      </c>
      <c r="E1531" s="93">
        <v>151</v>
      </c>
      <c r="F1531" s="103">
        <f>IFERROR(INDEX(Tabella951[PLZ],MATCH(Tabella848[[#This Row],[Colonna2]],Tabella951[Ortschaftsname],0)), "Name not found")</f>
        <v>8560</v>
      </c>
    </row>
    <row r="1532" spans="2:6">
      <c r="B1532" s="92" t="s">
        <v>145</v>
      </c>
      <c r="C1532" s="91" t="s">
        <v>1930</v>
      </c>
      <c r="D1532" s="93">
        <v>109</v>
      </c>
      <c r="E1532" s="93">
        <v>140</v>
      </c>
      <c r="F1532" s="103">
        <v>8555</v>
      </c>
    </row>
    <row r="1533" spans="2:6">
      <c r="B1533" s="92" t="s">
        <v>145</v>
      </c>
      <c r="C1533" s="91" t="s">
        <v>1914</v>
      </c>
      <c r="D1533" s="93">
        <v>109</v>
      </c>
      <c r="E1533" s="93">
        <v>151</v>
      </c>
      <c r="F1533" s="103">
        <v>9542</v>
      </c>
    </row>
    <row r="1534" spans="2:6">
      <c r="B1534" s="92" t="s">
        <v>145</v>
      </c>
      <c r="C1534" s="91" t="s">
        <v>1926</v>
      </c>
      <c r="D1534" s="93">
        <v>109</v>
      </c>
      <c r="E1534" s="93">
        <v>117</v>
      </c>
      <c r="F1534" s="103">
        <f>IFERROR(INDEX(Tabella951[PLZ],MATCH(Tabella848[[#This Row],[Colonna2]],Tabella951[Ortschaftsname],0)), "Name not found")</f>
        <v>8596</v>
      </c>
    </row>
    <row r="1535" spans="2:6">
      <c r="B1535" s="92" t="s">
        <v>145</v>
      </c>
      <c r="C1535" s="91" t="s">
        <v>1973</v>
      </c>
      <c r="D1535" s="93">
        <v>109</v>
      </c>
      <c r="E1535" s="93">
        <v>124</v>
      </c>
      <c r="F1535" s="103">
        <v>8525</v>
      </c>
    </row>
    <row r="1536" spans="2:6">
      <c r="B1536" s="92" t="s">
        <v>145</v>
      </c>
      <c r="C1536" s="91" t="s">
        <v>1973</v>
      </c>
      <c r="D1536" s="93">
        <v>109</v>
      </c>
      <c r="E1536" s="93">
        <v>124</v>
      </c>
      <c r="F1536" s="103">
        <v>8526</v>
      </c>
    </row>
    <row r="1537" spans="2:6">
      <c r="B1537" s="92" t="s">
        <v>145</v>
      </c>
      <c r="C1537" s="91" t="s">
        <v>1946</v>
      </c>
      <c r="D1537" s="93">
        <v>109</v>
      </c>
      <c r="E1537" s="93">
        <v>169</v>
      </c>
      <c r="F1537" s="103">
        <f>IFERROR(INDEX(Tabella951[PLZ],MATCH(Tabella848[[#This Row],[Colonna2]],Tabella951[Ortschaftsname],0)), "Name not found")</f>
        <v>8505</v>
      </c>
    </row>
    <row r="1538" spans="2:6">
      <c r="B1538" s="92" t="s">
        <v>145</v>
      </c>
      <c r="C1538" s="91" t="s">
        <v>1983</v>
      </c>
      <c r="D1538" s="93">
        <v>109</v>
      </c>
      <c r="E1538" s="93">
        <v>163</v>
      </c>
      <c r="F1538" s="103">
        <f>IFERROR(INDEX(Tabella951[PLZ],MATCH(Tabella848[[#This Row],[Colonna2]],Tabella951[Ortschaftsname],0)), "Name not found")</f>
        <v>8558</v>
      </c>
    </row>
    <row r="1539" spans="2:6">
      <c r="B1539" s="92" t="s">
        <v>145</v>
      </c>
      <c r="C1539" s="91" t="s">
        <v>1935</v>
      </c>
      <c r="D1539" s="93">
        <v>109</v>
      </c>
      <c r="E1539" s="93">
        <v>147</v>
      </c>
      <c r="F1539" s="103">
        <v>9532</v>
      </c>
    </row>
    <row r="1540" spans="2:6">
      <c r="B1540" s="92" t="s">
        <v>145</v>
      </c>
      <c r="C1540" s="91" t="s">
        <v>1929</v>
      </c>
      <c r="D1540" s="93">
        <v>109</v>
      </c>
      <c r="E1540" s="93">
        <v>155</v>
      </c>
      <c r="F1540" s="103">
        <v>9325</v>
      </c>
    </row>
    <row r="1541" spans="2:6">
      <c r="B1541" s="92" t="s">
        <v>145</v>
      </c>
      <c r="C1541" s="91" t="s">
        <v>1910</v>
      </c>
      <c r="D1541" s="93">
        <v>109</v>
      </c>
      <c r="E1541" s="93">
        <v>162</v>
      </c>
      <c r="F1541" s="103">
        <f>IFERROR(INDEX(Tabella951[PLZ],MATCH(Tabella848[[#This Row],[Colonna2]],Tabella951[Ortschaftsname],0)), "Name not found")</f>
        <v>8590</v>
      </c>
    </row>
    <row r="1542" spans="2:6">
      <c r="B1542" s="92" t="s">
        <v>145</v>
      </c>
      <c r="C1542" s="91" t="s">
        <v>1964</v>
      </c>
      <c r="D1542" s="93">
        <v>109</v>
      </c>
      <c r="E1542" s="93">
        <v>115</v>
      </c>
      <c r="F1542" s="103">
        <f>IFERROR(INDEX(Tabella951[PLZ],MATCH(Tabella848[[#This Row],[Colonna2]],Tabella951[Ortschaftsname],0)), "Name not found")</f>
        <v>8268</v>
      </c>
    </row>
    <row r="1543" spans="2:6">
      <c r="B1543" s="92" t="s">
        <v>145</v>
      </c>
      <c r="C1543" s="91" t="s">
        <v>1959</v>
      </c>
      <c r="D1543" s="93">
        <v>109</v>
      </c>
      <c r="E1543" s="93">
        <v>153</v>
      </c>
      <c r="F1543" s="103">
        <f>IFERROR(INDEX(Tabella951[PLZ],MATCH(Tabella848[[#This Row],[Colonna2]],Tabella951[Ortschaftsname],0)), "Name not found")</f>
        <v>8599</v>
      </c>
    </row>
    <row r="1544" spans="2:6">
      <c r="B1544" s="92" t="s">
        <v>145</v>
      </c>
      <c r="C1544" s="91" t="s">
        <v>1953</v>
      </c>
      <c r="D1544" s="93">
        <v>109</v>
      </c>
      <c r="E1544" s="93">
        <v>141</v>
      </c>
      <c r="F1544" s="103">
        <v>8252</v>
      </c>
    </row>
    <row r="1545" spans="2:6">
      <c r="B1545" s="92" t="s">
        <v>145</v>
      </c>
      <c r="C1545" s="91" t="s">
        <v>1976</v>
      </c>
      <c r="D1545" s="93">
        <v>109</v>
      </c>
      <c r="E1545" s="93">
        <v>152</v>
      </c>
      <c r="F1545" s="103">
        <f>IFERROR(INDEX(Tabella951[PLZ],MATCH(Tabella848[[#This Row],[Colonna2]],Tabella951[Ortschaftsname],0)), "Name not found")</f>
        <v>8577</v>
      </c>
    </row>
    <row r="1546" spans="2:6">
      <c r="B1546" s="92" t="s">
        <v>145</v>
      </c>
      <c r="C1546" s="91" t="s">
        <v>1912</v>
      </c>
      <c r="D1546" s="93">
        <v>109</v>
      </c>
      <c r="E1546" s="93">
        <v>142</v>
      </c>
      <c r="F1546" s="103">
        <f>IFERROR(INDEX(Tabella951[PLZ],MATCH(Tabella848[[#This Row],[Colonna2]],Tabella951[Ortschaftsname],0)), "Name not found")</f>
        <v>8370</v>
      </c>
    </row>
    <row r="1547" spans="2:6">
      <c r="B1547" s="92" t="s">
        <v>145</v>
      </c>
      <c r="C1547" s="91" t="s">
        <v>1982</v>
      </c>
      <c r="D1547" s="93">
        <v>109</v>
      </c>
      <c r="E1547" s="93">
        <v>148</v>
      </c>
      <c r="F1547" s="103">
        <f>IFERROR(INDEX(Tabella951[PLZ],MATCH(Tabella848[[#This Row],[Colonna2]],Tabella951[Ortschaftsname],0)), "Name not found")</f>
        <v>8580</v>
      </c>
    </row>
    <row r="1548" spans="2:6">
      <c r="B1548" s="92" t="s">
        <v>145</v>
      </c>
      <c r="C1548" s="91" t="s">
        <v>1922</v>
      </c>
      <c r="D1548" s="93">
        <v>109</v>
      </c>
      <c r="E1548" s="93">
        <v>121</v>
      </c>
      <c r="F1548" s="103">
        <f>IFERROR(INDEX(Tabella951[PLZ],MATCH(Tabella848[[#This Row],[Colonna2]],Tabella951[Ortschaftsname],0)), "Name not found")</f>
        <v>8266</v>
      </c>
    </row>
    <row r="1549" spans="2:6">
      <c r="B1549" s="92" t="s">
        <v>145</v>
      </c>
      <c r="C1549" s="91" t="s">
        <v>1967</v>
      </c>
      <c r="D1549" s="93">
        <v>109</v>
      </c>
      <c r="E1549" s="93">
        <v>143</v>
      </c>
      <c r="F1549" s="103">
        <f>IFERROR(INDEX(Tabella951[PLZ],MATCH(Tabella848[[#This Row],[Colonna2]],Tabella951[Ortschaftsname],0)), "Name not found")</f>
        <v>9507</v>
      </c>
    </row>
    <row r="1550" spans="2:6">
      <c r="B1550" s="92" t="s">
        <v>145</v>
      </c>
      <c r="C1550" s="91" t="s">
        <v>1923</v>
      </c>
      <c r="D1550" s="93">
        <v>109</v>
      </c>
      <c r="E1550" s="93">
        <v>143</v>
      </c>
      <c r="F1550" s="103">
        <f>IFERROR(INDEX(Tabella951[PLZ],MATCH(Tabella848[[#This Row],[Colonna2]],Tabella951[Ortschaftsname],0)), "Name not found")</f>
        <v>8583</v>
      </c>
    </row>
    <row r="1551" spans="2:6">
      <c r="B1551" s="92" t="s">
        <v>145</v>
      </c>
      <c r="C1551" s="91" t="s">
        <v>1958</v>
      </c>
      <c r="D1551" s="93">
        <v>109</v>
      </c>
      <c r="E1551" s="93">
        <v>152</v>
      </c>
      <c r="F1551" s="103">
        <f>IFERROR(INDEX(Tabella951[PLZ],MATCH(Tabella848[[#This Row],[Colonna2]],Tabella951[Ortschaftsname],0)), "Name not found")</f>
        <v>8512</v>
      </c>
    </row>
    <row r="1552" spans="2:6">
      <c r="B1552" s="92" t="s">
        <v>145</v>
      </c>
      <c r="C1552" s="91" t="s">
        <v>1956</v>
      </c>
      <c r="D1552" s="93">
        <v>109</v>
      </c>
      <c r="E1552" s="93">
        <v>151</v>
      </c>
      <c r="F1552" s="103">
        <v>9555</v>
      </c>
    </row>
    <row r="1553" spans="2:6">
      <c r="B1553" s="92" t="s">
        <v>145</v>
      </c>
      <c r="C1553" s="91" t="s">
        <v>1917</v>
      </c>
      <c r="D1553" s="93">
        <v>109</v>
      </c>
      <c r="E1553" s="93">
        <v>115</v>
      </c>
      <c r="F1553" s="103">
        <f>IFERROR(INDEX(Tabella951[PLZ],MATCH(Tabella848[[#This Row],[Colonna2]],Tabella951[Ortschaftsname],0)), "Name not found")</f>
        <v>8274</v>
      </c>
    </row>
    <row r="1554" spans="2:6">
      <c r="B1554" s="92" t="s">
        <v>145</v>
      </c>
      <c r="C1554" s="91" t="s">
        <v>1970</v>
      </c>
      <c r="D1554" s="93">
        <v>109</v>
      </c>
      <c r="E1554" s="93">
        <v>142</v>
      </c>
      <c r="F1554" s="103">
        <v>8524</v>
      </c>
    </row>
    <row r="1555" spans="2:6">
      <c r="B1555" s="92" t="s">
        <v>145</v>
      </c>
      <c r="C1555" s="91" t="s">
        <v>1948</v>
      </c>
      <c r="D1555" s="93">
        <v>109</v>
      </c>
      <c r="E1555" s="93">
        <v>117</v>
      </c>
      <c r="F1555" s="103">
        <f>IFERROR(INDEX(Tabella951[PLZ],MATCH(Tabella848[[#This Row],[Colonna2]],Tabella951[Ortschaftsname],0)), "Name not found")</f>
        <v>8592</v>
      </c>
    </row>
    <row r="1556" spans="2:6">
      <c r="B1556" s="92" t="s">
        <v>145</v>
      </c>
      <c r="C1556" s="91" t="s">
        <v>1954</v>
      </c>
      <c r="D1556" s="93">
        <v>109</v>
      </c>
      <c r="E1556" s="93">
        <v>151</v>
      </c>
      <c r="F1556" s="103">
        <f>IFERROR(INDEX(Tabella951[PLZ],MATCH(Tabella848[[#This Row],[Colonna2]],Tabella951[Ortschaftsname],0)), "Name not found")</f>
        <v>8259</v>
      </c>
    </row>
    <row r="1557" spans="2:6">
      <c r="B1557" s="92" t="s">
        <v>145</v>
      </c>
      <c r="C1557" s="91" t="s">
        <v>1962</v>
      </c>
      <c r="D1557" s="93">
        <v>109</v>
      </c>
      <c r="E1557" s="93">
        <v>84</v>
      </c>
      <c r="F1557" s="103">
        <v>8532</v>
      </c>
    </row>
    <row r="1558" spans="2:6">
      <c r="B1558" s="92" t="s">
        <v>145</v>
      </c>
      <c r="C1558" s="91" t="s">
        <v>1909</v>
      </c>
      <c r="D1558" s="93">
        <v>109</v>
      </c>
      <c r="E1558" s="93">
        <v>137</v>
      </c>
      <c r="F1558" s="103">
        <f>IFERROR(INDEX(Tabella951[PLZ],MATCH(Tabella848[[#This Row],[Colonna2]],Tabella951[Ortschaftsname],0)), "Name not found")</f>
        <v>8570</v>
      </c>
    </row>
    <row r="1559" spans="2:6">
      <c r="B1559" s="92" t="s">
        <v>145</v>
      </c>
      <c r="C1559" s="91" t="s">
        <v>1941</v>
      </c>
      <c r="D1559" s="93">
        <v>109</v>
      </c>
      <c r="E1559" s="93">
        <v>159</v>
      </c>
      <c r="F1559" s="103">
        <f>IFERROR(INDEX(Tabella951[PLZ],MATCH(Tabella848[[#This Row],[Colonna2]],Tabella951[Ortschaftsname],0)), "Name not found")</f>
        <v>8556</v>
      </c>
    </row>
    <row r="1560" spans="2:6">
      <c r="B1560" s="92" t="s">
        <v>145</v>
      </c>
      <c r="C1560" s="91" t="s">
        <v>1939</v>
      </c>
      <c r="D1560" s="93">
        <v>109</v>
      </c>
      <c r="E1560" s="93">
        <v>137</v>
      </c>
      <c r="F1560" s="103">
        <v>9535</v>
      </c>
    </row>
    <row r="1561" spans="2:6">
      <c r="B1561" s="92" t="s">
        <v>145</v>
      </c>
      <c r="C1561" s="91" t="s">
        <v>1969</v>
      </c>
      <c r="D1561" s="93">
        <v>109</v>
      </c>
      <c r="E1561" s="93">
        <v>146</v>
      </c>
      <c r="F1561" s="103">
        <f>IFERROR(INDEX(Tabella951[PLZ],MATCH(Tabella848[[#This Row],[Colonna2]],Tabella951[Ortschaftsname],0)), "Name not found")</f>
        <v>9514</v>
      </c>
    </row>
    <row r="1562" spans="2:6">
      <c r="B1562" s="92" t="s">
        <v>145</v>
      </c>
      <c r="C1562" s="91" t="s">
        <v>1971</v>
      </c>
      <c r="D1562" s="93">
        <v>109</v>
      </c>
      <c r="E1562" s="93">
        <v>152</v>
      </c>
      <c r="F1562" s="103">
        <f>IFERROR(INDEX(Tabella951[PLZ],MATCH(Tabella848[[#This Row],[Colonna2]],Tabella951[Ortschaftsname],0)), "Name not found")</f>
        <v>8564</v>
      </c>
    </row>
    <row r="1563" spans="2:6">
      <c r="B1563" s="92" t="s">
        <v>145</v>
      </c>
      <c r="C1563" s="91" t="s">
        <v>1916</v>
      </c>
      <c r="D1563" s="93">
        <v>109</v>
      </c>
      <c r="E1563" s="93">
        <v>142</v>
      </c>
      <c r="F1563" s="103">
        <f>IFERROR(INDEX(Tabella951[PLZ],MATCH(Tabella848[[#This Row],[Colonna2]],Tabella951[Ortschaftsname],0)), "Name not found")</f>
        <v>9545</v>
      </c>
    </row>
    <row r="1564" spans="2:6">
      <c r="B1564" s="92" t="s">
        <v>145</v>
      </c>
      <c r="C1564" s="91" t="s">
        <v>1942</v>
      </c>
      <c r="D1564" s="93">
        <v>109</v>
      </c>
      <c r="E1564" s="93">
        <v>155</v>
      </c>
      <c r="F1564" s="103">
        <v>8588</v>
      </c>
    </row>
    <row r="1565" spans="2:6">
      <c r="B1565" s="92" t="s">
        <v>141</v>
      </c>
      <c r="C1565" s="91" t="s">
        <v>1474</v>
      </c>
      <c r="D1565" s="93">
        <v>100</v>
      </c>
      <c r="E1565" s="93">
        <v>95</v>
      </c>
      <c r="F1565" s="103">
        <f>IFERROR(INDEX(Tabella951[PLZ],MATCH(Tabella848[[#This Row],[Colonna2]],Tabella951[Ortschaftsname],0)), "Name not found")</f>
        <v>6716</v>
      </c>
    </row>
    <row r="1566" spans="2:6">
      <c r="B1566" s="92" t="s">
        <v>141</v>
      </c>
      <c r="C1566" s="91" t="s">
        <v>1447</v>
      </c>
      <c r="D1566" s="93">
        <v>100</v>
      </c>
      <c r="E1566" s="93">
        <v>82</v>
      </c>
      <c r="F1566" s="103">
        <f>IFERROR(INDEX(Tabella951[PLZ],MATCH(Tabella848[[#This Row],[Colonna2]],Tabella951[Ortschaftsname],0)), "Name not found")</f>
        <v>6982</v>
      </c>
    </row>
    <row r="1567" spans="2:6">
      <c r="B1567" s="92" t="s">
        <v>141</v>
      </c>
      <c r="C1567" s="91" t="s">
        <v>1483</v>
      </c>
      <c r="D1567" s="93">
        <v>100</v>
      </c>
      <c r="E1567" s="93">
        <v>88</v>
      </c>
      <c r="F1567" s="103">
        <f>IFERROR(INDEX(Tabella951[PLZ],MATCH(Tabella848[[#This Row],[Colonna2]],Tabella951[Ortschaftsname],0)), "Name not found")</f>
        <v>6780</v>
      </c>
    </row>
    <row r="1568" spans="2:6">
      <c r="B1568" s="92" t="s">
        <v>141</v>
      </c>
      <c r="C1568" s="91" t="s">
        <v>1489</v>
      </c>
      <c r="D1568" s="93">
        <v>100</v>
      </c>
      <c r="E1568" s="93">
        <v>90</v>
      </c>
      <c r="F1568" s="103">
        <v>6936</v>
      </c>
    </row>
    <row r="1569" spans="2:6">
      <c r="B1569" s="92" t="s">
        <v>141</v>
      </c>
      <c r="C1569" s="91" t="s">
        <v>1527</v>
      </c>
      <c r="D1569" s="93">
        <v>100</v>
      </c>
      <c r="E1569" s="93">
        <v>92</v>
      </c>
      <c r="F1569" s="103">
        <f>IFERROR(INDEX(Tabella951[PLZ],MATCH(Tabella848[[#This Row],[Colonna2]],Tabella951[Ortschaftsname],0)), "Name not found")</f>
        <v>6994</v>
      </c>
    </row>
    <row r="1570" spans="2:6">
      <c r="B1570" s="92" t="s">
        <v>141</v>
      </c>
      <c r="C1570" s="91" t="s">
        <v>1441</v>
      </c>
      <c r="D1570" s="93">
        <v>100</v>
      </c>
      <c r="E1570" s="93">
        <v>91</v>
      </c>
      <c r="F1570" s="103">
        <v>6517</v>
      </c>
    </row>
    <row r="1571" spans="2:6">
      <c r="B1571" s="92" t="s">
        <v>141</v>
      </c>
      <c r="C1571" s="91" t="s">
        <v>1500</v>
      </c>
      <c r="D1571" s="93">
        <v>100</v>
      </c>
      <c r="E1571" s="93">
        <v>95</v>
      </c>
      <c r="F1571" s="103">
        <f>IFERROR(INDEX(Tabella951[PLZ],MATCH(Tabella848[[#This Row],[Colonna2]],Tabella951[Ortschaftsname],0)), "Name not found")</f>
        <v>6822</v>
      </c>
    </row>
    <row r="1572" spans="2:6">
      <c r="B1572" s="92" t="s">
        <v>141</v>
      </c>
      <c r="C1572" s="91" t="s">
        <v>1439</v>
      </c>
      <c r="D1572" s="93">
        <v>100</v>
      </c>
      <c r="E1572" s="93">
        <v>75</v>
      </c>
      <c r="F1572" s="103">
        <f>IFERROR(INDEX(Tabella951[PLZ],MATCH(Tabella848[[#This Row],[Colonna2]],Tabella951[Ortschaftsname],0)), "Name not found")</f>
        <v>6612</v>
      </c>
    </row>
    <row r="1573" spans="2:6">
      <c r="B1573" s="92" t="s">
        <v>141</v>
      </c>
      <c r="C1573" s="91" t="s">
        <v>1531</v>
      </c>
      <c r="D1573" s="93">
        <v>100</v>
      </c>
      <c r="E1573" s="93">
        <v>100</v>
      </c>
      <c r="F1573" s="103">
        <f>IFERROR(INDEX(Tabella951[PLZ],MATCH(Tabella848[[#This Row],[Colonna2]],Tabella951[Ortschaftsname],0)), "Name not found")</f>
        <v>6999</v>
      </c>
    </row>
    <row r="1574" spans="2:6">
      <c r="B1574" s="92" t="s">
        <v>141</v>
      </c>
      <c r="C1574" s="91" t="s">
        <v>1485</v>
      </c>
      <c r="D1574" s="93">
        <v>100</v>
      </c>
      <c r="E1574" s="93">
        <v>95</v>
      </c>
      <c r="F1574" s="103">
        <v>6670</v>
      </c>
    </row>
    <row r="1575" spans="2:6">
      <c r="B1575" s="92" t="s">
        <v>141</v>
      </c>
      <c r="C1575" s="91" t="s">
        <v>1452</v>
      </c>
      <c r="D1575" s="93">
        <v>100</v>
      </c>
      <c r="E1575" s="93">
        <v>75</v>
      </c>
      <c r="F1575" s="103">
        <f>IFERROR(INDEX(Tabella951[PLZ],MATCH(Tabella848[[#This Row],[Colonna2]],Tabella951[Ortschaftsname],0)), "Name not found")</f>
        <v>6828</v>
      </c>
    </row>
    <row r="1576" spans="2:6">
      <c r="B1576" s="92" t="s">
        <v>141</v>
      </c>
      <c r="C1576" s="91" t="s">
        <v>1482</v>
      </c>
      <c r="D1576" s="93">
        <v>100</v>
      </c>
      <c r="E1576" s="93">
        <v>78</v>
      </c>
      <c r="F1576" s="103">
        <f>IFERROR(INDEX(Tabella951[PLZ],MATCH(Tabella848[[#This Row],[Colonna2]],Tabella951[Ortschaftsname],0)), "Name not found")</f>
        <v>6930</v>
      </c>
    </row>
    <row r="1577" spans="2:6">
      <c r="B1577" s="92" t="s">
        <v>141</v>
      </c>
      <c r="C1577" s="91" t="s">
        <v>1516</v>
      </c>
      <c r="D1577" s="93">
        <v>100</v>
      </c>
      <c r="E1577" s="93">
        <v>100</v>
      </c>
      <c r="F1577" s="103">
        <f>IFERROR(INDEX(Tabella951[PLZ],MATCH(Tabella848[[#This Row],[Colonna2]],Tabella951[Ortschaftsname],0)), "Name not found")</f>
        <v>6981</v>
      </c>
    </row>
    <row r="1578" spans="2:6">
      <c r="B1578" s="92" t="s">
        <v>141</v>
      </c>
      <c r="C1578" s="91" t="s">
        <v>1536</v>
      </c>
      <c r="D1578" s="93">
        <v>100</v>
      </c>
      <c r="E1578" s="93">
        <v>60</v>
      </c>
      <c r="F1578" s="103">
        <f>IFERROR(INDEX(Tabella951[PLZ],MATCH(Tabella848[[#This Row],[Colonna2]],Tabella951[Ortschaftsname],0)), "Name not found")</f>
        <v>6781</v>
      </c>
    </row>
    <row r="1579" spans="2:6">
      <c r="B1579" s="92" t="s">
        <v>141</v>
      </c>
      <c r="C1579" s="91" t="s">
        <v>1430</v>
      </c>
      <c r="D1579" s="93">
        <v>100</v>
      </c>
      <c r="E1579" s="93">
        <v>93</v>
      </c>
      <c r="F1579" s="103">
        <f>IFERROR(INDEX(Tabella951[PLZ],MATCH(Tabella848[[#This Row],[Colonna2]],Tabella951[Ortschaftsname],0)), "Name not found")</f>
        <v>6500</v>
      </c>
    </row>
    <row r="1580" spans="2:6">
      <c r="B1580" s="92" t="s">
        <v>141</v>
      </c>
      <c r="C1580" s="91" t="s">
        <v>1438</v>
      </c>
      <c r="D1580" s="93">
        <v>100</v>
      </c>
      <c r="E1580" s="93">
        <v>95</v>
      </c>
      <c r="F1580" s="103">
        <f>IFERROR(INDEX(Tabella951[PLZ],MATCH(Tabella848[[#This Row],[Colonna2]],Tabella951[Ortschaftsname],0)), "Name not found")</f>
        <v>6710</v>
      </c>
    </row>
    <row r="1581" spans="2:6">
      <c r="B1581" s="92" t="s">
        <v>141</v>
      </c>
      <c r="C1581" s="91" t="s">
        <v>1460</v>
      </c>
      <c r="D1581" s="93">
        <v>100</v>
      </c>
      <c r="E1581" s="93">
        <v>65</v>
      </c>
      <c r="F1581" s="103">
        <f>IFERROR(INDEX(Tabella951[PLZ],MATCH(Tabella848[[#This Row],[Colonna2]],Tabella951[Ortschaftsname],0)), "Name not found")</f>
        <v>6934</v>
      </c>
    </row>
    <row r="1582" spans="2:6">
      <c r="B1582" s="92" t="s">
        <v>141</v>
      </c>
      <c r="C1582" s="91" t="s">
        <v>1501</v>
      </c>
      <c r="D1582" s="93">
        <v>100</v>
      </c>
      <c r="E1582" s="93">
        <v>69</v>
      </c>
      <c r="F1582" s="103">
        <f>IFERROR(INDEX(Tabella951[PLZ],MATCH(Tabella848[[#This Row],[Colonna2]],Tabella951[Ortschaftsname],0)), "Name not found")</f>
        <v>6816</v>
      </c>
    </row>
    <row r="1583" spans="2:6">
      <c r="B1583" s="92" t="s">
        <v>141</v>
      </c>
      <c r="C1583" s="91" t="s">
        <v>1475</v>
      </c>
      <c r="D1583" s="93">
        <v>100</v>
      </c>
      <c r="E1583" s="93">
        <v>90</v>
      </c>
      <c r="F1583" s="103">
        <v>6718</v>
      </c>
    </row>
    <row r="1584" spans="2:6">
      <c r="B1584" s="92" t="s">
        <v>141</v>
      </c>
      <c r="C1584" s="91" t="s">
        <v>1499</v>
      </c>
      <c r="D1584" s="93">
        <v>100</v>
      </c>
      <c r="E1584" s="93">
        <v>100</v>
      </c>
      <c r="F1584" s="103">
        <v>6743</v>
      </c>
    </row>
    <row r="1585" spans="2:6">
      <c r="B1585" s="92" t="s">
        <v>141</v>
      </c>
      <c r="C1585" s="91" t="s">
        <v>2680</v>
      </c>
      <c r="D1585" s="93">
        <v>100</v>
      </c>
      <c r="E1585" s="93">
        <v>100</v>
      </c>
      <c r="F1585" s="103">
        <f>IFERROR(INDEX(Tabella951[PLZ],MATCH(Tabella848[[#This Row],[Colonna2]],Tabella951[Ortschaftsname],0)), "Name not found")</f>
        <v>6685</v>
      </c>
    </row>
    <row r="1586" spans="2:6">
      <c r="B1586" s="92" t="s">
        <v>141</v>
      </c>
      <c r="C1586" s="91" t="s">
        <v>1470</v>
      </c>
      <c r="D1586" s="93">
        <v>100</v>
      </c>
      <c r="E1586" s="93">
        <v>95</v>
      </c>
      <c r="F1586" s="103">
        <v>6881</v>
      </c>
    </row>
    <row r="1587" spans="2:6">
      <c r="B1587" s="92" t="s">
        <v>141</v>
      </c>
      <c r="C1587" s="91" t="s">
        <v>1522</v>
      </c>
      <c r="D1587" s="93">
        <v>100</v>
      </c>
      <c r="E1587" s="93">
        <v>78</v>
      </c>
      <c r="F1587" s="103">
        <f>IFERROR(INDEX(Tabella951[PLZ],MATCH(Tabella848[[#This Row],[Colonna2]],Tabella951[Ortschaftsname],0)), "Name not found")</f>
        <v>6645</v>
      </c>
    </row>
    <row r="1588" spans="2:6">
      <c r="B1588" s="92" t="s">
        <v>141</v>
      </c>
      <c r="C1588" s="91" t="s">
        <v>1479</v>
      </c>
      <c r="D1588" s="93">
        <v>100</v>
      </c>
      <c r="E1588" s="93">
        <v>85</v>
      </c>
      <c r="F1588" s="103">
        <f>IFERROR(INDEX(Tabella951[PLZ],MATCH(Tabella848[[#This Row],[Colonna2]],Tabella951[Ortschaftsname],0)), "Name not found")</f>
        <v>6614</v>
      </c>
    </row>
    <row r="1589" spans="2:6">
      <c r="B1589" s="92" t="s">
        <v>141</v>
      </c>
      <c r="C1589" s="91" t="s">
        <v>1523</v>
      </c>
      <c r="D1589" s="93">
        <v>100</v>
      </c>
      <c r="E1589" s="93">
        <v>82</v>
      </c>
      <c r="F1589" s="103">
        <f>IFERROR(INDEX(Tabella951[PLZ],MATCH(Tabella848[[#This Row],[Colonna2]],Tabella951[Ortschaftsname],0)), "Name not found")</f>
        <v>6827</v>
      </c>
    </row>
    <row r="1590" spans="2:6">
      <c r="B1590" s="92" t="s">
        <v>141</v>
      </c>
      <c r="C1590" s="91" t="s">
        <v>1508</v>
      </c>
      <c r="D1590" s="93">
        <v>100</v>
      </c>
      <c r="E1590" s="93">
        <v>95</v>
      </c>
      <c r="F1590" s="103">
        <f>IFERROR(INDEX(Tabella951[PLZ],MATCH(Tabella848[[#This Row],[Colonna2]],Tabella951[Ortschaftsname],0)), "Name not found")</f>
        <v>6936</v>
      </c>
    </row>
    <row r="1591" spans="2:6">
      <c r="B1591" s="92" t="s">
        <v>141</v>
      </c>
      <c r="C1591" s="91" t="s">
        <v>1484</v>
      </c>
      <c r="D1591" s="93">
        <v>100</v>
      </c>
      <c r="E1591" s="93">
        <v>70</v>
      </c>
      <c r="F1591" s="103">
        <f>IFERROR(INDEX(Tabella951[PLZ],MATCH(Tabella848[[#This Row],[Colonna2]],Tabella951[Ortschaftsname],0)), "Name not found")</f>
        <v>6814</v>
      </c>
    </row>
    <row r="1592" spans="2:6">
      <c r="B1592" s="92" t="s">
        <v>141</v>
      </c>
      <c r="C1592" s="91" t="s">
        <v>1456</v>
      </c>
      <c r="D1592" s="93">
        <v>100</v>
      </c>
      <c r="E1592" s="93">
        <v>88</v>
      </c>
      <c r="F1592" s="103">
        <f>IFERROR(INDEX(Tabella951[PLZ],MATCH(Tabella848[[#This Row],[Colonna2]],Tabella951[Ortschaftsname],0)), "Name not found")</f>
        <v>6593</v>
      </c>
    </row>
    <row r="1593" spans="2:6">
      <c r="B1593" s="92" t="s">
        <v>141</v>
      </c>
      <c r="C1593" s="91" t="s">
        <v>1539</v>
      </c>
      <c r="D1593" s="93">
        <v>100</v>
      </c>
      <c r="E1593" s="93">
        <v>65</v>
      </c>
      <c r="F1593" s="103">
        <f>IFERROR(INDEX(Tabella951[PLZ],MATCH(Tabella848[[#This Row],[Colonna2]],Tabella951[Ortschaftsname],0)), "Name not found")</f>
        <v>6684</v>
      </c>
    </row>
    <row r="1594" spans="2:6">
      <c r="B1594" s="92" t="s">
        <v>141</v>
      </c>
      <c r="C1594" s="91" t="s">
        <v>1468</v>
      </c>
      <c r="D1594" s="93">
        <v>100</v>
      </c>
      <c r="E1594" s="93">
        <v>78</v>
      </c>
      <c r="F1594" s="103">
        <f>IFERROR(INDEX(Tabella951[PLZ],MATCH(Tabella848[[#This Row],[Colonna2]],Tabella951[Ortschaftsname],0)), "Name not found")</f>
        <v>6952</v>
      </c>
    </row>
    <row r="1595" spans="2:6">
      <c r="B1595" s="92" t="s">
        <v>141</v>
      </c>
      <c r="C1595" s="91" t="s">
        <v>1435</v>
      </c>
      <c r="D1595" s="93">
        <v>100</v>
      </c>
      <c r="E1595" s="93">
        <v>94</v>
      </c>
      <c r="F1595" s="103">
        <v>6950</v>
      </c>
    </row>
    <row r="1596" spans="2:6">
      <c r="B1596" s="92" t="s">
        <v>141</v>
      </c>
      <c r="C1596" s="91" t="s">
        <v>1448</v>
      </c>
      <c r="D1596" s="93">
        <v>100</v>
      </c>
      <c r="E1596" s="93">
        <v>85</v>
      </c>
      <c r="F1596" s="103">
        <f>IFERROR(INDEX(Tabella951[PLZ],MATCH(Tabella848[[#This Row],[Colonna2]],Tabella951[Ortschaftsname],0)), "Name not found")</f>
        <v>6987</v>
      </c>
    </row>
    <row r="1597" spans="2:6">
      <c r="B1597" s="92" t="s">
        <v>141</v>
      </c>
      <c r="C1597" s="91" t="s">
        <v>1467</v>
      </c>
      <c r="D1597" s="93">
        <v>100</v>
      </c>
      <c r="E1597" s="93">
        <v>55</v>
      </c>
      <c r="F1597" s="103">
        <f>IFERROR(INDEX(Tabella951[PLZ],MATCH(Tabella848[[#This Row],[Colonna2]],Tabella951[Ortschaftsname],0)), "Name not found")</f>
        <v>6874</v>
      </c>
    </row>
    <row r="1598" spans="2:6">
      <c r="B1598" s="92" t="s">
        <v>141</v>
      </c>
      <c r="C1598" s="91" t="s">
        <v>1497</v>
      </c>
      <c r="D1598" s="93">
        <v>100</v>
      </c>
      <c r="E1598" s="93">
        <v>95</v>
      </c>
      <c r="F1598" s="103">
        <v>6654</v>
      </c>
    </row>
    <row r="1599" spans="2:6">
      <c r="B1599" s="92" t="s">
        <v>141</v>
      </c>
      <c r="C1599" s="91" t="s">
        <v>1542</v>
      </c>
      <c r="D1599" s="93">
        <v>100</v>
      </c>
      <c r="E1599" s="93">
        <v>100</v>
      </c>
      <c r="F1599" s="103">
        <f>IFERROR(INDEX(Tabella951[PLZ],MATCH(Tabella848[[#This Row],[Colonna2]],Tabella951[Ortschaftsname],0)), "Name not found")</f>
        <v>6683</v>
      </c>
    </row>
    <row r="1600" spans="2:6">
      <c r="B1600" s="92" t="s">
        <v>141</v>
      </c>
      <c r="C1600" s="91" t="s">
        <v>1496</v>
      </c>
      <c r="D1600" s="93">
        <v>100</v>
      </c>
      <c r="E1600" s="93">
        <v>90</v>
      </c>
      <c r="F1600" s="103">
        <f>IFERROR(INDEX(Tabella951[PLZ],MATCH(Tabella848[[#This Row],[Colonna2]],Tabella951[Ortschaftsname],0)), "Name not found")</f>
        <v>6675</v>
      </c>
    </row>
    <row r="1601" spans="2:6">
      <c r="B1601" s="92" t="s">
        <v>141</v>
      </c>
      <c r="C1601" s="91" t="s">
        <v>1433</v>
      </c>
      <c r="D1601" s="93">
        <v>100</v>
      </c>
      <c r="E1601" s="93">
        <v>88</v>
      </c>
      <c r="F1601" s="103">
        <f>IFERROR(INDEX(Tabella951[PLZ],MATCH(Tabella848[[#This Row],[Colonna2]],Tabella951[Ortschaftsname],0)), "Name not found")</f>
        <v>6830</v>
      </c>
    </row>
    <row r="1602" spans="2:6">
      <c r="B1602" s="92" t="s">
        <v>141</v>
      </c>
      <c r="C1602" s="91" t="s">
        <v>1457</v>
      </c>
      <c r="D1602" s="93">
        <v>100</v>
      </c>
      <c r="E1602" s="93">
        <v>80</v>
      </c>
      <c r="F1602" s="103">
        <f>IFERROR(INDEX(Tabella951[PLZ],MATCH(Tabella848[[#This Row],[Colonna2]],Tabella951[Ortschaftsname],0)), "Name not found")</f>
        <v>6877</v>
      </c>
    </row>
    <row r="1603" spans="2:6">
      <c r="B1603" s="92" t="s">
        <v>141</v>
      </c>
      <c r="C1603" s="91" t="s">
        <v>1442</v>
      </c>
      <c r="D1603" s="93">
        <v>100</v>
      </c>
      <c r="E1603" s="93">
        <v>60</v>
      </c>
      <c r="F1603" s="103">
        <v>6926</v>
      </c>
    </row>
    <row r="1604" spans="2:6">
      <c r="B1604" s="92" t="s">
        <v>141</v>
      </c>
      <c r="C1604" s="91" t="s">
        <v>1471</v>
      </c>
      <c r="D1604" s="93">
        <v>100</v>
      </c>
      <c r="E1604" s="93">
        <v>75</v>
      </c>
      <c r="F1604" s="103">
        <f>IFERROR(INDEX(Tabella951[PLZ],MATCH(Tabella848[[#This Row],[Colonna2]],Tabella951[Ortschaftsname],0)), "Name not found")</f>
        <v>6949</v>
      </c>
    </row>
    <row r="1605" spans="2:6">
      <c r="B1605" s="92" t="s">
        <v>141</v>
      </c>
      <c r="C1605" s="91" t="s">
        <v>1458</v>
      </c>
      <c r="D1605" s="93">
        <v>100</v>
      </c>
      <c r="E1605" s="93">
        <v>88</v>
      </c>
      <c r="F1605" s="103">
        <v>6516</v>
      </c>
    </row>
    <row r="1606" spans="2:6">
      <c r="B1606" s="92" t="s">
        <v>141</v>
      </c>
      <c r="C1606" s="91" t="s">
        <v>1490</v>
      </c>
      <c r="D1606" s="93">
        <v>100</v>
      </c>
      <c r="E1606" s="93">
        <v>65</v>
      </c>
      <c r="F1606" s="103">
        <f>IFERROR(INDEX(Tabella951[PLZ],MATCH(Tabella848[[#This Row],[Colonna2]],Tabella951[Ortschaftsname],0)), "Name not found")</f>
        <v>6944</v>
      </c>
    </row>
    <row r="1607" spans="2:6">
      <c r="B1607" s="92" t="s">
        <v>141</v>
      </c>
      <c r="C1607" s="91" t="s">
        <v>1519</v>
      </c>
      <c r="D1607" s="93">
        <v>100</v>
      </c>
      <c r="E1607" s="93">
        <v>100</v>
      </c>
      <c r="F1607" s="103">
        <f>IFERROR(INDEX(Tabella951[PLZ],MATCH(Tabella848[[#This Row],[Colonna2]],Tabella951[Ortschaftsname],0)), "Name not found")</f>
        <v>6986</v>
      </c>
    </row>
    <row r="1608" spans="2:6">
      <c r="B1608" s="92" t="s">
        <v>141</v>
      </c>
      <c r="C1608" s="91" t="s">
        <v>1535</v>
      </c>
      <c r="D1608" s="93">
        <v>100</v>
      </c>
      <c r="E1608" s="93">
        <v>70</v>
      </c>
      <c r="F1608" s="103">
        <f>IFERROR(INDEX(Tabella951[PLZ],MATCH(Tabella848[[#This Row],[Colonna2]],Tabella951[Ortschaftsname],0)), "Name not found")</f>
        <v>6774</v>
      </c>
    </row>
    <row r="1609" spans="2:6">
      <c r="B1609" s="92" t="s">
        <v>141</v>
      </c>
      <c r="C1609" s="91" t="s">
        <v>1455</v>
      </c>
      <c r="D1609" s="93">
        <v>100</v>
      </c>
      <c r="E1609" s="93">
        <v>94</v>
      </c>
      <c r="F1609" s="103">
        <f>IFERROR(INDEX(Tabella951[PLZ],MATCH(Tabella848[[#This Row],[Colonna2]],Tabella951[Ortschaftsname],0)), "Name not found")</f>
        <v>6760</v>
      </c>
    </row>
    <row r="1610" spans="2:6">
      <c r="B1610" s="92" t="s">
        <v>141</v>
      </c>
      <c r="C1610" s="91" t="s">
        <v>1440</v>
      </c>
      <c r="D1610" s="93">
        <v>100</v>
      </c>
      <c r="E1610" s="93">
        <v>85</v>
      </c>
      <c r="F1610" s="103">
        <v>6574</v>
      </c>
    </row>
    <row r="1611" spans="2:6">
      <c r="B1611" s="92" t="s">
        <v>141</v>
      </c>
      <c r="C1611" s="91" t="s">
        <v>1503</v>
      </c>
      <c r="D1611" s="93">
        <v>100</v>
      </c>
      <c r="E1611" s="93">
        <v>95</v>
      </c>
      <c r="F1611" s="103">
        <f>IFERROR(INDEX(Tabella951[PLZ],MATCH(Tabella848[[#This Row],[Colonna2]],Tabella951[Ortschaftsname],0)), "Name not found")</f>
        <v>6745</v>
      </c>
    </row>
    <row r="1612" spans="2:6">
      <c r="B1612" s="92" t="s">
        <v>141</v>
      </c>
      <c r="C1612" s="91" t="s">
        <v>1443</v>
      </c>
      <c r="D1612" s="93">
        <v>100</v>
      </c>
      <c r="E1612" s="93">
        <v>86</v>
      </c>
      <c r="F1612" s="103">
        <f>IFERROR(INDEX(Tabella951[PLZ],MATCH(Tabella848[[#This Row],[Colonna2]],Tabella951[Ortschaftsname],0)), "Name not found")</f>
        <v>6596</v>
      </c>
    </row>
    <row r="1613" spans="2:6">
      <c r="B1613" s="92" t="s">
        <v>141</v>
      </c>
      <c r="C1613" s="91" t="s">
        <v>1521</v>
      </c>
      <c r="D1613" s="93">
        <v>100</v>
      </c>
      <c r="E1613" s="93">
        <v>75</v>
      </c>
      <c r="F1613" s="103">
        <f>IFERROR(INDEX(Tabella951[PLZ],MATCH(Tabella848[[#This Row],[Colonna2]],Tabella951[Ortschaftsname],0)), "Name not found")</f>
        <v>6916</v>
      </c>
    </row>
    <row r="1614" spans="2:6">
      <c r="B1614" s="92" t="s">
        <v>141</v>
      </c>
      <c r="C1614" s="91" t="s">
        <v>1495</v>
      </c>
      <c r="D1614" s="93">
        <v>100</v>
      </c>
      <c r="E1614" s="93">
        <v>70</v>
      </c>
      <c r="F1614" s="103">
        <f>IFERROR(INDEX(Tabella951[PLZ],MATCH(Tabella848[[#This Row],[Colonna2]],Tabella951[Ortschaftsname],0)), "Name not found")</f>
        <v>6929</v>
      </c>
    </row>
    <row r="1615" spans="2:6">
      <c r="B1615" s="92" t="s">
        <v>141</v>
      </c>
      <c r="C1615" s="91" t="s">
        <v>1526</v>
      </c>
      <c r="D1615" s="93">
        <v>100</v>
      </c>
      <c r="E1615" s="93">
        <v>92</v>
      </c>
      <c r="F1615" s="103">
        <f>IFERROR(INDEX(Tabella951[PLZ],MATCH(Tabella848[[#This Row],[Colonna2]],Tabella951[Ortschaftsname],0)), "Name not found")</f>
        <v>6810</v>
      </c>
    </row>
    <row r="1616" spans="2:6">
      <c r="B1616" s="92" t="s">
        <v>141</v>
      </c>
      <c r="C1616" s="91" t="s">
        <v>1477</v>
      </c>
      <c r="D1616" s="93">
        <v>100</v>
      </c>
      <c r="E1616" s="93">
        <v>90</v>
      </c>
      <c r="F1616" s="103">
        <f>IFERROR(INDEX(Tabella951[PLZ],MATCH(Tabella848[[#This Row],[Colonna2]],Tabella951[Ortschaftsname],0)), "Name not found")</f>
        <v>6814</v>
      </c>
    </row>
    <row r="1617" spans="2:6">
      <c r="B1617" s="92" t="s">
        <v>141</v>
      </c>
      <c r="C1617" s="91" t="s">
        <v>1494</v>
      </c>
      <c r="D1617" s="93">
        <v>100</v>
      </c>
      <c r="E1617" s="93">
        <v>100</v>
      </c>
      <c r="F1617" s="103">
        <f>IFERROR(INDEX(Tabella951[PLZ],MATCH(Tabella848[[#This Row],[Colonna2]],Tabella951[Ortschaftsname],0)), "Name not found")</f>
        <v>6633</v>
      </c>
    </row>
    <row r="1618" spans="2:6">
      <c r="B1618" s="92" t="s">
        <v>141</v>
      </c>
      <c r="C1618" s="91" t="s">
        <v>1520</v>
      </c>
      <c r="D1618" s="93">
        <v>100</v>
      </c>
      <c r="E1618" s="93">
        <v>90</v>
      </c>
      <c r="F1618" s="103">
        <v>6685</v>
      </c>
    </row>
    <row r="1619" spans="2:6">
      <c r="B1619" s="92" t="s">
        <v>141</v>
      </c>
      <c r="C1619" s="91" t="s">
        <v>1543</v>
      </c>
      <c r="D1619" s="93">
        <v>100</v>
      </c>
      <c r="E1619" s="93">
        <v>65</v>
      </c>
      <c r="F1619" s="103">
        <f>IFERROR(INDEX(Tabella951[PLZ],MATCH(Tabella848[[#This Row],[Colonna2]],Tabella951[Ortschaftsname],0)), "Name not found")</f>
        <v>6682</v>
      </c>
    </row>
    <row r="1620" spans="2:6">
      <c r="B1620" s="92" t="s">
        <v>141</v>
      </c>
      <c r="C1620" s="91" t="s">
        <v>1431</v>
      </c>
      <c r="D1620" s="93">
        <v>100</v>
      </c>
      <c r="E1620" s="93">
        <v>90</v>
      </c>
      <c r="F1620" s="103">
        <f>IFERROR(INDEX(Tabella951[PLZ],MATCH(Tabella848[[#This Row],[Colonna2]],Tabella951[Ortschaftsname],0)), "Name not found")</f>
        <v>6600</v>
      </c>
    </row>
    <row r="1621" spans="2:6">
      <c r="B1621" s="92" t="s">
        <v>141</v>
      </c>
      <c r="C1621" s="91" t="s">
        <v>1436</v>
      </c>
      <c r="D1621" s="93">
        <v>100</v>
      </c>
      <c r="E1621" s="93">
        <v>90</v>
      </c>
      <c r="F1621" s="103">
        <f>IFERROR(INDEX(Tabella951[PLZ],MATCH(Tabella848[[#This Row],[Colonna2]],Tabella951[Ortschaftsname],0)), "Name not found")</f>
        <v>6616</v>
      </c>
    </row>
    <row r="1622" spans="2:6">
      <c r="B1622" s="92" t="s">
        <v>141</v>
      </c>
      <c r="C1622" s="91" t="s">
        <v>1429</v>
      </c>
      <c r="D1622" s="93">
        <v>100</v>
      </c>
      <c r="E1622" s="93">
        <v>77</v>
      </c>
      <c r="F1622" s="103">
        <f>IFERROR(INDEX(Tabella951[PLZ],MATCH(Tabella848[[#This Row],[Colonna2]],Tabella951[Ortschaftsname],0)), "Name not found")</f>
        <v>6900</v>
      </c>
    </row>
    <row r="1623" spans="2:6">
      <c r="B1623" s="92" t="s">
        <v>141</v>
      </c>
      <c r="C1623" s="91" t="s">
        <v>1487</v>
      </c>
      <c r="D1623" s="93">
        <v>100</v>
      </c>
      <c r="E1623" s="93">
        <v>90</v>
      </c>
      <c r="F1623" s="103">
        <f>IFERROR(INDEX(Tabella951[PLZ],MATCH(Tabella848[[#This Row],[Colonna2]],Tabella951[Ortschaftsname],0)), "Name not found")</f>
        <v>6533</v>
      </c>
    </row>
    <row r="1624" spans="2:6">
      <c r="B1624" s="92" t="s">
        <v>141</v>
      </c>
      <c r="C1624" s="91" t="s">
        <v>1463</v>
      </c>
      <c r="D1624" s="93">
        <v>100</v>
      </c>
      <c r="E1624" s="93">
        <v>90</v>
      </c>
      <c r="F1624" s="103">
        <f>IFERROR(INDEX(Tabella951[PLZ],MATCH(Tabella848[[#This Row],[Colonna2]],Tabella951[Ortschaftsname],0)), "Name not found")</f>
        <v>6673</v>
      </c>
    </row>
    <row r="1625" spans="2:6">
      <c r="B1625" s="92" t="s">
        <v>141</v>
      </c>
      <c r="C1625" s="91" t="s">
        <v>1480</v>
      </c>
      <c r="D1625" s="93">
        <v>100</v>
      </c>
      <c r="E1625" s="93">
        <v>75</v>
      </c>
      <c r="F1625" s="103">
        <f>IFERROR(INDEX(Tabella951[PLZ],MATCH(Tabella848[[#This Row],[Colonna2]],Tabella951[Ortschaftsname],0)), "Name not found")</f>
        <v>6983</v>
      </c>
    </row>
    <row r="1626" spans="2:6">
      <c r="B1626" s="92" t="s">
        <v>141</v>
      </c>
      <c r="C1626" s="91" t="s">
        <v>1493</v>
      </c>
      <c r="D1626" s="93">
        <v>100</v>
      </c>
      <c r="E1626" s="93">
        <v>65</v>
      </c>
      <c r="F1626" s="103">
        <f>IFERROR(INDEX(Tabella951[PLZ],MATCH(Tabella848[[#This Row],[Colonna2]],Tabella951[Ortschaftsname],0)), "Name not found")</f>
        <v>6928</v>
      </c>
    </row>
    <row r="1627" spans="2:6">
      <c r="B1627" s="92" t="s">
        <v>141</v>
      </c>
      <c r="C1627" s="91" t="s">
        <v>1437</v>
      </c>
      <c r="D1627" s="93">
        <v>100</v>
      </c>
      <c r="E1627" s="93">
        <v>77</v>
      </c>
      <c r="F1627" s="103">
        <f>IFERROR(INDEX(Tabella951[PLZ],MATCH(Tabella848[[#This Row],[Colonna2]],Tabella951[Ortschaftsname],0)), "Name not found")</f>
        <v>6900</v>
      </c>
    </row>
    <row r="1628" spans="2:6">
      <c r="B1628" s="92" t="s">
        <v>141</v>
      </c>
      <c r="C1628" s="91" t="s">
        <v>1476</v>
      </c>
      <c r="D1628" s="93">
        <v>100</v>
      </c>
      <c r="E1628" s="93">
        <v>70</v>
      </c>
      <c r="F1628" s="103">
        <f>IFERROR(INDEX(Tabella951[PLZ],MATCH(Tabella848[[#This Row],[Colonna2]],Tabella951[Ortschaftsname],0)), "Name not found")</f>
        <v>6815</v>
      </c>
    </row>
    <row r="1629" spans="2:6">
      <c r="B1629" s="92" t="s">
        <v>141</v>
      </c>
      <c r="C1629" s="91" t="s">
        <v>1432</v>
      </c>
      <c r="D1629" s="93">
        <v>100</v>
      </c>
      <c r="E1629" s="93">
        <v>77</v>
      </c>
      <c r="F1629" s="103">
        <f>IFERROR(INDEX(Tabella951[PLZ],MATCH(Tabella848[[#This Row],[Colonna2]],Tabella951[Ortschaftsname],0)), "Name not found")</f>
        <v>6850</v>
      </c>
    </row>
    <row r="1630" spans="2:6">
      <c r="B1630" s="92" t="s">
        <v>141</v>
      </c>
      <c r="C1630" s="91" t="s">
        <v>1533</v>
      </c>
      <c r="D1630" s="93">
        <v>100</v>
      </c>
      <c r="E1630" s="93">
        <v>100</v>
      </c>
      <c r="F1630" s="103">
        <f>IFERROR(INDEX(Tabella951[PLZ],MATCH(Tabella848[[#This Row],[Colonna2]],Tabella951[Ortschaftsname],0)), "Name not found")</f>
        <v>6647</v>
      </c>
    </row>
    <row r="1631" spans="2:6">
      <c r="B1631" s="92" t="s">
        <v>141</v>
      </c>
      <c r="C1631" s="91" t="s">
        <v>1492</v>
      </c>
      <c r="D1631" s="93">
        <v>100</v>
      </c>
      <c r="E1631" s="93">
        <v>60</v>
      </c>
      <c r="F1631" s="103">
        <v>6805</v>
      </c>
    </row>
    <row r="1632" spans="2:6">
      <c r="B1632" s="92" t="s">
        <v>141</v>
      </c>
      <c r="C1632" s="91" t="s">
        <v>1530</v>
      </c>
      <c r="D1632" s="93">
        <v>100</v>
      </c>
      <c r="E1632" s="93">
        <v>100</v>
      </c>
      <c r="F1632" s="103">
        <f>IFERROR(INDEX(Tabella951[PLZ],MATCH(Tabella848[[#This Row],[Colonna2]],Tabella951[Ortschaftsname],0)), "Name not found")</f>
        <v>6986</v>
      </c>
    </row>
    <row r="1633" spans="2:6">
      <c r="B1633" s="92" t="s">
        <v>141</v>
      </c>
      <c r="C1633" s="91" t="s">
        <v>1434</v>
      </c>
      <c r="D1633" s="93">
        <v>100</v>
      </c>
      <c r="E1633" s="93">
        <v>78</v>
      </c>
      <c r="F1633" s="103">
        <f>IFERROR(INDEX(Tabella951[PLZ],MATCH(Tabella848[[#This Row],[Colonna2]],Tabella951[Ortschaftsname],0)), "Name not found")</f>
        <v>6648</v>
      </c>
    </row>
    <row r="1634" spans="2:6">
      <c r="B1634" s="92" t="s">
        <v>141</v>
      </c>
      <c r="C1634" s="91" t="s">
        <v>1446</v>
      </c>
      <c r="D1634" s="93">
        <v>100</v>
      </c>
      <c r="E1634" s="93">
        <v>92</v>
      </c>
      <c r="F1634" s="103">
        <v>6802</v>
      </c>
    </row>
    <row r="1635" spans="2:6">
      <c r="B1635" s="92" t="s">
        <v>141</v>
      </c>
      <c r="C1635" s="91" t="s">
        <v>1445</v>
      </c>
      <c r="D1635" s="93">
        <v>100</v>
      </c>
      <c r="E1635" s="93">
        <v>82</v>
      </c>
      <c r="F1635" s="103">
        <f>IFERROR(INDEX(Tabella951[PLZ],MATCH(Tabella848[[#This Row],[Colonna2]],Tabella951[Ortschaftsname],0)), "Name not found")</f>
        <v>6834</v>
      </c>
    </row>
    <row r="1636" spans="2:6">
      <c r="B1636" s="92" t="s">
        <v>141</v>
      </c>
      <c r="C1636" s="91" t="s">
        <v>1512</v>
      </c>
      <c r="D1636" s="93">
        <v>100</v>
      </c>
      <c r="E1636" s="93">
        <v>80</v>
      </c>
      <c r="F1636" s="103">
        <f>IFERROR(INDEX(Tabella951[PLZ],MATCH(Tabella848[[#This Row],[Colonna2]],Tabella951[Ortschaftsname],0)), "Name not found")</f>
        <v>6922</v>
      </c>
    </row>
    <row r="1637" spans="2:6">
      <c r="B1637" s="92" t="s">
        <v>141</v>
      </c>
      <c r="C1637" s="91" t="s">
        <v>1459</v>
      </c>
      <c r="D1637" s="93">
        <v>100</v>
      </c>
      <c r="E1637" s="93">
        <v>73</v>
      </c>
      <c r="F1637" s="103">
        <f>IFERROR(INDEX(Tabella951[PLZ],MATCH(Tabella848[[#This Row],[Colonna2]],Tabella951[Ortschaftsname],0)), "Name not found")</f>
        <v>6600</v>
      </c>
    </row>
    <row r="1638" spans="2:6">
      <c r="B1638" s="92" t="s">
        <v>141</v>
      </c>
      <c r="C1638" s="91" t="s">
        <v>1507</v>
      </c>
      <c r="D1638" s="93">
        <v>100</v>
      </c>
      <c r="E1638" s="93">
        <v>75</v>
      </c>
      <c r="F1638" s="103">
        <f>IFERROR(INDEX(Tabella951[PLZ],MATCH(Tabella848[[#This Row],[Colonna2]],Tabella951[Ortschaftsname],0)), "Name not found")</f>
        <v>6933</v>
      </c>
    </row>
    <row r="1639" spans="2:6">
      <c r="B1639" s="92" t="s">
        <v>141</v>
      </c>
      <c r="C1639" s="91" t="s">
        <v>1529</v>
      </c>
      <c r="D1639" s="93">
        <v>100</v>
      </c>
      <c r="E1639" s="93">
        <v>90</v>
      </c>
      <c r="F1639" s="103">
        <f>IFERROR(INDEX(Tabella951[PLZ],MATCH(Tabella848[[#This Row],[Colonna2]],Tabella951[Ortschaftsname],0)), "Name not found")</f>
        <v>6991</v>
      </c>
    </row>
    <row r="1640" spans="2:6">
      <c r="B1640" s="92" t="s">
        <v>141</v>
      </c>
      <c r="C1640" s="91" t="s">
        <v>1506</v>
      </c>
      <c r="D1640" s="93">
        <v>100</v>
      </c>
      <c r="E1640" s="93">
        <v>95</v>
      </c>
      <c r="F1640" s="103">
        <f>IFERROR(INDEX(Tabella951[PLZ],MATCH(Tabella848[[#This Row],[Colonna2]],Tabella951[Ortschaftsname],0)), "Name not found")</f>
        <v>6986</v>
      </c>
    </row>
    <row r="1641" spans="2:6">
      <c r="B1641" s="92" t="s">
        <v>141</v>
      </c>
      <c r="C1641" s="91" t="s">
        <v>1465</v>
      </c>
      <c r="D1641" s="93">
        <v>100</v>
      </c>
      <c r="E1641" s="93">
        <v>65</v>
      </c>
      <c r="F1641" s="103">
        <f>IFERROR(INDEX(Tabella951[PLZ],MATCH(Tabella848[[#This Row],[Colonna2]],Tabella951[Ortschaftsname],0)), "Name not found")</f>
        <v>6883</v>
      </c>
    </row>
    <row r="1642" spans="2:6">
      <c r="B1642" s="92" t="s">
        <v>141</v>
      </c>
      <c r="C1642" s="91" t="s">
        <v>1513</v>
      </c>
      <c r="D1642" s="93">
        <v>100</v>
      </c>
      <c r="E1642" s="93">
        <v>95</v>
      </c>
      <c r="F1642" s="103">
        <v>6661</v>
      </c>
    </row>
    <row r="1643" spans="2:6">
      <c r="B1643" s="92" t="s">
        <v>141</v>
      </c>
      <c r="C1643" s="91" t="s">
        <v>1486</v>
      </c>
      <c r="D1643" s="93">
        <v>100</v>
      </c>
      <c r="E1643" s="93">
        <v>70</v>
      </c>
      <c r="F1643" s="103">
        <f>IFERROR(INDEX(Tabella951[PLZ],MATCH(Tabella848[[#This Row],[Colonna2]],Tabella951[Ortschaftsname],0)), "Name not found")</f>
        <v>6945</v>
      </c>
    </row>
    <row r="1644" spans="2:6">
      <c r="B1644" s="92" t="s">
        <v>141</v>
      </c>
      <c r="C1644" s="91" t="s">
        <v>1511</v>
      </c>
      <c r="D1644" s="93">
        <v>100</v>
      </c>
      <c r="E1644" s="93">
        <v>82</v>
      </c>
      <c r="F1644" s="103">
        <f>IFERROR(INDEX(Tabella951[PLZ],MATCH(Tabella848[[#This Row],[Colonna2]],Tabella951[Ortschaftsname],0)), "Name not found")</f>
        <v>6644</v>
      </c>
    </row>
    <row r="1645" spans="2:6">
      <c r="B1645" s="92" t="s">
        <v>141</v>
      </c>
      <c r="C1645" s="91" t="s">
        <v>1450</v>
      </c>
      <c r="D1645" s="93">
        <v>100</v>
      </c>
      <c r="E1645" s="93">
        <v>58</v>
      </c>
      <c r="F1645" s="103">
        <f>IFERROR(INDEX(Tabella951[PLZ],MATCH(Tabella848[[#This Row],[Colonna2]],Tabella951[Ortschaftsname],0)), "Name not found")</f>
        <v>6900</v>
      </c>
    </row>
    <row r="1646" spans="2:6">
      <c r="B1646" s="92" t="s">
        <v>141</v>
      </c>
      <c r="C1646" s="91" t="s">
        <v>1528</v>
      </c>
      <c r="D1646" s="93">
        <v>100</v>
      </c>
      <c r="E1646" s="93">
        <v>90</v>
      </c>
      <c r="F1646" s="103">
        <f>IFERROR(INDEX(Tabella951[PLZ],MATCH(Tabella848[[#This Row],[Colonna2]],Tabella951[Ortschaftsname],0)), "Name not found")</f>
        <v>6744</v>
      </c>
    </row>
    <row r="1647" spans="2:6">
      <c r="B1647" s="92" t="s">
        <v>141</v>
      </c>
      <c r="C1647" s="91" t="s">
        <v>1510</v>
      </c>
      <c r="D1647" s="93">
        <v>100</v>
      </c>
      <c r="E1647" s="93">
        <v>95</v>
      </c>
      <c r="F1647" s="103">
        <f>IFERROR(INDEX(Tabella951[PLZ],MATCH(Tabella848[[#This Row],[Colonna2]],Tabella951[Ortschaftsname],0)), "Name not found")</f>
        <v>6742</v>
      </c>
    </row>
    <row r="1648" spans="2:6">
      <c r="B1648" s="92" t="s">
        <v>141</v>
      </c>
      <c r="C1648" s="91" t="s">
        <v>1473</v>
      </c>
      <c r="D1648" s="93">
        <v>100</v>
      </c>
      <c r="E1648" s="93">
        <v>85</v>
      </c>
      <c r="F1648" s="103">
        <f>IFERROR(INDEX(Tabella951[PLZ],MATCH(Tabella848[[#This Row],[Colonna2]],Tabella951[Ortschaftsname],0)), "Name not found")</f>
        <v>6946</v>
      </c>
    </row>
    <row r="1649" spans="2:6">
      <c r="B1649" s="92" t="s">
        <v>141</v>
      </c>
      <c r="C1649" s="91" t="s">
        <v>1481</v>
      </c>
      <c r="D1649" s="93">
        <v>100</v>
      </c>
      <c r="E1649" s="93">
        <v>56</v>
      </c>
      <c r="F1649" s="103">
        <f>IFERROR(INDEX(Tabella951[PLZ],MATCH(Tabella848[[#This Row],[Colonna2]],Tabella951[Ortschaftsname],0)), "Name not found")</f>
        <v>6948</v>
      </c>
    </row>
    <row r="1650" spans="2:6">
      <c r="B1650" s="92" t="s">
        <v>141</v>
      </c>
      <c r="C1650" s="91" t="s">
        <v>1524</v>
      </c>
      <c r="D1650" s="93">
        <v>100</v>
      </c>
      <c r="E1650" s="93">
        <v>90</v>
      </c>
      <c r="F1650" s="103">
        <f>IFERROR(INDEX(Tabella951[PLZ],MATCH(Tabella848[[#This Row],[Colonna2]],Tabella951[Ortschaftsname],0)), "Name not found")</f>
        <v>6773</v>
      </c>
    </row>
    <row r="1651" spans="2:6">
      <c r="B1651" s="92" t="s">
        <v>141</v>
      </c>
      <c r="C1651" s="91" t="s">
        <v>1491</v>
      </c>
      <c r="D1651" s="93">
        <v>100</v>
      </c>
      <c r="E1651" s="93">
        <v>87</v>
      </c>
      <c r="F1651" s="103">
        <f>IFERROR(INDEX(Tabella951[PLZ],MATCH(Tabella848[[#This Row],[Colonna2]],Tabella951[Ortschaftsname],0)), "Name not found")</f>
        <v>6984</v>
      </c>
    </row>
    <row r="1652" spans="2:6">
      <c r="B1652" s="92" t="s">
        <v>141</v>
      </c>
      <c r="C1652" s="91" t="s">
        <v>1498</v>
      </c>
      <c r="D1652" s="93">
        <v>100</v>
      </c>
      <c r="E1652" s="93">
        <v>90</v>
      </c>
      <c r="F1652" s="103">
        <f>IFERROR(INDEX(Tabella951[PLZ],MATCH(Tabella848[[#This Row],[Colonna2]],Tabella951[Ortschaftsname],0)), "Name not found")</f>
        <v>6777</v>
      </c>
    </row>
    <row r="1653" spans="2:6">
      <c r="B1653" s="92" t="s">
        <v>141</v>
      </c>
      <c r="C1653" s="91" t="s">
        <v>1461</v>
      </c>
      <c r="D1653" s="93">
        <v>100</v>
      </c>
      <c r="E1653" s="93">
        <v>80</v>
      </c>
      <c r="F1653" s="103">
        <f>IFERROR(INDEX(Tabella951[PLZ],MATCH(Tabella848[[#This Row],[Colonna2]],Tabella951[Ortschaftsname],0)), "Name not found")</f>
        <v>6826</v>
      </c>
    </row>
    <row r="1654" spans="2:6">
      <c r="B1654" s="92" t="s">
        <v>141</v>
      </c>
      <c r="C1654" s="91" t="s">
        <v>1449</v>
      </c>
      <c r="D1654" s="93">
        <v>100</v>
      </c>
      <c r="E1654" s="93">
        <v>95</v>
      </c>
      <c r="F1654" s="103">
        <v>6707</v>
      </c>
    </row>
    <row r="1655" spans="2:6">
      <c r="B1655" s="92" t="s">
        <v>141</v>
      </c>
      <c r="C1655" s="91" t="s">
        <v>1517</v>
      </c>
      <c r="D1655" s="93">
        <v>100</v>
      </c>
      <c r="E1655" s="93">
        <v>75</v>
      </c>
      <c r="F1655" s="103">
        <f>IFERROR(INDEX(Tabella951[PLZ],MATCH(Tabella848[[#This Row],[Colonna2]],Tabella951[Ortschaftsname],0)), "Name not found")</f>
        <v>6622</v>
      </c>
    </row>
    <row r="1656" spans="2:6">
      <c r="B1656" s="92" t="s">
        <v>141</v>
      </c>
      <c r="C1656" s="91" t="s">
        <v>1464</v>
      </c>
      <c r="D1656" s="93">
        <v>100</v>
      </c>
      <c r="E1656" s="93">
        <v>70</v>
      </c>
      <c r="F1656" s="103">
        <v>6592</v>
      </c>
    </row>
    <row r="1657" spans="2:6">
      <c r="B1657" s="92" t="s">
        <v>141</v>
      </c>
      <c r="C1657" s="91" t="s">
        <v>1466</v>
      </c>
      <c r="D1657" s="93">
        <v>100</v>
      </c>
      <c r="E1657" s="93">
        <v>75</v>
      </c>
      <c r="F1657" s="103">
        <f>IFERROR(INDEX(Tabella951[PLZ],MATCH(Tabella848[[#This Row],[Colonna2]],Tabella951[Ortschaftsname],0)), "Name not found")</f>
        <v>6942</v>
      </c>
    </row>
    <row r="1658" spans="2:6">
      <c r="B1658" s="92" t="s">
        <v>141</v>
      </c>
      <c r="C1658" s="91" t="s">
        <v>1469</v>
      </c>
      <c r="D1658" s="93">
        <v>100</v>
      </c>
      <c r="E1658" s="93">
        <v>93</v>
      </c>
      <c r="F1658" s="103">
        <v>6705</v>
      </c>
    </row>
    <row r="1659" spans="2:6">
      <c r="B1659" s="92" t="s">
        <v>141</v>
      </c>
      <c r="C1659" s="91" t="s">
        <v>1478</v>
      </c>
      <c r="D1659" s="93">
        <v>100</v>
      </c>
      <c r="E1659" s="93">
        <v>65</v>
      </c>
      <c r="F1659" s="103">
        <f>IFERROR(INDEX(Tabella951[PLZ],MATCH(Tabella848[[#This Row],[Colonna2]],Tabella951[Ortschaftsname],0)), "Name not found")</f>
        <v>6924</v>
      </c>
    </row>
    <row r="1660" spans="2:6">
      <c r="B1660" s="92" t="s">
        <v>141</v>
      </c>
      <c r="C1660" s="91" t="s">
        <v>1444</v>
      </c>
      <c r="D1660" s="93">
        <v>100</v>
      </c>
      <c r="E1660" s="93">
        <v>65</v>
      </c>
      <c r="F1660" s="103">
        <f>IFERROR(INDEX(Tabella951[PLZ],MATCH(Tabella848[[#This Row],[Colonna2]],Tabella951[Ortschaftsname],0)), "Name not found")</f>
        <v>6855</v>
      </c>
    </row>
    <row r="1661" spans="2:6">
      <c r="B1661" s="92" t="s">
        <v>141</v>
      </c>
      <c r="C1661" s="91" t="s">
        <v>1453</v>
      </c>
      <c r="D1661" s="93">
        <v>100</v>
      </c>
      <c r="E1661" s="93">
        <v>93</v>
      </c>
      <c r="F1661" s="103">
        <v>6598</v>
      </c>
    </row>
    <row r="1662" spans="2:6">
      <c r="B1662" s="92" t="s">
        <v>141</v>
      </c>
      <c r="C1662" s="91" t="s">
        <v>1462</v>
      </c>
      <c r="D1662" s="93">
        <v>100</v>
      </c>
      <c r="E1662" s="93">
        <v>85</v>
      </c>
      <c r="F1662" s="103">
        <v>6552</v>
      </c>
    </row>
    <row r="1663" spans="2:6">
      <c r="B1663" s="92" t="s">
        <v>141</v>
      </c>
      <c r="C1663" s="91" t="s">
        <v>1454</v>
      </c>
      <c r="D1663" s="93">
        <v>100</v>
      </c>
      <c r="E1663" s="93">
        <v>85</v>
      </c>
      <c r="F1663" s="103">
        <v>6807</v>
      </c>
    </row>
    <row r="1664" spans="2:6">
      <c r="B1664" s="92" t="s">
        <v>141</v>
      </c>
      <c r="C1664" s="91" t="s">
        <v>2681</v>
      </c>
      <c r="D1664" s="93">
        <v>100</v>
      </c>
      <c r="E1664" s="93">
        <v>85</v>
      </c>
      <c r="F1664" s="103">
        <v>6988</v>
      </c>
    </row>
    <row r="1665" spans="2:6">
      <c r="B1665" s="92" t="s">
        <v>141</v>
      </c>
      <c r="C1665" s="91" t="s">
        <v>1451</v>
      </c>
      <c r="D1665" s="93">
        <v>100</v>
      </c>
      <c r="E1665" s="93">
        <v>84</v>
      </c>
      <c r="F1665" s="103">
        <f>IFERROR(INDEX(Tabella951[PLZ],MATCH(Tabella848[[#This Row],[Colonna2]],Tabella951[Ortschaftsname],0)), "Name not found")</f>
        <v>6833</v>
      </c>
    </row>
    <row r="1666" spans="2:6">
      <c r="B1666" s="92" t="s">
        <v>141</v>
      </c>
      <c r="C1666" s="91" t="s">
        <v>2682</v>
      </c>
      <c r="D1666" s="93">
        <v>100</v>
      </c>
      <c r="E1666" s="93">
        <v>80</v>
      </c>
      <c r="F1666" s="103">
        <v>6818</v>
      </c>
    </row>
    <row r="1667" spans="2:6">
      <c r="B1667" s="92" t="s">
        <v>141</v>
      </c>
      <c r="C1667" s="91" t="s">
        <v>1518</v>
      </c>
      <c r="D1667" s="93">
        <v>100</v>
      </c>
      <c r="E1667" s="93">
        <v>80</v>
      </c>
      <c r="F1667" s="103">
        <f>IFERROR(INDEX(Tabella951[PLZ],MATCH(Tabella848[[#This Row],[Colonna2]],Tabella951[Ortschaftsname],0)), "Name not found")</f>
        <v>6992</v>
      </c>
    </row>
    <row r="1668" spans="2:6">
      <c r="B1668" s="92" t="s">
        <v>141</v>
      </c>
      <c r="C1668" s="91" t="s">
        <v>2683</v>
      </c>
      <c r="D1668" s="93">
        <v>100</v>
      </c>
      <c r="E1668" s="93">
        <v>100</v>
      </c>
      <c r="F1668" s="103">
        <v>6634</v>
      </c>
    </row>
    <row r="1669" spans="2:6">
      <c r="B1669" s="92" t="s">
        <v>141</v>
      </c>
      <c r="C1669" s="91" t="s">
        <v>2683</v>
      </c>
      <c r="D1669" s="93">
        <v>100</v>
      </c>
      <c r="E1669" s="93">
        <v>100</v>
      </c>
      <c r="F1669" s="103">
        <v>6635</v>
      </c>
    </row>
    <row r="1670" spans="2:6">
      <c r="B1670" s="92" t="s">
        <v>141</v>
      </c>
      <c r="C1670" s="91" t="s">
        <v>1472</v>
      </c>
      <c r="D1670" s="93">
        <v>100</v>
      </c>
      <c r="E1670" s="93">
        <v>85</v>
      </c>
      <c r="F1670" s="103">
        <f>IFERROR(INDEX(Tabella951[PLZ],MATCH(Tabella848[[#This Row],[Colonna2]],Tabella951[Ortschaftsname],0)), "Name not found")</f>
        <v>6943</v>
      </c>
    </row>
    <row r="1671" spans="2:6">
      <c r="B1671" s="92" t="s">
        <v>141</v>
      </c>
      <c r="C1671" s="91" t="s">
        <v>1525</v>
      </c>
      <c r="D1671" s="93">
        <v>100</v>
      </c>
      <c r="E1671" s="93">
        <v>65</v>
      </c>
      <c r="F1671" s="103">
        <f>IFERROR(INDEX(Tabella951[PLZ],MATCH(Tabella848[[#This Row],[Colonna2]],Tabella951[Ortschaftsname],0)), "Name not found")</f>
        <v>6921</v>
      </c>
    </row>
    <row r="1672" spans="2:6">
      <c r="B1672" s="92" t="s">
        <v>139</v>
      </c>
      <c r="C1672" s="91" t="s">
        <v>375</v>
      </c>
      <c r="D1672" s="93">
        <v>155</v>
      </c>
      <c r="E1672" s="93">
        <v>60</v>
      </c>
      <c r="F1672" s="103">
        <f>IFERROR(INDEX(Tabella951[PLZ],MATCH(Tabella848[[#This Row],[Colonna2]],Tabella951[Ortschaftsname],0)), "Name not found")</f>
        <v>1123</v>
      </c>
    </row>
    <row r="1673" spans="2:6">
      <c r="B1673" s="92" t="s">
        <v>139</v>
      </c>
      <c r="C1673" s="91" t="s">
        <v>441</v>
      </c>
      <c r="D1673" s="93">
        <v>155</v>
      </c>
      <c r="E1673" s="93">
        <v>76</v>
      </c>
      <c r="F1673" s="103">
        <f>IFERROR(INDEX(Tabella951[PLZ],MATCH(Tabella848[[#This Row],[Colonna2]],Tabella951[Ortschaftsname],0)), "Name not found")</f>
        <v>1352</v>
      </c>
    </row>
    <row r="1674" spans="2:6">
      <c r="B1674" s="92" t="s">
        <v>139</v>
      </c>
      <c r="C1674" s="91" t="s">
        <v>197</v>
      </c>
      <c r="D1674" s="93">
        <v>155</v>
      </c>
      <c r="E1674" s="93">
        <v>66</v>
      </c>
      <c r="F1674" s="103">
        <f>IFERROR(INDEX(Tabella951[PLZ],MATCH(Tabella848[[#This Row],[Colonna2]],Tabella951[Ortschaftsname],0)), "Name not found")</f>
        <v>1860</v>
      </c>
    </row>
    <row r="1675" spans="2:6">
      <c r="B1675" s="92" t="s">
        <v>139</v>
      </c>
      <c r="C1675" s="91" t="s">
        <v>404</v>
      </c>
      <c r="D1675" s="93">
        <v>155</v>
      </c>
      <c r="E1675" s="93">
        <v>65</v>
      </c>
      <c r="F1675" s="103">
        <f>IFERROR(INDEX(Tabella951[PLZ],MATCH(Tabella848[[#This Row],[Colonna2]],Tabella951[Ortschaftsname],0)), "Name not found")</f>
        <v>1165</v>
      </c>
    </row>
    <row r="1676" spans="2:6">
      <c r="B1676" s="92" t="s">
        <v>139</v>
      </c>
      <c r="C1676" s="91" t="s">
        <v>462</v>
      </c>
      <c r="D1676" s="93">
        <v>155</v>
      </c>
      <c r="E1676" s="93">
        <v>68</v>
      </c>
      <c r="F1676" s="103">
        <f>IFERROR(INDEX(Tabella951[PLZ],MATCH(Tabella848[[#This Row],[Colonna2]],Tabella951[Ortschaftsname],0)), "Name not found")</f>
        <v>1277</v>
      </c>
    </row>
    <row r="1677" spans="2:6">
      <c r="B1677" s="92" t="s">
        <v>139</v>
      </c>
      <c r="C1677" s="91" t="s">
        <v>360</v>
      </c>
      <c r="D1677" s="93">
        <v>155</v>
      </c>
      <c r="E1677" s="93">
        <v>71</v>
      </c>
      <c r="F1677" s="103">
        <f>IFERROR(INDEX(Tabella951[PLZ],MATCH(Tabella848[[#This Row],[Colonna2]],Tabella951[Ortschaftsname],0)), "Name not found")</f>
        <v>1321</v>
      </c>
    </row>
    <row r="1678" spans="2:6">
      <c r="B1678" s="92" t="s">
        <v>139</v>
      </c>
      <c r="C1678" s="91" t="s">
        <v>251</v>
      </c>
      <c r="D1678" s="93">
        <v>155</v>
      </c>
      <c r="E1678" s="93">
        <v>64</v>
      </c>
      <c r="F1678" s="103">
        <f>IFERROR(INDEX(Tabella951[PLZ],MATCH(Tabella848[[#This Row],[Colonna2]],Tabella951[Ortschaftsname],0)), "Name not found")</f>
        <v>1273</v>
      </c>
    </row>
    <row r="1679" spans="2:6">
      <c r="B1679" s="92" t="s">
        <v>139</v>
      </c>
      <c r="C1679" s="91" t="s">
        <v>308</v>
      </c>
      <c r="D1679" s="93">
        <v>155</v>
      </c>
      <c r="E1679" s="93">
        <v>70</v>
      </c>
      <c r="F1679" s="103">
        <f>IFERROR(INDEX(Tabella951[PLZ],MATCH(Tabella848[[#This Row],[Colonna2]],Tabella951[Ortschaftsname],0)), "Name not found")</f>
        <v>1042</v>
      </c>
    </row>
    <row r="1680" spans="2:6">
      <c r="B1680" s="92" t="s">
        <v>139</v>
      </c>
      <c r="C1680" s="91" t="s">
        <v>238</v>
      </c>
      <c r="D1680" s="93">
        <v>155</v>
      </c>
      <c r="E1680" s="93">
        <v>68</v>
      </c>
      <c r="F1680" s="103">
        <f>IFERROR(INDEX(Tabella951[PLZ],MATCH(Tabella848[[#This Row],[Colonna2]],Tabella951[Ortschaftsname],0)), "Name not found")</f>
        <v>1170</v>
      </c>
    </row>
    <row r="1681" spans="2:6">
      <c r="B1681" s="92" t="s">
        <v>139</v>
      </c>
      <c r="C1681" s="91" t="s">
        <v>223</v>
      </c>
      <c r="D1681" s="93">
        <v>155</v>
      </c>
      <c r="E1681" s="93">
        <v>65</v>
      </c>
      <c r="F1681" s="103">
        <f>IFERROR(INDEX(Tabella951[PLZ],MATCH(Tabella848[[#This Row],[Colonna2]],Tabella951[Ortschaftsname],0)), "Name not found")</f>
        <v>1580</v>
      </c>
    </row>
    <row r="1682" spans="2:6">
      <c r="B1682" s="92" t="s">
        <v>139</v>
      </c>
      <c r="C1682" s="91" t="s">
        <v>305</v>
      </c>
      <c r="D1682" s="93">
        <v>155</v>
      </c>
      <c r="E1682" s="93">
        <v>65</v>
      </c>
      <c r="F1682" s="103">
        <f>IFERROR(INDEX(Tabella951[PLZ],MATCH(Tabella848[[#This Row],[Colonna2]],Tabella951[Ortschaftsname],0)), "Name not found")</f>
        <v>1338</v>
      </c>
    </row>
    <row r="1683" spans="2:6">
      <c r="B1683" s="92" t="s">
        <v>139</v>
      </c>
      <c r="C1683" s="91" t="s">
        <v>380</v>
      </c>
      <c r="D1683" s="93">
        <v>155</v>
      </c>
      <c r="E1683" s="93">
        <v>73</v>
      </c>
      <c r="F1683" s="103">
        <f>IFERROR(INDEX(Tabella951[PLZ],MATCH(Tabella848[[#This Row],[Colonna2]],Tabella951[Ortschaftsname],0)), "Name not found")</f>
        <v>1144</v>
      </c>
    </row>
    <row r="1684" spans="2:6">
      <c r="B1684" s="92" t="s">
        <v>139</v>
      </c>
      <c r="C1684" s="91" t="s">
        <v>287</v>
      </c>
      <c r="D1684" s="93">
        <v>155</v>
      </c>
      <c r="E1684" s="93">
        <v>72.5</v>
      </c>
      <c r="F1684" s="103">
        <f>IFERROR(INDEX(Tabella951[PLZ],MATCH(Tabella848[[#This Row],[Colonna2]],Tabella951[Ortschaftsname],0)), "Name not found")</f>
        <v>1269</v>
      </c>
    </row>
    <row r="1685" spans="2:6">
      <c r="B1685" s="92" t="s">
        <v>139</v>
      </c>
      <c r="C1685" s="91" t="s">
        <v>309</v>
      </c>
      <c r="D1685" s="93">
        <v>155</v>
      </c>
      <c r="E1685" s="93">
        <v>76.5</v>
      </c>
      <c r="F1685" s="103">
        <f>IFERROR(INDEX(Tabella951[PLZ],MATCH(Tabella848[[#This Row],[Colonna2]],Tabella951[Ortschaftsname],0)), "Name not found")</f>
        <v>1446</v>
      </c>
    </row>
    <row r="1686" spans="2:6">
      <c r="B1686" s="92" t="s">
        <v>139</v>
      </c>
      <c r="C1686" s="91" t="s">
        <v>327</v>
      </c>
      <c r="D1686" s="93">
        <v>155</v>
      </c>
      <c r="E1686" s="93">
        <v>72</v>
      </c>
      <c r="F1686" s="103">
        <f>IFERROR(INDEX(Tabella951[PLZ],MATCH(Tabella848[[#This Row],[Colonna2]],Tabella951[Ortschaftsname],0)), "Name not found")</f>
        <v>1372</v>
      </c>
    </row>
    <row r="1687" spans="2:6">
      <c r="B1687" s="92" t="s">
        <v>139</v>
      </c>
      <c r="C1687" s="91" t="s">
        <v>265</v>
      </c>
      <c r="D1687" s="93">
        <v>155</v>
      </c>
      <c r="E1687" s="93">
        <v>62.5</v>
      </c>
      <c r="F1687" s="103">
        <f>IFERROR(INDEX(Tabella951[PLZ],MATCH(Tabella848[[#This Row],[Colonna2]],Tabella951[Ortschaftsname],0)), "Name not found")</f>
        <v>1268</v>
      </c>
    </row>
    <row r="1688" spans="2:6">
      <c r="B1688" s="92" t="s">
        <v>139</v>
      </c>
      <c r="C1688" s="91" t="s">
        <v>230</v>
      </c>
      <c r="D1688" s="93">
        <v>155</v>
      </c>
      <c r="E1688" s="93">
        <v>72</v>
      </c>
      <c r="F1688" s="103">
        <f>IFERROR(INDEX(Tabella951[PLZ],MATCH(Tabella848[[#This Row],[Colonna2]],Tabella951[Ortschaftsname],0)), "Name not found")</f>
        <v>1092</v>
      </c>
    </row>
    <row r="1689" spans="2:6">
      <c r="B1689" s="92" t="s">
        <v>139</v>
      </c>
      <c r="C1689" s="91" t="s">
        <v>424</v>
      </c>
      <c r="D1689" s="93">
        <v>155</v>
      </c>
      <c r="E1689" s="93">
        <v>70</v>
      </c>
      <c r="F1689" s="103">
        <f>IFERROR(INDEX(Tabella951[PLZ],MATCH(Tabella848[[#This Row],[Colonna2]],Tabella951[Ortschaftsname],0)), "Name not found")</f>
        <v>1432</v>
      </c>
    </row>
    <row r="1690" spans="2:6">
      <c r="B1690" s="92" t="s">
        <v>139</v>
      </c>
      <c r="C1690" s="91" t="s">
        <v>294</v>
      </c>
      <c r="D1690" s="93">
        <v>155</v>
      </c>
      <c r="E1690" s="93">
        <v>79</v>
      </c>
      <c r="F1690" s="103">
        <f>IFERROR(INDEX(Tabella951[PLZ],MATCH(Tabella848[[#This Row],[Colonna2]],Tabella951[Ortschaftsname],0)), "Name not found")</f>
        <v>1038</v>
      </c>
    </row>
    <row r="1691" spans="2:6">
      <c r="B1691" s="92" t="s">
        <v>139</v>
      </c>
      <c r="C1691" s="91" t="s">
        <v>445</v>
      </c>
      <c r="D1691" s="93">
        <v>155</v>
      </c>
      <c r="E1691" s="93">
        <v>75.5</v>
      </c>
      <c r="F1691" s="103">
        <f>IFERROR(INDEX(Tabella951[PLZ],MATCH(Tabella848[[#This Row],[Colonna2]],Tabella951[Ortschaftsname],0)), "Name not found")</f>
        <v>1149</v>
      </c>
    </row>
    <row r="1692" spans="2:6">
      <c r="B1692" s="92" t="s">
        <v>139</v>
      </c>
      <c r="C1692" s="91" t="s">
        <v>371</v>
      </c>
      <c r="D1692" s="93">
        <v>155</v>
      </c>
      <c r="E1692" s="93">
        <v>70</v>
      </c>
      <c r="F1692" s="103">
        <f>IFERROR(INDEX(Tabella951[PLZ],MATCH(Tabella848[[#This Row],[Colonna2]],Tabella951[Ortschaftsname],0)), "Name not found")</f>
        <v>1042</v>
      </c>
    </row>
    <row r="1693" spans="2:6">
      <c r="B1693" s="92" t="s">
        <v>139</v>
      </c>
      <c r="C1693" s="91" t="s">
        <v>204</v>
      </c>
      <c r="D1693" s="93">
        <v>155</v>
      </c>
      <c r="E1693" s="93">
        <v>71</v>
      </c>
      <c r="F1693" s="103">
        <f>IFERROR(INDEX(Tabella951[PLZ],MATCH(Tabella848[[#This Row],[Colonna2]],Tabella951[Ortschaftsname],0)), "Name not found")</f>
        <v>1880</v>
      </c>
    </row>
    <row r="1694" spans="2:6">
      <c r="B1694" s="92" t="s">
        <v>139</v>
      </c>
      <c r="C1694" s="91" t="s">
        <v>461</v>
      </c>
      <c r="D1694" s="93">
        <v>155</v>
      </c>
      <c r="E1694" s="93">
        <v>72</v>
      </c>
      <c r="F1694" s="103">
        <f>IFERROR(INDEX(Tabella951[PLZ],MATCH(Tabella848[[#This Row],[Colonna2]],Tabella951[Ortschaftsname],0)), "Name not found")</f>
        <v>1407</v>
      </c>
    </row>
    <row r="1695" spans="2:6">
      <c r="B1695" s="92" t="s">
        <v>139</v>
      </c>
      <c r="C1695" s="91" t="s">
        <v>275</v>
      </c>
      <c r="D1695" s="93">
        <v>155</v>
      </c>
      <c r="E1695" s="93">
        <v>69</v>
      </c>
      <c r="F1695" s="103">
        <f>IFERROR(INDEX(Tabella951[PLZ],MATCH(Tabella848[[#This Row],[Colonna2]],Tabella951[Ortschaftsname],0)), "Name not found")</f>
        <v>1145</v>
      </c>
    </row>
    <row r="1696" spans="2:6">
      <c r="B1696" s="92" t="s">
        <v>139</v>
      </c>
      <c r="C1696" s="91" t="s">
        <v>2684</v>
      </c>
      <c r="D1696" s="93">
        <v>155</v>
      </c>
      <c r="E1696" s="93">
        <v>68.5</v>
      </c>
      <c r="F1696" s="103">
        <v>1807</v>
      </c>
    </row>
    <row r="1697" spans="2:6">
      <c r="B1697" s="92" t="s">
        <v>139</v>
      </c>
      <c r="C1697" s="91" t="s">
        <v>472</v>
      </c>
      <c r="D1697" s="93">
        <v>155</v>
      </c>
      <c r="E1697" s="93">
        <v>69</v>
      </c>
      <c r="F1697" s="103">
        <f>IFERROR(INDEX(Tabella951[PLZ],MATCH(Tabella848[[#This Row],[Colonna2]],Tabella951[Ortschaftsname],0)), "Name not found")</f>
        <v>1353</v>
      </c>
    </row>
    <row r="1698" spans="2:6">
      <c r="B1698" s="92" t="s">
        <v>139</v>
      </c>
      <c r="C1698" s="91" t="s">
        <v>330</v>
      </c>
      <c r="D1698" s="93">
        <v>155</v>
      </c>
      <c r="E1698" s="93">
        <v>71</v>
      </c>
      <c r="F1698" s="103">
        <f>IFERROR(INDEX(Tabella951[PLZ],MATCH(Tabella848[[#This Row],[Colonna2]],Tabella951[Ortschaftsname],0)), "Name not found")</f>
        <v>1279</v>
      </c>
    </row>
    <row r="1699" spans="2:6">
      <c r="B1699" s="92" t="s">
        <v>139</v>
      </c>
      <c r="C1699" s="91" t="s">
        <v>384</v>
      </c>
      <c r="D1699" s="93">
        <v>155</v>
      </c>
      <c r="E1699" s="93">
        <v>57</v>
      </c>
      <c r="F1699" s="103">
        <f>IFERROR(INDEX(Tabella951[PLZ],MATCH(Tabella848[[#This Row],[Colonna2]],Tabella951[Ortschaftsname],0)), "Name not found")</f>
        <v>1427</v>
      </c>
    </row>
    <row r="1700" spans="2:6">
      <c r="B1700" s="92" t="s">
        <v>139</v>
      </c>
      <c r="C1700" s="91" t="s">
        <v>299</v>
      </c>
      <c r="D1700" s="93">
        <v>155</v>
      </c>
      <c r="E1700" s="93">
        <v>57</v>
      </c>
      <c r="F1700" s="103">
        <f>IFERROR(INDEX(Tabella951[PLZ],MATCH(Tabella848[[#This Row],[Colonna2]],Tabella951[Ortschaftsname],0)), "Name not found")</f>
        <v>1277</v>
      </c>
    </row>
    <row r="1701" spans="2:6">
      <c r="B1701" s="92" t="s">
        <v>139</v>
      </c>
      <c r="C1701" s="91" t="s">
        <v>292</v>
      </c>
      <c r="D1701" s="93">
        <v>155</v>
      </c>
      <c r="E1701" s="93">
        <v>72.5</v>
      </c>
      <c r="F1701" s="103">
        <f>IFERROR(INDEX(Tabella951[PLZ],MATCH(Tabella848[[#This Row],[Colonna2]],Tabella951[Ortschaftsname],0)), "Name not found")</f>
        <v>1041</v>
      </c>
    </row>
    <row r="1702" spans="2:6">
      <c r="B1702" s="92" t="s">
        <v>139</v>
      </c>
      <c r="C1702" s="91" t="s">
        <v>391</v>
      </c>
      <c r="D1702" s="93">
        <v>155</v>
      </c>
      <c r="E1702" s="93">
        <v>64.5</v>
      </c>
      <c r="F1702" s="103">
        <f>IFERROR(INDEX(Tabella951[PLZ],MATCH(Tabella848[[#This Row],[Colonna2]],Tabella951[Ortschaftsname],0)), "Name not found")</f>
        <v>1172</v>
      </c>
    </row>
    <row r="1703" spans="2:6">
      <c r="B1703" s="92" t="s">
        <v>139</v>
      </c>
      <c r="C1703" s="91" t="s">
        <v>425</v>
      </c>
      <c r="D1703" s="93">
        <v>155</v>
      </c>
      <c r="E1703" s="93">
        <v>71.5</v>
      </c>
      <c r="F1703" s="103">
        <f>IFERROR(INDEX(Tabella951[PLZ],MATCH(Tabella848[[#This Row],[Colonna2]],Tabella951[Ortschaftsname],0)), "Name not found")</f>
        <v>1063</v>
      </c>
    </row>
    <row r="1704" spans="2:6">
      <c r="B1704" s="92" t="s">
        <v>139</v>
      </c>
      <c r="C1704" s="91" t="s">
        <v>216</v>
      </c>
      <c r="D1704" s="93">
        <v>155</v>
      </c>
      <c r="E1704" s="93">
        <v>62.5</v>
      </c>
      <c r="F1704" s="103">
        <v>1096</v>
      </c>
    </row>
    <row r="1705" spans="2:6">
      <c r="B1705" s="92" t="s">
        <v>139</v>
      </c>
      <c r="C1705" s="91" t="s">
        <v>412</v>
      </c>
      <c r="D1705" s="93">
        <v>155</v>
      </c>
      <c r="E1705" s="93">
        <v>65</v>
      </c>
      <c r="F1705" s="103">
        <f>IFERROR(INDEX(Tabella951[PLZ],MATCH(Tabella848[[#This Row],[Colonna2]],Tabella951[Ortschaftsname],0)), "Name not found")</f>
        <v>1035</v>
      </c>
    </row>
    <row r="1706" spans="2:6">
      <c r="B1706" s="92" t="s">
        <v>139</v>
      </c>
      <c r="C1706" s="91" t="s">
        <v>322</v>
      </c>
      <c r="D1706" s="93">
        <v>155</v>
      </c>
      <c r="E1706" s="93">
        <v>64</v>
      </c>
      <c r="F1706" s="103">
        <f>IFERROR(INDEX(Tabella951[PLZ],MATCH(Tabella848[[#This Row],[Colonna2]],Tabella951[Ortschaftsname],0)), "Name not found")</f>
        <v>1034</v>
      </c>
    </row>
    <row r="1707" spans="2:6">
      <c r="B1707" s="92" t="s">
        <v>139</v>
      </c>
      <c r="C1707" s="91" t="s">
        <v>374</v>
      </c>
      <c r="D1707" s="93">
        <v>155</v>
      </c>
      <c r="E1707" s="93">
        <v>68</v>
      </c>
      <c r="F1707" s="103">
        <f>IFERROR(INDEX(Tabella951[PLZ],MATCH(Tabella848[[#This Row],[Colonna2]],Tabella951[Ortschaftsname],0)), "Name not found")</f>
        <v>1121</v>
      </c>
    </row>
    <row r="1708" spans="2:6">
      <c r="B1708" s="92" t="s">
        <v>139</v>
      </c>
      <c r="C1708" s="91" t="s">
        <v>342</v>
      </c>
      <c r="D1708" s="93">
        <v>155</v>
      </c>
      <c r="E1708" s="93">
        <v>78</v>
      </c>
      <c r="F1708" s="103">
        <f>IFERROR(INDEX(Tabella951[PLZ],MATCH(Tabella848[[#This Row],[Colonna2]],Tabella951[Ortschaftsname],0)), "Name not found")</f>
        <v>1053</v>
      </c>
    </row>
    <row r="1709" spans="2:6">
      <c r="B1709" s="92" t="s">
        <v>139</v>
      </c>
      <c r="C1709" s="91" t="s">
        <v>450</v>
      </c>
      <c r="D1709" s="93">
        <v>155</v>
      </c>
      <c r="E1709" s="93">
        <v>70.5</v>
      </c>
      <c r="F1709" s="103">
        <f>IFERROR(INDEX(Tabella951[PLZ],MATCH(Tabella848[[#This Row],[Colonna2]],Tabella951[Ortschaftsname],0)), "Name not found")</f>
        <v>1329</v>
      </c>
    </row>
    <row r="1710" spans="2:6">
      <c r="B1710" s="92" t="s">
        <v>139</v>
      </c>
      <c r="C1710" s="91" t="s">
        <v>361</v>
      </c>
      <c r="D1710" s="93">
        <v>155</v>
      </c>
      <c r="E1710" s="93">
        <v>52</v>
      </c>
      <c r="F1710" s="103">
        <f>IFERROR(INDEX(Tabella951[PLZ],MATCH(Tabella848[[#This Row],[Colonna2]],Tabella951[Ortschaftsname],0)), "Name not found")</f>
        <v>1164</v>
      </c>
    </row>
    <row r="1711" spans="2:6">
      <c r="B1711" s="92" t="s">
        <v>139</v>
      </c>
      <c r="C1711" s="91" t="s">
        <v>359</v>
      </c>
      <c r="D1711" s="93">
        <v>155</v>
      </c>
      <c r="E1711" s="93">
        <v>72</v>
      </c>
      <c r="F1711" s="103">
        <f>IFERROR(INDEX(Tabella951[PLZ],MATCH(Tabella848[[#This Row],[Colonna2]],Tabella951[Ortschaftsname],0)), "Name not found")</f>
        <v>1453</v>
      </c>
    </row>
    <row r="1712" spans="2:6">
      <c r="B1712" s="92" t="s">
        <v>139</v>
      </c>
      <c r="C1712" s="91" t="s">
        <v>386</v>
      </c>
      <c r="D1712" s="93">
        <v>155</v>
      </c>
      <c r="E1712" s="93">
        <v>62</v>
      </c>
      <c r="F1712" s="103">
        <f>IFERROR(INDEX(Tabella951[PLZ],MATCH(Tabella848[[#This Row],[Colonna2]],Tabella951[Ortschaftsname],0)), "Name not found")</f>
        <v>1195</v>
      </c>
    </row>
    <row r="1713" spans="2:6">
      <c r="B1713" s="92" t="s">
        <v>139</v>
      </c>
      <c r="C1713" s="91" t="s">
        <v>348</v>
      </c>
      <c r="D1713" s="93">
        <v>155</v>
      </c>
      <c r="E1713" s="93">
        <v>71</v>
      </c>
      <c r="F1713" s="103">
        <f>IFERROR(INDEX(Tabella951[PLZ],MATCH(Tabella848[[#This Row],[Colonna2]],Tabella951[Ortschaftsname],0)), "Name not found")</f>
        <v>1183</v>
      </c>
    </row>
    <row r="1714" spans="2:6">
      <c r="B1714" s="92" t="s">
        <v>139</v>
      </c>
      <c r="C1714" s="91" t="s">
        <v>432</v>
      </c>
      <c r="D1714" s="93">
        <v>155</v>
      </c>
      <c r="E1714" s="93">
        <v>75</v>
      </c>
      <c r="F1714" s="103">
        <f>IFERROR(INDEX(Tabella951[PLZ],MATCH(Tabella848[[#This Row],[Colonna2]],Tabella951[Ortschaftsname],0)), "Name not found")</f>
        <v>1268</v>
      </c>
    </row>
    <row r="1715" spans="2:6">
      <c r="B1715" s="92" t="s">
        <v>139</v>
      </c>
      <c r="C1715" s="91" t="s">
        <v>201</v>
      </c>
      <c r="D1715" s="93">
        <v>155</v>
      </c>
      <c r="E1715" s="93">
        <v>62.5</v>
      </c>
      <c r="F1715" s="103">
        <f>IFERROR(INDEX(Tabella951[PLZ],MATCH(Tabella848[[#This Row],[Colonna2]],Tabella951[Ortschaftsname],0)), "Name not found")</f>
        <v>1030</v>
      </c>
    </row>
    <row r="1716" spans="2:6">
      <c r="B1716" s="92" t="s">
        <v>139</v>
      </c>
      <c r="C1716" s="91" t="s">
        <v>467</v>
      </c>
      <c r="D1716" s="93">
        <v>155</v>
      </c>
      <c r="E1716" s="93">
        <v>78.5</v>
      </c>
      <c r="F1716" s="103">
        <f>IFERROR(INDEX(Tabella951[PLZ],MATCH(Tabella848[[#This Row],[Colonna2]],Tabella951[Ortschaftsname],0)), "Name not found")</f>
        <v>1514</v>
      </c>
    </row>
    <row r="1717" spans="2:6">
      <c r="B1717" s="92" t="s">
        <v>139</v>
      </c>
      <c r="C1717" s="91" t="s">
        <v>378</v>
      </c>
      <c r="D1717" s="93">
        <v>155</v>
      </c>
      <c r="E1717" s="93">
        <v>66</v>
      </c>
      <c r="F1717" s="103">
        <f>IFERROR(INDEX(Tabella951[PLZ],MATCH(Tabella848[[#This Row],[Colonna2]],Tabella951[Ortschaftsname],0)), "Name not found")</f>
        <v>1436</v>
      </c>
    </row>
    <row r="1718" spans="2:6">
      <c r="B1718" s="92" t="s">
        <v>139</v>
      </c>
      <c r="C1718" s="91" t="s">
        <v>313</v>
      </c>
      <c r="D1718" s="93">
        <v>155</v>
      </c>
      <c r="E1718" s="93">
        <v>65</v>
      </c>
      <c r="F1718" s="103">
        <f>IFERROR(INDEX(Tabella951[PLZ],MATCH(Tabella848[[#This Row],[Colonna2]],Tabella951[Ortschaftsname],0)), "Name not found")</f>
        <v>1424</v>
      </c>
    </row>
    <row r="1719" spans="2:6">
      <c r="B1719" s="92" t="s">
        <v>139</v>
      </c>
      <c r="C1719" s="91" t="s">
        <v>486</v>
      </c>
      <c r="D1719" s="93">
        <v>155</v>
      </c>
      <c r="E1719" s="93">
        <v>77</v>
      </c>
      <c r="F1719" s="103">
        <f>IFERROR(INDEX(Tabella951[PLZ],MATCH(Tabella848[[#This Row],[Colonna2]],Tabella951[Ortschaftsname],0)), "Name not found")</f>
        <v>1537</v>
      </c>
    </row>
    <row r="1720" spans="2:6">
      <c r="B1720" s="92" t="s">
        <v>139</v>
      </c>
      <c r="C1720" s="91" t="s">
        <v>356</v>
      </c>
      <c r="D1720" s="93">
        <v>155</v>
      </c>
      <c r="E1720" s="93">
        <v>70</v>
      </c>
      <c r="F1720" s="103">
        <f>IFERROR(INDEX(Tabella951[PLZ],MATCH(Tabella848[[#This Row],[Colonna2]],Tabella951[Ortschaftsname],0)), "Name not found")</f>
        <v>1443</v>
      </c>
    </row>
    <row r="1721" spans="2:6">
      <c r="B1721" s="92" t="s">
        <v>139</v>
      </c>
      <c r="C1721" s="91" t="s">
        <v>243</v>
      </c>
      <c r="D1721" s="93">
        <v>155</v>
      </c>
      <c r="E1721" s="93">
        <v>68</v>
      </c>
      <c r="F1721" s="103">
        <f>IFERROR(INDEX(Tabella951[PLZ],MATCH(Tabella848[[#This Row],[Colonna2]],Tabella951[Ortschaftsname],0)), "Name not found")</f>
        <v>1803</v>
      </c>
    </row>
    <row r="1722" spans="2:6">
      <c r="B1722" s="92" t="s">
        <v>139</v>
      </c>
      <c r="C1722" s="91" t="s">
        <v>289</v>
      </c>
      <c r="D1722" s="93">
        <v>155</v>
      </c>
      <c r="E1722" s="93">
        <v>58</v>
      </c>
      <c r="F1722" s="103">
        <f>IFERROR(INDEX(Tabella951[PLZ],MATCH(Tabella848[[#This Row],[Colonna2]],Tabella951[Ortschaftsname],0)), "Name not found")</f>
        <v>1279</v>
      </c>
    </row>
    <row r="1723" spans="2:6">
      <c r="B1723" s="92" t="s">
        <v>139</v>
      </c>
      <c r="C1723" s="91" t="s">
        <v>325</v>
      </c>
      <c r="D1723" s="93">
        <v>155</v>
      </c>
      <c r="E1723" s="93">
        <v>68</v>
      </c>
      <c r="F1723" s="103">
        <f>IFERROR(INDEX(Tabella951[PLZ],MATCH(Tabella848[[#This Row],[Colonna2]],Tabella951[Ortschaftsname],0)), "Name not found")</f>
        <v>1290</v>
      </c>
    </row>
    <row r="1724" spans="2:6">
      <c r="B1724" s="92" t="s">
        <v>139</v>
      </c>
      <c r="C1724" s="91" t="s">
        <v>447</v>
      </c>
      <c r="D1724" s="93">
        <v>155</v>
      </c>
      <c r="E1724" s="93">
        <v>75</v>
      </c>
      <c r="F1724" s="103">
        <f>IFERROR(INDEX(Tabella951[PLZ],MATCH(Tabella848[[#This Row],[Colonna2]],Tabella951[Ortschaftsname],0)), "Name not found")</f>
        <v>1464</v>
      </c>
    </row>
    <row r="1725" spans="2:6">
      <c r="B1725" s="92" t="s">
        <v>139</v>
      </c>
      <c r="C1725" s="91" t="s">
        <v>482</v>
      </c>
      <c r="D1725" s="93">
        <v>155</v>
      </c>
      <c r="E1725" s="93">
        <v>75</v>
      </c>
      <c r="F1725" s="103">
        <f>IFERROR(INDEX(Tabella951[PLZ],MATCH(Tabella848[[#This Row],[Colonna2]],Tabella951[Ortschaftsname],0)), "Name not found")</f>
        <v>1148</v>
      </c>
    </row>
    <row r="1726" spans="2:6">
      <c r="B1726" s="92" t="s">
        <v>139</v>
      </c>
      <c r="C1726" s="91" t="s">
        <v>205</v>
      </c>
      <c r="D1726" s="93">
        <v>155</v>
      </c>
      <c r="E1726" s="93">
        <v>77.5</v>
      </c>
      <c r="F1726" s="103">
        <f>IFERROR(INDEX(Tabella951[PLZ],MATCH(Tabella848[[#This Row],[Colonna2]],Tabella951[Ortschaftsname],0)), "Name not found")</f>
        <v>1022</v>
      </c>
    </row>
    <row r="1727" spans="2:6">
      <c r="B1727" s="92" t="s">
        <v>139</v>
      </c>
      <c r="C1727" s="91" t="s">
        <v>463</v>
      </c>
      <c r="D1727" s="93">
        <v>155</v>
      </c>
      <c r="E1727" s="93">
        <v>70</v>
      </c>
      <c r="F1727" s="103">
        <f>IFERROR(INDEX(Tabella951[PLZ],MATCH(Tabella848[[#This Row],[Colonna2]],Tabella951[Ortschaftsname],0)), "Name not found")</f>
        <v>1512</v>
      </c>
    </row>
    <row r="1728" spans="2:6">
      <c r="B1728" s="92" t="s">
        <v>139</v>
      </c>
      <c r="C1728" s="91" t="s">
        <v>219</v>
      </c>
      <c r="D1728" s="93">
        <v>155</v>
      </c>
      <c r="E1728" s="93">
        <v>70.5</v>
      </c>
      <c r="F1728" s="103">
        <f>IFERROR(INDEX(Tabella951[PLZ],MATCH(Tabella848[[#This Row],[Colonna2]],Tabella951[Ortschaftsname],0)), "Name not found")</f>
        <v>1373</v>
      </c>
    </row>
    <row r="1729" spans="2:6">
      <c r="B1729" s="92" t="s">
        <v>139</v>
      </c>
      <c r="C1729" s="91" t="s">
        <v>352</v>
      </c>
      <c r="D1729" s="93">
        <v>155</v>
      </c>
      <c r="E1729" s="93">
        <v>67</v>
      </c>
      <c r="F1729" s="103">
        <f>IFERROR(INDEX(Tabella951[PLZ],MATCH(Tabella848[[#This Row],[Colonna2]],Tabella951[Ortschaftsname],0)), "Name not found")</f>
        <v>1400</v>
      </c>
    </row>
    <row r="1730" spans="2:6">
      <c r="B1730" s="92" t="s">
        <v>139</v>
      </c>
      <c r="C1730" s="91" t="s">
        <v>222</v>
      </c>
      <c r="D1730" s="93">
        <v>155</v>
      </c>
      <c r="E1730" s="93">
        <v>73</v>
      </c>
      <c r="F1730" s="103">
        <f>IFERROR(INDEX(Tabella951[PLZ],MATCH(Tabella848[[#This Row],[Colonna2]],Tabella951[Ortschaftsname],0)), "Name not found")</f>
        <v>1033</v>
      </c>
    </row>
    <row r="1731" spans="2:6">
      <c r="B1731" s="92" t="s">
        <v>139</v>
      </c>
      <c r="C1731" s="91" t="s">
        <v>416</v>
      </c>
      <c r="D1731" s="93">
        <v>155</v>
      </c>
      <c r="E1731" s="93">
        <v>65</v>
      </c>
      <c r="F1731" s="103">
        <f>IFERROR(INDEX(Tabella951[PLZ],MATCH(Tabella848[[#This Row],[Colonna2]],Tabella951[Ortschaftsname],0)), "Name not found")</f>
        <v>1846</v>
      </c>
    </row>
    <row r="1732" spans="2:6">
      <c r="B1732" s="92" t="s">
        <v>139</v>
      </c>
      <c r="C1732" s="91" t="s">
        <v>448</v>
      </c>
      <c r="D1732" s="93">
        <v>155</v>
      </c>
      <c r="E1732" s="93">
        <v>70</v>
      </c>
      <c r="F1732" s="103">
        <f>IFERROR(INDEX(Tabella951[PLZ],MATCH(Tabella848[[#This Row],[Colonna2]],Tabella951[Ortschaftsname],0)), "Name not found")</f>
        <v>1316</v>
      </c>
    </row>
    <row r="1733" spans="2:6">
      <c r="B1733" s="92" t="s">
        <v>139</v>
      </c>
      <c r="C1733" s="91" t="s">
        <v>398</v>
      </c>
      <c r="D1733" s="93">
        <v>155</v>
      </c>
      <c r="E1733" s="93">
        <v>68.5</v>
      </c>
      <c r="F1733" s="103">
        <f>IFERROR(INDEX(Tabella951[PLZ],MATCH(Tabella848[[#This Row],[Colonna2]],Tabella951[Ortschaftsname],0)), "Name not found")</f>
        <v>1545</v>
      </c>
    </row>
    <row r="1734" spans="2:6">
      <c r="B1734" s="92" t="s">
        <v>139</v>
      </c>
      <c r="C1734" s="91" t="s">
        <v>259</v>
      </c>
      <c r="D1734" s="93">
        <v>155</v>
      </c>
      <c r="E1734" s="93">
        <v>67.5</v>
      </c>
      <c r="F1734" s="103">
        <f>IFERROR(INDEX(Tabella951[PLZ],MATCH(Tabella848[[#This Row],[Colonna2]],Tabella951[Ortschaftsname],0)), "Name not found")</f>
        <v>1071</v>
      </c>
    </row>
    <row r="1735" spans="2:6">
      <c r="B1735" s="92" t="s">
        <v>139</v>
      </c>
      <c r="C1735" s="91" t="s">
        <v>437</v>
      </c>
      <c r="D1735" s="93">
        <v>155</v>
      </c>
      <c r="E1735" s="93">
        <v>62</v>
      </c>
      <c r="F1735" s="103">
        <f>IFERROR(INDEX(Tabella951[PLZ],MATCH(Tabella848[[#This Row],[Colonna2]],Tabella951[Ortschaftsname],0)), "Name not found")</f>
        <v>1134</v>
      </c>
    </row>
    <row r="1736" spans="2:6">
      <c r="B1736" s="92" t="s">
        <v>139</v>
      </c>
      <c r="C1736" s="91" t="s">
        <v>231</v>
      </c>
      <c r="D1736" s="93">
        <v>155</v>
      </c>
      <c r="E1736" s="93">
        <v>81.5</v>
      </c>
      <c r="F1736" s="103">
        <f>IFERROR(INDEX(Tabella951[PLZ],MATCH(Tabella848[[#This Row],[Colonna2]],Tabella951[Ortschaftsname],0)), "Name not found")</f>
        <v>1660</v>
      </c>
    </row>
    <row r="1737" spans="2:6">
      <c r="B1737" s="92" t="s">
        <v>139</v>
      </c>
      <c r="C1737" s="91" t="s">
        <v>293</v>
      </c>
      <c r="D1737" s="93">
        <v>155</v>
      </c>
      <c r="E1737" s="93">
        <v>59</v>
      </c>
      <c r="F1737" s="103">
        <f>IFERROR(INDEX(Tabella951[PLZ],MATCH(Tabella848[[#This Row],[Colonna2]],Tabella951[Ortschaftsname],0)), "Name not found")</f>
        <v>1275</v>
      </c>
    </row>
    <row r="1738" spans="2:6">
      <c r="B1738" s="92" t="s">
        <v>139</v>
      </c>
      <c r="C1738" s="91" t="s">
        <v>484</v>
      </c>
      <c r="D1738" s="93">
        <v>155</v>
      </c>
      <c r="E1738" s="93">
        <v>75</v>
      </c>
      <c r="F1738" s="103">
        <f>IFERROR(INDEX(Tabella951[PLZ],MATCH(Tabella848[[#This Row],[Colonna2]],Tabella951[Ortschaftsname],0)), "Name not found")</f>
        <v>1464</v>
      </c>
    </row>
    <row r="1739" spans="2:6">
      <c r="B1739" s="92" t="s">
        <v>139</v>
      </c>
      <c r="C1739" s="91" t="s">
        <v>473</v>
      </c>
      <c r="D1739" s="93">
        <v>155</v>
      </c>
      <c r="E1739" s="93">
        <v>72</v>
      </c>
      <c r="F1739" s="103">
        <f>IFERROR(INDEX(Tabella951[PLZ],MATCH(Tabella848[[#This Row],[Colonna2]],Tabella951[Ortschaftsname],0)), "Name not found")</f>
        <v>1127</v>
      </c>
    </row>
    <row r="1740" spans="2:6">
      <c r="B1740" s="92" t="s">
        <v>139</v>
      </c>
      <c r="C1740" s="91" t="s">
        <v>389</v>
      </c>
      <c r="D1740" s="93">
        <v>155</v>
      </c>
      <c r="E1740" s="93">
        <v>49</v>
      </c>
      <c r="F1740" s="103">
        <f>IFERROR(INDEX(Tabella951[PLZ],MATCH(Tabella848[[#This Row],[Colonna2]],Tabella951[Ortschaftsname],0)), "Name not found")</f>
        <v>1267</v>
      </c>
    </row>
    <row r="1741" spans="2:6">
      <c r="B1741" s="92" t="s">
        <v>139</v>
      </c>
      <c r="C1741" s="91" t="s">
        <v>245</v>
      </c>
      <c r="D1741" s="93">
        <v>155</v>
      </c>
      <c r="E1741" s="93">
        <v>57</v>
      </c>
      <c r="F1741" s="103">
        <f>IFERROR(INDEX(Tabella951[PLZ],MATCH(Tabella848[[#This Row],[Colonna2]],Tabella951[Ortschaftsname],0)), "Name not found")</f>
        <v>1291</v>
      </c>
    </row>
    <row r="1742" spans="2:6">
      <c r="B1742" s="92" t="s">
        <v>139</v>
      </c>
      <c r="C1742" s="91" t="s">
        <v>324</v>
      </c>
      <c r="D1742" s="93">
        <v>155</v>
      </c>
      <c r="E1742" s="93">
        <v>71</v>
      </c>
      <c r="F1742" s="103">
        <f>IFERROR(INDEX(Tabella951[PLZ],MATCH(Tabella848[[#This Row],[Colonna2]],Tabella951[Ortschaftsname],0)), "Name not found")</f>
        <v>1426</v>
      </c>
    </row>
    <row r="1743" spans="2:6">
      <c r="B1743" s="92" t="s">
        <v>139</v>
      </c>
      <c r="C1743" s="91" t="s">
        <v>239</v>
      </c>
      <c r="D1743" s="93">
        <v>155</v>
      </c>
      <c r="E1743" s="93">
        <v>57</v>
      </c>
      <c r="F1743" s="103">
        <f>IFERROR(INDEX(Tabella951[PLZ],MATCH(Tabella848[[#This Row],[Colonna2]],Tabella951[Ortschaftsname],0)), "Name not found")</f>
        <v>1296</v>
      </c>
    </row>
    <row r="1744" spans="2:6">
      <c r="B1744" s="92" t="s">
        <v>139</v>
      </c>
      <c r="C1744" s="91" t="s">
        <v>405</v>
      </c>
      <c r="D1744" s="93">
        <v>155</v>
      </c>
      <c r="E1744" s="93">
        <v>74</v>
      </c>
      <c r="F1744" s="103">
        <f>IFERROR(INDEX(Tabella951[PLZ],MATCH(Tabella848[[#This Row],[Colonna2]],Tabella951[Ortschaftsname],0)), "Name not found")</f>
        <v>1856</v>
      </c>
    </row>
    <row r="1745" spans="2:6">
      <c r="B1745" s="92" t="s">
        <v>139</v>
      </c>
      <c r="C1745" s="91" t="s">
        <v>400</v>
      </c>
      <c r="D1745" s="93">
        <v>155</v>
      </c>
      <c r="E1745" s="93">
        <v>75</v>
      </c>
      <c r="F1745" s="103">
        <f>IFERROR(INDEX(Tabella951[PLZ],MATCH(Tabella848[[#This Row],[Colonna2]],Tabella951[Ortschaftsname],0)), "Name not found")</f>
        <v>1082</v>
      </c>
    </row>
    <row r="1746" spans="2:6">
      <c r="B1746" s="92" t="s">
        <v>139</v>
      </c>
      <c r="C1746" s="91" t="s">
        <v>426</v>
      </c>
      <c r="D1746" s="93">
        <v>155</v>
      </c>
      <c r="E1746" s="93">
        <v>69</v>
      </c>
      <c r="F1746" s="103">
        <f>IFERROR(INDEX(Tabella951[PLZ],MATCH(Tabella848[[#This Row],[Colonna2]],Tabella951[Ortschaftsname],0)), "Name not found")</f>
        <v>1426</v>
      </c>
    </row>
    <row r="1747" spans="2:6">
      <c r="B1747" s="92" t="s">
        <v>139</v>
      </c>
      <c r="C1747" s="91" t="s">
        <v>257</v>
      </c>
      <c r="D1747" s="93">
        <v>155</v>
      </c>
      <c r="E1747" s="93">
        <v>65</v>
      </c>
      <c r="F1747" s="103">
        <f>IFERROR(INDEX(Tabella951[PLZ],MATCH(Tabella848[[#This Row],[Colonna2]],Tabella951[Ortschaftsname],0)), "Name not found")</f>
        <v>1562</v>
      </c>
    </row>
    <row r="1748" spans="2:6">
      <c r="B1748" s="92" t="s">
        <v>139</v>
      </c>
      <c r="C1748" s="91" t="s">
        <v>258</v>
      </c>
      <c r="D1748" s="93">
        <v>155</v>
      </c>
      <c r="E1748" s="93">
        <v>67.5</v>
      </c>
      <c r="F1748" s="103">
        <f>IFERROR(INDEX(Tabella951[PLZ],MATCH(Tabella848[[#This Row],[Colonna2]],Tabella951[Ortschaftsname],0)), "Name not found")</f>
        <v>1802</v>
      </c>
    </row>
    <row r="1749" spans="2:6">
      <c r="B1749" s="92" t="s">
        <v>139</v>
      </c>
      <c r="C1749" s="91" t="s">
        <v>232</v>
      </c>
      <c r="D1749" s="93">
        <v>155</v>
      </c>
      <c r="E1749" s="93">
        <v>64.5</v>
      </c>
      <c r="F1749" s="103">
        <f>IFERROR(INDEX(Tabella951[PLZ],MATCH(Tabella848[[#This Row],[Colonna2]],Tabella951[Ortschaftsname],0)), "Name not found")</f>
        <v>1804</v>
      </c>
    </row>
    <row r="1750" spans="2:6">
      <c r="B1750" s="92" t="s">
        <v>139</v>
      </c>
      <c r="C1750" s="91" t="s">
        <v>228</v>
      </c>
      <c r="D1750" s="93">
        <v>155</v>
      </c>
      <c r="E1750" s="93">
        <v>68</v>
      </c>
      <c r="F1750" s="103">
        <v>1304</v>
      </c>
    </row>
    <row r="1751" spans="2:6">
      <c r="B1751" s="92" t="s">
        <v>139</v>
      </c>
      <c r="C1751" s="91" t="s">
        <v>2685</v>
      </c>
      <c r="D1751" s="93">
        <v>155</v>
      </c>
      <c r="E1751" s="93">
        <v>59</v>
      </c>
      <c r="F1751" s="103">
        <v>1299</v>
      </c>
    </row>
    <row r="1752" spans="2:6">
      <c r="B1752" s="92" t="s">
        <v>139</v>
      </c>
      <c r="C1752" s="91" t="s">
        <v>297</v>
      </c>
      <c r="D1752" s="93">
        <v>155</v>
      </c>
      <c r="E1752" s="93">
        <v>66.5</v>
      </c>
      <c r="F1752" s="103">
        <f>IFERROR(INDEX(Tabella951[PLZ],MATCH(Tabella848[[#This Row],[Colonna2]],Tabella951[Ortschaftsname],0)), "Name not found")</f>
        <v>1263</v>
      </c>
    </row>
    <row r="1753" spans="2:6">
      <c r="B1753" s="92" t="s">
        <v>139</v>
      </c>
      <c r="C1753" s="91" t="s">
        <v>203</v>
      </c>
      <c r="D1753" s="93">
        <v>155</v>
      </c>
      <c r="E1753" s="93">
        <v>63.5</v>
      </c>
      <c r="F1753" s="103">
        <f>IFERROR(INDEX(Tabella951[PLZ],MATCH(Tabella848[[#This Row],[Colonna2]],Tabella951[Ortschaftsname],0)), "Name not found")</f>
        <v>1023</v>
      </c>
    </row>
    <row r="1754" spans="2:6">
      <c r="B1754" s="92" t="s">
        <v>139</v>
      </c>
      <c r="C1754" s="91" t="s">
        <v>421</v>
      </c>
      <c r="D1754" s="93">
        <v>155</v>
      </c>
      <c r="E1754" s="93">
        <v>75</v>
      </c>
      <c r="F1754" s="103">
        <f>IFERROR(INDEX(Tabella951[PLZ],MATCH(Tabella848[[#This Row],[Colonna2]],Tabella951[Ortschaftsname],0)), "Name not found")</f>
        <v>1406</v>
      </c>
    </row>
    <row r="1755" spans="2:6">
      <c r="B1755" s="92" t="s">
        <v>139</v>
      </c>
      <c r="C1755" s="91" t="s">
        <v>422</v>
      </c>
      <c r="D1755" s="93">
        <v>155</v>
      </c>
      <c r="E1755" s="93">
        <v>74</v>
      </c>
      <c r="F1755" s="103">
        <f>IFERROR(INDEX(Tabella951[PLZ],MATCH(Tabella848[[#This Row],[Colonna2]],Tabella951[Ortschaftsname],0)), "Name not found")</f>
        <v>1322</v>
      </c>
    </row>
    <row r="1756" spans="2:6">
      <c r="B1756" s="92" t="s">
        <v>139</v>
      </c>
      <c r="C1756" s="91" t="s">
        <v>392</v>
      </c>
      <c r="D1756" s="93">
        <v>155</v>
      </c>
      <c r="E1756" s="93">
        <v>76</v>
      </c>
      <c r="F1756" s="103">
        <f>IFERROR(INDEX(Tabella951[PLZ],MATCH(Tabella848[[#This Row],[Colonna2]],Tabella951[Ortschaftsname],0)), "Name not found")</f>
        <v>1148</v>
      </c>
    </row>
    <row r="1757" spans="2:6">
      <c r="B1757" s="92" t="s">
        <v>139</v>
      </c>
      <c r="C1757" s="91" t="s">
        <v>453</v>
      </c>
      <c r="D1757" s="93">
        <v>155</v>
      </c>
      <c r="E1757" s="93">
        <v>77</v>
      </c>
      <c r="F1757" s="103">
        <f>IFERROR(INDEX(Tabella951[PLZ],MATCH(Tabella848[[#This Row],[Colonna2]],Tabella951[Ortschaftsname],0)), "Name not found")</f>
        <v>1404</v>
      </c>
    </row>
    <row r="1758" spans="2:6">
      <c r="B1758" s="92" t="s">
        <v>139</v>
      </c>
      <c r="C1758" s="91" t="s">
        <v>274</v>
      </c>
      <c r="D1758" s="93">
        <v>155</v>
      </c>
      <c r="E1758" s="93">
        <v>59</v>
      </c>
      <c r="F1758" s="103">
        <f>IFERROR(INDEX(Tabella951[PLZ],MATCH(Tabella848[[#This Row],[Colonna2]],Tabella951[Ortschaftsname],0)), "Name not found")</f>
        <v>1588</v>
      </c>
    </row>
    <row r="1759" spans="2:6">
      <c r="B1759" s="92" t="s">
        <v>139</v>
      </c>
      <c r="C1759" s="91" t="s">
        <v>248</v>
      </c>
      <c r="D1759" s="93">
        <v>155</v>
      </c>
      <c r="E1759" s="93">
        <v>76</v>
      </c>
      <c r="F1759" s="103">
        <v>1053</v>
      </c>
    </row>
    <row r="1760" spans="2:6">
      <c r="B1760" s="92" t="s">
        <v>139</v>
      </c>
      <c r="C1760" s="91" t="s">
        <v>440</v>
      </c>
      <c r="D1760" s="93">
        <v>155</v>
      </c>
      <c r="E1760" s="93">
        <v>73</v>
      </c>
      <c r="F1760" s="103">
        <f>IFERROR(INDEX(Tabella951[PLZ],MATCH(Tabella848[[#This Row],[Colonna2]],Tabella951[Ortschaftsname],0)), "Name not found")</f>
        <v>1521</v>
      </c>
    </row>
    <row r="1761" spans="2:6">
      <c r="B1761" s="92" t="s">
        <v>139</v>
      </c>
      <c r="C1761" s="91" t="s">
        <v>319</v>
      </c>
      <c r="D1761" s="93">
        <v>155</v>
      </c>
      <c r="E1761" s="93">
        <v>66</v>
      </c>
      <c r="F1761" s="103">
        <f>IFERROR(INDEX(Tabella951[PLZ],MATCH(Tabella848[[#This Row],[Colonna2]],Tabella951[Ortschaftsname],0)), "Name not found")</f>
        <v>1306</v>
      </c>
    </row>
    <row r="1762" spans="2:6">
      <c r="B1762" s="92" t="s">
        <v>139</v>
      </c>
      <c r="C1762" s="91" t="s">
        <v>346</v>
      </c>
      <c r="D1762" s="93">
        <v>155</v>
      </c>
      <c r="E1762" s="93">
        <v>65</v>
      </c>
      <c r="F1762" s="103">
        <f>IFERROR(INDEX(Tabella951[PLZ],MATCH(Tabella848[[#This Row],[Colonna2]],Tabella951[Ortschaftsname],0)), "Name not found")</f>
        <v>1135</v>
      </c>
    </row>
    <row r="1763" spans="2:6">
      <c r="B1763" s="92" t="s">
        <v>139</v>
      </c>
      <c r="C1763" s="91" t="s">
        <v>271</v>
      </c>
      <c r="D1763" s="93">
        <v>155</v>
      </c>
      <c r="E1763" s="93">
        <v>62</v>
      </c>
      <c r="F1763" s="103">
        <f>IFERROR(INDEX(Tabella951[PLZ],MATCH(Tabella848[[#This Row],[Colonna2]],Tabella951[Ortschaftsname],0)), "Name not found")</f>
        <v>1026</v>
      </c>
    </row>
    <row r="1764" spans="2:6">
      <c r="B1764" s="92" t="s">
        <v>139</v>
      </c>
      <c r="C1764" s="91" t="s">
        <v>459</v>
      </c>
      <c r="D1764" s="93">
        <v>155</v>
      </c>
      <c r="E1764" s="93">
        <v>75</v>
      </c>
      <c r="F1764" s="103">
        <f>IFERROR(INDEX(Tabella951[PLZ],MATCH(Tabella848[[#This Row],[Colonna2]],Tabella951[Ortschaftsname],0)), "Name not found")</f>
        <v>1304</v>
      </c>
    </row>
    <row r="1765" spans="2:6">
      <c r="B1765" s="92" t="s">
        <v>139</v>
      </c>
      <c r="C1765" s="91" t="s">
        <v>451</v>
      </c>
      <c r="D1765" s="93">
        <v>155</v>
      </c>
      <c r="E1765" s="93">
        <v>78</v>
      </c>
      <c r="F1765" s="103">
        <v>1682</v>
      </c>
    </row>
    <row r="1766" spans="2:6">
      <c r="B1766" s="92" t="s">
        <v>139</v>
      </c>
      <c r="C1766" s="91" t="s">
        <v>343</v>
      </c>
      <c r="D1766" s="93">
        <v>155</v>
      </c>
      <c r="E1766" s="93">
        <v>73</v>
      </c>
      <c r="F1766" s="103">
        <f>IFERROR(INDEX(Tabella951[PLZ],MATCH(Tabella848[[#This Row],[Colonna2]],Tabella951[Ortschaftsname],0)), "Name not found")</f>
        <v>1407</v>
      </c>
    </row>
    <row r="1767" spans="2:6">
      <c r="B1767" s="92" t="s">
        <v>139</v>
      </c>
      <c r="C1767" s="91" t="s">
        <v>307</v>
      </c>
      <c r="D1767" s="93">
        <v>155</v>
      </c>
      <c r="E1767" s="93">
        <v>66</v>
      </c>
      <c r="F1767" s="103">
        <f>IFERROR(INDEX(Tabella951[PLZ],MATCH(Tabella848[[#This Row],[Colonna2]],Tabella951[Ortschaftsname],0)), "Name not found")</f>
        <v>1266</v>
      </c>
    </row>
    <row r="1768" spans="2:6">
      <c r="B1768" s="92" t="s">
        <v>139</v>
      </c>
      <c r="C1768" s="91" t="s">
        <v>362</v>
      </c>
      <c r="D1768" s="93">
        <v>155</v>
      </c>
      <c r="E1768" s="93">
        <v>53</v>
      </c>
      <c r="F1768" s="103">
        <f>IFERROR(INDEX(Tabella951[PLZ],MATCH(Tabella848[[#This Row],[Colonna2]],Tabella951[Ortschaftsname],0)), "Name not found")</f>
        <v>1195</v>
      </c>
    </row>
    <row r="1769" spans="2:6">
      <c r="B1769" s="92" t="s">
        <v>139</v>
      </c>
      <c r="C1769" s="91" t="s">
        <v>480</v>
      </c>
      <c r="D1769" s="93">
        <v>155</v>
      </c>
      <c r="E1769" s="93">
        <v>78</v>
      </c>
      <c r="F1769" s="103">
        <f>IFERROR(INDEX(Tabella951[PLZ],MATCH(Tabella848[[#This Row],[Colonna2]],Tabella951[Ortschaftsname],0)), "Name not found")</f>
        <v>1415</v>
      </c>
    </row>
    <row r="1770" spans="2:6">
      <c r="B1770" s="92" t="s">
        <v>139</v>
      </c>
      <c r="C1770" s="91" t="s">
        <v>211</v>
      </c>
      <c r="D1770" s="93">
        <v>155</v>
      </c>
      <c r="E1770" s="93">
        <v>72.5</v>
      </c>
      <c r="F1770" s="103">
        <f>IFERROR(INDEX(Tabella951[PLZ],MATCH(Tabella848[[#This Row],[Colonna2]],Tabella951[Ortschaftsname],0)), "Name not found")</f>
        <v>1040</v>
      </c>
    </row>
    <row r="1771" spans="2:6">
      <c r="B1771" s="92" t="s">
        <v>139</v>
      </c>
      <c r="C1771" s="91" t="s">
        <v>247</v>
      </c>
      <c r="D1771" s="93">
        <v>155</v>
      </c>
      <c r="E1771" s="93">
        <v>60.5</v>
      </c>
      <c r="F1771" s="103">
        <f>IFERROR(INDEX(Tabella951[PLZ],MATCH(Tabella848[[#This Row],[Colonna2]],Tabella951[Ortschaftsname],0)), "Name not found")</f>
        <v>1026</v>
      </c>
    </row>
    <row r="1772" spans="2:6">
      <c r="B1772" s="92" t="s">
        <v>139</v>
      </c>
      <c r="C1772" s="91" t="s">
        <v>250</v>
      </c>
      <c r="D1772" s="93">
        <v>155</v>
      </c>
      <c r="E1772" s="93">
        <v>66</v>
      </c>
      <c r="F1772" s="103">
        <f>IFERROR(INDEX(Tabella951[PLZ],MATCH(Tabella848[[#This Row],[Colonna2]],Tabella951[Ortschaftsname],0)), "Name not found")</f>
        <v>1112</v>
      </c>
    </row>
    <row r="1773" spans="2:6">
      <c r="B1773" s="92" t="s">
        <v>139</v>
      </c>
      <c r="C1773" s="91" t="s">
        <v>304</v>
      </c>
      <c r="D1773" s="93">
        <v>155</v>
      </c>
      <c r="E1773" s="93">
        <v>46</v>
      </c>
      <c r="F1773" s="103">
        <f>IFERROR(INDEX(Tabella951[PLZ],MATCH(Tabella848[[#This Row],[Colonna2]],Tabella951[Ortschaftsname],0)), "Name not found")</f>
        <v>1312</v>
      </c>
    </row>
    <row r="1774" spans="2:6">
      <c r="B1774" s="92" t="s">
        <v>139</v>
      </c>
      <c r="C1774" s="91" t="s">
        <v>194</v>
      </c>
      <c r="D1774" s="93">
        <v>155</v>
      </c>
      <c r="E1774" s="93">
        <v>62.5</v>
      </c>
      <c r="F1774" s="103">
        <v>1024</v>
      </c>
    </row>
    <row r="1775" spans="2:6">
      <c r="B1775" s="92" t="s">
        <v>139</v>
      </c>
      <c r="C1775" s="91" t="s">
        <v>200</v>
      </c>
      <c r="D1775" s="93">
        <v>155</v>
      </c>
      <c r="E1775" s="93">
        <v>64.5</v>
      </c>
      <c r="F1775" s="103">
        <f>IFERROR(INDEX(Tabella951[PLZ],MATCH(Tabella848[[#This Row],[Colonna2]],Tabella951[Ortschaftsname],0)), "Name not found")</f>
        <v>1066</v>
      </c>
    </row>
    <row r="1776" spans="2:6">
      <c r="B1776" s="92" t="s">
        <v>139</v>
      </c>
      <c r="C1776" s="91" t="s">
        <v>430</v>
      </c>
      <c r="D1776" s="93">
        <v>155</v>
      </c>
      <c r="E1776" s="93">
        <v>73.5</v>
      </c>
      <c r="F1776" s="103">
        <v>1434</v>
      </c>
    </row>
    <row r="1777" spans="2:6">
      <c r="B1777" s="92" t="s">
        <v>139</v>
      </c>
      <c r="C1777" s="91" t="s">
        <v>354</v>
      </c>
      <c r="D1777" s="93">
        <v>155</v>
      </c>
      <c r="E1777" s="93">
        <v>66.5</v>
      </c>
      <c r="F1777" s="103">
        <f>IFERROR(INDEX(Tabella951[PLZ],MATCH(Tabella848[[#This Row],[Colonna2]],Tabella951[Ortschaftsname],0)), "Name not found")</f>
        <v>1186</v>
      </c>
    </row>
    <row r="1778" spans="2:6">
      <c r="B1778" s="92" t="s">
        <v>139</v>
      </c>
      <c r="C1778" s="91" t="s">
        <v>323</v>
      </c>
      <c r="D1778" s="93">
        <v>155</v>
      </c>
      <c r="E1778" s="93">
        <v>74</v>
      </c>
      <c r="F1778" s="103">
        <f>IFERROR(INDEX(Tabella951[PLZ],MATCH(Tabella848[[#This Row],[Colonna2]],Tabella951[Ortschaftsname],0)), "Name not found")</f>
        <v>1417</v>
      </c>
    </row>
    <row r="1779" spans="2:6">
      <c r="B1779" s="92" t="s">
        <v>139</v>
      </c>
      <c r="C1779" s="91" t="s">
        <v>301</v>
      </c>
      <c r="D1779" s="93">
        <v>155</v>
      </c>
      <c r="E1779" s="93">
        <v>73</v>
      </c>
      <c r="F1779" s="103">
        <f>IFERROR(INDEX(Tabella951[PLZ],MATCH(Tabella848[[#This Row],[Colonna2]],Tabella951[Ortschaftsname],0)), "Name not found")</f>
        <v>1037</v>
      </c>
    </row>
    <row r="1780" spans="2:6">
      <c r="B1780" s="92" t="s">
        <v>139</v>
      </c>
      <c r="C1780" s="91" t="s">
        <v>242</v>
      </c>
      <c r="D1780" s="93">
        <v>155</v>
      </c>
      <c r="E1780" s="93">
        <v>60</v>
      </c>
      <c r="F1780" s="103">
        <f>IFERROR(INDEX(Tabella951[PLZ],MATCH(Tabella848[[#This Row],[Colonna2]],Tabella951[Ortschaftsname],0)), "Name not found")</f>
        <v>1163</v>
      </c>
    </row>
    <row r="1781" spans="2:6">
      <c r="B1781" s="92" t="s">
        <v>139</v>
      </c>
      <c r="C1781" s="91" t="s">
        <v>272</v>
      </c>
      <c r="D1781" s="93">
        <v>155</v>
      </c>
      <c r="E1781" s="93">
        <v>59.5</v>
      </c>
      <c r="F1781" s="103">
        <f>IFERROR(INDEX(Tabella951[PLZ],MATCH(Tabella848[[#This Row],[Colonna2]],Tabella951[Ortschaftsname],0)), "Name not found")</f>
        <v>1262</v>
      </c>
    </row>
    <row r="1782" spans="2:6">
      <c r="B1782" s="92" t="s">
        <v>139</v>
      </c>
      <c r="C1782" s="91" t="s">
        <v>332</v>
      </c>
      <c r="D1782" s="93">
        <v>155</v>
      </c>
      <c r="E1782" s="93">
        <v>65</v>
      </c>
      <c r="F1782" s="103">
        <f>IFERROR(INDEX(Tabella951[PLZ],MATCH(Tabella848[[#This Row],[Colonna2]],Tabella951[Ortschaftsname],0)), "Name not found")</f>
        <v>1595</v>
      </c>
    </row>
    <row r="1783" spans="2:6">
      <c r="B1783" s="92" t="s">
        <v>139</v>
      </c>
      <c r="C1783" s="91" t="s">
        <v>439</v>
      </c>
      <c r="D1783" s="93">
        <v>155</v>
      </c>
      <c r="E1783" s="93">
        <v>76</v>
      </c>
      <c r="F1783" s="103">
        <f>IFERROR(INDEX(Tabella951[PLZ],MATCH(Tabella848[[#This Row],[Colonna2]],Tabella951[Ortschaftsname],0)), "Name not found")</f>
        <v>1313</v>
      </c>
    </row>
    <row r="1784" spans="2:6">
      <c r="B1784" s="92" t="s">
        <v>139</v>
      </c>
      <c r="C1784" s="91" t="s">
        <v>353</v>
      </c>
      <c r="D1784" s="93">
        <v>155</v>
      </c>
      <c r="E1784" s="93">
        <v>75</v>
      </c>
      <c r="F1784" s="103">
        <f>IFERROR(INDEX(Tabella951[PLZ],MATCH(Tabella848[[#This Row],[Colonna2]],Tabella951[Ortschaftsname],0)), "Name not found")</f>
        <v>1044</v>
      </c>
    </row>
    <row r="1785" spans="2:6">
      <c r="B1785" s="92" t="s">
        <v>139</v>
      </c>
      <c r="C1785" s="91" t="s">
        <v>406</v>
      </c>
      <c r="D1785" s="93">
        <v>155</v>
      </c>
      <c r="E1785" s="93">
        <v>69</v>
      </c>
      <c r="F1785" s="103">
        <f>IFERROR(INDEX(Tabella951[PLZ],MATCH(Tabella848[[#This Row],[Colonna2]],Tabella951[Ortschaftsname],0)), "Name not found")</f>
        <v>1420</v>
      </c>
    </row>
    <row r="1786" spans="2:6">
      <c r="B1786" s="92" t="s">
        <v>139</v>
      </c>
      <c r="C1786" s="91" t="s">
        <v>466</v>
      </c>
      <c r="D1786" s="93">
        <v>155</v>
      </c>
      <c r="E1786" s="93">
        <v>69</v>
      </c>
      <c r="F1786" s="103">
        <f>IFERROR(INDEX(Tabella951[PLZ],MATCH(Tabella848[[#This Row],[Colonna2]],Tabella951[Ortschaftsname],0)), "Name not found")</f>
        <v>1421</v>
      </c>
    </row>
    <row r="1787" spans="2:6">
      <c r="B1787" s="92" t="s">
        <v>139</v>
      </c>
      <c r="C1787" s="91" t="s">
        <v>261</v>
      </c>
      <c r="D1787" s="93">
        <v>155</v>
      </c>
      <c r="E1787" s="93">
        <v>69</v>
      </c>
      <c r="F1787" s="103">
        <f>IFERROR(INDEX(Tabella951[PLZ],MATCH(Tabella848[[#This Row],[Colonna2]],Tabella951[Ortschaftsname],0)), "Name not found")</f>
        <v>1072</v>
      </c>
    </row>
    <row r="1788" spans="2:6">
      <c r="B1788" s="92" t="s">
        <v>139</v>
      </c>
      <c r="C1788" s="91" t="s">
        <v>229</v>
      </c>
      <c r="D1788" s="93">
        <v>155</v>
      </c>
      <c r="E1788" s="93">
        <v>57</v>
      </c>
      <c r="F1788" s="103">
        <f>IFERROR(INDEX(Tabella951[PLZ],MATCH(Tabella848[[#This Row],[Colonna2]],Tabella951[Ortschaftsname],0)), "Name not found")</f>
        <v>1297</v>
      </c>
    </row>
    <row r="1789" spans="2:6">
      <c r="B1789" s="92" t="s">
        <v>139</v>
      </c>
      <c r="C1789" s="91" t="s">
        <v>254</v>
      </c>
      <c r="D1789" s="93">
        <v>155</v>
      </c>
      <c r="E1789" s="93">
        <v>72</v>
      </c>
      <c r="F1789" s="103">
        <f>IFERROR(INDEX(Tabella951[PLZ],MATCH(Tabella848[[#This Row],[Colonna2]],Tabella951[Ortschaftsname],0)), "Name not found")</f>
        <v>1055</v>
      </c>
    </row>
    <row r="1790" spans="2:6">
      <c r="B1790" s="92" t="s">
        <v>139</v>
      </c>
      <c r="C1790" s="91" t="s">
        <v>331</v>
      </c>
      <c r="D1790" s="93">
        <v>155</v>
      </c>
      <c r="E1790" s="93">
        <v>64</v>
      </c>
      <c r="F1790" s="103">
        <f>IFERROR(INDEX(Tabella951[PLZ],MATCH(Tabella848[[#This Row],[Colonna2]],Tabella951[Ortschaftsname],0)), "Name not found")</f>
        <v>1173</v>
      </c>
    </row>
    <row r="1791" spans="2:6">
      <c r="B1791" s="92" t="s">
        <v>139</v>
      </c>
      <c r="C1791" s="91" t="s">
        <v>264</v>
      </c>
      <c r="D1791" s="93">
        <v>155</v>
      </c>
      <c r="E1791" s="93">
        <v>52</v>
      </c>
      <c r="F1791" s="103">
        <f>IFERROR(INDEX(Tabella951[PLZ],MATCH(Tabella848[[#This Row],[Colonna2]],Tabella951[Ortschaftsname],0)), "Name not found")</f>
        <v>1272</v>
      </c>
    </row>
    <row r="1792" spans="2:6">
      <c r="B1792" s="92" t="s">
        <v>139</v>
      </c>
      <c r="C1792" s="91" t="s">
        <v>409</v>
      </c>
      <c r="D1792" s="93">
        <v>155</v>
      </c>
      <c r="E1792" s="93">
        <v>68</v>
      </c>
      <c r="F1792" s="103">
        <f>IFERROR(INDEX(Tabella951[PLZ],MATCH(Tabella848[[#This Row],[Colonna2]],Tabella951[Ortschaftsname],0)), "Name not found")</f>
        <v>1429</v>
      </c>
    </row>
    <row r="1793" spans="2:6">
      <c r="B1793" s="92" t="s">
        <v>139</v>
      </c>
      <c r="C1793" s="91" t="s">
        <v>288</v>
      </c>
      <c r="D1793" s="93">
        <v>155</v>
      </c>
      <c r="E1793" s="93">
        <v>64.5</v>
      </c>
      <c r="F1793" s="103">
        <f>IFERROR(INDEX(Tabella951[PLZ],MATCH(Tabella848[[#This Row],[Colonna2]],Tabella951[Ortschaftsname],0)), "Name not found")</f>
        <v>1182</v>
      </c>
    </row>
    <row r="1794" spans="2:6">
      <c r="B1794" s="92" t="s">
        <v>139</v>
      </c>
      <c r="C1794" s="91" t="s">
        <v>263</v>
      </c>
      <c r="D1794" s="93">
        <v>155</v>
      </c>
      <c r="E1794" s="93">
        <v>73</v>
      </c>
      <c r="F1794" s="103">
        <f>IFERROR(INDEX(Tabella951[PLZ],MATCH(Tabella848[[#This Row],[Colonna2]],Tabella951[Ortschaftsname],0)), "Name not found")</f>
        <v>1188</v>
      </c>
    </row>
    <row r="1795" spans="2:6">
      <c r="B1795" s="92" t="s">
        <v>139</v>
      </c>
      <c r="C1795" s="91" t="s">
        <v>295</v>
      </c>
      <c r="D1795" s="93">
        <v>155</v>
      </c>
      <c r="E1795" s="93">
        <v>60</v>
      </c>
      <c r="F1795" s="103">
        <f>IFERROR(INDEX(Tabella951[PLZ],MATCH(Tabella848[[#This Row],[Colonna2]],Tabella951[Ortschaftsname],0)), "Name not found")</f>
        <v>1276</v>
      </c>
    </row>
    <row r="1796" spans="2:6">
      <c r="B1796" s="92" t="s">
        <v>139</v>
      </c>
      <c r="C1796" s="91" t="s">
        <v>320</v>
      </c>
      <c r="D1796" s="93">
        <v>155</v>
      </c>
      <c r="E1796" s="93">
        <v>67</v>
      </c>
      <c r="F1796" s="103">
        <f>IFERROR(INDEX(Tabella951[PLZ],MATCH(Tabella848[[#This Row],[Colonna2]],Tabella951[Ortschaftsname],0)), "Name not found")</f>
        <v>1271</v>
      </c>
    </row>
    <row r="1797" spans="2:6">
      <c r="B1797" s="92" t="s">
        <v>139</v>
      </c>
      <c r="C1797" s="91" t="s">
        <v>193</v>
      </c>
      <c r="D1797" s="93">
        <v>155</v>
      </c>
      <c r="E1797" s="93">
        <v>61</v>
      </c>
      <c r="F1797" s="103">
        <f>IFERROR(INDEX(Tabella951[PLZ],MATCH(Tabella848[[#This Row],[Colonna2]],Tabella951[Ortschaftsname],0)), "Name not found")</f>
        <v>1196</v>
      </c>
    </row>
    <row r="1798" spans="2:6">
      <c r="B1798" s="92" t="s">
        <v>139</v>
      </c>
      <c r="C1798" s="91" t="s">
        <v>329</v>
      </c>
      <c r="D1798" s="93">
        <v>155</v>
      </c>
      <c r="E1798" s="93">
        <v>74</v>
      </c>
      <c r="F1798" s="103">
        <f>IFERROR(INDEX(Tabella951[PLZ],MATCH(Tabella848[[#This Row],[Colonna2]],Tabella951[Ortschaftsname],0)), "Name not found")</f>
        <v>1124</v>
      </c>
    </row>
    <row r="1799" spans="2:6">
      <c r="B1799" s="92" t="s">
        <v>139</v>
      </c>
      <c r="C1799" s="91" t="s">
        <v>303</v>
      </c>
      <c r="D1799" s="93">
        <v>155</v>
      </c>
      <c r="E1799" s="93">
        <v>75.5</v>
      </c>
      <c r="F1799" s="103">
        <v>1376</v>
      </c>
    </row>
    <row r="1800" spans="2:6">
      <c r="B1800" s="92" t="s">
        <v>139</v>
      </c>
      <c r="C1800" s="91" t="s">
        <v>415</v>
      </c>
      <c r="D1800" s="93">
        <v>155</v>
      </c>
      <c r="E1800" s="93">
        <v>70</v>
      </c>
      <c r="F1800" s="103">
        <f>IFERROR(INDEX(Tabella951[PLZ],MATCH(Tabella848[[#This Row],[Colonna2]],Tabella951[Ortschaftsname],0)), "Name not found")</f>
        <v>1117</v>
      </c>
    </row>
    <row r="1801" spans="2:6">
      <c r="B1801" s="92" t="s">
        <v>139</v>
      </c>
      <c r="C1801" s="91" t="s">
        <v>334</v>
      </c>
      <c r="D1801" s="93">
        <v>155</v>
      </c>
      <c r="E1801" s="93">
        <v>72</v>
      </c>
      <c r="F1801" s="103">
        <f>IFERROR(INDEX(Tabella951[PLZ],MATCH(Tabella848[[#This Row],[Colonna2]],Tabella951[Ortschaftsname],0)), "Name not found")</f>
        <v>1543</v>
      </c>
    </row>
    <row r="1802" spans="2:6">
      <c r="B1802" s="92" t="s">
        <v>139</v>
      </c>
      <c r="C1802" s="91" t="s">
        <v>460</v>
      </c>
      <c r="D1802" s="93">
        <v>155</v>
      </c>
      <c r="E1802" s="93">
        <v>70</v>
      </c>
      <c r="F1802" s="103">
        <f>IFERROR(INDEX(Tabella951[PLZ],MATCH(Tabella848[[#This Row],[Colonna2]],Tabella951[Ortschaftsname],0)), "Name not found")</f>
        <v>1421</v>
      </c>
    </row>
    <row r="1803" spans="2:6">
      <c r="B1803" s="92" t="s">
        <v>139</v>
      </c>
      <c r="C1803" s="91" t="s">
        <v>236</v>
      </c>
      <c r="D1803" s="93">
        <v>155</v>
      </c>
      <c r="E1803" s="93">
        <v>69</v>
      </c>
      <c r="F1803" s="103">
        <f>IFERROR(INDEX(Tabella951[PLZ],MATCH(Tabella848[[#This Row],[Colonna2]],Tabella951[Ortschaftsname],0)), "Name not found")</f>
        <v>1422</v>
      </c>
    </row>
    <row r="1804" spans="2:6">
      <c r="B1804" s="92" t="s">
        <v>139</v>
      </c>
      <c r="C1804" s="91" t="s">
        <v>420</v>
      </c>
      <c r="D1804" s="93">
        <v>155</v>
      </c>
      <c r="E1804" s="93">
        <v>62</v>
      </c>
      <c r="F1804" s="103">
        <f>IFERROR(INDEX(Tabella951[PLZ],MATCH(Tabella848[[#This Row],[Colonna2]],Tabella951[Ortschaftsname],0)), "Name not found")</f>
        <v>1274</v>
      </c>
    </row>
    <row r="1805" spans="2:6">
      <c r="B1805" s="92" t="s">
        <v>139</v>
      </c>
      <c r="C1805" s="91" t="s">
        <v>286</v>
      </c>
      <c r="D1805" s="93">
        <v>155</v>
      </c>
      <c r="E1805" s="93">
        <v>73.5</v>
      </c>
      <c r="F1805" s="103">
        <f>IFERROR(INDEX(Tabella951[PLZ],MATCH(Tabella848[[#This Row],[Colonna2]],Tabella951[Ortschaftsname],0)), "Name not found")</f>
        <v>1882</v>
      </c>
    </row>
    <row r="1806" spans="2:6">
      <c r="B1806" s="92" t="s">
        <v>139</v>
      </c>
      <c r="C1806" s="91" t="s">
        <v>2686</v>
      </c>
      <c r="D1806" s="93">
        <v>155</v>
      </c>
      <c r="E1806" s="93">
        <v>71</v>
      </c>
      <c r="F1806" s="103">
        <v>1143</v>
      </c>
    </row>
    <row r="1807" spans="2:6">
      <c r="B1807" s="92" t="s">
        <v>139</v>
      </c>
      <c r="C1807" s="91" t="s">
        <v>431</v>
      </c>
      <c r="D1807" s="93">
        <v>155</v>
      </c>
      <c r="E1807" s="93">
        <v>69</v>
      </c>
      <c r="F1807" s="103">
        <f>IFERROR(INDEX(Tabella951[PLZ],MATCH(Tabella848[[#This Row],[Colonna2]],Tabella951[Ortschaftsname],0)), "Name not found")</f>
        <v>1525</v>
      </c>
    </row>
    <row r="1808" spans="2:6">
      <c r="B1808" s="92" t="s">
        <v>139</v>
      </c>
      <c r="C1808" s="91" t="s">
        <v>423</v>
      </c>
      <c r="D1808" s="93">
        <v>155</v>
      </c>
      <c r="E1808" s="93">
        <v>73.5</v>
      </c>
      <c r="F1808" s="103">
        <f>IFERROR(INDEX(Tabella951[PLZ],MATCH(Tabella848[[#This Row],[Colonna2]],Tabella951[Ortschaftsname],0)), "Name not found")</f>
        <v>1513</v>
      </c>
    </row>
    <row r="1809" spans="2:6">
      <c r="B1809" s="92" t="s">
        <v>139</v>
      </c>
      <c r="C1809" s="91" t="s">
        <v>276</v>
      </c>
      <c r="D1809" s="93">
        <v>155</v>
      </c>
      <c r="E1809" s="93">
        <v>69.5</v>
      </c>
      <c r="F1809" s="103">
        <f>IFERROR(INDEX(Tabella951[PLZ],MATCH(Tabella848[[#This Row],[Colonna2]],Tabella951[Ortschaftsname],0)), "Name not found")</f>
        <v>1805</v>
      </c>
    </row>
    <row r="1810" spans="2:6">
      <c r="B1810" s="92" t="s">
        <v>139</v>
      </c>
      <c r="C1810" s="91" t="s">
        <v>277</v>
      </c>
      <c r="D1810" s="93">
        <v>155</v>
      </c>
      <c r="E1810" s="93">
        <v>70.5</v>
      </c>
      <c r="F1810" s="103">
        <v>1062</v>
      </c>
    </row>
    <row r="1811" spans="2:6">
      <c r="B1811" s="92" t="s">
        <v>139</v>
      </c>
      <c r="C1811" s="91" t="s">
        <v>246</v>
      </c>
      <c r="D1811" s="93">
        <v>155</v>
      </c>
      <c r="E1811" s="93">
        <v>71</v>
      </c>
      <c r="F1811" s="103">
        <v>1084</v>
      </c>
    </row>
    <row r="1812" spans="2:6">
      <c r="B1812" s="92" t="s">
        <v>139</v>
      </c>
      <c r="C1812" s="91" t="s">
        <v>281</v>
      </c>
      <c r="D1812" s="93">
        <v>155</v>
      </c>
      <c r="E1812" s="93">
        <v>59</v>
      </c>
      <c r="F1812" s="103">
        <f>IFERROR(INDEX(Tabella951[PLZ],MATCH(Tabella848[[#This Row],[Colonna2]],Tabella951[Ortschaftsname],0)), "Name not found")</f>
        <v>1008</v>
      </c>
    </row>
    <row r="1813" spans="2:6">
      <c r="B1813" s="92" t="s">
        <v>139</v>
      </c>
      <c r="C1813" s="91" t="s">
        <v>443</v>
      </c>
      <c r="D1813" s="93">
        <v>155</v>
      </c>
      <c r="E1813" s="93">
        <v>79</v>
      </c>
      <c r="F1813" s="103">
        <f>IFERROR(INDEX(Tabella951[PLZ],MATCH(Tabella848[[#This Row],[Colonna2]],Tabella951[Ortschaftsname],0)), "Name not found")</f>
        <v>1326</v>
      </c>
    </row>
    <row r="1814" spans="2:6">
      <c r="B1814" s="92" t="s">
        <v>139</v>
      </c>
      <c r="C1814" s="91" t="s">
        <v>279</v>
      </c>
      <c r="D1814" s="93">
        <v>155</v>
      </c>
      <c r="E1814" s="93">
        <v>76</v>
      </c>
      <c r="F1814" s="103">
        <f>IFERROR(INDEX(Tabella951[PLZ],MATCH(Tabella848[[#This Row],[Colonna2]],Tabella951[Ortschaftsname],0)), "Name not found")</f>
        <v>1344</v>
      </c>
    </row>
    <row r="1815" spans="2:6">
      <c r="B1815" s="92" t="s">
        <v>139</v>
      </c>
      <c r="C1815" s="91" t="s">
        <v>455</v>
      </c>
      <c r="D1815" s="93">
        <v>155</v>
      </c>
      <c r="E1815" s="93">
        <v>80</v>
      </c>
      <c r="F1815" s="103">
        <f>IFERROR(INDEX(Tabella951[PLZ],MATCH(Tabella848[[#This Row],[Colonna2]],Tabella951[Ortschaftsname],0)), "Name not found")</f>
        <v>1355</v>
      </c>
    </row>
    <row r="1816" spans="2:6">
      <c r="B1816" s="92" t="s">
        <v>139</v>
      </c>
      <c r="C1816" s="91" t="s">
        <v>318</v>
      </c>
      <c r="D1816" s="93">
        <v>155</v>
      </c>
      <c r="E1816" s="93">
        <v>75</v>
      </c>
      <c r="F1816" s="103">
        <f>IFERROR(INDEX(Tabella951[PLZ],MATCH(Tabella848[[#This Row],[Colonna2]],Tabella951[Ortschaftsname],0)), "Name not found")</f>
        <v>1148</v>
      </c>
    </row>
    <row r="1817" spans="2:6">
      <c r="B1817" s="92" t="s">
        <v>139</v>
      </c>
      <c r="C1817" s="91" t="s">
        <v>408</v>
      </c>
      <c r="D1817" s="93">
        <v>155</v>
      </c>
      <c r="E1817" s="93">
        <v>76</v>
      </c>
      <c r="F1817" s="103">
        <f>IFERROR(INDEX(Tabella951[PLZ],MATCH(Tabella848[[#This Row],[Colonna2]],Tabella951[Ortschaftsname],0)), "Name not found")</f>
        <v>1308</v>
      </c>
    </row>
    <row r="1818" spans="2:6">
      <c r="B1818" s="92" t="s">
        <v>139</v>
      </c>
      <c r="C1818" s="91" t="s">
        <v>477</v>
      </c>
      <c r="D1818" s="93">
        <v>155</v>
      </c>
      <c r="E1818" s="93">
        <v>83</v>
      </c>
      <c r="F1818" s="103">
        <f>IFERROR(INDEX(Tabella951[PLZ],MATCH(Tabella848[[#This Row],[Colonna2]],Tabella951[Ortschaftsname],0)), "Name not found")</f>
        <v>1148</v>
      </c>
    </row>
    <row r="1819" spans="2:6">
      <c r="B1819" s="92" t="s">
        <v>139</v>
      </c>
      <c r="C1819" s="91" t="s">
        <v>296</v>
      </c>
      <c r="D1819" s="93">
        <v>155</v>
      </c>
      <c r="E1819" s="93">
        <v>63.5</v>
      </c>
      <c r="F1819" s="103">
        <f>IFERROR(INDEX(Tabella951[PLZ],MATCH(Tabella848[[#This Row],[Colonna2]],Tabella951[Ortschaftsname],0)), "Name not found")</f>
        <v>1278</v>
      </c>
    </row>
    <row r="1820" spans="2:6">
      <c r="B1820" s="92" t="s">
        <v>139</v>
      </c>
      <c r="C1820" s="91" t="s">
        <v>253</v>
      </c>
      <c r="D1820" s="93">
        <v>155</v>
      </c>
      <c r="E1820" s="93">
        <v>70</v>
      </c>
      <c r="F1820" s="103">
        <f>IFERROR(INDEX(Tabella951[PLZ],MATCH(Tabella848[[#This Row],[Colonna2]],Tabella951[Ortschaftsname],0)), "Name not found")</f>
        <v>1315</v>
      </c>
    </row>
    <row r="1821" spans="2:6">
      <c r="B1821" s="92" t="s">
        <v>139</v>
      </c>
      <c r="C1821" s="91" t="s">
        <v>196</v>
      </c>
      <c r="D1821" s="93">
        <v>155</v>
      </c>
      <c r="E1821" s="93">
        <v>64</v>
      </c>
      <c r="F1821" s="103">
        <f>IFERROR(INDEX(Tabella951[PLZ],MATCH(Tabella848[[#This Row],[Colonna2]],Tabella951[Ortschaftsname],0)), "Name not found")</f>
        <v>1814</v>
      </c>
    </row>
    <row r="1822" spans="2:6">
      <c r="B1822" s="92" t="s">
        <v>139</v>
      </c>
      <c r="C1822" s="91" t="s">
        <v>182</v>
      </c>
      <c r="D1822" s="93">
        <v>155</v>
      </c>
      <c r="E1822" s="93">
        <v>78.5</v>
      </c>
      <c r="F1822" s="103">
        <f>IFERROR(INDEX(Tabella951[PLZ],MATCH(Tabella848[[#This Row],[Colonna2]],Tabella951[Ortschaftsname],0)), "Name not found")</f>
        <v>1003</v>
      </c>
    </row>
    <row r="1823" spans="2:6">
      <c r="B1823" s="92" t="s">
        <v>139</v>
      </c>
      <c r="C1823" s="91" t="s">
        <v>328</v>
      </c>
      <c r="D1823" s="93">
        <v>155</v>
      </c>
      <c r="E1823" s="93">
        <v>71.5</v>
      </c>
      <c r="F1823" s="103">
        <v>1892</v>
      </c>
    </row>
    <row r="1824" spans="2:6">
      <c r="B1824" s="92" t="s">
        <v>139</v>
      </c>
      <c r="C1824" s="91" t="s">
        <v>315</v>
      </c>
      <c r="D1824" s="93">
        <v>155</v>
      </c>
      <c r="E1824" s="93">
        <v>73</v>
      </c>
      <c r="F1824" s="103">
        <f>IFERROR(INDEX(Tabella951[PLZ],MATCH(Tabella848[[#This Row],[Colonna2]],Tabella951[Ortschaftsname],0)), "Name not found")</f>
        <v>1175</v>
      </c>
    </row>
    <row r="1825" spans="2:6">
      <c r="B1825" s="92" t="s">
        <v>139</v>
      </c>
      <c r="C1825" s="91" t="s">
        <v>220</v>
      </c>
      <c r="D1825" s="93">
        <v>155</v>
      </c>
      <c r="E1825" s="93">
        <v>58.5</v>
      </c>
      <c r="F1825" s="103">
        <v>1347</v>
      </c>
    </row>
    <row r="1826" spans="2:6">
      <c r="B1826" s="92" t="s">
        <v>139</v>
      </c>
      <c r="C1826" s="91" t="s">
        <v>336</v>
      </c>
      <c r="D1826" s="93">
        <v>155</v>
      </c>
      <c r="E1826" s="93">
        <v>70</v>
      </c>
      <c r="F1826" s="103">
        <f>IFERROR(INDEX(Tabella951[PLZ],MATCH(Tabella848[[#This Row],[Colonna2]],Tabella951[Ortschaftsname],0)), "Name not found")</f>
        <v>1345</v>
      </c>
    </row>
    <row r="1827" spans="2:6">
      <c r="B1827" s="92" t="s">
        <v>139</v>
      </c>
      <c r="C1827" s="91" t="s">
        <v>202</v>
      </c>
      <c r="D1827" s="93">
        <v>155</v>
      </c>
      <c r="E1827" s="93">
        <v>72</v>
      </c>
      <c r="F1827" s="103">
        <f>IFERROR(INDEX(Tabella951[PLZ],MATCH(Tabella848[[#This Row],[Colonna2]],Tabella951[Ortschaftsname],0)), "Name not found")</f>
        <v>1052</v>
      </c>
    </row>
    <row r="1828" spans="2:6">
      <c r="B1828" s="92" t="s">
        <v>139</v>
      </c>
      <c r="C1828" s="91" t="s">
        <v>291</v>
      </c>
      <c r="D1828" s="93">
        <v>155</v>
      </c>
      <c r="E1828" s="93">
        <v>71</v>
      </c>
      <c r="F1828" s="103">
        <f>IFERROR(INDEX(Tabella951[PLZ],MATCH(Tabella848[[#This Row],[Colonna2]],Tabella951[Ortschaftsname],0)), "Name not found")</f>
        <v>1261</v>
      </c>
    </row>
    <row r="1829" spans="2:6">
      <c r="B1829" s="92" t="s">
        <v>139</v>
      </c>
      <c r="C1829" s="91" t="s">
        <v>475</v>
      </c>
      <c r="D1829" s="93">
        <v>155</v>
      </c>
      <c r="E1829" s="93">
        <v>80</v>
      </c>
      <c r="F1829" s="103">
        <f>IFERROR(INDEX(Tabella951[PLZ],MATCH(Tabella848[[#This Row],[Colonna2]],Tabella951[Ortschaftsname],0)), "Name not found")</f>
        <v>1356</v>
      </c>
    </row>
    <row r="1830" spans="2:6">
      <c r="B1830" s="92" t="s">
        <v>139</v>
      </c>
      <c r="C1830" s="91" t="s">
        <v>226</v>
      </c>
      <c r="D1830" s="93">
        <v>155</v>
      </c>
      <c r="E1830" s="93">
        <v>78</v>
      </c>
      <c r="F1830" s="103">
        <f>IFERROR(INDEX(Tabella951[PLZ],MATCH(Tabella848[[#This Row],[Colonna2]],Tabella951[Ortschaftsname],0)), "Name not found")</f>
        <v>1854</v>
      </c>
    </row>
    <row r="1831" spans="2:6">
      <c r="B1831" s="92" t="s">
        <v>139</v>
      </c>
      <c r="C1831" s="91" t="s">
        <v>413</v>
      </c>
      <c r="D1831" s="93">
        <v>155</v>
      </c>
      <c r="E1831" s="93">
        <v>78.5</v>
      </c>
      <c r="F1831" s="103">
        <f>IFERROR(INDEX(Tabella951[PLZ],MATCH(Tabella848[[#This Row],[Colonna2]],Tabella951[Ortschaftsname],0)), "Name not found")</f>
        <v>1357</v>
      </c>
    </row>
    <row r="1832" spans="2:6">
      <c r="B1832" s="92" t="s">
        <v>139</v>
      </c>
      <c r="C1832" s="91" t="s">
        <v>256</v>
      </c>
      <c r="D1832" s="93">
        <v>155</v>
      </c>
      <c r="E1832" s="93">
        <v>55</v>
      </c>
      <c r="F1832" s="103">
        <f>IFERROR(INDEX(Tabella951[PLZ],MATCH(Tabella848[[#This Row],[Colonna2]],Tabella951[Ortschaftsname],0)), "Name not found")</f>
        <v>1027</v>
      </c>
    </row>
    <row r="1833" spans="2:6">
      <c r="B1833" s="92" t="s">
        <v>139</v>
      </c>
      <c r="C1833" s="91" t="s">
        <v>396</v>
      </c>
      <c r="D1833" s="93">
        <v>155</v>
      </c>
      <c r="E1833" s="93">
        <v>77.5</v>
      </c>
      <c r="F1833" s="103">
        <f>IFERROR(INDEX(Tabella951[PLZ],MATCH(Tabella848[[#This Row],[Colonna2]],Tabella951[Ortschaftsname],0)), "Name not found")</f>
        <v>1261</v>
      </c>
    </row>
    <row r="1834" spans="2:6">
      <c r="B1834" s="92" t="s">
        <v>139</v>
      </c>
      <c r="C1834" s="91" t="s">
        <v>483</v>
      </c>
      <c r="D1834" s="93">
        <v>155</v>
      </c>
      <c r="E1834" s="93">
        <v>75</v>
      </c>
      <c r="F1834" s="103">
        <f>IFERROR(INDEX(Tabella951[PLZ],MATCH(Tabella848[[#This Row],[Colonna2]],Tabella951[Ortschaftsname],0)), "Name not found")</f>
        <v>1682</v>
      </c>
    </row>
    <row r="1835" spans="2:6">
      <c r="B1835" s="92" t="s">
        <v>139</v>
      </c>
      <c r="C1835" s="91" t="s">
        <v>224</v>
      </c>
      <c r="D1835" s="93">
        <v>155</v>
      </c>
      <c r="E1835" s="93">
        <v>69.5</v>
      </c>
      <c r="F1835" s="103">
        <f>IFERROR(INDEX(Tabella951[PLZ],MATCH(Tabella848[[#This Row],[Colonna2]],Tabella951[Ortschaftsname],0)), "Name not found")</f>
        <v>1522</v>
      </c>
    </row>
    <row r="1836" spans="2:6">
      <c r="B1836" s="92" t="s">
        <v>139</v>
      </c>
      <c r="C1836" s="91" t="s">
        <v>366</v>
      </c>
      <c r="D1836" s="93">
        <v>155</v>
      </c>
      <c r="E1836" s="93">
        <v>58.5</v>
      </c>
      <c r="F1836" s="103">
        <f>IFERROR(INDEX(Tabella951[PLZ],MATCH(Tabella848[[#This Row],[Colonna2]],Tabella951[Ortschaftsname],0)), "Name not found")</f>
        <v>1184</v>
      </c>
    </row>
    <row r="1837" spans="2:6">
      <c r="B1837" s="92" t="s">
        <v>139</v>
      </c>
      <c r="C1837" s="91" t="s">
        <v>344</v>
      </c>
      <c r="D1837" s="93">
        <v>155</v>
      </c>
      <c r="E1837" s="93">
        <v>61</v>
      </c>
      <c r="F1837" s="103">
        <v>1132</v>
      </c>
    </row>
    <row r="1838" spans="2:6">
      <c r="B1838" s="92" t="s">
        <v>139</v>
      </c>
      <c r="C1838" s="91" t="s">
        <v>399</v>
      </c>
      <c r="D1838" s="93">
        <v>155</v>
      </c>
      <c r="E1838" s="93">
        <v>75</v>
      </c>
      <c r="F1838" s="103">
        <f>IFERROR(INDEX(Tabella951[PLZ],MATCH(Tabella848[[#This Row],[Colonna2]],Tabella951[Ortschaftsname],0)), "Name not found")</f>
        <v>1307</v>
      </c>
    </row>
    <row r="1839" spans="2:6">
      <c r="B1839" s="92" t="s">
        <v>139</v>
      </c>
      <c r="C1839" s="91" t="s">
        <v>357</v>
      </c>
      <c r="D1839" s="93">
        <v>155</v>
      </c>
      <c r="E1839" s="93">
        <v>61.5</v>
      </c>
      <c r="F1839" s="103">
        <f>IFERROR(INDEX(Tabella951[PLZ],MATCH(Tabella848[[#This Row],[Colonna2]],Tabella951[Ortschaftsname],0)), "Name not found")</f>
        <v>1167</v>
      </c>
    </row>
    <row r="1840" spans="2:6">
      <c r="B1840" s="92" t="s">
        <v>139</v>
      </c>
      <c r="C1840" s="91" t="s">
        <v>198</v>
      </c>
      <c r="D1840" s="93">
        <v>155</v>
      </c>
      <c r="E1840" s="93">
        <v>54</v>
      </c>
      <c r="F1840" s="103">
        <f>IFERROR(INDEX(Tabella951[PLZ],MATCH(Tabella848[[#This Row],[Colonna2]],Tabella951[Ortschaftsname],0)), "Name not found")</f>
        <v>1095</v>
      </c>
    </row>
    <row r="1841" spans="2:6">
      <c r="B1841" s="92" t="s">
        <v>139</v>
      </c>
      <c r="C1841" s="91" t="s">
        <v>395</v>
      </c>
      <c r="D1841" s="93">
        <v>155</v>
      </c>
      <c r="E1841" s="93">
        <v>74.5</v>
      </c>
      <c r="F1841" s="103">
        <f>IFERROR(INDEX(Tabella951[PLZ],MATCH(Tabella848[[#This Row],[Colonna2]],Tabella951[Ortschaftsname],0)), "Name not found")</f>
        <v>1613</v>
      </c>
    </row>
    <row r="1842" spans="2:6">
      <c r="B1842" s="92" t="s">
        <v>139</v>
      </c>
      <c r="C1842" s="91" t="s">
        <v>402</v>
      </c>
      <c r="D1842" s="93">
        <v>155</v>
      </c>
      <c r="E1842" s="93">
        <v>77.5</v>
      </c>
      <c r="F1842" s="103">
        <f>IFERROR(INDEX(Tabella951[PLZ],MATCH(Tabella848[[#This Row],[Colonna2]],Tabella951[Ortschaftsname],0)), "Name not found")</f>
        <v>1261</v>
      </c>
    </row>
    <row r="1843" spans="2:6">
      <c r="B1843" s="92" t="s">
        <v>139</v>
      </c>
      <c r="C1843" s="91" t="s">
        <v>364</v>
      </c>
      <c r="D1843" s="93">
        <v>155</v>
      </c>
      <c r="E1843" s="93">
        <v>72</v>
      </c>
      <c r="F1843" s="103">
        <f>IFERROR(INDEX(Tabella951[PLZ],MATCH(Tabella848[[#This Row],[Colonna2]],Tabella951[Ortschaftsname],0)), "Name not found")</f>
        <v>1438</v>
      </c>
    </row>
    <row r="1844" spans="2:6">
      <c r="B1844" s="92" t="s">
        <v>139</v>
      </c>
      <c r="C1844" s="91" t="s">
        <v>489</v>
      </c>
      <c r="D1844" s="93">
        <v>155</v>
      </c>
      <c r="E1844" s="93">
        <v>70</v>
      </c>
      <c r="F1844" s="103">
        <f>IFERROR(INDEX(Tabella951[PLZ],MATCH(Tabella848[[#This Row],[Colonna2]],Tabella951[Ortschaftsname],0)), "Name not found")</f>
        <v>1453</v>
      </c>
    </row>
    <row r="1845" spans="2:6">
      <c r="B1845" s="92" t="s">
        <v>139</v>
      </c>
      <c r="C1845" s="91" t="s">
        <v>493</v>
      </c>
      <c r="D1845" s="93">
        <v>155</v>
      </c>
      <c r="E1845" s="93">
        <v>77</v>
      </c>
      <c r="F1845" s="103">
        <f>IFERROR(INDEX(Tabella951[PLZ],MATCH(Tabella848[[#This Row],[Colonna2]],Tabella951[Ortschaftsname],0)), "Name not found")</f>
        <v>1148</v>
      </c>
    </row>
    <row r="1846" spans="2:6">
      <c r="B1846" s="92" t="s">
        <v>139</v>
      </c>
      <c r="C1846" s="91" t="s">
        <v>349</v>
      </c>
      <c r="D1846" s="93">
        <v>155</v>
      </c>
      <c r="E1846" s="93">
        <v>59.5</v>
      </c>
      <c r="F1846" s="103">
        <v>1031</v>
      </c>
    </row>
    <row r="1847" spans="2:6">
      <c r="B1847" s="92" t="s">
        <v>139</v>
      </c>
      <c r="C1847" s="91" t="s">
        <v>262</v>
      </c>
      <c r="D1847" s="93">
        <v>155</v>
      </c>
      <c r="E1847" s="93">
        <v>53</v>
      </c>
      <c r="F1847" s="103">
        <f>IFERROR(INDEX(Tabella951[PLZ],MATCH(Tabella848[[#This Row],[Colonna2]],Tabella951[Ortschaftsname],0)), "Name not found")</f>
        <v>1295</v>
      </c>
    </row>
    <row r="1848" spans="2:6">
      <c r="B1848" s="92" t="s">
        <v>139</v>
      </c>
      <c r="C1848" s="91" t="s">
        <v>435</v>
      </c>
      <c r="D1848" s="93">
        <v>155</v>
      </c>
      <c r="E1848" s="93">
        <v>69</v>
      </c>
      <c r="F1848" s="103">
        <f>IFERROR(INDEX(Tabella951[PLZ],MATCH(Tabella848[[#This Row],[Colonna2]],Tabella951[Ortschaftsname],0)), "Name not found")</f>
        <v>1565</v>
      </c>
    </row>
    <row r="1849" spans="2:6">
      <c r="B1849" s="92" t="s">
        <v>139</v>
      </c>
      <c r="C1849" s="91" t="s">
        <v>442</v>
      </c>
      <c r="D1849" s="93">
        <v>155</v>
      </c>
      <c r="E1849" s="93">
        <v>76</v>
      </c>
      <c r="F1849" s="103">
        <v>1148</v>
      </c>
    </row>
    <row r="1850" spans="2:6">
      <c r="B1850" s="92" t="s">
        <v>139</v>
      </c>
      <c r="C1850" s="91" t="s">
        <v>446</v>
      </c>
      <c r="D1850" s="93">
        <v>155</v>
      </c>
      <c r="E1850" s="93">
        <v>74</v>
      </c>
      <c r="F1850" s="103">
        <v>1146</v>
      </c>
    </row>
    <row r="1851" spans="2:6">
      <c r="B1851" s="92" t="s">
        <v>139</v>
      </c>
      <c r="C1851" s="91" t="s">
        <v>458</v>
      </c>
      <c r="D1851" s="93">
        <v>155</v>
      </c>
      <c r="E1851" s="93">
        <v>81</v>
      </c>
      <c r="F1851" s="103">
        <f>IFERROR(INDEX(Tabella951[PLZ],MATCH(Tabella848[[#This Row],[Colonna2]],Tabella951[Ortschaftsname],0)), "Name not found")</f>
        <v>1415</v>
      </c>
    </row>
    <row r="1852" spans="2:6">
      <c r="B1852" s="92" t="s">
        <v>139</v>
      </c>
      <c r="C1852" s="91" t="s">
        <v>410</v>
      </c>
      <c r="D1852" s="93">
        <v>155</v>
      </c>
      <c r="E1852" s="93">
        <v>76</v>
      </c>
      <c r="F1852" s="103">
        <f>IFERROR(INDEX(Tabella951[PLZ],MATCH(Tabella848[[#This Row],[Colonna2]],Tabella951[Ortschaftsname],0)), "Name not found")</f>
        <v>1148</v>
      </c>
    </row>
    <row r="1853" spans="2:6">
      <c r="B1853" s="92" t="s">
        <v>139</v>
      </c>
      <c r="C1853" s="91" t="s">
        <v>249</v>
      </c>
      <c r="D1853" s="93">
        <v>155</v>
      </c>
      <c r="E1853" s="93">
        <v>63.5</v>
      </c>
      <c r="F1853" s="103">
        <f>IFERROR(INDEX(Tabella951[PLZ],MATCH(Tabella848[[#This Row],[Colonna2]],Tabella951[Ortschaftsname],0)), "Name not found")</f>
        <v>1185</v>
      </c>
    </row>
    <row r="1854" spans="2:6">
      <c r="B1854" s="92" t="s">
        <v>139</v>
      </c>
      <c r="C1854" s="91" t="s">
        <v>350</v>
      </c>
      <c r="D1854" s="93">
        <v>155</v>
      </c>
      <c r="E1854" s="93">
        <v>64.5</v>
      </c>
      <c r="F1854" s="103">
        <f>IFERROR(INDEX(Tabella951[PLZ],MATCH(Tabella848[[#This Row],[Colonna2]],Tabella951[Ortschaftsname],0)), "Name not found")</f>
        <v>1442</v>
      </c>
    </row>
    <row r="1855" spans="2:6">
      <c r="B1855" s="92" t="s">
        <v>139</v>
      </c>
      <c r="C1855" s="91" t="s">
        <v>252</v>
      </c>
      <c r="D1855" s="93">
        <v>155</v>
      </c>
      <c r="E1855" s="93">
        <v>70</v>
      </c>
      <c r="F1855" s="103">
        <v>1410</v>
      </c>
    </row>
    <row r="1856" spans="2:6">
      <c r="B1856" s="92" t="s">
        <v>139</v>
      </c>
      <c r="C1856" s="91" t="s">
        <v>390</v>
      </c>
      <c r="D1856" s="93">
        <v>155</v>
      </c>
      <c r="E1856" s="93">
        <v>72</v>
      </c>
      <c r="F1856" s="103">
        <f>IFERROR(INDEX(Tabella951[PLZ],MATCH(Tabella848[[#This Row],[Colonna2]],Tabella951[Ortschaftsname],0)), "Name not found")</f>
        <v>1354</v>
      </c>
    </row>
    <row r="1857" spans="2:6">
      <c r="B1857" s="92" t="s">
        <v>139</v>
      </c>
      <c r="C1857" s="91" t="s">
        <v>268</v>
      </c>
      <c r="D1857" s="93">
        <v>155</v>
      </c>
      <c r="E1857" s="93">
        <v>72.5</v>
      </c>
      <c r="F1857" s="103">
        <v>1041</v>
      </c>
    </row>
    <row r="1858" spans="2:6">
      <c r="B1858" s="92" t="s">
        <v>139</v>
      </c>
      <c r="C1858" s="91" t="s">
        <v>358</v>
      </c>
      <c r="D1858" s="93">
        <v>155</v>
      </c>
      <c r="E1858" s="93">
        <v>74.5</v>
      </c>
      <c r="F1858" s="103">
        <f>IFERROR(INDEX(Tabella951[PLZ],MATCH(Tabella848[[#This Row],[Colonna2]],Tabella951[Ortschaftsname],0)), "Name not found")</f>
        <v>1081</v>
      </c>
    </row>
    <row r="1859" spans="2:6">
      <c r="B1859" s="92" t="s">
        <v>139</v>
      </c>
      <c r="C1859" s="91" t="s">
        <v>186</v>
      </c>
      <c r="D1859" s="93">
        <v>155</v>
      </c>
      <c r="E1859" s="93">
        <v>65</v>
      </c>
      <c r="F1859" s="103">
        <f>IFERROR(INDEX(Tabella951[PLZ],MATCH(Tabella848[[#This Row],[Colonna2]],Tabella951[Ortschaftsname],0)), "Name not found")</f>
        <v>1820</v>
      </c>
    </row>
    <row r="1860" spans="2:6">
      <c r="B1860" s="92" t="s">
        <v>139</v>
      </c>
      <c r="C1860" s="91" t="s">
        <v>321</v>
      </c>
      <c r="D1860" s="93">
        <v>155</v>
      </c>
      <c r="E1860" s="93">
        <v>64</v>
      </c>
      <c r="F1860" s="103">
        <f>IFERROR(INDEX(Tabella951[PLZ],MATCH(Tabella848[[#This Row],[Colonna2]],Tabella951[Ortschaftsname],0)), "Name not found")</f>
        <v>1147</v>
      </c>
    </row>
    <row r="1861" spans="2:6">
      <c r="B1861" s="92" t="s">
        <v>139</v>
      </c>
      <c r="C1861" s="91" t="s">
        <v>192</v>
      </c>
      <c r="D1861" s="93">
        <v>155</v>
      </c>
      <c r="E1861" s="93">
        <v>67</v>
      </c>
      <c r="F1861" s="103">
        <f>IFERROR(INDEX(Tabella951[PLZ],MATCH(Tabella848[[#This Row],[Colonna2]],Tabella951[Ortschaftsname],0)), "Name not found")</f>
        <v>1110</v>
      </c>
    </row>
    <row r="1862" spans="2:6">
      <c r="B1862" s="92" t="s">
        <v>139</v>
      </c>
      <c r="C1862" s="91" t="s">
        <v>306</v>
      </c>
      <c r="D1862" s="93">
        <v>155</v>
      </c>
      <c r="E1862" s="93">
        <v>74</v>
      </c>
      <c r="F1862" s="103">
        <v>1054</v>
      </c>
    </row>
    <row r="1863" spans="2:6">
      <c r="B1863" s="92" t="s">
        <v>139</v>
      </c>
      <c r="C1863" s="91" t="s">
        <v>210</v>
      </c>
      <c r="D1863" s="93">
        <v>155</v>
      </c>
      <c r="E1863" s="93">
        <v>72.5</v>
      </c>
      <c r="F1863" s="103">
        <f>IFERROR(INDEX(Tabella951[PLZ],MATCH(Tabella848[[#This Row],[Colonna2]],Tabella951[Ortschaftsname],0)), "Name not found")</f>
        <v>1510</v>
      </c>
    </row>
    <row r="1864" spans="2:6">
      <c r="B1864" s="92" t="s">
        <v>139</v>
      </c>
      <c r="C1864" s="91" t="s">
        <v>476</v>
      </c>
      <c r="D1864" s="93">
        <v>155</v>
      </c>
      <c r="E1864" s="93">
        <v>80</v>
      </c>
      <c r="F1864" s="103">
        <f>IFERROR(INDEX(Tabella951[PLZ],MATCH(Tabella848[[#This Row],[Colonna2]],Tabella951[Ortschaftsname],0)), "Name not found")</f>
        <v>1428</v>
      </c>
    </row>
    <row r="1865" spans="2:6">
      <c r="B1865" s="92" t="s">
        <v>139</v>
      </c>
      <c r="C1865" s="91" t="s">
        <v>491</v>
      </c>
      <c r="D1865" s="93">
        <v>155</v>
      </c>
      <c r="E1865" s="93">
        <v>76</v>
      </c>
      <c r="F1865" s="103">
        <f>IFERROR(INDEX(Tabella951[PLZ],MATCH(Tabella848[[#This Row],[Colonna2]],Tabella951[Ortschaftsname],0)), "Name not found")</f>
        <v>1431</v>
      </c>
    </row>
    <row r="1866" spans="2:6">
      <c r="B1866" s="92" t="s">
        <v>139</v>
      </c>
      <c r="C1866" s="91" t="s">
        <v>310</v>
      </c>
      <c r="D1866" s="93">
        <v>155</v>
      </c>
      <c r="E1866" s="93">
        <v>75</v>
      </c>
      <c r="F1866" s="103">
        <f>IFERROR(INDEX(Tabella951[PLZ],MATCH(Tabella848[[#This Row],[Colonna2]],Tabella951[Ortschaftsname],0)), "Name not found")</f>
        <v>1845</v>
      </c>
    </row>
    <row r="1867" spans="2:6">
      <c r="B1867" s="92" t="s">
        <v>139</v>
      </c>
      <c r="C1867" s="91" t="s">
        <v>188</v>
      </c>
      <c r="D1867" s="93">
        <v>155</v>
      </c>
      <c r="E1867" s="93">
        <v>61</v>
      </c>
      <c r="F1867" s="103">
        <f>IFERROR(INDEX(Tabella951[PLZ],MATCH(Tabella848[[#This Row],[Colonna2]],Tabella951[Ortschaftsname],0)), "Name not found")</f>
        <v>1260</v>
      </c>
    </row>
    <row r="1868" spans="2:6">
      <c r="B1868" s="92" t="s">
        <v>139</v>
      </c>
      <c r="C1868" s="91" t="s">
        <v>444</v>
      </c>
      <c r="D1868" s="93">
        <v>155</v>
      </c>
      <c r="E1868" s="93">
        <v>78</v>
      </c>
      <c r="F1868" s="103">
        <f>IFERROR(INDEX(Tabella951[PLZ],MATCH(Tabella848[[#This Row],[Colonna2]],Tabella951[Ortschaftsname],0)), "Name not found")</f>
        <v>1045</v>
      </c>
    </row>
    <row r="1869" spans="2:6">
      <c r="B1869" s="92" t="s">
        <v>139</v>
      </c>
      <c r="C1869" s="91" t="s">
        <v>206</v>
      </c>
      <c r="D1869" s="93">
        <v>155</v>
      </c>
      <c r="E1869" s="93">
        <v>68</v>
      </c>
      <c r="F1869" s="103">
        <v>1867</v>
      </c>
    </row>
    <row r="1870" spans="2:6">
      <c r="B1870" s="92" t="s">
        <v>139</v>
      </c>
      <c r="C1870" s="91" t="s">
        <v>394</v>
      </c>
      <c r="D1870" s="93">
        <v>155</v>
      </c>
      <c r="E1870" s="93">
        <v>63.5</v>
      </c>
      <c r="F1870" s="103">
        <v>1425</v>
      </c>
    </row>
    <row r="1871" spans="2:6">
      <c r="B1871" s="92" t="s">
        <v>139</v>
      </c>
      <c r="C1871" s="91" t="s">
        <v>470</v>
      </c>
      <c r="D1871" s="93">
        <v>155</v>
      </c>
      <c r="E1871" s="93">
        <v>79</v>
      </c>
      <c r="F1871" s="103">
        <f>IFERROR(INDEX(Tabella951[PLZ],MATCH(Tabella848[[#This Row],[Colonna2]],Tabella951[Ortschaftsname],0)), "Name not found")</f>
        <v>1047</v>
      </c>
    </row>
    <row r="1872" spans="2:6">
      <c r="B1872" s="92" t="s">
        <v>139</v>
      </c>
      <c r="C1872" s="91" t="s">
        <v>207</v>
      </c>
      <c r="D1872" s="93">
        <v>155</v>
      </c>
      <c r="E1872" s="93">
        <v>75.5</v>
      </c>
      <c r="F1872" s="103">
        <f>IFERROR(INDEX(Tabella951[PLZ],MATCH(Tabella848[[#This Row],[Colonna2]],Tabella951[Ortschaftsname],0)), "Name not found")</f>
        <v>1350</v>
      </c>
    </row>
    <row r="1873" spans="2:6">
      <c r="B1873" s="92" t="s">
        <v>139</v>
      </c>
      <c r="C1873" s="91" t="s">
        <v>438</v>
      </c>
      <c r="D1873" s="93">
        <v>155</v>
      </c>
      <c r="E1873" s="93">
        <v>74</v>
      </c>
      <c r="F1873" s="103">
        <f>IFERROR(INDEX(Tabella951[PLZ],MATCH(Tabella848[[#This Row],[Colonna2]],Tabella951[Ortschaftsname],0)), "Name not found")</f>
        <v>1430</v>
      </c>
    </row>
    <row r="1874" spans="2:6">
      <c r="B1874" s="92" t="s">
        <v>139</v>
      </c>
      <c r="C1874" s="91" t="s">
        <v>302</v>
      </c>
      <c r="D1874" s="93">
        <v>155</v>
      </c>
      <c r="E1874" s="93">
        <v>77</v>
      </c>
      <c r="F1874" s="103">
        <v>1866</v>
      </c>
    </row>
    <row r="1875" spans="2:6">
      <c r="B1875" s="92" t="s">
        <v>139</v>
      </c>
      <c r="C1875" s="91" t="s">
        <v>282</v>
      </c>
      <c r="D1875" s="93">
        <v>155</v>
      </c>
      <c r="E1875" s="93">
        <v>76</v>
      </c>
      <c r="F1875" s="103">
        <v>1865</v>
      </c>
    </row>
    <row r="1876" spans="2:6">
      <c r="B1876" s="92" t="s">
        <v>139</v>
      </c>
      <c r="C1876" s="91" t="s">
        <v>433</v>
      </c>
      <c r="D1876" s="93">
        <v>155</v>
      </c>
      <c r="E1876" s="93">
        <v>73</v>
      </c>
      <c r="F1876" s="103">
        <f>IFERROR(INDEX(Tabella951[PLZ],MATCH(Tabella848[[#This Row],[Colonna2]],Tabella951[Ortschaftsname],0)), "Name not found")</f>
        <v>1317</v>
      </c>
    </row>
    <row r="1877" spans="2:6">
      <c r="B1877" s="92" t="s">
        <v>139</v>
      </c>
      <c r="C1877" s="91" t="s">
        <v>214</v>
      </c>
      <c r="D1877" s="93">
        <v>155</v>
      </c>
      <c r="E1877" s="93">
        <v>69</v>
      </c>
      <c r="F1877" s="103">
        <v>1607</v>
      </c>
    </row>
    <row r="1878" spans="2:6">
      <c r="B1878" s="92" t="s">
        <v>139</v>
      </c>
      <c r="C1878" s="91" t="s">
        <v>214</v>
      </c>
      <c r="D1878" s="93">
        <v>155</v>
      </c>
      <c r="E1878" s="93">
        <v>69</v>
      </c>
      <c r="F1878" s="103">
        <v>1610</v>
      </c>
    </row>
    <row r="1879" spans="2:6">
      <c r="B1879" s="92" t="s">
        <v>139</v>
      </c>
      <c r="C1879" s="91" t="s">
        <v>471</v>
      </c>
      <c r="D1879" s="93">
        <v>155</v>
      </c>
      <c r="E1879" s="93">
        <v>79</v>
      </c>
      <c r="F1879" s="103">
        <f>IFERROR(INDEX(Tabella951[PLZ],MATCH(Tabella848[[#This Row],[Colonna2]],Tabella951[Ortschaftsname],0)), "Name not found")</f>
        <v>1413</v>
      </c>
    </row>
    <row r="1880" spans="2:6">
      <c r="B1880" s="92" t="s">
        <v>139</v>
      </c>
      <c r="C1880" s="91" t="s">
        <v>370</v>
      </c>
      <c r="D1880" s="93">
        <v>155</v>
      </c>
      <c r="E1880" s="93">
        <v>71</v>
      </c>
      <c r="F1880" s="103">
        <f>IFERROR(INDEX(Tabella951[PLZ],MATCH(Tabella848[[#This Row],[Colonna2]],Tabella951[Ortschaftsname],0)), "Name not found")</f>
        <v>1377</v>
      </c>
    </row>
    <row r="1881" spans="2:6">
      <c r="B1881" s="92" t="s">
        <v>139</v>
      </c>
      <c r="C1881" s="91" t="s">
        <v>377</v>
      </c>
      <c r="D1881" s="93">
        <v>155</v>
      </c>
      <c r="E1881" s="93">
        <v>76</v>
      </c>
      <c r="F1881" s="103">
        <f>IFERROR(INDEX(Tabella951[PLZ],MATCH(Tabella848[[#This Row],[Colonna2]],Tabella951[Ortschaftsname],0)), "Name not found")</f>
        <v>1416</v>
      </c>
    </row>
    <row r="1882" spans="2:6">
      <c r="B1882" s="92" t="s">
        <v>139</v>
      </c>
      <c r="C1882" s="91" t="s">
        <v>280</v>
      </c>
      <c r="D1882" s="93">
        <v>155</v>
      </c>
      <c r="E1882" s="93">
        <v>66.5</v>
      </c>
      <c r="F1882" s="103">
        <f>IFERROR(INDEX(Tabella951[PLZ],MATCH(Tabella848[[#This Row],[Colonna2]],Tabella951[Ortschaftsname],0)), "Name not found")</f>
        <v>1094</v>
      </c>
    </row>
    <row r="1883" spans="2:6">
      <c r="B1883" s="92" t="s">
        <v>139</v>
      </c>
      <c r="C1883" s="91" t="s">
        <v>199</v>
      </c>
      <c r="D1883" s="93">
        <v>155</v>
      </c>
      <c r="E1883" s="93">
        <v>70</v>
      </c>
      <c r="F1883" s="103">
        <f>IFERROR(INDEX(Tabella951[PLZ],MATCH(Tabella848[[#This Row],[Colonna2]],Tabella951[Ortschaftsname],0)), "Name not found")</f>
        <v>1530</v>
      </c>
    </row>
    <row r="1884" spans="2:6">
      <c r="B1884" s="92" t="s">
        <v>139</v>
      </c>
      <c r="C1884" s="91" t="s">
        <v>237</v>
      </c>
      <c r="D1884" s="93">
        <v>155</v>
      </c>
      <c r="E1884" s="93">
        <v>72.5</v>
      </c>
      <c r="F1884" s="103">
        <f>IFERROR(INDEX(Tabella951[PLZ],MATCH(Tabella848[[#This Row],[Colonna2]],Tabella951[Ortschaftsname],0)), "Name not found")</f>
        <v>1305</v>
      </c>
    </row>
    <row r="1885" spans="2:6">
      <c r="B1885" s="92" t="s">
        <v>139</v>
      </c>
      <c r="C1885" s="91" t="s">
        <v>269</v>
      </c>
      <c r="D1885" s="93">
        <v>155</v>
      </c>
      <c r="E1885" s="93">
        <v>69.5</v>
      </c>
      <c r="F1885" s="103">
        <f>IFERROR(INDEX(Tabella951[PLZ],MATCH(Tabella848[[#This Row],[Colonna2]],Tabella951[Ortschaftsname],0)), "Name not found")</f>
        <v>1303</v>
      </c>
    </row>
    <row r="1886" spans="2:6">
      <c r="B1886" s="92" t="s">
        <v>139</v>
      </c>
      <c r="C1886" s="91" t="s">
        <v>411</v>
      </c>
      <c r="D1886" s="93">
        <v>155</v>
      </c>
      <c r="E1886" s="93">
        <v>74</v>
      </c>
      <c r="F1886" s="103">
        <f>IFERROR(INDEX(Tabella951[PLZ],MATCH(Tabella848[[#This Row],[Colonna2]],Tabella951[Ortschaftsname],0)), "Name not found")</f>
        <v>1375</v>
      </c>
    </row>
    <row r="1887" spans="2:6">
      <c r="B1887" s="92" t="s">
        <v>139</v>
      </c>
      <c r="C1887" s="91" t="s">
        <v>278</v>
      </c>
      <c r="D1887" s="93">
        <v>155</v>
      </c>
      <c r="E1887" s="93">
        <v>58.5</v>
      </c>
      <c r="F1887" s="103">
        <f>IFERROR(INDEX(Tabella951[PLZ],MATCH(Tabella848[[#This Row],[Colonna2]],Tabella951[Ortschaftsname],0)), "Name not found")</f>
        <v>1166</v>
      </c>
    </row>
    <row r="1888" spans="2:6">
      <c r="B1888" s="92" t="s">
        <v>139</v>
      </c>
      <c r="C1888" s="91" t="s">
        <v>339</v>
      </c>
      <c r="D1888" s="93">
        <v>155</v>
      </c>
      <c r="E1888" s="93">
        <v>73</v>
      </c>
      <c r="F1888" s="103">
        <f>IFERROR(INDEX(Tabella951[PLZ],MATCH(Tabella848[[#This Row],[Colonna2]],Tabella951[Ortschaftsname],0)), "Name not found")</f>
        <v>1041</v>
      </c>
    </row>
    <row r="1889" spans="2:6">
      <c r="B1889" s="92" t="s">
        <v>139</v>
      </c>
      <c r="C1889" s="91" t="s">
        <v>338</v>
      </c>
      <c r="D1889" s="93">
        <v>155</v>
      </c>
      <c r="E1889" s="93">
        <v>66</v>
      </c>
      <c r="F1889" s="103">
        <f>IFERROR(INDEX(Tabella951[PLZ],MATCH(Tabella848[[#This Row],[Colonna2]],Tabella951[Ortschaftsname],0)), "Name not found")</f>
        <v>1318</v>
      </c>
    </row>
    <row r="1890" spans="2:6">
      <c r="B1890" s="92" t="s">
        <v>139</v>
      </c>
      <c r="C1890" s="91" t="s">
        <v>345</v>
      </c>
      <c r="D1890" s="93">
        <v>155</v>
      </c>
      <c r="E1890" s="93">
        <v>71</v>
      </c>
      <c r="F1890" s="103">
        <f>IFERROR(INDEX(Tabella951[PLZ],MATCH(Tabella848[[#This Row],[Colonna2]],Tabella951[Ortschaftsname],0)), "Name not found")</f>
        <v>1405</v>
      </c>
    </row>
    <row r="1891" spans="2:6">
      <c r="B1891" s="92" t="s">
        <v>139</v>
      </c>
      <c r="C1891" s="91" t="s">
        <v>225</v>
      </c>
      <c r="D1891" s="93">
        <v>155</v>
      </c>
      <c r="E1891" s="93">
        <v>55</v>
      </c>
      <c r="F1891" s="103">
        <f>IFERROR(INDEX(Tabella951[PLZ],MATCH(Tabella848[[#This Row],[Colonna2]],Tabella951[Ortschaftsname],0)), "Name not found")</f>
        <v>1197</v>
      </c>
    </row>
    <row r="1892" spans="2:6">
      <c r="B1892" s="92" t="s">
        <v>139</v>
      </c>
      <c r="C1892" s="91" t="s">
        <v>465</v>
      </c>
      <c r="D1892" s="93">
        <v>155</v>
      </c>
      <c r="E1892" s="93">
        <v>79.5</v>
      </c>
      <c r="F1892" s="103">
        <f>IFERROR(INDEX(Tabella951[PLZ],MATCH(Tabella848[[#This Row],[Colonna2]],Tabella951[Ortschaftsname],0)), "Name not found")</f>
        <v>1324</v>
      </c>
    </row>
    <row r="1893" spans="2:6">
      <c r="B1893" s="92" t="s">
        <v>139</v>
      </c>
      <c r="C1893" s="91" t="s">
        <v>195</v>
      </c>
      <c r="D1893" s="93">
        <v>155</v>
      </c>
      <c r="E1893" s="93">
        <v>72.5</v>
      </c>
      <c r="F1893" s="103">
        <f>IFERROR(INDEX(Tabella951[PLZ],MATCH(Tabella848[[#This Row],[Colonna2]],Tabella951[Ortschaftsname],0)), "Name not found")</f>
        <v>1008</v>
      </c>
    </row>
    <row r="1894" spans="2:6">
      <c r="B1894" s="92" t="s">
        <v>139</v>
      </c>
      <c r="C1894" s="91" t="s">
        <v>418</v>
      </c>
      <c r="D1894" s="93">
        <v>155</v>
      </c>
      <c r="E1894" s="93">
        <v>81</v>
      </c>
      <c r="F1894" s="103">
        <f>IFERROR(INDEX(Tabella951[PLZ],MATCH(Tabella848[[#This Row],[Colonna2]],Tabella951[Ortschaftsname],0)), "Name not found")</f>
        <v>1428</v>
      </c>
    </row>
    <row r="1895" spans="2:6">
      <c r="B1895" s="92" t="s">
        <v>139</v>
      </c>
      <c r="C1895" s="91" t="s">
        <v>215</v>
      </c>
      <c r="D1895" s="93">
        <v>155</v>
      </c>
      <c r="E1895" s="93">
        <v>65</v>
      </c>
      <c r="F1895" s="103">
        <f>IFERROR(INDEX(Tabella951[PLZ],MATCH(Tabella848[[#This Row],[Colonna2]],Tabella951[Ortschaftsname],0)), "Name not found")</f>
        <v>1028</v>
      </c>
    </row>
    <row r="1896" spans="2:6">
      <c r="B1896" s="92" t="s">
        <v>139</v>
      </c>
      <c r="C1896" s="91" t="s">
        <v>478</v>
      </c>
      <c r="D1896" s="93">
        <v>155</v>
      </c>
      <c r="E1896" s="93">
        <v>72.5</v>
      </c>
      <c r="F1896" s="103">
        <f>IFERROR(INDEX(Tabella951[PLZ],MATCH(Tabella848[[#This Row],[Colonna2]],Tabella951[Ortschaftsname],0)), "Name not found")</f>
        <v>1682</v>
      </c>
    </row>
    <row r="1897" spans="2:6">
      <c r="B1897" s="92" t="s">
        <v>139</v>
      </c>
      <c r="C1897" s="91" t="s">
        <v>244</v>
      </c>
      <c r="D1897" s="93">
        <v>155</v>
      </c>
      <c r="E1897" s="93">
        <v>68.5</v>
      </c>
      <c r="F1897" s="103">
        <f>IFERROR(INDEX(Tabella951[PLZ],MATCH(Tabella848[[#This Row],[Colonna2]],Tabella951[Ortschaftsname],0)), "Name not found")</f>
        <v>1070</v>
      </c>
    </row>
    <row r="1898" spans="2:6">
      <c r="B1898" s="92" t="s">
        <v>139</v>
      </c>
      <c r="C1898" s="91" t="s">
        <v>191</v>
      </c>
      <c r="D1898" s="93">
        <v>155</v>
      </c>
      <c r="E1898" s="93">
        <v>61</v>
      </c>
      <c r="F1898" s="103">
        <f>IFERROR(INDEX(Tabella951[PLZ],MATCH(Tabella848[[#This Row],[Colonna2]],Tabella951[Ortschaftsname],0)), "Name not found")</f>
        <v>1009</v>
      </c>
    </row>
    <row r="1899" spans="2:6">
      <c r="B1899" s="92" t="s">
        <v>139</v>
      </c>
      <c r="C1899" s="91" t="s">
        <v>388</v>
      </c>
      <c r="D1899" s="93">
        <v>155</v>
      </c>
      <c r="E1899" s="93">
        <v>76.5</v>
      </c>
      <c r="F1899" s="103">
        <f>IFERROR(INDEX(Tabella951[PLZ],MATCH(Tabella848[[#This Row],[Colonna2]],Tabella951[Ortschaftsname],0)), "Name not found")</f>
        <v>1439</v>
      </c>
    </row>
    <row r="1900" spans="2:6">
      <c r="B1900" s="92" t="s">
        <v>139</v>
      </c>
      <c r="C1900" s="91" t="s">
        <v>187</v>
      </c>
      <c r="D1900" s="93">
        <v>155</v>
      </c>
      <c r="E1900" s="93">
        <v>77</v>
      </c>
      <c r="F1900" s="103">
        <v>1020</v>
      </c>
    </row>
    <row r="1901" spans="2:6">
      <c r="B1901" s="92" t="s">
        <v>139</v>
      </c>
      <c r="C1901" s="91" t="s">
        <v>341</v>
      </c>
      <c r="D1901" s="93">
        <v>155</v>
      </c>
      <c r="E1901" s="93">
        <v>66</v>
      </c>
      <c r="F1901" s="103">
        <f>IFERROR(INDEX(Tabella951[PLZ],MATCH(Tabella848[[#This Row],[Colonna2]],Tabella951[Ortschaftsname],0)), "Name not found")</f>
        <v>1847</v>
      </c>
    </row>
    <row r="1902" spans="2:6">
      <c r="B1902" s="92" t="s">
        <v>139</v>
      </c>
      <c r="C1902" s="91" t="s">
        <v>434</v>
      </c>
      <c r="D1902" s="93">
        <v>155</v>
      </c>
      <c r="E1902" s="93">
        <v>62</v>
      </c>
      <c r="F1902" s="103">
        <f>IFERROR(INDEX(Tabella951[PLZ],MATCH(Tabella848[[#This Row],[Colonna2]],Tabella951[Ortschaftsname],0)), "Name not found")</f>
        <v>1071</v>
      </c>
    </row>
    <row r="1903" spans="2:6">
      <c r="B1903" s="92" t="s">
        <v>139</v>
      </c>
      <c r="C1903" s="91" t="s">
        <v>270</v>
      </c>
      <c r="D1903" s="93">
        <v>155</v>
      </c>
      <c r="E1903" s="93">
        <v>68</v>
      </c>
      <c r="F1903" s="103">
        <v>1852</v>
      </c>
    </row>
    <row r="1904" spans="2:6">
      <c r="B1904" s="92" t="s">
        <v>139</v>
      </c>
      <c r="C1904" s="91" t="s">
        <v>208</v>
      </c>
      <c r="D1904" s="93">
        <v>155</v>
      </c>
      <c r="E1904" s="93">
        <v>59.5</v>
      </c>
      <c r="F1904" s="103">
        <f>IFERROR(INDEX(Tabella951[PLZ],MATCH(Tabella848[[#This Row],[Colonna2]],Tabella951[Ortschaftsname],0)), "Name not found")</f>
        <v>1180</v>
      </c>
    </row>
    <row r="1905" spans="2:6">
      <c r="B1905" s="92" t="s">
        <v>139</v>
      </c>
      <c r="C1905" s="91" t="s">
        <v>373</v>
      </c>
      <c r="D1905" s="93">
        <v>155</v>
      </c>
      <c r="E1905" s="93">
        <v>81</v>
      </c>
      <c r="F1905" s="103">
        <v>1323</v>
      </c>
    </row>
    <row r="1906" spans="2:6">
      <c r="B1906" s="92" t="s">
        <v>139</v>
      </c>
      <c r="C1906" s="91" t="s">
        <v>235</v>
      </c>
      <c r="D1906" s="93">
        <v>155</v>
      </c>
      <c r="E1906" s="93">
        <v>70.5</v>
      </c>
      <c r="F1906" s="103">
        <f>IFERROR(INDEX(Tabella951[PLZ],MATCH(Tabella848[[#This Row],[Colonna2]],Tabella951[Ortschaftsname],0)), "Name not found")</f>
        <v>1032</v>
      </c>
    </row>
    <row r="1907" spans="2:6">
      <c r="B1907" s="92" t="s">
        <v>139</v>
      </c>
      <c r="C1907" s="91" t="s">
        <v>397</v>
      </c>
      <c r="D1907" s="93">
        <v>155</v>
      </c>
      <c r="E1907" s="93">
        <v>56</v>
      </c>
      <c r="F1907" s="103">
        <f>IFERROR(INDEX(Tabella951[PLZ],MATCH(Tabella848[[#This Row],[Colonna2]],Tabella951[Ortschaftsname],0)), "Name not found")</f>
        <v>1122</v>
      </c>
    </row>
    <row r="1908" spans="2:6">
      <c r="B1908" s="92" t="s">
        <v>139</v>
      </c>
      <c r="C1908" s="91" t="s">
        <v>401</v>
      </c>
      <c r="D1908" s="93">
        <v>155</v>
      </c>
      <c r="E1908" s="93">
        <v>77.5</v>
      </c>
      <c r="F1908" s="103">
        <f>IFERROR(INDEX(Tabella951[PLZ],MATCH(Tabella848[[#This Row],[Colonna2]],Tabella951[Ortschaftsname],0)), "Name not found")</f>
        <v>1088</v>
      </c>
    </row>
    <row r="1909" spans="2:6">
      <c r="B1909" s="92" t="s">
        <v>139</v>
      </c>
      <c r="C1909" s="91" t="s">
        <v>492</v>
      </c>
      <c r="D1909" s="93">
        <v>155</v>
      </c>
      <c r="E1909" s="93">
        <v>65</v>
      </c>
      <c r="F1909" s="103">
        <f>IFERROR(INDEX(Tabella951[PLZ],MATCH(Tabella848[[#This Row],[Colonna2]],Tabella951[Ortschaftsname],0)), "Name not found")</f>
        <v>1513</v>
      </c>
    </row>
    <row r="1910" spans="2:6">
      <c r="B1910" s="92" t="s">
        <v>139</v>
      </c>
      <c r="C1910" s="91" t="s">
        <v>376</v>
      </c>
      <c r="D1910" s="93">
        <v>155</v>
      </c>
      <c r="E1910" s="93">
        <v>81</v>
      </c>
      <c r="F1910" s="103">
        <f>IFERROR(INDEX(Tabella951[PLZ],MATCH(Tabella848[[#This Row],[Colonna2]],Tabella951[Ortschaftsname],0)), "Name not found")</f>
        <v>1658</v>
      </c>
    </row>
    <row r="1911" spans="2:6">
      <c r="B1911" s="92" t="s">
        <v>139</v>
      </c>
      <c r="C1911" s="91" t="s">
        <v>333</v>
      </c>
      <c r="D1911" s="93">
        <v>155</v>
      </c>
      <c r="E1911" s="93">
        <v>79</v>
      </c>
      <c r="F1911" s="103">
        <f>IFERROR(INDEX(Tabella951[PLZ],MATCH(Tabella848[[#This Row],[Colonna2]],Tabella951[Ortschaftsname],0)), "Name not found")</f>
        <v>1659</v>
      </c>
    </row>
    <row r="1912" spans="2:6">
      <c r="B1912" s="92" t="s">
        <v>139</v>
      </c>
      <c r="C1912" s="91" t="s">
        <v>474</v>
      </c>
      <c r="D1912" s="93">
        <v>155</v>
      </c>
      <c r="E1912" s="93">
        <v>73</v>
      </c>
      <c r="F1912" s="103">
        <f>IFERROR(INDEX(Tabella951[PLZ],MATCH(Tabella848[[#This Row],[Colonna2]],Tabella951[Ortschaftsname],0)), "Name not found")</f>
        <v>1463</v>
      </c>
    </row>
    <row r="1913" spans="2:6">
      <c r="B1913" s="92" t="s">
        <v>139</v>
      </c>
      <c r="C1913" s="91" t="s">
        <v>452</v>
      </c>
      <c r="D1913" s="93">
        <v>155</v>
      </c>
      <c r="E1913" s="93">
        <v>73</v>
      </c>
      <c r="F1913" s="103">
        <f>IFERROR(INDEX(Tabella951[PLZ],MATCH(Tabella848[[#This Row],[Colonna2]],Tabella951[Ortschaftsname],0)), "Name not found")</f>
        <v>1046</v>
      </c>
    </row>
    <row r="1914" spans="2:6">
      <c r="B1914" s="92" t="s">
        <v>139</v>
      </c>
      <c r="C1914" s="91" t="s">
        <v>347</v>
      </c>
      <c r="D1914" s="93">
        <v>155</v>
      </c>
      <c r="E1914" s="93">
        <v>75</v>
      </c>
      <c r="F1914" s="103">
        <v>1040</v>
      </c>
    </row>
    <row r="1915" spans="2:6">
      <c r="B1915" s="92" t="s">
        <v>139</v>
      </c>
      <c r="C1915" s="91" t="s">
        <v>255</v>
      </c>
      <c r="D1915" s="93">
        <v>155</v>
      </c>
      <c r="E1915" s="93">
        <v>66</v>
      </c>
      <c r="F1915" s="103">
        <v>1264</v>
      </c>
    </row>
    <row r="1916" spans="2:6">
      <c r="B1916" s="92" t="s">
        <v>139</v>
      </c>
      <c r="C1916" s="91" t="s">
        <v>312</v>
      </c>
      <c r="D1916" s="93">
        <v>155</v>
      </c>
      <c r="E1916" s="93">
        <v>69.5</v>
      </c>
      <c r="F1916" s="103">
        <v>1188</v>
      </c>
    </row>
    <row r="1917" spans="2:6">
      <c r="B1917" s="92" t="s">
        <v>139</v>
      </c>
      <c r="C1917" s="91" t="s">
        <v>355</v>
      </c>
      <c r="D1917" s="93">
        <v>155</v>
      </c>
      <c r="E1917" s="93">
        <v>69</v>
      </c>
      <c r="F1917" s="103">
        <v>1176</v>
      </c>
    </row>
    <row r="1918" spans="2:6">
      <c r="B1918" s="92" t="s">
        <v>139</v>
      </c>
      <c r="C1918" s="91" t="s">
        <v>429</v>
      </c>
      <c r="D1918" s="93">
        <v>155</v>
      </c>
      <c r="E1918" s="93">
        <v>79</v>
      </c>
      <c r="F1918" s="103">
        <v>1187</v>
      </c>
    </row>
    <row r="1919" spans="2:6">
      <c r="B1919" s="92" t="s">
        <v>139</v>
      </c>
      <c r="C1919" s="91" t="s">
        <v>212</v>
      </c>
      <c r="D1919" s="93">
        <v>155</v>
      </c>
      <c r="E1919" s="93">
        <v>59</v>
      </c>
      <c r="F1919" s="103">
        <v>1162</v>
      </c>
    </row>
    <row r="1920" spans="2:6">
      <c r="B1920" s="92" t="s">
        <v>139</v>
      </c>
      <c r="C1920" s="91" t="s">
        <v>417</v>
      </c>
      <c r="D1920" s="93">
        <v>155</v>
      </c>
      <c r="E1920" s="93">
        <v>55</v>
      </c>
      <c r="F1920" s="103">
        <v>1071</v>
      </c>
    </row>
    <row r="1921" spans="2:6">
      <c r="B1921" s="92" t="s">
        <v>139</v>
      </c>
      <c r="C1921" s="91" t="s">
        <v>221</v>
      </c>
      <c r="D1921" s="93">
        <v>155</v>
      </c>
      <c r="E1921" s="93">
        <v>80</v>
      </c>
      <c r="F1921" s="103">
        <v>1025</v>
      </c>
    </row>
    <row r="1922" spans="2:6">
      <c r="B1922" s="92" t="s">
        <v>139</v>
      </c>
      <c r="C1922" s="91" t="s">
        <v>218</v>
      </c>
      <c r="D1922" s="93">
        <v>155</v>
      </c>
      <c r="E1922" s="93">
        <v>70</v>
      </c>
      <c r="F1922" s="103">
        <v>1450</v>
      </c>
    </row>
    <row r="1923" spans="2:6">
      <c r="B1923" s="92" t="s">
        <v>139</v>
      </c>
      <c r="C1923" s="91" t="s">
        <v>407</v>
      </c>
      <c r="D1923" s="93">
        <v>155</v>
      </c>
      <c r="E1923" s="93">
        <v>69</v>
      </c>
      <c r="F1923" s="103">
        <f>IFERROR(INDEX(Tabella951[PLZ],MATCH(Tabella848[[#This Row],[Colonna2]],Tabella951[Ortschaftsname],0)), "Name not found")</f>
        <v>1189</v>
      </c>
    </row>
    <row r="1924" spans="2:6">
      <c r="B1924" s="92" t="s">
        <v>139</v>
      </c>
      <c r="C1924" s="91" t="s">
        <v>234</v>
      </c>
      <c r="D1924" s="93">
        <v>155</v>
      </c>
      <c r="E1924" s="93">
        <v>68.5</v>
      </c>
      <c r="F1924" s="103">
        <f>IFERROR(INDEX(Tabella951[PLZ],MATCH(Tabella848[[#This Row],[Colonna2]],Tabella951[Ortschaftsname],0)), "Name not found")</f>
        <v>1073</v>
      </c>
    </row>
    <row r="1925" spans="2:6">
      <c r="B1925" s="92" t="s">
        <v>139</v>
      </c>
      <c r="C1925" s="91" t="s">
        <v>382</v>
      </c>
      <c r="D1925" s="93">
        <v>155</v>
      </c>
      <c r="E1925" s="93">
        <v>76</v>
      </c>
      <c r="F1925" s="103">
        <f>IFERROR(INDEX(Tabella951[PLZ],MATCH(Tabella848[[#This Row],[Colonna2]],Tabella951[Ortschaftsname],0)), "Name not found")</f>
        <v>1304</v>
      </c>
    </row>
    <row r="1926" spans="2:6">
      <c r="B1926" s="92" t="s">
        <v>139</v>
      </c>
      <c r="C1926" s="91" t="s">
        <v>485</v>
      </c>
      <c r="D1926" s="93">
        <v>155</v>
      </c>
      <c r="E1926" s="93">
        <v>69</v>
      </c>
      <c r="F1926" s="103">
        <f>IFERROR(INDEX(Tabella951[PLZ],MATCH(Tabella848[[#This Row],[Colonna2]],Tabella951[Ortschaftsname],0)), "Name not found")</f>
        <v>1355</v>
      </c>
    </row>
    <row r="1927" spans="2:6">
      <c r="B1927" s="92" t="s">
        <v>139</v>
      </c>
      <c r="C1927" s="91" t="s">
        <v>266</v>
      </c>
      <c r="D1927" s="93">
        <v>155</v>
      </c>
      <c r="E1927" s="93">
        <v>58</v>
      </c>
      <c r="F1927" s="103">
        <f>IFERROR(INDEX(Tabella951[PLZ],MATCH(Tabella848[[#This Row],[Colonna2]],Tabella951[Ortschaftsname],0)), "Name not found")</f>
        <v>1077</v>
      </c>
    </row>
    <row r="1928" spans="2:6">
      <c r="B1928" s="92" t="s">
        <v>139</v>
      </c>
      <c r="C1928" s="91" t="s">
        <v>372</v>
      </c>
      <c r="D1928" s="93">
        <v>155</v>
      </c>
      <c r="E1928" s="93">
        <v>74</v>
      </c>
      <c r="F1928" s="103">
        <v>1274</v>
      </c>
    </row>
    <row r="1929" spans="2:6">
      <c r="B1929" s="92" t="s">
        <v>139</v>
      </c>
      <c r="C1929" s="91" t="s">
        <v>367</v>
      </c>
      <c r="D1929" s="93">
        <v>155</v>
      </c>
      <c r="E1929" s="93">
        <v>70</v>
      </c>
      <c r="F1929" s="103">
        <f>IFERROR(INDEX(Tabella951[PLZ],MATCH(Tabella848[[#This Row],[Colonna2]],Tabella951[Ortschaftsname],0)), "Name not found")</f>
        <v>1433</v>
      </c>
    </row>
    <row r="1930" spans="2:6">
      <c r="B1930" s="92" t="s">
        <v>139</v>
      </c>
      <c r="C1930" s="91" t="s">
        <v>316</v>
      </c>
      <c r="D1930" s="93">
        <v>155</v>
      </c>
      <c r="E1930" s="93">
        <v>64</v>
      </c>
      <c r="F1930" s="103">
        <f>IFERROR(INDEX(Tabella951[PLZ],MATCH(Tabella848[[#This Row],[Colonna2]],Tabella951[Ortschaftsname],0)), "Name not found")</f>
        <v>1036</v>
      </c>
    </row>
    <row r="1931" spans="2:6">
      <c r="B1931" s="92" t="s">
        <v>139</v>
      </c>
      <c r="C1931" s="91" t="s">
        <v>468</v>
      </c>
      <c r="D1931" s="93">
        <v>155</v>
      </c>
      <c r="E1931" s="93">
        <v>72</v>
      </c>
      <c r="F1931" s="103">
        <f>IFERROR(INDEX(Tabella951[PLZ],MATCH(Tabella848[[#This Row],[Colonna2]],Tabella951[Ortschaftsname],0)), "Name not found")</f>
        <v>1437</v>
      </c>
    </row>
    <row r="1932" spans="2:6">
      <c r="B1932" s="92" t="s">
        <v>139</v>
      </c>
      <c r="C1932" s="91" t="s">
        <v>479</v>
      </c>
      <c r="D1932" s="93">
        <v>155</v>
      </c>
      <c r="E1932" s="93">
        <v>65</v>
      </c>
      <c r="F1932" s="103">
        <f>IFERROR(INDEX(Tabella951[PLZ],MATCH(Tabella848[[#This Row],[Colonna2]],Tabella951[Ortschaftsname],0)), "Name not found")</f>
        <v>1510</v>
      </c>
    </row>
    <row r="1933" spans="2:6">
      <c r="B1933" s="92" t="s">
        <v>139</v>
      </c>
      <c r="C1933" s="91" t="s">
        <v>273</v>
      </c>
      <c r="D1933" s="93">
        <v>155</v>
      </c>
      <c r="E1933" s="93">
        <v>60.5</v>
      </c>
      <c r="F1933" s="103">
        <f>IFERROR(INDEX(Tabella951[PLZ],MATCH(Tabella848[[#This Row],[Colonna2]],Tabella951[Ortschaftsname],0)), "Name not found")</f>
        <v>1295</v>
      </c>
    </row>
    <row r="1934" spans="2:6">
      <c r="B1934" s="92" t="s">
        <v>139</v>
      </c>
      <c r="C1934" s="91" t="s">
        <v>456</v>
      </c>
      <c r="D1934" s="93">
        <v>155</v>
      </c>
      <c r="E1934" s="93">
        <v>79</v>
      </c>
      <c r="F1934" s="103">
        <f>IFERROR(INDEX(Tabella951[PLZ],MATCH(Tabella848[[#This Row],[Colonna2]],Tabella951[Ortschaftsname],0)), "Name not found")</f>
        <v>1180</v>
      </c>
    </row>
    <row r="1935" spans="2:6">
      <c r="B1935" s="92" t="s">
        <v>139</v>
      </c>
      <c r="C1935" s="91" t="s">
        <v>267</v>
      </c>
      <c r="D1935" s="93">
        <v>155</v>
      </c>
      <c r="E1935" s="93">
        <v>64</v>
      </c>
      <c r="F1935" s="103">
        <f>IFERROR(INDEX(Tabella951[PLZ],MATCH(Tabella848[[#This Row],[Colonna2]],Tabella951[Ortschaftsname],0)), "Name not found")</f>
        <v>1131</v>
      </c>
    </row>
    <row r="1936" spans="2:6">
      <c r="B1936" s="92" t="s">
        <v>139</v>
      </c>
      <c r="C1936" s="91" t="s">
        <v>449</v>
      </c>
      <c r="D1936" s="93">
        <v>155</v>
      </c>
      <c r="E1936" s="93">
        <v>78</v>
      </c>
      <c r="F1936" s="103">
        <f>IFERROR(INDEX(Tabella951[PLZ],MATCH(Tabella848[[#This Row],[Colonna2]],Tabella951[Ortschaftsname],0)), "Name not found")</f>
        <v>1552</v>
      </c>
    </row>
    <row r="1937" spans="2:6">
      <c r="B1937" s="92" t="s">
        <v>139</v>
      </c>
      <c r="C1937" s="91" t="s">
        <v>403</v>
      </c>
      <c r="D1937" s="93">
        <v>155</v>
      </c>
      <c r="E1937" s="93">
        <v>73</v>
      </c>
      <c r="F1937" s="103">
        <f>IFERROR(INDEX(Tabella951[PLZ],MATCH(Tabella848[[#This Row],[Colonna2]],Tabella951[Ortschaftsname],0)), "Name not found")</f>
        <v>1436</v>
      </c>
    </row>
    <row r="1938" spans="2:6">
      <c r="B1938" s="92" t="s">
        <v>139</v>
      </c>
      <c r="C1938" s="91" t="s">
        <v>488</v>
      </c>
      <c r="D1938" s="93">
        <v>155</v>
      </c>
      <c r="E1938" s="93">
        <v>81.5</v>
      </c>
      <c r="F1938" s="103">
        <f>IFERROR(INDEX(Tabella951[PLZ],MATCH(Tabella848[[#This Row],[Colonna2]],Tabella951[Ortschaftsname],0)), "Name not found")</f>
        <v>1538</v>
      </c>
    </row>
    <row r="1939" spans="2:6">
      <c r="B1939" s="92" t="s">
        <v>139</v>
      </c>
      <c r="C1939" s="91" t="s">
        <v>284</v>
      </c>
      <c r="D1939" s="93">
        <v>155</v>
      </c>
      <c r="E1939" s="93">
        <v>55.5</v>
      </c>
      <c r="F1939" s="103">
        <f>IFERROR(INDEX(Tabella951[PLZ],MATCH(Tabella848[[#This Row],[Colonna2]],Tabella951[Ortschaftsname],0)), "Name not found")</f>
        <v>1270</v>
      </c>
    </row>
    <row r="1940" spans="2:6">
      <c r="B1940" s="92" t="s">
        <v>139</v>
      </c>
      <c r="C1940" s="91" t="s">
        <v>340</v>
      </c>
      <c r="D1940" s="93">
        <v>155</v>
      </c>
      <c r="E1940" s="93">
        <v>71.5</v>
      </c>
      <c r="F1940" s="103">
        <v>1423</v>
      </c>
    </row>
    <row r="1941" spans="2:6">
      <c r="B1941" s="92" t="s">
        <v>139</v>
      </c>
      <c r="C1941" s="91" t="s">
        <v>464</v>
      </c>
      <c r="D1941" s="93">
        <v>155</v>
      </c>
      <c r="E1941" s="93">
        <v>75</v>
      </c>
      <c r="F1941" s="103">
        <f>IFERROR(INDEX(Tabella951[PLZ],MATCH(Tabella848[[#This Row],[Colonna2]],Tabella951[Ortschaftsname],0)), "Name not found")</f>
        <v>1412</v>
      </c>
    </row>
    <row r="1942" spans="2:6">
      <c r="B1942" s="92" t="s">
        <v>139</v>
      </c>
      <c r="C1942" s="91" t="s">
        <v>241</v>
      </c>
      <c r="D1942" s="93">
        <v>155</v>
      </c>
      <c r="E1942" s="93">
        <v>70.5</v>
      </c>
      <c r="F1942" s="103">
        <v>1523</v>
      </c>
    </row>
    <row r="1943" spans="2:6">
      <c r="B1943" s="92" t="s">
        <v>139</v>
      </c>
      <c r="C1943" s="91" t="s">
        <v>351</v>
      </c>
      <c r="D1943" s="93">
        <v>155</v>
      </c>
      <c r="E1943" s="93">
        <v>70.5</v>
      </c>
      <c r="F1943" s="103">
        <f>IFERROR(INDEX(Tabella951[PLZ],MATCH(Tabella848[[#This Row],[Colonna2]],Tabella951[Ortschaftsname],0)), "Name not found")</f>
        <v>1441</v>
      </c>
    </row>
    <row r="1944" spans="2:6">
      <c r="B1944" s="92" t="s">
        <v>139</v>
      </c>
      <c r="C1944" s="91" t="s">
        <v>363</v>
      </c>
      <c r="D1944" s="93">
        <v>155</v>
      </c>
      <c r="E1944" s="93">
        <v>71</v>
      </c>
      <c r="F1944" s="103">
        <f>IFERROR(INDEX(Tabella951[PLZ],MATCH(Tabella848[[#This Row],[Colonna2]],Tabella951[Ortschaftsname],0)), "Name not found")</f>
        <v>1358</v>
      </c>
    </row>
    <row r="1945" spans="2:6">
      <c r="B1945" s="92" t="s">
        <v>139</v>
      </c>
      <c r="C1945" s="91" t="s">
        <v>454</v>
      </c>
      <c r="D1945" s="93">
        <v>155</v>
      </c>
      <c r="E1945" s="93">
        <v>77</v>
      </c>
      <c r="F1945" s="103">
        <f>IFERROR(INDEX(Tabella951[PLZ],MATCH(Tabella848[[#This Row],[Colonna2]],Tabella951[Ortschaftsname],0)), "Name not found")</f>
        <v>1412</v>
      </c>
    </row>
    <row r="1946" spans="2:6">
      <c r="B1946" s="92" t="s">
        <v>139</v>
      </c>
      <c r="C1946" s="91" t="s">
        <v>227</v>
      </c>
      <c r="D1946" s="93">
        <v>155</v>
      </c>
      <c r="E1946" s="93">
        <v>71.5</v>
      </c>
      <c r="F1946" s="103">
        <f>IFERROR(INDEX(Tabella951[PLZ],MATCH(Tabella848[[#This Row],[Colonna2]],Tabella951[Ortschaftsname],0)), "Name not found")</f>
        <v>1337</v>
      </c>
    </row>
    <row r="1947" spans="2:6">
      <c r="B1947" s="92" t="s">
        <v>139</v>
      </c>
      <c r="C1947" s="91" t="s">
        <v>387</v>
      </c>
      <c r="D1947" s="93">
        <v>155</v>
      </c>
      <c r="E1947" s="93">
        <v>81</v>
      </c>
      <c r="F1947" s="103">
        <f>IFERROR(INDEX(Tabella951[PLZ],MATCH(Tabella848[[#This Row],[Colonna2]],Tabella951[Ortschaftsname],0)), "Name not found")</f>
        <v>1325</v>
      </c>
    </row>
    <row r="1948" spans="2:6">
      <c r="B1948" s="92" t="s">
        <v>139</v>
      </c>
      <c r="C1948" s="91" t="s">
        <v>469</v>
      </c>
      <c r="D1948" s="93">
        <v>155</v>
      </c>
      <c r="E1948" s="93">
        <v>56</v>
      </c>
      <c r="F1948" s="103">
        <f>IFERROR(INDEX(Tabella951[PLZ],MATCH(Tabella848[[#This Row],[Colonna2]],Tabella951[Ortschaftsname],0)), "Name not found")</f>
        <v>1126</v>
      </c>
    </row>
    <row r="1949" spans="2:6">
      <c r="B1949" s="92" t="s">
        <v>139</v>
      </c>
      <c r="C1949" s="91" t="s">
        <v>190</v>
      </c>
      <c r="D1949" s="93">
        <v>155</v>
      </c>
      <c r="E1949" s="93">
        <v>74.5</v>
      </c>
      <c r="F1949" s="103">
        <f>IFERROR(INDEX(Tabella951[PLZ],MATCH(Tabella848[[#This Row],[Colonna2]],Tabella951[Ortschaftsname],0)), "Name not found")</f>
        <v>1800</v>
      </c>
    </row>
    <row r="1950" spans="2:6">
      <c r="B1950" s="92" t="s">
        <v>139</v>
      </c>
      <c r="C1950" s="91" t="s">
        <v>337</v>
      </c>
      <c r="D1950" s="93">
        <v>155</v>
      </c>
      <c r="E1950" s="93">
        <v>67.5</v>
      </c>
      <c r="F1950" s="103">
        <f>IFERROR(INDEX(Tabella951[PLZ],MATCH(Tabella848[[#This Row],[Colonna2]],Tabella951[Ortschaftsname],0)), "Name not found")</f>
        <v>1820</v>
      </c>
    </row>
    <row r="1951" spans="2:6">
      <c r="B1951" s="92" t="s">
        <v>139</v>
      </c>
      <c r="C1951" s="91" t="s">
        <v>314</v>
      </c>
      <c r="D1951" s="93">
        <v>155</v>
      </c>
      <c r="E1951" s="93">
        <v>63</v>
      </c>
      <c r="F1951" s="103">
        <f>IFERROR(INDEX(Tabella951[PLZ],MATCH(Tabella848[[#This Row],[Colonna2]],Tabella951[Ortschaftsname],0)), "Name not found")</f>
        <v>1267</v>
      </c>
    </row>
    <row r="1952" spans="2:6">
      <c r="B1952" s="92" t="s">
        <v>139</v>
      </c>
      <c r="C1952" s="91" t="s">
        <v>490</v>
      </c>
      <c r="D1952" s="93">
        <v>155</v>
      </c>
      <c r="E1952" s="93">
        <v>68</v>
      </c>
      <c r="F1952" s="103">
        <f>IFERROR(INDEX(Tabella951[PLZ],MATCH(Tabella848[[#This Row],[Colonna2]],Tabella951[Ortschaftsname],0)), "Name not found")</f>
        <v>1404</v>
      </c>
    </row>
    <row r="1953" spans="2:6">
      <c r="B1953" s="92" t="s">
        <v>139</v>
      </c>
      <c r="C1953" s="91" t="s">
        <v>326</v>
      </c>
      <c r="D1953" s="93">
        <v>155</v>
      </c>
      <c r="E1953" s="93">
        <v>60.5</v>
      </c>
      <c r="F1953" s="103">
        <v>1029</v>
      </c>
    </row>
    <row r="1954" spans="2:6">
      <c r="B1954" s="92" t="s">
        <v>139</v>
      </c>
      <c r="C1954" s="91" t="s">
        <v>481</v>
      </c>
      <c r="D1954" s="93">
        <v>155</v>
      </c>
      <c r="E1954" s="93">
        <v>68</v>
      </c>
      <c r="F1954" s="103">
        <f>IFERROR(INDEX(Tabella951[PLZ],MATCH(Tabella848[[#This Row],[Colonna2]],Tabella951[Ortschaftsname],0)), "Name not found")</f>
        <v>1515</v>
      </c>
    </row>
    <row r="1955" spans="2:6">
      <c r="B1955" s="92" t="s">
        <v>139</v>
      </c>
      <c r="C1955" s="91" t="s">
        <v>298</v>
      </c>
      <c r="D1955" s="93">
        <v>155</v>
      </c>
      <c r="E1955" s="93">
        <v>76</v>
      </c>
      <c r="F1955" s="103">
        <f>IFERROR(INDEX(Tabella951[PLZ],MATCH(Tabella848[[#This Row],[Colonna2]],Tabella951[Ortschaftsname],0)), "Name not found")</f>
        <v>1040</v>
      </c>
    </row>
    <row r="1956" spans="2:6">
      <c r="B1956" s="92" t="s">
        <v>139</v>
      </c>
      <c r="C1956" s="91" t="s">
        <v>365</v>
      </c>
      <c r="D1956" s="93">
        <v>155</v>
      </c>
      <c r="E1956" s="93">
        <v>74</v>
      </c>
      <c r="F1956" s="103">
        <f>IFERROR(INDEX(Tabella951[PLZ],MATCH(Tabella848[[#This Row],[Colonna2]],Tabella951[Ortschaftsname],0)), "Name not found")</f>
        <v>1168</v>
      </c>
    </row>
    <row r="1957" spans="2:6">
      <c r="B1957" s="92" t="s">
        <v>139</v>
      </c>
      <c r="C1957" s="91" t="s">
        <v>414</v>
      </c>
      <c r="D1957" s="93">
        <v>155</v>
      </c>
      <c r="E1957" s="93">
        <v>75</v>
      </c>
      <c r="F1957" s="103">
        <f>IFERROR(INDEX(Tabella951[PLZ],MATCH(Tabella848[[#This Row],[Colonna2]],Tabella951[Ortschaftsname],0)), "Name not found")</f>
        <v>1555</v>
      </c>
    </row>
    <row r="1958" spans="2:6">
      <c r="B1958" s="92" t="s">
        <v>139</v>
      </c>
      <c r="C1958" s="91" t="s">
        <v>213</v>
      </c>
      <c r="D1958" s="93">
        <v>155</v>
      </c>
      <c r="E1958" s="93">
        <v>66.5</v>
      </c>
      <c r="F1958" s="103">
        <v>1844</v>
      </c>
    </row>
    <row r="1959" spans="2:6">
      <c r="B1959" s="92" t="s">
        <v>139</v>
      </c>
      <c r="C1959" s="91" t="s">
        <v>428</v>
      </c>
      <c r="D1959" s="93">
        <v>155</v>
      </c>
      <c r="E1959" s="93">
        <v>65</v>
      </c>
      <c r="F1959" s="103">
        <f>IFERROR(INDEX(Tabella951[PLZ],MATCH(Tabella848[[#This Row],[Colonna2]],Tabella951[Ortschaftsname],0)), "Name not found")</f>
        <v>1184</v>
      </c>
    </row>
    <row r="1960" spans="2:6">
      <c r="B1960" s="92" t="s">
        <v>139</v>
      </c>
      <c r="C1960" s="91" t="s">
        <v>317</v>
      </c>
      <c r="D1960" s="93">
        <v>155</v>
      </c>
      <c r="E1960" s="93">
        <v>73.5</v>
      </c>
      <c r="F1960" s="103">
        <f>IFERROR(INDEX(Tabella951[PLZ],MATCH(Tabella848[[#This Row],[Colonna2]],Tabella951[Ortschaftsname],0)), "Name not found")</f>
        <v>1418</v>
      </c>
    </row>
    <row r="1961" spans="2:6">
      <c r="B1961" s="92" t="s">
        <v>139</v>
      </c>
      <c r="C1961" s="91" t="s">
        <v>369</v>
      </c>
      <c r="D1961" s="93">
        <v>155</v>
      </c>
      <c r="E1961" s="93">
        <v>75</v>
      </c>
      <c r="F1961" s="103">
        <f>IFERROR(INDEX(Tabella951[PLZ],MATCH(Tabella848[[#This Row],[Colonna2]],Tabella951[Ortschaftsname],0)), "Name not found")</f>
        <v>1509</v>
      </c>
    </row>
    <row r="1962" spans="2:6">
      <c r="B1962" s="92" t="s">
        <v>139</v>
      </c>
      <c r="C1962" s="91" t="s">
        <v>290</v>
      </c>
      <c r="D1962" s="93">
        <v>155</v>
      </c>
      <c r="E1962" s="93">
        <v>67</v>
      </c>
      <c r="F1962" s="103">
        <f>IFERROR(INDEX(Tabella951[PLZ],MATCH(Tabella848[[#This Row],[Colonna2]],Tabella951[Ortschaftsname],0)), "Name not found")</f>
        <v>1302</v>
      </c>
    </row>
    <row r="1963" spans="2:6">
      <c r="B1963" s="92" t="s">
        <v>139</v>
      </c>
      <c r="C1963" s="91" t="s">
        <v>335</v>
      </c>
      <c r="D1963" s="93">
        <v>155</v>
      </c>
      <c r="E1963" s="93">
        <v>60.5</v>
      </c>
      <c r="F1963" s="103">
        <f>IFERROR(INDEX(Tabella951[PLZ],MATCH(Tabella848[[#This Row],[Colonna2]],Tabella951[Ortschaftsname],0)), "Name not found")</f>
        <v>1134</v>
      </c>
    </row>
    <row r="1964" spans="2:6">
      <c r="B1964" s="92" t="s">
        <v>139</v>
      </c>
      <c r="C1964" s="91" t="s">
        <v>487</v>
      </c>
      <c r="D1964" s="93">
        <v>155</v>
      </c>
      <c r="E1964" s="93">
        <v>70</v>
      </c>
      <c r="F1964" s="103">
        <f>IFERROR(INDEX(Tabella951[PLZ],MATCH(Tabella848[[#This Row],[Colonna2]],Tabella951[Ortschaftsname],0)), "Name not found")</f>
        <v>1431</v>
      </c>
    </row>
    <row r="1965" spans="2:6">
      <c r="B1965" s="92" t="s">
        <v>139</v>
      </c>
      <c r="C1965" s="91" t="s">
        <v>368</v>
      </c>
      <c r="D1965" s="93">
        <v>155</v>
      </c>
      <c r="E1965" s="93">
        <v>75</v>
      </c>
      <c r="F1965" s="103">
        <f>IFERROR(INDEX(Tabella951[PLZ],MATCH(Tabella848[[#This Row],[Colonna2]],Tabella951[Ortschaftsname],0)), "Name not found")</f>
        <v>1445</v>
      </c>
    </row>
    <row r="1966" spans="2:6">
      <c r="B1966" s="92" t="s">
        <v>139</v>
      </c>
      <c r="C1966" s="91" t="s">
        <v>381</v>
      </c>
      <c r="D1966" s="93">
        <v>155</v>
      </c>
      <c r="E1966" s="93">
        <v>74</v>
      </c>
      <c r="F1966" s="103">
        <f>IFERROR(INDEX(Tabella951[PLZ],MATCH(Tabella848[[#This Row],[Colonna2]],Tabella951[Ortschaftsname],0)), "Name not found")</f>
        <v>1085</v>
      </c>
    </row>
    <row r="1967" spans="2:6">
      <c r="B1967" s="92" t="s">
        <v>139</v>
      </c>
      <c r="C1967" s="91" t="s">
        <v>383</v>
      </c>
      <c r="D1967" s="93">
        <v>155</v>
      </c>
      <c r="E1967" s="93">
        <v>76</v>
      </c>
      <c r="F1967" s="103">
        <f>IFERROR(INDEX(Tabella951[PLZ],MATCH(Tabella848[[#This Row],[Colonna2]],Tabella951[Ortschaftsname],0)), "Name not found")</f>
        <v>1115</v>
      </c>
    </row>
    <row r="1968" spans="2:6">
      <c r="B1968" s="92" t="s">
        <v>139</v>
      </c>
      <c r="C1968" s="91" t="s">
        <v>240</v>
      </c>
      <c r="D1968" s="93">
        <v>155</v>
      </c>
      <c r="E1968" s="93">
        <v>67</v>
      </c>
      <c r="F1968" s="103">
        <v>1585</v>
      </c>
    </row>
    <row r="1969" spans="2:6">
      <c r="B1969" s="92" t="s">
        <v>139</v>
      </c>
      <c r="C1969" s="91" t="s">
        <v>285</v>
      </c>
      <c r="D1969" s="93">
        <v>155</v>
      </c>
      <c r="E1969" s="93">
        <v>70</v>
      </c>
      <c r="F1969" s="103">
        <f>IFERROR(INDEX(Tabella951[PLZ],MATCH(Tabella848[[#This Row],[Colonna2]],Tabella951[Ortschaftsname],0)), "Name not found")</f>
        <v>1169</v>
      </c>
    </row>
    <row r="1970" spans="2:6">
      <c r="B1970" s="92" t="s">
        <v>139</v>
      </c>
      <c r="C1970" s="91" t="s">
        <v>185</v>
      </c>
      <c r="D1970" s="93">
        <v>155</v>
      </c>
      <c r="E1970" s="93">
        <v>75</v>
      </c>
      <c r="F1970" s="103">
        <f>IFERROR(INDEX(Tabella951[PLZ],MATCH(Tabella848[[#This Row],[Colonna2]],Tabella951[Ortschaftsname],0)), "Name not found")</f>
        <v>1400</v>
      </c>
    </row>
    <row r="1971" spans="2:6">
      <c r="B1971" s="92" t="s">
        <v>139</v>
      </c>
      <c r="C1971" s="91" t="s">
        <v>233</v>
      </c>
      <c r="D1971" s="93">
        <v>155</v>
      </c>
      <c r="E1971" s="93">
        <v>71.5</v>
      </c>
      <c r="F1971" s="103">
        <f>IFERROR(INDEX(Tabella951[PLZ],MATCH(Tabella848[[#This Row],[Colonna2]],Tabella951[Ortschaftsname],0)), "Name not found")</f>
        <v>1462</v>
      </c>
    </row>
    <row r="1972" spans="2:6">
      <c r="B1972" s="92" t="s">
        <v>139</v>
      </c>
      <c r="C1972" s="91" t="s">
        <v>311</v>
      </c>
      <c r="D1972" s="93">
        <v>155</v>
      </c>
      <c r="E1972" s="93">
        <v>71.5</v>
      </c>
      <c r="F1972" s="103">
        <f>IFERROR(INDEX(Tabella951[PLZ],MATCH(Tabella848[[#This Row],[Colonna2]],Tabella951[Ortschaftsname],0)), "Name not found")</f>
        <v>1853</v>
      </c>
    </row>
    <row r="1973" spans="2:6">
      <c r="B1973" s="92" t="s">
        <v>159</v>
      </c>
      <c r="C1973" s="91" t="s">
        <v>936</v>
      </c>
      <c r="D1973" s="93">
        <v>100</v>
      </c>
      <c r="E1973" s="93">
        <v>130</v>
      </c>
      <c r="F1973" s="103">
        <f>IFERROR(INDEX(Tabella951[PLZ],MATCH(Tabella848[[#This Row],[Colonna2]],Tabella951[Ortschaftsname],0)), "Name not found")</f>
        <v>3951</v>
      </c>
    </row>
    <row r="1974" spans="2:6">
      <c r="B1974" s="92" t="s">
        <v>159</v>
      </c>
      <c r="C1974" s="91" t="s">
        <v>971</v>
      </c>
      <c r="D1974" s="93">
        <v>100</v>
      </c>
      <c r="E1974" s="93">
        <v>130</v>
      </c>
      <c r="F1974" s="103">
        <f>IFERROR(INDEX(Tabella951[PLZ],MATCH(Tabella848[[#This Row],[Colonna2]],Tabella951[Ortschaftsname],0)), "Name not found")</f>
        <v>3955</v>
      </c>
    </row>
    <row r="1975" spans="2:6">
      <c r="B1975" s="92" t="s">
        <v>159</v>
      </c>
      <c r="C1975" s="91" t="s">
        <v>886</v>
      </c>
      <c r="D1975" s="93">
        <v>100</v>
      </c>
      <c r="E1975" s="93">
        <v>125</v>
      </c>
      <c r="F1975" s="103">
        <v>3961</v>
      </c>
    </row>
    <row r="1976" spans="2:6">
      <c r="B1976" s="92" t="s">
        <v>159</v>
      </c>
      <c r="C1976" s="91" t="s">
        <v>919</v>
      </c>
      <c r="D1976" s="93">
        <v>100</v>
      </c>
      <c r="E1976" s="93">
        <v>125</v>
      </c>
      <c r="F1976" s="103">
        <f>IFERROR(INDEX(Tabella951[PLZ],MATCH(Tabella848[[#This Row],[Colonna2]],Tabella951[Ortschaftsname],0)), "Name not found")</f>
        <v>1974</v>
      </c>
    </row>
    <row r="1977" spans="2:6">
      <c r="B1977" s="92" t="s">
        <v>159</v>
      </c>
      <c r="C1977" s="91" t="s">
        <v>884</v>
      </c>
      <c r="D1977" s="93">
        <v>100</v>
      </c>
      <c r="E1977" s="93">
        <v>130</v>
      </c>
      <c r="F1977" s="103">
        <f>IFERROR(INDEX(Tabella951[PLZ],MATCH(Tabella848[[#This Row],[Colonna2]],Tabella951[Ortschaftsname],0)), "Name not found")</f>
        <v>1957</v>
      </c>
    </row>
    <row r="1978" spans="2:6">
      <c r="B1978" s="92" t="s">
        <v>159</v>
      </c>
      <c r="C1978" s="91" t="s">
        <v>944</v>
      </c>
      <c r="D1978" s="93">
        <v>100</v>
      </c>
      <c r="E1978" s="93">
        <v>140</v>
      </c>
      <c r="F1978" s="103">
        <f>IFERROR(INDEX(Tabella951[PLZ],MATCH(Tabella848[[#This Row],[Colonna2]],Tabella951[Ortschaftsname],0)), "Name not found")</f>
        <v>3938</v>
      </c>
    </row>
    <row r="1979" spans="2:6">
      <c r="B1979" s="92" t="s">
        <v>159</v>
      </c>
      <c r="C1979" s="91" t="s">
        <v>877</v>
      </c>
      <c r="D1979" s="93">
        <v>100</v>
      </c>
      <c r="E1979" s="93">
        <v>130</v>
      </c>
      <c r="F1979" s="103">
        <v>1966</v>
      </c>
    </row>
    <row r="1980" spans="2:6">
      <c r="B1980" s="92" t="s">
        <v>159</v>
      </c>
      <c r="C1980" s="91" t="s">
        <v>914</v>
      </c>
      <c r="D1980" s="93">
        <v>100</v>
      </c>
      <c r="E1980" s="93">
        <v>120</v>
      </c>
      <c r="F1980" s="103">
        <f>IFERROR(INDEX(Tabella951[PLZ],MATCH(Tabella848[[#This Row],[Colonna2]],Tabella951[Ortschaftsname],0)), "Name not found")</f>
        <v>3937</v>
      </c>
    </row>
    <row r="1981" spans="2:6">
      <c r="B1981" s="92" t="s">
        <v>159</v>
      </c>
      <c r="C1981" s="91" t="s">
        <v>958</v>
      </c>
      <c r="D1981" s="93">
        <v>100</v>
      </c>
      <c r="E1981" s="93">
        <v>130</v>
      </c>
      <c r="F1981" s="103">
        <f>IFERROR(INDEX(Tabella951[PLZ],MATCH(Tabella848[[#This Row],[Colonna2]],Tabella951[Ortschaftsname],0)), "Name not found")</f>
        <v>3997</v>
      </c>
    </row>
    <row r="1982" spans="2:6">
      <c r="B1982" s="92" t="s">
        <v>159</v>
      </c>
      <c r="C1982" s="91" t="s">
        <v>952</v>
      </c>
      <c r="D1982" s="93">
        <v>100</v>
      </c>
      <c r="E1982" s="93">
        <v>120</v>
      </c>
      <c r="F1982" s="103">
        <f>IFERROR(INDEX(Tabella951[PLZ],MATCH(Tabella848[[#This Row],[Colonna2]],Tabella951[Ortschaftsname],0)), "Name not found")</f>
        <v>3992</v>
      </c>
    </row>
    <row r="1983" spans="2:6">
      <c r="B1983" s="92" t="s">
        <v>159</v>
      </c>
      <c r="C1983" s="91" t="s">
        <v>976</v>
      </c>
      <c r="D1983" s="93">
        <v>100</v>
      </c>
      <c r="E1983" s="93">
        <v>120</v>
      </c>
      <c r="F1983" s="103">
        <f>IFERROR(INDEX(Tabella951[PLZ],MATCH(Tabella848[[#This Row],[Colonna2]],Tabella951[Ortschaftsname],0)), "Name not found")</f>
        <v>3996</v>
      </c>
    </row>
    <row r="1984" spans="2:6">
      <c r="B1984" s="92" t="s">
        <v>159</v>
      </c>
      <c r="C1984" s="91" t="s">
        <v>980</v>
      </c>
      <c r="D1984" s="93">
        <v>100</v>
      </c>
      <c r="E1984" s="93">
        <v>100</v>
      </c>
      <c r="F1984" s="103">
        <f>IFERROR(INDEX(Tabella951[PLZ],MATCH(Tabella848[[#This Row],[Colonna2]],Tabella951[Ortschaftsname],0)), "Name not found")</f>
        <v>3983</v>
      </c>
    </row>
    <row r="1985" spans="2:6">
      <c r="B1985" s="92" t="s">
        <v>159</v>
      </c>
      <c r="C1985" s="91" t="s">
        <v>926</v>
      </c>
      <c r="D1985" s="93">
        <v>100</v>
      </c>
      <c r="E1985" s="93">
        <v>100</v>
      </c>
      <c r="F1985" s="103">
        <f>IFERROR(INDEX(Tabella951[PLZ],MATCH(Tabella848[[#This Row],[Colonna2]],Tabella951[Ortschaftsname],0)), "Name not found")</f>
        <v>3982</v>
      </c>
    </row>
    <row r="1986" spans="2:6">
      <c r="B1986" s="92" t="s">
        <v>159</v>
      </c>
      <c r="C1986" s="91" t="s">
        <v>968</v>
      </c>
      <c r="D1986" s="93">
        <v>100</v>
      </c>
      <c r="E1986" s="93">
        <v>140</v>
      </c>
      <c r="F1986" s="103">
        <v>3919</v>
      </c>
    </row>
    <row r="1987" spans="2:6">
      <c r="B1987" s="92" t="s">
        <v>159</v>
      </c>
      <c r="C1987" s="91" t="s">
        <v>975</v>
      </c>
      <c r="D1987" s="93">
        <v>100</v>
      </c>
      <c r="E1987" s="93">
        <v>100</v>
      </c>
      <c r="F1987" s="103">
        <v>1946</v>
      </c>
    </row>
    <row r="1988" spans="2:6">
      <c r="B1988" s="92" t="s">
        <v>159</v>
      </c>
      <c r="C1988" s="91" t="s">
        <v>931</v>
      </c>
      <c r="D1988" s="93">
        <v>100</v>
      </c>
      <c r="E1988" s="93">
        <v>120</v>
      </c>
      <c r="F1988" s="103">
        <f>IFERROR(INDEX(Tabella951[PLZ],MATCH(Tabella848[[#This Row],[Colonna2]],Tabella951[Ortschaftsname],0)), "Name not found")</f>
        <v>1932</v>
      </c>
    </row>
    <row r="1989" spans="2:6">
      <c r="B1989" s="92" t="s">
        <v>159</v>
      </c>
      <c r="C1989" s="91" t="s">
        <v>859</v>
      </c>
      <c r="D1989" s="93">
        <v>100</v>
      </c>
      <c r="E1989" s="93">
        <v>100</v>
      </c>
      <c r="F1989" s="103">
        <v>3900</v>
      </c>
    </row>
    <row r="1990" spans="2:6">
      <c r="B1990" s="92" t="s">
        <v>159</v>
      </c>
      <c r="C1990" s="91" t="s">
        <v>938</v>
      </c>
      <c r="D1990" s="93">
        <v>100</v>
      </c>
      <c r="E1990" s="93">
        <v>130</v>
      </c>
      <c r="F1990" s="103">
        <f>IFERROR(INDEX(Tabella951[PLZ],MATCH(Tabella848[[#This Row],[Colonna2]],Tabella951[Ortschaftsname],0)), "Name not found")</f>
        <v>3935</v>
      </c>
    </row>
    <row r="1991" spans="2:6">
      <c r="B1991" s="92" t="s">
        <v>159</v>
      </c>
      <c r="C1991" s="91" t="s">
        <v>880</v>
      </c>
      <c r="D1991" s="93">
        <v>100</v>
      </c>
      <c r="E1991" s="93">
        <v>130</v>
      </c>
      <c r="F1991" s="103">
        <f>IFERROR(INDEX(Tabella951[PLZ],MATCH(Tabella848[[#This Row],[Colonna2]],Tabella951[Ortschaftsname],0)), "Name not found")</f>
        <v>3966</v>
      </c>
    </row>
    <row r="1992" spans="2:6">
      <c r="B1992" s="92" t="s">
        <v>159</v>
      </c>
      <c r="C1992" s="91" t="s">
        <v>879</v>
      </c>
      <c r="D1992" s="93">
        <v>100</v>
      </c>
      <c r="E1992" s="93">
        <v>125</v>
      </c>
      <c r="F1992" s="103">
        <f>IFERROR(INDEX(Tabella951[PLZ],MATCH(Tabella848[[#This Row],[Colonna2]],Tabella951[Ortschaftsname],0)), "Name not found")</f>
        <v>1955</v>
      </c>
    </row>
    <row r="1993" spans="2:6">
      <c r="B1993" s="92" t="s">
        <v>159</v>
      </c>
      <c r="C1993" s="91" t="s">
        <v>913</v>
      </c>
      <c r="D1993" s="93">
        <v>100</v>
      </c>
      <c r="E1993" s="93">
        <v>135</v>
      </c>
      <c r="F1993" s="103">
        <f>IFERROR(INDEX(Tabella951[PLZ],MATCH(Tabella848[[#This Row],[Colonna2]],Tabella951[Ortschaftsname],0)), "Name not found")</f>
        <v>1874</v>
      </c>
    </row>
    <row r="1994" spans="2:6">
      <c r="B1994" s="92" t="s">
        <v>159</v>
      </c>
      <c r="C1994" s="91" t="s">
        <v>905</v>
      </c>
      <c r="D1994" s="93">
        <v>100</v>
      </c>
      <c r="E1994" s="93">
        <v>120</v>
      </c>
      <c r="F1994" s="103">
        <f>IFERROR(INDEX(Tabella951[PLZ],MATCH(Tabella848[[#This Row],[Colonna2]],Tabella951[Ortschaftsname],0)), "Name not found")</f>
        <v>3965</v>
      </c>
    </row>
    <row r="1995" spans="2:6">
      <c r="B1995" s="92" t="s">
        <v>159</v>
      </c>
      <c r="C1995" s="91" t="s">
        <v>862</v>
      </c>
      <c r="D1995" s="93">
        <v>100</v>
      </c>
      <c r="E1995" s="93">
        <v>125</v>
      </c>
      <c r="F1995" s="103">
        <v>1893</v>
      </c>
    </row>
    <row r="1996" spans="2:6">
      <c r="B1996" s="92" t="s">
        <v>159</v>
      </c>
      <c r="C1996" s="91" t="s">
        <v>934</v>
      </c>
      <c r="D1996" s="93">
        <v>100</v>
      </c>
      <c r="E1996" s="93">
        <v>110</v>
      </c>
      <c r="F1996" s="103">
        <f>IFERROR(INDEX(Tabella951[PLZ],MATCH(Tabella848[[#This Row],[Colonna2]],Tabella951[Ortschaftsname],0)), "Name not found")</f>
        <v>1903</v>
      </c>
    </row>
    <row r="1997" spans="2:6">
      <c r="B1997" s="92" t="s">
        <v>159</v>
      </c>
      <c r="C1997" s="91" t="s">
        <v>864</v>
      </c>
      <c r="D1997" s="93">
        <v>100</v>
      </c>
      <c r="E1997" s="93">
        <v>120</v>
      </c>
      <c r="F1997" s="103">
        <f>IFERROR(INDEX(Tabella951[PLZ],MATCH(Tabella848[[#This Row],[Colonna2]],Tabella951[Ortschaftsname],0)), "Name not found")</f>
        <v>1964</v>
      </c>
    </row>
    <row r="1998" spans="2:6">
      <c r="B1998" s="92" t="s">
        <v>159</v>
      </c>
      <c r="C1998" s="91" t="s">
        <v>860</v>
      </c>
      <c r="D1998" s="93">
        <v>100</v>
      </c>
      <c r="E1998" s="93">
        <v>115</v>
      </c>
      <c r="F1998" s="103">
        <f>IFERROR(INDEX(Tabella951[PLZ],MATCH(Tabella848[[#This Row],[Colonna2]],Tabella951[Ortschaftsname],0)), "Name not found")</f>
        <v>3963</v>
      </c>
    </row>
    <row r="1999" spans="2:6">
      <c r="B1999" s="92" t="s">
        <v>159</v>
      </c>
      <c r="C1999" s="91" t="s">
        <v>928</v>
      </c>
      <c r="D1999" s="93">
        <v>100</v>
      </c>
      <c r="E1999" s="93">
        <v>120</v>
      </c>
      <c r="F1999" s="103">
        <f>IFERROR(INDEX(Tabella951[PLZ],MATCH(Tabella848[[#This Row],[Colonna2]],Tabella951[Ortschaftsname],0)), "Name not found")</f>
        <v>1905</v>
      </c>
    </row>
    <row r="2000" spans="2:6">
      <c r="B2000" s="92" t="s">
        <v>159</v>
      </c>
      <c r="C2000" s="91" t="s">
        <v>962</v>
      </c>
      <c r="D2000" s="93">
        <v>100</v>
      </c>
      <c r="E2000" s="93">
        <v>130</v>
      </c>
      <c r="F2000" s="103">
        <f>IFERROR(INDEX(Tabella951[PLZ],MATCH(Tabella848[[#This Row],[Colonna2]],Tabella951[Ortschaftsname],0)), "Name not found")</f>
        <v>3939</v>
      </c>
    </row>
    <row r="2001" spans="2:6">
      <c r="B2001" s="92" t="s">
        <v>159</v>
      </c>
      <c r="C2001" s="91" t="s">
        <v>954</v>
      </c>
      <c r="D2001" s="93">
        <v>100</v>
      </c>
      <c r="E2001" s="93">
        <v>130</v>
      </c>
      <c r="F2001" s="103">
        <f>IFERROR(INDEX(Tabella951[PLZ],MATCH(Tabella848[[#This Row],[Colonna2]],Tabella951[Ortschaftsname],0)), "Name not found")</f>
        <v>3943</v>
      </c>
    </row>
    <row r="2002" spans="2:6">
      <c r="B2002" s="92" t="s">
        <v>159</v>
      </c>
      <c r="C2002" s="91" t="s">
        <v>972</v>
      </c>
      <c r="D2002" s="93">
        <v>100</v>
      </c>
      <c r="E2002" s="93">
        <v>100</v>
      </c>
      <c r="F2002" s="103">
        <f>IFERROR(INDEX(Tabella951[PLZ],MATCH(Tabella848[[#This Row],[Colonna2]],Tabella951[Ortschaftsname],0)), "Name not found")</f>
        <v>3922</v>
      </c>
    </row>
    <row r="2003" spans="2:6">
      <c r="B2003" s="92" t="s">
        <v>159</v>
      </c>
      <c r="C2003" s="91" t="s">
        <v>967</v>
      </c>
      <c r="D2003" s="93">
        <v>100</v>
      </c>
      <c r="E2003" s="93">
        <v>130</v>
      </c>
      <c r="F2003" s="103">
        <f>IFERROR(INDEX(Tabella951[PLZ],MATCH(Tabella848[[#This Row],[Colonna2]],Tabella951[Ortschaftsname],0)), "Name not found")</f>
        <v>3926</v>
      </c>
    </row>
    <row r="2004" spans="2:6">
      <c r="B2004" s="92" t="s">
        <v>159</v>
      </c>
      <c r="C2004" s="91" t="s">
        <v>973</v>
      </c>
      <c r="D2004" s="93">
        <v>100</v>
      </c>
      <c r="E2004" s="93">
        <v>100</v>
      </c>
      <c r="F2004" s="103">
        <f>IFERROR(INDEX(Tabella951[PLZ],MATCH(Tabella848[[#This Row],[Colonna2]],Tabella951[Ortschaftsname],0)), "Name not found")</f>
        <v>3947</v>
      </c>
    </row>
    <row r="2005" spans="2:6">
      <c r="B2005" s="92" t="s">
        <v>159</v>
      </c>
      <c r="C2005" s="91" t="s">
        <v>949</v>
      </c>
      <c r="D2005" s="93">
        <v>100</v>
      </c>
      <c r="E2005" s="93">
        <v>110</v>
      </c>
      <c r="F2005" s="103">
        <f>IFERROR(INDEX(Tabella951[PLZ],MATCH(Tabella848[[#This Row],[Colonna2]],Tabella951[Ortschaftsname],0)), "Name not found")</f>
        <v>3995</v>
      </c>
    </row>
    <row r="2006" spans="2:6">
      <c r="B2006" s="92" t="s">
        <v>159</v>
      </c>
      <c r="C2006" s="91" t="s">
        <v>918</v>
      </c>
      <c r="D2006" s="93">
        <v>100</v>
      </c>
      <c r="E2006" s="93">
        <v>130</v>
      </c>
      <c r="F2006" s="103">
        <f>IFERROR(INDEX(Tabella951[PLZ],MATCH(Tabella848[[#This Row],[Colonna2]],Tabella951[Ortschaftsname],0)), "Name not found")</f>
        <v>1902</v>
      </c>
    </row>
    <row r="2007" spans="2:6">
      <c r="B2007" s="92" t="s">
        <v>159</v>
      </c>
      <c r="C2007" s="91" t="s">
        <v>903</v>
      </c>
      <c r="D2007" s="93">
        <v>100</v>
      </c>
      <c r="E2007" s="93">
        <v>125</v>
      </c>
      <c r="F2007" s="103">
        <f>IFERROR(INDEX(Tabella951[PLZ],MATCH(Tabella848[[#This Row],[Colonna2]],Tabella951[Ortschaftsname],0)), "Name not found")</f>
        <v>1983</v>
      </c>
    </row>
    <row r="2008" spans="2:6">
      <c r="B2008" s="92" t="s">
        <v>159</v>
      </c>
      <c r="C2008" s="91" t="s">
        <v>970</v>
      </c>
      <c r="D2008" s="93">
        <v>100</v>
      </c>
      <c r="E2008" s="93">
        <v>140</v>
      </c>
      <c r="F2008" s="103">
        <f>IFERROR(INDEX(Tabella951[PLZ],MATCH(Tabella848[[#This Row],[Colonna2]],Tabella951[Ortschaftsname],0)), "Name not found")</f>
        <v>3916</v>
      </c>
    </row>
    <row r="2009" spans="2:6">
      <c r="B2009" s="92" t="s">
        <v>159</v>
      </c>
      <c r="C2009" s="91" t="s">
        <v>929</v>
      </c>
      <c r="D2009" s="93">
        <v>100</v>
      </c>
      <c r="E2009" s="93">
        <v>115</v>
      </c>
      <c r="F2009" s="103">
        <f>IFERROR(INDEX(Tabella951[PLZ],MATCH(Tabella848[[#This Row],[Colonna2]],Tabella951[Ortschaftsname],0)), "Name not found")</f>
        <v>3984</v>
      </c>
    </row>
    <row r="2010" spans="2:6">
      <c r="B2010" s="92" t="s">
        <v>159</v>
      </c>
      <c r="C2010" s="91" t="s">
        <v>963</v>
      </c>
      <c r="D2010" s="93">
        <v>100</v>
      </c>
      <c r="E2010" s="93">
        <v>110</v>
      </c>
      <c r="F2010" s="103">
        <f>IFERROR(INDEX(Tabella951[PLZ],MATCH(Tabella848[[#This Row],[Colonna2]],Tabella951[Ortschaftsname],0)), "Name not found")</f>
        <v>3984</v>
      </c>
    </row>
    <row r="2011" spans="2:6">
      <c r="B2011" s="92" t="s">
        <v>159</v>
      </c>
      <c r="C2011" s="91" t="s">
        <v>959</v>
      </c>
      <c r="D2011" s="93">
        <v>100</v>
      </c>
      <c r="E2011" s="93">
        <v>100</v>
      </c>
      <c r="F2011" s="103">
        <f>IFERROR(INDEX(Tabella951[PLZ],MATCH(Tabella848[[#This Row],[Colonna2]],Tabella951[Ortschaftsname],0)), "Name not found")</f>
        <v>1925</v>
      </c>
    </row>
    <row r="2012" spans="2:6">
      <c r="B2012" s="92" t="s">
        <v>159</v>
      </c>
      <c r="C2012" s="91" t="s">
        <v>863</v>
      </c>
      <c r="D2012" s="93">
        <v>100</v>
      </c>
      <c r="E2012" s="93">
        <v>125</v>
      </c>
      <c r="F2012" s="103">
        <f>IFERROR(INDEX(Tabella951[PLZ],MATCH(Tabella848[[#This Row],[Colonna2]],Tabella951[Ortschaftsname],0)), "Name not found")</f>
        <v>1926</v>
      </c>
    </row>
    <row r="2013" spans="2:6">
      <c r="B2013" s="92" t="s">
        <v>159</v>
      </c>
      <c r="C2013" s="91" t="s">
        <v>895</v>
      </c>
      <c r="D2013" s="93">
        <v>100</v>
      </c>
      <c r="E2013" s="93">
        <v>130</v>
      </c>
      <c r="F2013" s="103">
        <v>3945</v>
      </c>
    </row>
    <row r="2014" spans="2:6">
      <c r="B2014" s="92" t="s">
        <v>159</v>
      </c>
      <c r="C2014" s="91" t="s">
        <v>920</v>
      </c>
      <c r="D2014" s="93">
        <v>100</v>
      </c>
      <c r="E2014" s="93">
        <v>110</v>
      </c>
      <c r="F2014" s="103">
        <v>3995</v>
      </c>
    </row>
    <row r="2015" spans="2:6">
      <c r="B2015" s="92" t="s">
        <v>159</v>
      </c>
      <c r="C2015" s="91" t="s">
        <v>955</v>
      </c>
      <c r="D2015" s="93">
        <v>100</v>
      </c>
      <c r="E2015" s="93">
        <v>115</v>
      </c>
      <c r="F2015" s="103">
        <f>IFERROR(INDEX(Tabella951[PLZ],MATCH(Tabella848[[#This Row],[Colonna2]],Tabella951[Ortschaftsname],0)), "Name not found")</f>
        <v>3993</v>
      </c>
    </row>
    <row r="2016" spans="2:6">
      <c r="B2016" s="92" t="s">
        <v>159</v>
      </c>
      <c r="C2016" s="91" t="s">
        <v>881</v>
      </c>
      <c r="D2016" s="93">
        <v>100</v>
      </c>
      <c r="E2016" s="93">
        <v>125</v>
      </c>
      <c r="F2016" s="103">
        <f>IFERROR(INDEX(Tabella951[PLZ],MATCH(Tabella848[[#This Row],[Colonna2]],Tabella951[Ortschaftsname],0)), "Name not found")</f>
        <v>1971</v>
      </c>
    </row>
    <row r="2017" spans="2:6">
      <c r="B2017" s="92" t="s">
        <v>159</v>
      </c>
      <c r="C2017" s="91" t="s">
        <v>916</v>
      </c>
      <c r="D2017" s="93">
        <v>100</v>
      </c>
      <c r="E2017" s="93">
        <v>130</v>
      </c>
      <c r="F2017" s="103">
        <f>IFERROR(INDEX(Tabella951[PLZ],MATCH(Tabella848[[#This Row],[Colonna2]],Tabella951[Ortschaftsname],0)), "Name not found")</f>
        <v>3925</v>
      </c>
    </row>
    <row r="2018" spans="2:6">
      <c r="B2018" s="92" t="s">
        <v>159</v>
      </c>
      <c r="C2018" s="91" t="s">
        <v>889</v>
      </c>
      <c r="D2018" s="93">
        <v>100</v>
      </c>
      <c r="E2018" s="93">
        <v>125</v>
      </c>
      <c r="F2018" s="103">
        <f>IFERROR(INDEX(Tabella951[PLZ],MATCH(Tabella848[[#This Row],[Colonna2]],Tabella951[Ortschaftsname],0)), "Name not found")</f>
        <v>3979</v>
      </c>
    </row>
    <row r="2019" spans="2:6">
      <c r="B2019" s="92" t="s">
        <v>159</v>
      </c>
      <c r="C2019" s="91" t="s">
        <v>957</v>
      </c>
      <c r="D2019" s="93">
        <v>100</v>
      </c>
      <c r="E2019" s="93">
        <v>130</v>
      </c>
      <c r="F2019" s="103">
        <f>IFERROR(INDEX(Tabella951[PLZ],MATCH(Tabella848[[#This Row],[Colonna2]],Tabella951[Ortschaftsname],0)), "Name not found")</f>
        <v>3956</v>
      </c>
    </row>
    <row r="2020" spans="2:6">
      <c r="B2020" s="92" t="s">
        <v>159</v>
      </c>
      <c r="C2020" s="91" t="s">
        <v>909</v>
      </c>
      <c r="D2020" s="93">
        <v>100</v>
      </c>
      <c r="E2020" s="93">
        <v>100</v>
      </c>
      <c r="F2020" s="103">
        <f>IFERROR(INDEX(Tabella951[PLZ],MATCH(Tabella848[[#This Row],[Colonna2]],Tabella951[Ortschaftsname],0)), "Name not found")</f>
        <v>1987</v>
      </c>
    </row>
    <row r="2021" spans="2:6">
      <c r="B2021" s="92" t="s">
        <v>159</v>
      </c>
      <c r="C2021" s="91" t="s">
        <v>947</v>
      </c>
      <c r="D2021" s="93">
        <v>100</v>
      </c>
      <c r="E2021" s="93">
        <v>120</v>
      </c>
      <c r="F2021" s="103">
        <f>IFERROR(INDEX(Tabella951[PLZ],MATCH(Tabella848[[#This Row],[Colonna2]],Tabella951[Ortschaftsname],0)), "Name not found")</f>
        <v>1977</v>
      </c>
    </row>
    <row r="2022" spans="2:6">
      <c r="B2022" s="92" t="s">
        <v>159</v>
      </c>
      <c r="C2022" s="91" t="s">
        <v>978</v>
      </c>
      <c r="D2022" s="93">
        <v>100</v>
      </c>
      <c r="E2022" s="93">
        <v>110</v>
      </c>
      <c r="F2022" s="103">
        <f>IFERROR(INDEX(Tabella951[PLZ],MATCH(Tabella848[[#This Row],[Colonna2]],Tabella951[Ortschaftsname],0)), "Name not found")</f>
        <v>3953</v>
      </c>
    </row>
    <row r="2023" spans="2:6">
      <c r="B2023" s="92" t="s">
        <v>159</v>
      </c>
      <c r="C2023" s="91" t="s">
        <v>933</v>
      </c>
      <c r="D2023" s="93">
        <v>100</v>
      </c>
      <c r="E2023" s="93">
        <v>135</v>
      </c>
      <c r="F2023" s="103">
        <f>IFERROR(INDEX(Tabella951[PLZ],MATCH(Tabella848[[#This Row],[Colonna2]],Tabella951[Ortschaftsname],0)), "Name not found")</f>
        <v>1914</v>
      </c>
    </row>
    <row r="2024" spans="2:6">
      <c r="B2024" s="92" t="s">
        <v>159</v>
      </c>
      <c r="C2024" s="91" t="s">
        <v>964</v>
      </c>
      <c r="D2024" s="93">
        <v>100</v>
      </c>
      <c r="E2024" s="93">
        <v>140</v>
      </c>
      <c r="F2024" s="103">
        <f>IFERROR(INDEX(Tabella951[PLZ],MATCH(Tabella848[[#This Row],[Colonna2]],Tabella951[Ortschaftsname],0)), "Name not found")</f>
        <v>3917</v>
      </c>
    </row>
    <row r="2025" spans="2:6">
      <c r="B2025" s="92" t="s">
        <v>159</v>
      </c>
      <c r="C2025" s="91" t="s">
        <v>941</v>
      </c>
      <c r="D2025" s="93">
        <v>100</v>
      </c>
      <c r="E2025" s="93">
        <v>120</v>
      </c>
      <c r="F2025" s="103">
        <f>IFERROR(INDEX(Tabella951[PLZ],MATCH(Tabella848[[#This Row],[Colonna2]],Tabella951[Ortschaftsname],0)), "Name not found")</f>
        <v>3931</v>
      </c>
    </row>
    <row r="2026" spans="2:6">
      <c r="B2026" s="92" t="s">
        <v>159</v>
      </c>
      <c r="C2026" s="91" t="s">
        <v>965</v>
      </c>
      <c r="D2026" s="93">
        <v>100</v>
      </c>
      <c r="E2026" s="93">
        <v>140</v>
      </c>
      <c r="F2026" s="103">
        <f>IFERROR(INDEX(Tabella951[PLZ],MATCH(Tabella848[[#This Row],[Colonna2]],Tabella951[Ortschaftsname],0)), "Name not found")</f>
        <v>3994</v>
      </c>
    </row>
    <row r="2027" spans="2:6">
      <c r="B2027" s="92" t="s">
        <v>159</v>
      </c>
      <c r="C2027" s="91" t="s">
        <v>874</v>
      </c>
      <c r="D2027" s="93">
        <v>100</v>
      </c>
      <c r="E2027" s="93">
        <v>105</v>
      </c>
      <c r="F2027" s="103">
        <f>IFERROR(INDEX(Tabella951[PLZ],MATCH(Tabella848[[#This Row],[Colonna2]],Tabella951[Ortschaftsname],0)), "Name not found")</f>
        <v>1978</v>
      </c>
    </row>
    <row r="2028" spans="2:6">
      <c r="B2028" s="92" t="s">
        <v>159</v>
      </c>
      <c r="C2028" s="91" t="s">
        <v>878</v>
      </c>
      <c r="D2028" s="93">
        <v>100</v>
      </c>
      <c r="E2028" s="93">
        <v>130</v>
      </c>
      <c r="F2028" s="103">
        <v>3953</v>
      </c>
    </row>
    <row r="2029" spans="2:6">
      <c r="B2029" s="92" t="s">
        <v>159</v>
      </c>
      <c r="C2029" s="91" t="s">
        <v>908</v>
      </c>
      <c r="D2029" s="93">
        <v>100</v>
      </c>
      <c r="E2029" s="93">
        <v>145</v>
      </c>
      <c r="F2029" s="103">
        <f>IFERROR(INDEX(Tabella951[PLZ],MATCH(Tabella848[[#This Row],[Colonna2]],Tabella951[Ortschaftsname],0)), "Name not found")</f>
        <v>3954</v>
      </c>
    </row>
    <row r="2030" spans="2:6">
      <c r="B2030" s="92" t="s">
        <v>159</v>
      </c>
      <c r="C2030" s="91" t="s">
        <v>883</v>
      </c>
      <c r="D2030" s="93">
        <v>100</v>
      </c>
      <c r="E2030" s="93">
        <v>120</v>
      </c>
      <c r="F2030" s="103">
        <f>IFERROR(INDEX(Tabella951[PLZ],MATCH(Tabella848[[#This Row],[Colonna2]],Tabella951[Ortschaftsname],0)), "Name not found")</f>
        <v>1912</v>
      </c>
    </row>
    <row r="2031" spans="2:6">
      <c r="B2031" s="92" t="s">
        <v>159</v>
      </c>
      <c r="C2031" s="91" t="s">
        <v>935</v>
      </c>
      <c r="D2031" s="93">
        <v>100</v>
      </c>
      <c r="E2031" s="93">
        <v>125</v>
      </c>
      <c r="F2031" s="103">
        <f>IFERROR(INDEX(Tabella951[PLZ],MATCH(Tabella848[[#This Row],[Colonna2]],Tabella951[Ortschaftsname],0)), "Name not found")</f>
        <v>1945</v>
      </c>
    </row>
    <row r="2032" spans="2:6">
      <c r="B2032" s="92" t="s">
        <v>159</v>
      </c>
      <c r="C2032" s="91" t="s">
        <v>856</v>
      </c>
      <c r="D2032" s="93">
        <v>100</v>
      </c>
      <c r="E2032" s="93">
        <v>110</v>
      </c>
      <c r="F2032" s="103">
        <f>IFERROR(INDEX(Tabella951[PLZ],MATCH(Tabella848[[#This Row],[Colonna2]],Tabella951[Ortschaftsname],0)), "Name not found")</f>
        <v>1920</v>
      </c>
    </row>
    <row r="2033" spans="2:6">
      <c r="B2033" s="92" t="s">
        <v>159</v>
      </c>
      <c r="C2033" s="91" t="s">
        <v>891</v>
      </c>
      <c r="D2033" s="93">
        <v>100</v>
      </c>
      <c r="E2033" s="93">
        <v>110</v>
      </c>
      <c r="F2033" s="103">
        <v>1921</v>
      </c>
    </row>
    <row r="2034" spans="2:6">
      <c r="B2034" s="92" t="s">
        <v>159</v>
      </c>
      <c r="C2034" s="91" t="s">
        <v>901</v>
      </c>
      <c r="D2034" s="93">
        <v>100</v>
      </c>
      <c r="E2034" s="93">
        <v>120</v>
      </c>
      <c r="F2034" s="103">
        <f>IFERROR(INDEX(Tabella951[PLZ],MATCH(Tabella848[[#This Row],[Colonna2]],Tabella951[Ortschaftsname],0)), "Name not found")</f>
        <v>1869</v>
      </c>
    </row>
    <row r="2035" spans="2:6">
      <c r="B2035" s="92" t="s">
        <v>159</v>
      </c>
      <c r="C2035" s="91" t="s">
        <v>923</v>
      </c>
      <c r="D2035" s="93">
        <v>100</v>
      </c>
      <c r="E2035" s="93">
        <v>135</v>
      </c>
      <c r="F2035" s="103">
        <v>1973</v>
      </c>
    </row>
    <row r="2036" spans="2:6">
      <c r="B2036" s="92" t="s">
        <v>159</v>
      </c>
      <c r="C2036" s="91" t="s">
        <v>857</v>
      </c>
      <c r="D2036" s="93">
        <v>100</v>
      </c>
      <c r="E2036" s="93">
        <v>120</v>
      </c>
      <c r="F2036" s="103">
        <f>IFERROR(INDEX(Tabella951[PLZ],MATCH(Tabella848[[#This Row],[Colonna2]],Tabella951[Ortschaftsname],0)), "Name not found")</f>
        <v>1870</v>
      </c>
    </row>
    <row r="2037" spans="2:6">
      <c r="B2037" s="92" t="s">
        <v>159</v>
      </c>
      <c r="C2037" s="91" t="s">
        <v>940</v>
      </c>
      <c r="D2037" s="93">
        <v>100</v>
      </c>
      <c r="E2037" s="93">
        <v>115</v>
      </c>
      <c r="F2037" s="103">
        <v>3983</v>
      </c>
    </row>
    <row r="2038" spans="2:6">
      <c r="B2038" s="92" t="s">
        <v>159</v>
      </c>
      <c r="C2038" s="91" t="s">
        <v>861</v>
      </c>
      <c r="D2038" s="93">
        <v>100</v>
      </c>
      <c r="E2038" s="93">
        <v>110</v>
      </c>
      <c r="F2038" s="103">
        <f>IFERROR(INDEX(Tabella951[PLZ],MATCH(Tabella848[[#This Row],[Colonna2]],Tabella951[Ortschaftsname],0)), "Name not found")</f>
        <v>3904</v>
      </c>
    </row>
    <row r="2039" spans="2:6">
      <c r="B2039" s="92" t="s">
        <v>159</v>
      </c>
      <c r="C2039" s="91" t="s">
        <v>868</v>
      </c>
      <c r="D2039" s="93">
        <v>100</v>
      </c>
      <c r="E2039" s="93">
        <v>130</v>
      </c>
      <c r="F2039" s="103">
        <v>1993</v>
      </c>
    </row>
    <row r="2040" spans="2:6">
      <c r="B2040" s="92" t="s">
        <v>159</v>
      </c>
      <c r="C2040" s="91" t="s">
        <v>868</v>
      </c>
      <c r="D2040" s="93">
        <v>100</v>
      </c>
      <c r="E2040" s="93">
        <v>130</v>
      </c>
      <c r="F2040" s="103">
        <v>1994</v>
      </c>
    </row>
    <row r="2041" spans="2:6">
      <c r="B2041" s="92" t="s">
        <v>159</v>
      </c>
      <c r="C2041" s="91" t="s">
        <v>868</v>
      </c>
      <c r="D2041" s="93">
        <v>100</v>
      </c>
      <c r="E2041" s="93">
        <v>130</v>
      </c>
      <c r="F2041" s="103">
        <v>1996</v>
      </c>
    </row>
    <row r="2042" spans="2:6">
      <c r="B2042" s="92" t="s">
        <v>159</v>
      </c>
      <c r="C2042" s="91" t="s">
        <v>939</v>
      </c>
      <c r="D2042" s="93">
        <v>100</v>
      </c>
      <c r="E2042" s="93">
        <v>120</v>
      </c>
      <c r="F2042" s="103">
        <f>IFERROR(INDEX(Tabella951[PLZ],MATCH(Tabella848[[#This Row],[Colonna2]],Tabella951[Ortschaftsname],0)), "Name not found")</f>
        <v>3942</v>
      </c>
    </row>
    <row r="2043" spans="2:6">
      <c r="B2043" s="92" t="s">
        <v>159</v>
      </c>
      <c r="C2043" s="91" t="s">
        <v>2687</v>
      </c>
      <c r="D2043" s="93">
        <v>100</v>
      </c>
      <c r="E2043" s="93">
        <v>110</v>
      </c>
      <c r="F2043" s="103">
        <v>3968</v>
      </c>
    </row>
    <row r="2044" spans="2:6">
      <c r="B2044" s="92" t="s">
        <v>159</v>
      </c>
      <c r="C2044" s="91" t="s">
        <v>977</v>
      </c>
      <c r="D2044" s="93">
        <v>100</v>
      </c>
      <c r="E2044" s="93">
        <v>100</v>
      </c>
      <c r="F2044" s="103">
        <f>IFERROR(INDEX(Tabella951[PLZ],MATCH(Tabella848[[#This Row],[Colonna2]],Tabella951[Ortschaftsname],0)), "Name not found")</f>
        <v>3948</v>
      </c>
    </row>
    <row r="2045" spans="2:6">
      <c r="B2045" s="92" t="s">
        <v>159</v>
      </c>
      <c r="C2045" s="91" t="s">
        <v>942</v>
      </c>
      <c r="D2045" s="93">
        <v>100</v>
      </c>
      <c r="E2045" s="93">
        <v>110</v>
      </c>
      <c r="F2045" s="103">
        <v>3988</v>
      </c>
    </row>
    <row r="2046" spans="2:6">
      <c r="B2046" s="92" t="s">
        <v>159</v>
      </c>
      <c r="C2046" s="91" t="s">
        <v>882</v>
      </c>
      <c r="D2046" s="93">
        <v>100</v>
      </c>
      <c r="E2046" s="93">
        <v>120</v>
      </c>
      <c r="F2046" s="103">
        <f>IFERROR(INDEX(Tabella951[PLZ],MATCH(Tabella848[[#This Row],[Colonna2]],Tabella951[Ortschaftsname],0)), "Name not found")</f>
        <v>1937</v>
      </c>
    </row>
    <row r="2047" spans="2:6">
      <c r="B2047" s="92" t="s">
        <v>159</v>
      </c>
      <c r="C2047" s="91" t="s">
        <v>876</v>
      </c>
      <c r="D2047" s="93">
        <v>100</v>
      </c>
      <c r="E2047" s="93">
        <v>110</v>
      </c>
      <c r="F2047" s="103">
        <v>1897</v>
      </c>
    </row>
    <row r="2048" spans="2:6">
      <c r="B2048" s="92" t="s">
        <v>159</v>
      </c>
      <c r="C2048" s="91" t="s">
        <v>953</v>
      </c>
      <c r="D2048" s="93">
        <v>100</v>
      </c>
      <c r="E2048" s="93">
        <v>110</v>
      </c>
      <c r="F2048" s="103">
        <f>IFERROR(INDEX(Tabella951[PLZ],MATCH(Tabella848[[#This Row],[Colonna2]],Tabella951[Ortschaftsname],0)), "Name not found")</f>
        <v>3928</v>
      </c>
    </row>
    <row r="2049" spans="2:6">
      <c r="B2049" s="92" t="s">
        <v>159</v>
      </c>
      <c r="C2049" s="91" t="s">
        <v>896</v>
      </c>
      <c r="D2049" s="93">
        <v>100</v>
      </c>
      <c r="E2049" s="93">
        <v>120</v>
      </c>
      <c r="F2049" s="103">
        <f>IFERROR(INDEX(Tabella951[PLZ],MATCH(Tabella848[[#This Row],[Colonna2]],Tabella951[Ortschaftsname],0)), "Name not found")</f>
        <v>3942</v>
      </c>
    </row>
    <row r="2050" spans="2:6">
      <c r="B2050" s="92" t="s">
        <v>159</v>
      </c>
      <c r="C2050" s="91" t="s">
        <v>885</v>
      </c>
      <c r="D2050" s="93">
        <v>100</v>
      </c>
      <c r="E2050" s="93">
        <v>125</v>
      </c>
      <c r="F2050" s="103">
        <f>IFERROR(INDEX(Tabella951[PLZ],MATCH(Tabella848[[#This Row],[Colonna2]],Tabella951[Ortschaftsname],0)), "Name not found")</f>
        <v>1908</v>
      </c>
    </row>
    <row r="2051" spans="2:6">
      <c r="B2051" s="92" t="s">
        <v>159</v>
      </c>
      <c r="C2051" s="91" t="s">
        <v>893</v>
      </c>
      <c r="D2051" s="93">
        <v>100</v>
      </c>
      <c r="E2051" s="93">
        <v>110</v>
      </c>
      <c r="F2051" s="103">
        <f>IFERROR(INDEX(Tabella951[PLZ],MATCH(Tabella848[[#This Row],[Colonna2]],Tabella951[Ortschaftsname],0)), "Name not found")</f>
        <v>3911</v>
      </c>
    </row>
    <row r="2052" spans="2:6">
      <c r="B2052" s="92" t="s">
        <v>159</v>
      </c>
      <c r="C2052" s="91" t="s">
        <v>950</v>
      </c>
      <c r="D2052" s="93">
        <v>100</v>
      </c>
      <c r="E2052" s="93">
        <v>120</v>
      </c>
      <c r="F2052" s="103">
        <f>IFERROR(INDEX(Tabella951[PLZ],MATCH(Tabella848[[#This Row],[Colonna2]],Tabella951[Ortschaftsname],0)), "Name not found")</f>
        <v>3987</v>
      </c>
    </row>
    <row r="2053" spans="2:6">
      <c r="B2053" s="92" t="s">
        <v>159</v>
      </c>
      <c r="C2053" s="91" t="s">
        <v>960</v>
      </c>
      <c r="D2053" s="93">
        <v>100</v>
      </c>
      <c r="E2053" s="93">
        <v>120</v>
      </c>
      <c r="F2053" s="103">
        <f>IFERROR(INDEX(Tabella951[PLZ],MATCH(Tabella848[[#This Row],[Colonna2]],Tabella951[Ortschaftsname],0)), "Name not found")</f>
        <v>3905</v>
      </c>
    </row>
    <row r="2054" spans="2:6">
      <c r="B2054" s="92" t="s">
        <v>159</v>
      </c>
      <c r="C2054" s="91" t="s">
        <v>961</v>
      </c>
      <c r="D2054" s="93">
        <v>100</v>
      </c>
      <c r="E2054" s="93">
        <v>110</v>
      </c>
      <c r="F2054" s="103">
        <f>IFERROR(INDEX(Tabella951[PLZ],MATCH(Tabella848[[#This Row],[Colonna2]],Tabella951[Ortschaftsname],0)), "Name not found")</f>
        <v>3908</v>
      </c>
    </row>
    <row r="2055" spans="2:6">
      <c r="B2055" s="92" t="s">
        <v>159</v>
      </c>
      <c r="C2055" s="91" t="s">
        <v>904</v>
      </c>
      <c r="D2055" s="93">
        <v>100</v>
      </c>
      <c r="E2055" s="93">
        <v>120</v>
      </c>
      <c r="F2055" s="103">
        <f>IFERROR(INDEX(Tabella951[PLZ],MATCH(Tabella848[[#This Row],[Colonna2]],Tabella951[Ortschaftsname],0)), "Name not found")</f>
        <v>3906</v>
      </c>
    </row>
    <row r="2056" spans="2:6">
      <c r="B2056" s="92" t="s">
        <v>159</v>
      </c>
      <c r="C2056" s="91" t="s">
        <v>925</v>
      </c>
      <c r="D2056" s="93">
        <v>100</v>
      </c>
      <c r="E2056" s="93">
        <v>130</v>
      </c>
      <c r="F2056" s="103">
        <f>IFERROR(INDEX(Tabella951[PLZ],MATCH(Tabella848[[#This Row],[Colonna2]],Tabella951[Ortschaftsname],0)), "Name not found")</f>
        <v>3910</v>
      </c>
    </row>
    <row r="2057" spans="2:6">
      <c r="B2057" s="92" t="s">
        <v>159</v>
      </c>
      <c r="C2057" s="91" t="s">
        <v>888</v>
      </c>
      <c r="D2057" s="93">
        <v>100</v>
      </c>
      <c r="E2057" s="93">
        <v>120</v>
      </c>
      <c r="F2057" s="103">
        <f>IFERROR(INDEX(Tabella951[PLZ],MATCH(Tabella848[[#This Row],[Colonna2]],Tabella951[Ortschaftsname],0)), "Name not found")</f>
        <v>1913</v>
      </c>
    </row>
    <row r="2058" spans="2:6">
      <c r="B2058" s="92" t="s">
        <v>159</v>
      </c>
      <c r="C2058" s="91" t="s">
        <v>927</v>
      </c>
      <c r="D2058" s="93">
        <v>100</v>
      </c>
      <c r="E2058" s="93">
        <v>135</v>
      </c>
      <c r="F2058" s="103">
        <v>1898</v>
      </c>
    </row>
    <row r="2059" spans="2:6">
      <c r="B2059" s="92" t="s">
        <v>159</v>
      </c>
      <c r="C2059" s="91" t="s">
        <v>890</v>
      </c>
      <c r="D2059" s="93">
        <v>100</v>
      </c>
      <c r="E2059" s="93">
        <v>120</v>
      </c>
      <c r="F2059" s="103">
        <v>1958</v>
      </c>
    </row>
    <row r="2060" spans="2:6">
      <c r="B2060" s="92" t="s">
        <v>159</v>
      </c>
      <c r="C2060" s="91" t="s">
        <v>932</v>
      </c>
      <c r="D2060" s="93">
        <v>100</v>
      </c>
      <c r="E2060" s="93">
        <v>135</v>
      </c>
      <c r="F2060" s="103">
        <v>1969</v>
      </c>
    </row>
    <row r="2061" spans="2:6">
      <c r="B2061" s="92" t="s">
        <v>159</v>
      </c>
      <c r="C2061" s="91" t="s">
        <v>873</v>
      </c>
      <c r="D2061" s="93">
        <v>100</v>
      </c>
      <c r="E2061" s="93">
        <v>125</v>
      </c>
      <c r="F2061" s="103">
        <v>1890</v>
      </c>
    </row>
    <row r="2062" spans="2:6">
      <c r="B2062" s="92" t="s">
        <v>159</v>
      </c>
      <c r="C2062" s="91" t="s">
        <v>907</v>
      </c>
      <c r="D2062" s="93">
        <v>100</v>
      </c>
      <c r="E2062" s="93">
        <v>120</v>
      </c>
      <c r="F2062" s="103">
        <f>IFERROR(INDEX(Tabella951[PLZ],MATCH(Tabella848[[#This Row],[Colonna2]],Tabella951[Ortschaftsname],0)), "Name not found")</f>
        <v>3970</v>
      </c>
    </row>
    <row r="2063" spans="2:6">
      <c r="B2063" s="92" t="s">
        <v>159</v>
      </c>
      <c r="C2063" s="91" t="s">
        <v>910</v>
      </c>
      <c r="D2063" s="93">
        <v>100</v>
      </c>
      <c r="E2063" s="93">
        <v>115</v>
      </c>
      <c r="F2063" s="103">
        <f>IFERROR(INDEX(Tabella951[PLZ],MATCH(Tabella848[[#This Row],[Colonna2]],Tabella951[Ortschaftsname],0)), "Name not found")</f>
        <v>1922</v>
      </c>
    </row>
    <row r="2064" spans="2:6">
      <c r="B2064" s="92" t="s">
        <v>159</v>
      </c>
      <c r="C2064" s="91" t="s">
        <v>867</v>
      </c>
      <c r="D2064" s="93">
        <v>100</v>
      </c>
      <c r="E2064" s="93">
        <v>115</v>
      </c>
      <c r="F2064" s="103">
        <f>IFERROR(INDEX(Tabella951[PLZ],MATCH(Tabella848[[#This Row],[Colonna2]],Tabella951[Ortschaftsname],0)), "Name not found")</f>
        <v>1965</v>
      </c>
    </row>
    <row r="2065" spans="2:6">
      <c r="B2065" s="92" t="s">
        <v>159</v>
      </c>
      <c r="C2065" s="91" t="s">
        <v>870</v>
      </c>
      <c r="D2065" s="93">
        <v>100</v>
      </c>
      <c r="E2065" s="93">
        <v>120</v>
      </c>
      <c r="F2065" s="103">
        <f>IFERROR(INDEX(Tabella951[PLZ],MATCH(Tabella848[[#This Row],[Colonna2]],Tabella951[Ortschaftsname],0)), "Name not found")</f>
        <v>1907</v>
      </c>
    </row>
    <row r="2066" spans="2:6">
      <c r="B2066" s="92" t="s">
        <v>159</v>
      </c>
      <c r="C2066" s="91" t="s">
        <v>924</v>
      </c>
      <c r="D2066" s="93">
        <v>100</v>
      </c>
      <c r="E2066" s="93">
        <v>120</v>
      </c>
      <c r="F2066" s="103">
        <f>IFERROR(INDEX(Tabella951[PLZ],MATCH(Tabella848[[#This Row],[Colonna2]],Tabella951[Ortschaftsname],0)), "Name not found")</f>
        <v>1933</v>
      </c>
    </row>
    <row r="2067" spans="2:6">
      <c r="B2067" s="92" t="s">
        <v>159</v>
      </c>
      <c r="C2067" s="91" t="s">
        <v>2688</v>
      </c>
      <c r="D2067" s="93">
        <v>100</v>
      </c>
      <c r="E2067" s="93">
        <v>120</v>
      </c>
      <c r="F2067" s="103">
        <f>IFERROR(INDEX(Tabella951[PLZ],MATCH(Tabella848[[#This Row],[Colonna2]],Tabella951[Ortschaftsname],0)), "Name not found")</f>
        <v>3960</v>
      </c>
    </row>
    <row r="2068" spans="2:6">
      <c r="B2068" s="92" t="s">
        <v>159</v>
      </c>
      <c r="C2068" s="91" t="s">
        <v>966</v>
      </c>
      <c r="D2068" s="93">
        <v>100</v>
      </c>
      <c r="E2068" s="93">
        <v>100</v>
      </c>
      <c r="F2068" s="103">
        <v>3907</v>
      </c>
    </row>
    <row r="2069" spans="2:6">
      <c r="B2069" s="92" t="s">
        <v>159</v>
      </c>
      <c r="C2069" s="91" t="s">
        <v>2689</v>
      </c>
      <c r="D2069" s="93">
        <v>100</v>
      </c>
      <c r="E2069" s="93">
        <v>110</v>
      </c>
      <c r="F2069" s="103">
        <f>IFERROR(INDEX(Tabella951[PLZ],MATCH(Tabella848[[#This Row],[Colonna2]],Tabella951[Ortschaftsname],0)), "Name not found")</f>
        <v>1950</v>
      </c>
    </row>
    <row r="2070" spans="2:6">
      <c r="B2070" s="92" t="s">
        <v>159</v>
      </c>
      <c r="C2070" s="91" t="s">
        <v>892</v>
      </c>
      <c r="D2070" s="93">
        <v>100</v>
      </c>
      <c r="E2070" s="93">
        <v>120</v>
      </c>
      <c r="F2070" s="103">
        <v>3924</v>
      </c>
    </row>
    <row r="2071" spans="2:6">
      <c r="B2071" s="92" t="s">
        <v>159</v>
      </c>
      <c r="C2071" s="91" t="s">
        <v>922</v>
      </c>
      <c r="D2071" s="93">
        <v>100</v>
      </c>
      <c r="E2071" s="93">
        <v>110</v>
      </c>
      <c r="F2071" s="103">
        <v>3992</v>
      </c>
    </row>
    <row r="2072" spans="2:6">
      <c r="B2072" s="92" t="s">
        <v>159</v>
      </c>
      <c r="C2072" s="91" t="s">
        <v>948</v>
      </c>
      <c r="D2072" s="93">
        <v>100</v>
      </c>
      <c r="E2072" s="93">
        <v>110</v>
      </c>
      <c r="F2072" s="103">
        <f>IFERROR(INDEX(Tabella951[PLZ],MATCH(Tabella848[[#This Row],[Colonna2]],Tabella951[Ortschaftsname],0)), "Name not found")</f>
        <v>3933</v>
      </c>
    </row>
    <row r="2073" spans="2:6">
      <c r="B2073" s="92" t="s">
        <v>159</v>
      </c>
      <c r="C2073" s="91" t="s">
        <v>906</v>
      </c>
      <c r="D2073" s="93">
        <v>100</v>
      </c>
      <c r="E2073" s="93">
        <v>120</v>
      </c>
      <c r="F2073" s="103">
        <v>3940</v>
      </c>
    </row>
    <row r="2074" spans="2:6">
      <c r="B2074" s="92" t="s">
        <v>159</v>
      </c>
      <c r="C2074" s="91" t="s">
        <v>930</v>
      </c>
      <c r="D2074" s="93">
        <v>100</v>
      </c>
      <c r="E2074" s="93">
        <v>120</v>
      </c>
      <c r="F2074" s="103">
        <f>IFERROR(INDEX(Tabella951[PLZ],MATCH(Tabella848[[#This Row],[Colonna2]],Tabella951[Ortschaftsname],0)), "Name not found")</f>
        <v>3912</v>
      </c>
    </row>
    <row r="2075" spans="2:6">
      <c r="B2075" s="92" t="s">
        <v>159</v>
      </c>
      <c r="C2075" s="91" t="s">
        <v>974</v>
      </c>
      <c r="D2075" s="93">
        <v>100</v>
      </c>
      <c r="E2075" s="93">
        <v>100</v>
      </c>
      <c r="F2075" s="103">
        <f>IFERROR(INDEX(Tabella951[PLZ],MATCH(Tabella848[[#This Row],[Colonna2]],Tabella951[Ortschaftsname],0)), "Name not found")</f>
        <v>1929</v>
      </c>
    </row>
    <row r="2076" spans="2:6">
      <c r="B2076" s="92" t="s">
        <v>159</v>
      </c>
      <c r="C2076" s="91" t="s">
        <v>872</v>
      </c>
      <c r="D2076" s="93">
        <v>100</v>
      </c>
      <c r="E2076" s="93">
        <v>120</v>
      </c>
      <c r="F2076" s="103">
        <f>IFERROR(INDEX(Tabella951[PLZ],MATCH(Tabella848[[#This Row],[Colonna2]],Tabella951[Ortschaftsname],0)), "Name not found")</f>
        <v>1872</v>
      </c>
    </row>
    <row r="2077" spans="2:6">
      <c r="B2077" s="92" t="s">
        <v>159</v>
      </c>
      <c r="C2077" s="91" t="s">
        <v>921</v>
      </c>
      <c r="D2077" s="93">
        <v>100</v>
      </c>
      <c r="E2077" s="93">
        <v>120</v>
      </c>
      <c r="F2077" s="103">
        <v>3946</v>
      </c>
    </row>
    <row r="2078" spans="2:6">
      <c r="B2078" s="92" t="s">
        <v>159</v>
      </c>
      <c r="C2078" s="91" t="s">
        <v>915</v>
      </c>
      <c r="D2078" s="93">
        <v>100</v>
      </c>
      <c r="E2078" s="93">
        <v>120</v>
      </c>
      <c r="F2078" s="103">
        <f>IFERROR(INDEX(Tabella951[PLZ],MATCH(Tabella848[[#This Row],[Colonna2]],Tabella951[Ortschaftsname],0)), "Name not found")</f>
        <v>3929</v>
      </c>
    </row>
    <row r="2079" spans="2:6">
      <c r="B2079" s="92" t="s">
        <v>159</v>
      </c>
      <c r="C2079" s="91" t="s">
        <v>951</v>
      </c>
      <c r="D2079" s="93">
        <v>100</v>
      </c>
      <c r="E2079" s="93">
        <v>140</v>
      </c>
      <c r="F2079" s="103">
        <f>IFERROR(INDEX(Tabella951[PLZ],MATCH(Tabella848[[#This Row],[Colonna2]],Tabella951[Ortschaftsname],0)), "Name not found")</f>
        <v>3923</v>
      </c>
    </row>
    <row r="2080" spans="2:6">
      <c r="B2080" s="92" t="s">
        <v>159</v>
      </c>
      <c r="C2080" s="91" t="s">
        <v>956</v>
      </c>
      <c r="D2080" s="93">
        <v>100</v>
      </c>
      <c r="E2080" s="93">
        <v>120</v>
      </c>
      <c r="F2080" s="103">
        <v>3944</v>
      </c>
    </row>
    <row r="2081" spans="2:6">
      <c r="B2081" s="92" t="s">
        <v>159</v>
      </c>
      <c r="C2081" s="91" t="s">
        <v>2690</v>
      </c>
      <c r="D2081" s="93">
        <v>100</v>
      </c>
      <c r="E2081" s="93">
        <v>100</v>
      </c>
      <c r="F2081" s="103">
        <v>1934</v>
      </c>
    </row>
    <row r="2082" spans="2:6">
      <c r="B2082" s="92" t="s">
        <v>159</v>
      </c>
      <c r="C2082" s="91" t="s">
        <v>897</v>
      </c>
      <c r="D2082" s="93">
        <v>100</v>
      </c>
      <c r="E2082" s="93">
        <v>130</v>
      </c>
      <c r="F2082" s="103">
        <f>IFERROR(INDEX(Tabella951[PLZ],MATCH(Tabella848[[#This Row],[Colonna2]],Tabella951[Ortschaftsname],0)), "Name not found")</f>
        <v>1873</v>
      </c>
    </row>
    <row r="2083" spans="2:6">
      <c r="B2083" s="92" t="s">
        <v>159</v>
      </c>
      <c r="C2083" s="91" t="s">
        <v>943</v>
      </c>
      <c r="D2083" s="93">
        <v>100</v>
      </c>
      <c r="E2083" s="93">
        <v>120</v>
      </c>
      <c r="F2083" s="103">
        <f>IFERROR(INDEX(Tabella951[PLZ],MATCH(Tabella848[[#This Row],[Colonna2]],Tabella951[Ortschaftsname],0)), "Name not found")</f>
        <v>3953</v>
      </c>
    </row>
    <row r="2084" spans="2:6">
      <c r="B2084" s="92" t="s">
        <v>159</v>
      </c>
      <c r="C2084" s="91" t="s">
        <v>898</v>
      </c>
      <c r="D2084" s="93">
        <v>100</v>
      </c>
      <c r="E2084" s="93">
        <v>120</v>
      </c>
      <c r="F2084" s="103">
        <f>IFERROR(INDEX(Tabella951[PLZ],MATCH(Tabella848[[#This Row],[Colonna2]],Tabella951[Ortschaftsname],0)), "Name not found")</f>
        <v>1904</v>
      </c>
    </row>
    <row r="2085" spans="2:6">
      <c r="B2085" s="92" t="s">
        <v>159</v>
      </c>
      <c r="C2085" s="91" t="s">
        <v>900</v>
      </c>
      <c r="D2085" s="93">
        <v>100</v>
      </c>
      <c r="E2085" s="93">
        <v>130</v>
      </c>
      <c r="F2085" s="103">
        <f>IFERROR(INDEX(Tabella951[PLZ],MATCH(Tabella848[[#This Row],[Colonna2]],Tabella951[Ortschaftsname],0)), "Name not found")</f>
        <v>1981</v>
      </c>
    </row>
    <row r="2086" spans="2:6">
      <c r="B2086" s="92" t="s">
        <v>159</v>
      </c>
      <c r="C2086" s="91" t="s">
        <v>945</v>
      </c>
      <c r="D2086" s="93">
        <v>100</v>
      </c>
      <c r="E2086" s="93">
        <v>120</v>
      </c>
      <c r="F2086" s="103">
        <f>IFERROR(INDEX(Tabella951[PLZ],MATCH(Tabella848[[#This Row],[Colonna2]],Tabella951[Ortschaftsname],0)), "Name not found")</f>
        <v>1993</v>
      </c>
    </row>
    <row r="2087" spans="2:6">
      <c r="B2087" s="92" t="s">
        <v>159</v>
      </c>
      <c r="C2087" s="91" t="s">
        <v>887</v>
      </c>
      <c r="D2087" s="93">
        <v>100</v>
      </c>
      <c r="E2087" s="93">
        <v>110</v>
      </c>
      <c r="F2087" s="103">
        <f>IFERROR(INDEX(Tabella951[PLZ],MATCH(Tabella848[[#This Row],[Colonna2]],Tabella951[Ortschaftsname],0)), "Name not found")</f>
        <v>1895</v>
      </c>
    </row>
    <row r="2088" spans="2:6">
      <c r="B2088" s="92" t="s">
        <v>159</v>
      </c>
      <c r="C2088" s="91" t="s">
        <v>866</v>
      </c>
      <c r="D2088" s="93">
        <v>100</v>
      </c>
      <c r="E2088" s="93">
        <v>110</v>
      </c>
      <c r="F2088" s="103">
        <f>IFERROR(INDEX(Tabella951[PLZ],MATCH(Tabella848[[#This Row],[Colonna2]],Tabella951[Ortschaftsname],0)), "Name not found")</f>
        <v>3930</v>
      </c>
    </row>
    <row r="2089" spans="2:6">
      <c r="B2089" s="92" t="s">
        <v>159</v>
      </c>
      <c r="C2089" s="91" t="s">
        <v>911</v>
      </c>
      <c r="D2089" s="93">
        <v>100</v>
      </c>
      <c r="E2089" s="93">
        <v>130</v>
      </c>
      <c r="F2089" s="103">
        <f>IFERROR(INDEX(Tabella951[PLZ],MATCH(Tabella848[[#This Row],[Colonna2]],Tabella951[Ortschaftsname],0)), "Name not found")</f>
        <v>3932</v>
      </c>
    </row>
    <row r="2090" spans="2:6">
      <c r="B2090" s="92" t="s">
        <v>159</v>
      </c>
      <c r="C2090" s="91" t="s">
        <v>875</v>
      </c>
      <c r="D2090" s="93">
        <v>100</v>
      </c>
      <c r="E2090" s="93">
        <v>125</v>
      </c>
      <c r="F2090" s="103">
        <f>IFERROR(INDEX(Tabella951[PLZ],MATCH(Tabella848[[#This Row],[Colonna2]],Tabella951[Ortschaftsname],0)), "Name not found")</f>
        <v>1896</v>
      </c>
    </row>
    <row r="2091" spans="2:6">
      <c r="B2091" s="92" t="s">
        <v>159</v>
      </c>
      <c r="C2091" s="91" t="s">
        <v>937</v>
      </c>
      <c r="D2091" s="93">
        <v>100</v>
      </c>
      <c r="E2091" s="93">
        <v>130</v>
      </c>
      <c r="F2091" s="103">
        <f>IFERROR(INDEX(Tabella951[PLZ],MATCH(Tabella848[[#This Row],[Colonna2]],Tabella951[Ortschaftsname],0)), "Name not found")</f>
        <v>1891</v>
      </c>
    </row>
    <row r="2092" spans="2:6">
      <c r="B2092" s="92" t="s">
        <v>159</v>
      </c>
      <c r="C2092" s="91" t="s">
        <v>869</v>
      </c>
      <c r="D2092" s="93">
        <v>100</v>
      </c>
      <c r="E2092" s="93">
        <v>115</v>
      </c>
      <c r="F2092" s="103">
        <f>IFERROR(INDEX(Tabella951[PLZ],MATCH(Tabella848[[#This Row],[Colonna2]],Tabella951[Ortschaftsname],0)), "Name not found")</f>
        <v>1963</v>
      </c>
    </row>
    <row r="2093" spans="2:6">
      <c r="B2093" s="92" t="s">
        <v>159</v>
      </c>
      <c r="C2093" s="91" t="s">
        <v>946</v>
      </c>
      <c r="D2093" s="93">
        <v>100</v>
      </c>
      <c r="E2093" s="93">
        <v>140</v>
      </c>
      <c r="F2093" s="103">
        <f>IFERROR(INDEX(Tabella951[PLZ],MATCH(Tabella848[[#This Row],[Colonna2]],Tabella951[Ortschaftsname],0)), "Name not found")</f>
        <v>3918</v>
      </c>
    </row>
    <row r="2094" spans="2:6">
      <c r="B2094" s="92" t="s">
        <v>159</v>
      </c>
      <c r="C2094" s="91" t="s">
        <v>969</v>
      </c>
      <c r="D2094" s="93">
        <v>100</v>
      </c>
      <c r="E2094" s="93">
        <v>130</v>
      </c>
      <c r="F2094" s="103">
        <f>IFERROR(INDEX(Tabella951[PLZ],MATCH(Tabella848[[#This Row],[Colonna2]],Tabella951[Ortschaftsname],0)), "Name not found")</f>
        <v>3934</v>
      </c>
    </row>
    <row r="2095" spans="2:6">
      <c r="B2095" s="92" t="s">
        <v>159</v>
      </c>
      <c r="C2095" s="91" t="s">
        <v>871</v>
      </c>
      <c r="D2095" s="93">
        <v>100</v>
      </c>
      <c r="E2095" s="93">
        <v>110</v>
      </c>
      <c r="F2095" s="103">
        <f>IFERROR(INDEX(Tabella951[PLZ],MATCH(Tabella848[[#This Row],[Colonna2]],Tabella951[Ortschaftsname],0)), "Name not found")</f>
        <v>3920</v>
      </c>
    </row>
    <row r="2096" spans="2:6">
      <c r="B2096" s="92" t="s">
        <v>159</v>
      </c>
      <c r="C2096" s="91" t="s">
        <v>979</v>
      </c>
      <c r="D2096" s="93">
        <v>100</v>
      </c>
      <c r="E2096" s="93">
        <v>100</v>
      </c>
      <c r="F2096" s="103">
        <v>3907</v>
      </c>
    </row>
    <row r="2097" spans="2:6">
      <c r="B2097" s="92" t="s">
        <v>153</v>
      </c>
      <c r="C2097" s="91" t="s">
        <v>1351</v>
      </c>
      <c r="D2097" s="93">
        <v>125</v>
      </c>
      <c r="E2097" s="93">
        <v>68</v>
      </c>
      <c r="F2097" s="103">
        <f>IFERROR(INDEX(Tabella951[PLZ],MATCH(Tabella848[[#This Row],[Colonna2]],Tabella951[Ortschaftsname],0)), "Name not found")</f>
        <v>2017</v>
      </c>
    </row>
    <row r="2098" spans="2:6">
      <c r="B2098" s="92" t="s">
        <v>153</v>
      </c>
      <c r="C2098" s="91" t="s">
        <v>1373</v>
      </c>
      <c r="D2098" s="93">
        <v>125</v>
      </c>
      <c r="E2098" s="93">
        <v>75</v>
      </c>
      <c r="F2098" s="103">
        <f>IFERROR(INDEX(Tabella951[PLZ],MATCH(Tabella848[[#This Row],[Colonna2]],Tabella951[Ortschaftsname],0)), "Name not found")</f>
        <v>2318</v>
      </c>
    </row>
    <row r="2099" spans="2:6">
      <c r="B2099" s="92" t="s">
        <v>153</v>
      </c>
      <c r="C2099" s="91" t="s">
        <v>1360</v>
      </c>
      <c r="D2099" s="93">
        <v>125</v>
      </c>
      <c r="E2099" s="93">
        <v>74</v>
      </c>
      <c r="F2099" s="103">
        <v>2087</v>
      </c>
    </row>
    <row r="2100" spans="2:6">
      <c r="B2100" s="92" t="s">
        <v>153</v>
      </c>
      <c r="C2100" s="91" t="s">
        <v>1354</v>
      </c>
      <c r="D2100" s="93">
        <v>125</v>
      </c>
      <c r="E2100" s="93">
        <v>66</v>
      </c>
      <c r="F2100" s="103">
        <f>IFERROR(INDEX(Tabella951[PLZ],MATCH(Tabella848[[#This Row],[Colonna2]],Tabella951[Ortschaftsname],0)), "Name not found")</f>
        <v>2016</v>
      </c>
    </row>
    <row r="2101" spans="2:6">
      <c r="B2101" s="92" t="s">
        <v>153</v>
      </c>
      <c r="C2101" s="91" t="s">
        <v>1359</v>
      </c>
      <c r="D2101" s="93">
        <v>125</v>
      </c>
      <c r="E2101" s="93">
        <v>77</v>
      </c>
      <c r="F2101" s="103">
        <v>2088</v>
      </c>
    </row>
    <row r="2102" spans="2:6">
      <c r="B2102" s="92" t="s">
        <v>153</v>
      </c>
      <c r="C2102" s="91" t="s">
        <v>1372</v>
      </c>
      <c r="D2102" s="93">
        <v>125</v>
      </c>
      <c r="E2102" s="93">
        <v>79</v>
      </c>
      <c r="F2102" s="103">
        <f>IFERROR(INDEX(Tabella951[PLZ],MATCH(Tabella848[[#This Row],[Colonna2]],Tabella951[Ortschaftsname],0)), "Name not found")</f>
        <v>2073</v>
      </c>
    </row>
    <row r="2103" spans="2:6">
      <c r="B2103" s="92" t="s">
        <v>153</v>
      </c>
      <c r="C2103" s="91" t="s">
        <v>1358</v>
      </c>
      <c r="D2103" s="93">
        <v>125</v>
      </c>
      <c r="E2103" s="93">
        <v>70</v>
      </c>
      <c r="F2103" s="103">
        <v>2068</v>
      </c>
    </row>
    <row r="2104" spans="2:6">
      <c r="B2104" s="92" t="s">
        <v>153</v>
      </c>
      <c r="C2104" s="91" t="s">
        <v>1367</v>
      </c>
      <c r="D2104" s="93">
        <v>125</v>
      </c>
      <c r="E2104" s="93">
        <v>75</v>
      </c>
      <c r="F2104" s="103">
        <f>IFERROR(INDEX(Tabella951[PLZ],MATCH(Tabella848[[#This Row],[Colonna2]],Tabella951[Ortschaftsname],0)), "Name not found")</f>
        <v>2406</v>
      </c>
    </row>
    <row r="2105" spans="2:6">
      <c r="B2105" s="92" t="s">
        <v>153</v>
      </c>
      <c r="C2105" s="91" t="s">
        <v>1344</v>
      </c>
      <c r="D2105" s="93">
        <v>125</v>
      </c>
      <c r="E2105" s="93">
        <v>75</v>
      </c>
      <c r="F2105" s="103">
        <f>IFERROR(INDEX(Tabella951[PLZ],MATCH(Tabella848[[#This Row],[Colonna2]],Tabella951[Ortschaftsname],0)), "Name not found")</f>
        <v>2300</v>
      </c>
    </row>
    <row r="2106" spans="2:6">
      <c r="B2106" s="92" t="s">
        <v>153</v>
      </c>
      <c r="C2106" s="91" t="s">
        <v>1369</v>
      </c>
      <c r="D2106" s="93">
        <v>125</v>
      </c>
      <c r="E2106" s="93">
        <v>75</v>
      </c>
      <c r="F2106" s="103">
        <f>IFERROR(INDEX(Tabella951[PLZ],MATCH(Tabella848[[#This Row],[Colonna2]],Tabella951[Ortschaftsname],0)), "Name not found")</f>
        <v>2405</v>
      </c>
    </row>
    <row r="2107" spans="2:6">
      <c r="B2107" s="92" t="s">
        <v>153</v>
      </c>
      <c r="C2107" s="91" t="s">
        <v>1370</v>
      </c>
      <c r="D2107" s="93">
        <v>125</v>
      </c>
      <c r="E2107" s="93">
        <v>75</v>
      </c>
      <c r="F2107" s="103">
        <f>IFERROR(INDEX(Tabella951[PLZ],MATCH(Tabella848[[#This Row],[Colonna2]],Tabella951[Ortschaftsname],0)), "Name not found")</f>
        <v>2117</v>
      </c>
    </row>
    <row r="2108" spans="2:6">
      <c r="B2108" s="92" t="s">
        <v>153</v>
      </c>
      <c r="C2108" s="91" t="s">
        <v>2691</v>
      </c>
      <c r="D2108" s="93">
        <v>125</v>
      </c>
      <c r="E2108" s="93">
        <v>63</v>
      </c>
      <c r="F2108" s="103">
        <v>2024</v>
      </c>
    </row>
    <row r="2109" spans="2:6">
      <c r="B2109" s="92" t="s">
        <v>153</v>
      </c>
      <c r="C2109" s="91" t="s">
        <v>1364</v>
      </c>
      <c r="D2109" s="93">
        <v>125</v>
      </c>
      <c r="E2109" s="93">
        <v>75</v>
      </c>
      <c r="F2109" s="103">
        <v>2314</v>
      </c>
    </row>
    <row r="2110" spans="2:6">
      <c r="B2110" s="92" t="s">
        <v>153</v>
      </c>
      <c r="C2110" s="91" t="s">
        <v>1353</v>
      </c>
      <c r="D2110" s="93">
        <v>125</v>
      </c>
      <c r="E2110" s="93">
        <v>69</v>
      </c>
      <c r="F2110" s="103">
        <v>2074</v>
      </c>
    </row>
    <row r="2111" spans="2:6">
      <c r="B2111" s="92" t="s">
        <v>153</v>
      </c>
      <c r="C2111" s="91" t="s">
        <v>1371</v>
      </c>
      <c r="D2111" s="93">
        <v>125</v>
      </c>
      <c r="E2111" s="93">
        <v>75</v>
      </c>
      <c r="F2111" s="103">
        <f>IFERROR(INDEX(Tabella951[PLZ],MATCH(Tabella848[[#This Row],[Colonna2]],Tabella951[Ortschaftsname],0)), "Name not found")</f>
        <v>2414</v>
      </c>
    </row>
    <row r="2112" spans="2:6">
      <c r="B2112" s="92" t="s">
        <v>153</v>
      </c>
      <c r="C2112" s="91" t="s">
        <v>1356</v>
      </c>
      <c r="D2112" s="93">
        <v>125</v>
      </c>
      <c r="E2112" s="93">
        <v>66</v>
      </c>
      <c r="F2112" s="103">
        <f>IFERROR(INDEX(Tabella951[PLZ],MATCH(Tabella848[[#This Row],[Colonna2]],Tabella951[Ortschaftsname],0)), "Name not found")</f>
        <v>2525</v>
      </c>
    </row>
    <row r="2113" spans="2:6">
      <c r="B2113" s="92" t="s">
        <v>153</v>
      </c>
      <c r="C2113" s="91" t="s">
        <v>1348</v>
      </c>
      <c r="D2113" s="93">
        <v>125</v>
      </c>
      <c r="E2113" s="93">
        <v>69</v>
      </c>
      <c r="F2113" s="103">
        <f>IFERROR(INDEX(Tabella951[PLZ],MATCH(Tabella848[[#This Row],[Colonna2]],Tabella951[Ortschaftsname],0)), "Name not found")</f>
        <v>2400</v>
      </c>
    </row>
    <row r="2114" spans="2:6">
      <c r="B2114" s="92" t="s">
        <v>153</v>
      </c>
      <c r="C2114" s="91" t="s">
        <v>1374</v>
      </c>
      <c r="D2114" s="93">
        <v>125</v>
      </c>
      <c r="E2114" s="93">
        <v>78</v>
      </c>
      <c r="F2114" s="103">
        <f>IFERROR(INDEX(Tabella951[PLZ],MATCH(Tabella848[[#This Row],[Colonna2]],Tabella951[Ortschaftsname],0)), "Name not found")</f>
        <v>2325</v>
      </c>
    </row>
    <row r="2115" spans="2:6">
      <c r="B2115" s="92" t="s">
        <v>153</v>
      </c>
      <c r="C2115" s="91" t="s">
        <v>1361</v>
      </c>
      <c r="D2115" s="93">
        <v>125</v>
      </c>
      <c r="E2115" s="93">
        <v>75</v>
      </c>
      <c r="F2115" s="103">
        <f>IFERROR(INDEX(Tabella951[PLZ],MATCH(Tabella848[[#This Row],[Colonna2]],Tabella951[Ortschaftsname],0)), "Name not found")</f>
        <v>2316</v>
      </c>
    </row>
    <row r="2116" spans="2:6">
      <c r="B2116" s="92" t="s">
        <v>153</v>
      </c>
      <c r="C2116" s="91" t="s">
        <v>1366</v>
      </c>
      <c r="D2116" s="93">
        <v>125</v>
      </c>
      <c r="E2116" s="93">
        <v>79</v>
      </c>
      <c r="F2116" s="103">
        <f>IFERROR(INDEX(Tabella951[PLZ],MATCH(Tabella848[[#This Row],[Colonna2]],Tabella951[Ortschaftsname],0)), "Name not found")</f>
        <v>2126</v>
      </c>
    </row>
    <row r="2117" spans="2:6">
      <c r="B2117" s="92" t="s">
        <v>153</v>
      </c>
      <c r="C2117" s="91" t="s">
        <v>1365</v>
      </c>
      <c r="D2117" s="93">
        <v>125</v>
      </c>
      <c r="E2117" s="93">
        <v>77</v>
      </c>
      <c r="F2117" s="103">
        <f>IFERROR(INDEX(Tabella951[PLZ],MATCH(Tabella848[[#This Row],[Colonna2]],Tabella951[Ortschaftsname],0)), "Name not found")</f>
        <v>2523</v>
      </c>
    </row>
    <row r="2118" spans="2:6">
      <c r="B2118" s="92" t="s">
        <v>153</v>
      </c>
      <c r="C2118" s="91" t="s">
        <v>1349</v>
      </c>
      <c r="D2118" s="93">
        <v>125</v>
      </c>
      <c r="E2118" s="93">
        <v>63</v>
      </c>
      <c r="F2118" s="103">
        <v>2013</v>
      </c>
    </row>
    <row r="2119" spans="2:6">
      <c r="B2119" s="92" t="s">
        <v>153</v>
      </c>
      <c r="C2119" s="91" t="s">
        <v>1345</v>
      </c>
      <c r="D2119" s="93">
        <v>125</v>
      </c>
      <c r="E2119" s="93">
        <v>65</v>
      </c>
      <c r="F2119" s="103">
        <f>IFERROR(INDEX(Tabella951[PLZ],MATCH(Tabella848[[#This Row],[Colonna2]],Tabella951[Ortschaftsname],0)), "Name not found")</f>
        <v>2000</v>
      </c>
    </row>
    <row r="2120" spans="2:6">
      <c r="B2120" s="92" t="s">
        <v>153</v>
      </c>
      <c r="C2120" s="91" t="s">
        <v>1362</v>
      </c>
      <c r="D2120" s="93">
        <v>125</v>
      </c>
      <c r="E2120" s="93">
        <v>67</v>
      </c>
      <c r="F2120" s="103">
        <f>IFERROR(INDEX(Tabella951[PLZ],MATCH(Tabella848[[#This Row],[Colonna2]],Tabella951[Ortschaftsname],0)), "Name not found")</f>
        <v>2019</v>
      </c>
    </row>
    <row r="2121" spans="2:6">
      <c r="B2121" s="92" t="s">
        <v>153</v>
      </c>
      <c r="C2121" s="91" t="s">
        <v>1357</v>
      </c>
      <c r="D2121" s="93">
        <v>125</v>
      </c>
      <c r="E2121" s="93">
        <v>66</v>
      </c>
      <c r="F2121" s="103">
        <v>2072</v>
      </c>
    </row>
    <row r="2122" spans="2:6">
      <c r="B2122" s="92" t="s">
        <v>153</v>
      </c>
      <c r="C2122" s="91" t="s">
        <v>1346</v>
      </c>
      <c r="D2122" s="93">
        <v>125</v>
      </c>
      <c r="E2122" s="93">
        <v>66</v>
      </c>
      <c r="F2122" s="103">
        <v>2053</v>
      </c>
    </row>
    <row r="2123" spans="2:6">
      <c r="B2123" s="92" t="s">
        <v>153</v>
      </c>
      <c r="C2123" s="91" t="s">
        <v>1347</v>
      </c>
      <c r="D2123" s="93">
        <v>125</v>
      </c>
      <c r="E2123" s="93">
        <v>76</v>
      </c>
      <c r="F2123" s="103">
        <v>2114</v>
      </c>
    </row>
    <row r="2124" spans="2:6">
      <c r="B2124" s="92" t="s">
        <v>137</v>
      </c>
      <c r="C2124" s="91" t="s">
        <v>845</v>
      </c>
      <c r="D2124" s="93">
        <v>147.5</v>
      </c>
      <c r="E2124" s="93">
        <v>50</v>
      </c>
      <c r="F2124" s="103">
        <f>IFERROR(INDEX(Tabella951[PLZ],MATCH(Tabella848[[#This Row],[Colonna2]],Tabella951[Ortschaftsname],0)), "Name not found")</f>
        <v>1288</v>
      </c>
    </row>
    <row r="2125" spans="2:6">
      <c r="B2125" s="92" t="s">
        <v>137</v>
      </c>
      <c r="C2125" s="91" t="s">
        <v>833</v>
      </c>
      <c r="D2125" s="93">
        <v>147.5</v>
      </c>
      <c r="E2125" s="93">
        <v>31</v>
      </c>
      <c r="F2125" s="103">
        <f>IFERROR(INDEX(Tabella951[PLZ],MATCH(Tabella848[[#This Row],[Colonna2]],Tabella951[Ortschaftsname],0)), "Name not found")</f>
        <v>1247</v>
      </c>
    </row>
    <row r="2126" spans="2:6">
      <c r="B2126" s="92" t="s">
        <v>137</v>
      </c>
      <c r="C2126" s="91" t="s">
        <v>840</v>
      </c>
      <c r="D2126" s="93">
        <v>147.5</v>
      </c>
      <c r="E2126" s="93">
        <v>51</v>
      </c>
      <c r="F2126" s="103">
        <f>IFERROR(INDEX(Tabella951[PLZ],MATCH(Tabella848[[#This Row],[Colonna2]],Tabella951[Ortschaftsname],0)), "Name not found")</f>
        <v>1237</v>
      </c>
    </row>
    <row r="2127" spans="2:6">
      <c r="B2127" s="92" t="s">
        <v>137</v>
      </c>
      <c r="C2127" s="91" t="s">
        <v>843</v>
      </c>
      <c r="D2127" s="93">
        <v>147.5</v>
      </c>
      <c r="E2127" s="93">
        <v>50</v>
      </c>
      <c r="F2127" s="103">
        <v>1285</v>
      </c>
    </row>
    <row r="2128" spans="2:6">
      <c r="B2128" s="92" t="s">
        <v>137</v>
      </c>
      <c r="C2128" s="91" t="s">
        <v>836</v>
      </c>
      <c r="D2128" s="93">
        <v>147.5</v>
      </c>
      <c r="E2128" s="93">
        <v>43</v>
      </c>
      <c r="F2128" s="103">
        <v>1257</v>
      </c>
    </row>
    <row r="2129" spans="2:6">
      <c r="B2129" s="92" t="s">
        <v>137</v>
      </c>
      <c r="C2129" s="91" t="s">
        <v>829</v>
      </c>
      <c r="D2129" s="93">
        <v>147.5</v>
      </c>
      <c r="E2129" s="93">
        <v>41</v>
      </c>
      <c r="F2129" s="103">
        <f>IFERROR(INDEX(Tabella951[PLZ],MATCH(Tabella848[[#This Row],[Colonna2]],Tabella951[Ortschaftsname],0)), "Name not found")</f>
        <v>1293</v>
      </c>
    </row>
    <row r="2130" spans="2:6">
      <c r="B2130" s="92" t="s">
        <v>137</v>
      </c>
      <c r="C2130" s="91" t="s">
        <v>822</v>
      </c>
      <c r="D2130" s="93">
        <v>147.5</v>
      </c>
      <c r="E2130" s="93">
        <v>48</v>
      </c>
      <c r="F2130" s="103">
        <f>IFERROR(INDEX(Tabella951[PLZ],MATCH(Tabella848[[#This Row],[Colonna2]],Tabella951[Ortschaftsname],0)), "Name not found")</f>
        <v>1233</v>
      </c>
    </row>
    <row r="2131" spans="2:6">
      <c r="B2131" s="92" t="s">
        <v>137</v>
      </c>
      <c r="C2131" s="91" t="s">
        <v>814</v>
      </c>
      <c r="D2131" s="93">
        <v>147.5</v>
      </c>
      <c r="E2131" s="93">
        <v>40</v>
      </c>
      <c r="F2131" s="103">
        <v>1227</v>
      </c>
    </row>
    <row r="2132" spans="2:6">
      <c r="B2132" s="92" t="s">
        <v>137</v>
      </c>
      <c r="C2132" s="91" t="s">
        <v>848</v>
      </c>
      <c r="D2132" s="93">
        <v>147.5</v>
      </c>
      <c r="E2132" s="93">
        <v>42</v>
      </c>
      <c r="F2132" s="103">
        <f>IFERROR(INDEX(Tabella951[PLZ],MATCH(Tabella848[[#This Row],[Colonna2]],Tabella951[Ortschaftsname],0)), "Name not found")</f>
        <v>1236</v>
      </c>
    </row>
    <row r="2133" spans="2:6">
      <c r="B2133" s="92" t="s">
        <v>137</v>
      </c>
      <c r="C2133" s="91" t="s">
        <v>841</v>
      </c>
      <c r="D2133" s="93">
        <v>147.5</v>
      </c>
      <c r="E2133" s="93">
        <v>51</v>
      </c>
      <c r="F2133" s="103">
        <f>IFERROR(INDEX(Tabella951[PLZ],MATCH(Tabella848[[#This Row],[Colonna2]],Tabella951[Ortschaftsname],0)), "Name not found")</f>
        <v>1284</v>
      </c>
    </row>
    <row r="2134" spans="2:6">
      <c r="B2134" s="92" t="s">
        <v>137</v>
      </c>
      <c r="C2134" s="91" t="s">
        <v>846</v>
      </c>
      <c r="D2134" s="93">
        <v>147.5</v>
      </c>
      <c r="E2134" s="93">
        <v>40</v>
      </c>
      <c r="F2134" s="103">
        <f>IFERROR(INDEX(Tabella951[PLZ],MATCH(Tabella848[[#This Row],[Colonna2]],Tabella951[Ortschaftsname],0)), "Name not found")</f>
        <v>1244</v>
      </c>
    </row>
    <row r="2135" spans="2:6">
      <c r="B2135" s="92" t="s">
        <v>137</v>
      </c>
      <c r="C2135" s="91" t="s">
        <v>819</v>
      </c>
      <c r="D2135" s="93">
        <v>147.5</v>
      </c>
      <c r="E2135" s="93">
        <v>32</v>
      </c>
      <c r="F2135" s="103">
        <f>IFERROR(INDEX(Tabella951[PLZ],MATCH(Tabella848[[#This Row],[Colonna2]],Tabella951[Ortschaftsname],0)), "Name not found")</f>
        <v>1224</v>
      </c>
    </row>
    <row r="2136" spans="2:6">
      <c r="B2136" s="92" t="s">
        <v>137</v>
      </c>
      <c r="C2136" s="91" t="s">
        <v>823</v>
      </c>
      <c r="D2136" s="93">
        <v>147.5</v>
      </c>
      <c r="E2136" s="93">
        <v>46</v>
      </c>
      <c r="F2136" s="103">
        <f>IFERROR(INDEX(Tabella951[PLZ],MATCH(Tabella848[[#This Row],[Colonna2]],Tabella951[Ortschaftsname],0)), "Name not found")</f>
        <v>1225</v>
      </c>
    </row>
    <row r="2137" spans="2:6">
      <c r="B2137" s="92" t="s">
        <v>137</v>
      </c>
      <c r="C2137" s="91" t="s">
        <v>842</v>
      </c>
      <c r="D2137" s="93">
        <v>147.5</v>
      </c>
      <c r="E2137" s="93">
        <v>46</v>
      </c>
      <c r="F2137" s="103">
        <v>1239</v>
      </c>
    </row>
    <row r="2138" spans="2:6">
      <c r="B2138" s="92" t="s">
        <v>137</v>
      </c>
      <c r="C2138" s="91" t="s">
        <v>824</v>
      </c>
      <c r="D2138" s="93">
        <v>147.5</v>
      </c>
      <c r="E2138" s="93">
        <v>28</v>
      </c>
      <c r="F2138" s="103">
        <f>IFERROR(INDEX(Tabella951[PLZ],MATCH(Tabella848[[#This Row],[Colonna2]],Tabella951[Ortschaftsname],0)), "Name not found")</f>
        <v>1245</v>
      </c>
    </row>
    <row r="2139" spans="2:6">
      <c r="B2139" s="92" t="s">
        <v>137</v>
      </c>
      <c r="C2139" s="91" t="s">
        <v>825</v>
      </c>
      <c r="D2139" s="93">
        <v>147.5</v>
      </c>
      <c r="E2139" s="93">
        <v>27</v>
      </c>
      <c r="F2139" s="103">
        <f>IFERROR(INDEX(Tabella951[PLZ],MATCH(Tabella848[[#This Row],[Colonna2]],Tabella951[Ortschaftsname],0)), "Name not found")</f>
        <v>1223</v>
      </c>
    </row>
    <row r="2140" spans="2:6">
      <c r="B2140" s="92" t="s">
        <v>137</v>
      </c>
      <c r="C2140" s="91" t="s">
        <v>826</v>
      </c>
      <c r="D2140" s="93">
        <v>147.5</v>
      </c>
      <c r="E2140" s="93">
        <v>46</v>
      </c>
      <c r="F2140" s="103">
        <f>IFERROR(INDEX(Tabella951[PLZ],MATCH(Tabella848[[#This Row],[Colonna2]],Tabella951[Ortschaftsname],0)), "Name not found")</f>
        <v>1232</v>
      </c>
    </row>
    <row r="2141" spans="2:6">
      <c r="B2141" s="92" t="s">
        <v>137</v>
      </c>
      <c r="C2141" s="91" t="s">
        <v>838</v>
      </c>
      <c r="D2141" s="93">
        <v>147.5</v>
      </c>
      <c r="E2141" s="93">
        <v>32</v>
      </c>
      <c r="F2141" s="103">
        <v>1246</v>
      </c>
    </row>
    <row r="2142" spans="2:6">
      <c r="B2142" s="92" t="s">
        <v>137</v>
      </c>
      <c r="C2142" s="91" t="s">
        <v>850</v>
      </c>
      <c r="D2142" s="93">
        <v>147.5</v>
      </c>
      <c r="E2142" s="93">
        <v>33</v>
      </c>
      <c r="F2142" s="103">
        <f>IFERROR(INDEX(Tabella951[PLZ],MATCH(Tabella848[[#This Row],[Colonna2]],Tabella951[Ortschaftsname],0)), "Name not found")</f>
        <v>1298</v>
      </c>
    </row>
    <row r="2143" spans="2:6">
      <c r="B2143" s="92" t="s">
        <v>137</v>
      </c>
      <c r="C2143" s="91" t="s">
        <v>839</v>
      </c>
      <c r="D2143" s="93">
        <v>147.5</v>
      </c>
      <c r="E2143" s="93">
        <v>48</v>
      </c>
      <c r="F2143" s="103">
        <f>IFERROR(INDEX(Tabella951[PLZ],MATCH(Tabella848[[#This Row],[Colonna2]],Tabella951[Ortschaftsname],0)), "Name not found")</f>
        <v>1283</v>
      </c>
    </row>
    <row r="2144" spans="2:6">
      <c r="B2144" s="92" t="s">
        <v>137</v>
      </c>
      <c r="C2144" s="91" t="s">
        <v>831</v>
      </c>
      <c r="D2144" s="93">
        <v>147.5</v>
      </c>
      <c r="E2144" s="93">
        <v>25</v>
      </c>
      <c r="F2144" s="103">
        <f>IFERROR(INDEX(Tabella951[PLZ],MATCH(Tabella848[[#This Row],[Colonna2]],Tabella951[Ortschaftsname],0)), "Name not found")</f>
        <v>1294</v>
      </c>
    </row>
    <row r="2145" spans="2:6">
      <c r="B2145" s="92" t="s">
        <v>137</v>
      </c>
      <c r="C2145" s="91" t="s">
        <v>2692</v>
      </c>
      <c r="D2145" s="93">
        <v>147.5</v>
      </c>
      <c r="E2145" s="93">
        <v>45.49</v>
      </c>
      <c r="F2145" s="103">
        <f>IFERROR(INDEX(Tabella951[PLZ],MATCH(Tabella848[[#This Row],[Colonna2]],Tabella951[Ortschaftsname],0)), "Name not found")</f>
        <v>1201</v>
      </c>
    </row>
    <row r="2146" spans="2:6">
      <c r="B2146" s="92" t="s">
        <v>137</v>
      </c>
      <c r="C2146" s="91" t="s">
        <v>854</v>
      </c>
      <c r="D2146" s="93">
        <v>147.5</v>
      </c>
      <c r="E2146" s="93">
        <v>46</v>
      </c>
      <c r="F2146" s="103">
        <f>IFERROR(INDEX(Tabella951[PLZ],MATCH(Tabella848[[#This Row],[Colonna2]],Tabella951[Ortschaftsname],0)), "Name not found")</f>
        <v>1251</v>
      </c>
    </row>
    <row r="2147" spans="2:6">
      <c r="B2147" s="92" t="s">
        <v>137</v>
      </c>
      <c r="C2147" s="91" t="s">
        <v>847</v>
      </c>
      <c r="D2147" s="93">
        <v>147.5</v>
      </c>
      <c r="E2147" s="93">
        <v>42</v>
      </c>
      <c r="F2147" s="103">
        <f>IFERROR(INDEX(Tabella951[PLZ],MATCH(Tabella848[[#This Row],[Colonna2]],Tabella951[Ortschaftsname],0)), "Name not found")</f>
        <v>1248</v>
      </c>
    </row>
    <row r="2148" spans="2:6">
      <c r="B2148" s="92" t="s">
        <v>137</v>
      </c>
      <c r="C2148" s="91" t="s">
        <v>844</v>
      </c>
      <c r="D2148" s="93">
        <v>147.5</v>
      </c>
      <c r="E2148" s="93">
        <v>41</v>
      </c>
      <c r="F2148" s="103">
        <f>IFERROR(INDEX(Tabella951[PLZ],MATCH(Tabella848[[#This Row],[Colonna2]],Tabella951[Ortschaftsname],0)), "Name not found")</f>
        <v>1254</v>
      </c>
    </row>
    <row r="2149" spans="2:6">
      <c r="B2149" s="92" t="s">
        <v>137</v>
      </c>
      <c r="C2149" s="91" t="s">
        <v>852</v>
      </c>
      <c r="D2149" s="93">
        <v>147.5</v>
      </c>
      <c r="E2149" s="93">
        <v>44</v>
      </c>
      <c r="F2149" s="103">
        <f>IFERROR(INDEX(Tabella951[PLZ],MATCH(Tabella848[[#This Row],[Colonna2]],Tabella951[Ortschaftsname],0)), "Name not found")</f>
        <v>1287</v>
      </c>
    </row>
    <row r="2150" spans="2:6">
      <c r="B2150" s="92" t="s">
        <v>137</v>
      </c>
      <c r="C2150" s="91" t="s">
        <v>812</v>
      </c>
      <c r="D2150" s="93">
        <v>147.5</v>
      </c>
      <c r="E2150" s="93">
        <v>47</v>
      </c>
      <c r="F2150" s="103">
        <v>1212</v>
      </c>
    </row>
    <row r="2151" spans="2:6">
      <c r="B2151" s="92" t="s">
        <v>137</v>
      </c>
      <c r="C2151" s="91" t="s">
        <v>818</v>
      </c>
      <c r="D2151" s="93">
        <v>147.5</v>
      </c>
      <c r="E2151" s="93">
        <v>44</v>
      </c>
      <c r="F2151" s="103">
        <f>IFERROR(INDEX(Tabella951[PLZ],MATCH(Tabella848[[#This Row],[Colonna2]],Tabella951[Ortschaftsname],0)), "Name not found")</f>
        <v>1218</v>
      </c>
    </row>
    <row r="2152" spans="2:6">
      <c r="B2152" s="92" t="s">
        <v>137</v>
      </c>
      <c r="C2152" s="91" t="s">
        <v>837</v>
      </c>
      <c r="D2152" s="93">
        <v>147.5</v>
      </c>
      <c r="E2152" s="93">
        <v>42</v>
      </c>
      <c r="F2152" s="103">
        <f>IFERROR(INDEX(Tabella951[PLZ],MATCH(Tabella848[[#This Row],[Colonna2]],Tabella951[Ortschaftsname],0)), "Name not found")</f>
        <v>1252</v>
      </c>
    </row>
    <row r="2153" spans="2:6">
      <c r="B2153" s="92" t="s">
        <v>137</v>
      </c>
      <c r="C2153" s="91" t="s">
        <v>813</v>
      </c>
      <c r="D2153" s="93">
        <v>147.5</v>
      </c>
      <c r="E2153" s="93">
        <v>44</v>
      </c>
      <c r="F2153" s="103">
        <f>IFERROR(INDEX(Tabella951[PLZ],MATCH(Tabella848[[#This Row],[Colonna2]],Tabella951[Ortschaftsname],0)), "Name not found")</f>
        <v>1217</v>
      </c>
    </row>
    <row r="2154" spans="2:6">
      <c r="B2154" s="92" t="s">
        <v>137</v>
      </c>
      <c r="C2154" s="91" t="s">
        <v>815</v>
      </c>
      <c r="D2154" s="93">
        <v>147.5</v>
      </c>
      <c r="E2154" s="93">
        <v>50.5</v>
      </c>
      <c r="F2154" s="103">
        <f>IFERROR(INDEX(Tabella951[PLZ],MATCH(Tabella848[[#This Row],[Colonna2]],Tabella951[Ortschaftsname],0)), "Name not found")</f>
        <v>1213</v>
      </c>
    </row>
    <row r="2155" spans="2:6">
      <c r="B2155" s="92" t="s">
        <v>137</v>
      </c>
      <c r="C2155" s="91" t="s">
        <v>830</v>
      </c>
      <c r="D2155" s="93">
        <v>147.5</v>
      </c>
      <c r="E2155" s="93">
        <v>43</v>
      </c>
      <c r="F2155" s="103">
        <v>1258</v>
      </c>
    </row>
    <row r="2156" spans="2:6">
      <c r="B2156" s="92" t="s">
        <v>137</v>
      </c>
      <c r="C2156" s="91" t="s">
        <v>821</v>
      </c>
      <c r="D2156" s="93">
        <v>147.5</v>
      </c>
      <c r="E2156" s="93">
        <v>35</v>
      </c>
      <c r="F2156" s="103">
        <f>IFERROR(INDEX(Tabella951[PLZ],MATCH(Tabella848[[#This Row],[Colonna2]],Tabella951[Ortschaftsname],0)), "Name not found")</f>
        <v>1228</v>
      </c>
    </row>
    <row r="2157" spans="2:6">
      <c r="B2157" s="92" t="s">
        <v>137</v>
      </c>
      <c r="C2157" s="91" t="s">
        <v>828</v>
      </c>
      <c r="D2157" s="93">
        <v>147.5</v>
      </c>
      <c r="E2157" s="93">
        <v>32</v>
      </c>
      <c r="F2157" s="103">
        <v>1292</v>
      </c>
    </row>
    <row r="2158" spans="2:6">
      <c r="B2158" s="92" t="s">
        <v>137</v>
      </c>
      <c r="C2158" s="91" t="s">
        <v>851</v>
      </c>
      <c r="D2158" s="93">
        <v>147.5</v>
      </c>
      <c r="E2158" s="93">
        <v>40</v>
      </c>
      <c r="F2158" s="103">
        <f>IFERROR(INDEX(Tabella951[PLZ],MATCH(Tabella848[[#This Row],[Colonna2]],Tabella951[Ortschaftsname],0)), "Name not found")</f>
        <v>1243</v>
      </c>
    </row>
    <row r="2159" spans="2:6">
      <c r="B2159" s="92" t="s">
        <v>137</v>
      </c>
      <c r="C2159" s="91" t="s">
        <v>834</v>
      </c>
      <c r="D2159" s="93">
        <v>147.5</v>
      </c>
      <c r="E2159" s="93">
        <v>48</v>
      </c>
      <c r="F2159" s="103">
        <f>IFERROR(INDEX(Tabella951[PLZ],MATCH(Tabella848[[#This Row],[Colonna2]],Tabella951[Ortschaftsname],0)), "Name not found")</f>
        <v>1241</v>
      </c>
    </row>
    <row r="2160" spans="2:6">
      <c r="B2160" s="92" t="s">
        <v>137</v>
      </c>
      <c r="C2160" s="91" t="s">
        <v>853</v>
      </c>
      <c r="D2160" s="93">
        <v>147.5</v>
      </c>
      <c r="E2160" s="93">
        <v>39</v>
      </c>
      <c r="F2160" s="103">
        <f>IFERROR(INDEX(Tabella951[PLZ],MATCH(Tabella848[[#This Row],[Colonna2]],Tabella951[Ortschaftsname],0)), "Name not found")</f>
        <v>1281</v>
      </c>
    </row>
    <row r="2161" spans="2:6">
      <c r="B2161" s="92" t="s">
        <v>137</v>
      </c>
      <c r="C2161" s="91" t="s">
        <v>827</v>
      </c>
      <c r="D2161" s="93">
        <v>147.5</v>
      </c>
      <c r="E2161" s="93">
        <v>39</v>
      </c>
      <c r="F2161" s="103">
        <f>IFERROR(INDEX(Tabella951[PLZ],MATCH(Tabella848[[#This Row],[Colonna2]],Tabella951[Ortschaftsname],0)), "Name not found")</f>
        <v>1242</v>
      </c>
    </row>
    <row r="2162" spans="2:6">
      <c r="B2162" s="92" t="s">
        <v>137</v>
      </c>
      <c r="C2162" s="91" t="s">
        <v>849</v>
      </c>
      <c r="D2162" s="93">
        <v>147.5</v>
      </c>
      <c r="E2162" s="93">
        <v>44</v>
      </c>
      <c r="F2162" s="103">
        <f>IFERROR(INDEX(Tabella951[PLZ],MATCH(Tabella848[[#This Row],[Colonna2]],Tabella951[Ortschaftsname],0)), "Name not found")</f>
        <v>1286</v>
      </c>
    </row>
    <row r="2163" spans="2:6">
      <c r="B2163" s="92" t="s">
        <v>137</v>
      </c>
      <c r="C2163" s="91" t="s">
        <v>816</v>
      </c>
      <c r="D2163" s="93">
        <v>147.5</v>
      </c>
      <c r="E2163" s="93">
        <v>44</v>
      </c>
      <c r="F2163" s="103">
        <f>IFERROR(INDEX(Tabella951[PLZ],MATCH(Tabella848[[#This Row],[Colonna2]],Tabella951[Ortschaftsname],0)), "Name not found")</f>
        <v>1226</v>
      </c>
    </row>
    <row r="2164" spans="2:6">
      <c r="B2164" s="92" t="s">
        <v>137</v>
      </c>
      <c r="C2164" s="91" t="s">
        <v>835</v>
      </c>
      <c r="D2164" s="93">
        <v>147.5</v>
      </c>
      <c r="E2164" s="93">
        <v>40</v>
      </c>
      <c r="F2164" s="103">
        <f>IFERROR(INDEX(Tabella951[PLZ],MATCH(Tabella848[[#This Row],[Colonna2]],Tabella951[Ortschaftsname],0)), "Name not found")</f>
        <v>1256</v>
      </c>
    </row>
    <row r="2165" spans="2:6">
      <c r="B2165" s="92" t="s">
        <v>137</v>
      </c>
      <c r="C2165" s="91" t="s">
        <v>832</v>
      </c>
      <c r="D2165" s="93">
        <v>147.5</v>
      </c>
      <c r="E2165" s="93">
        <v>29</v>
      </c>
      <c r="F2165" s="103">
        <f>IFERROR(INDEX(Tabella951[PLZ],MATCH(Tabella848[[#This Row],[Colonna2]],Tabella951[Ortschaftsname],0)), "Name not found")</f>
        <v>1253</v>
      </c>
    </row>
    <row r="2166" spans="2:6">
      <c r="B2166" s="92" t="s">
        <v>137</v>
      </c>
      <c r="C2166" s="91" t="s">
        <v>811</v>
      </c>
      <c r="D2166" s="93">
        <v>147.5</v>
      </c>
      <c r="E2166" s="93">
        <v>50</v>
      </c>
      <c r="F2166" s="103">
        <f>IFERROR(INDEX(Tabella951[PLZ],MATCH(Tabella848[[#This Row],[Colonna2]],Tabella951[Ortschaftsname],0)), "Name not found")</f>
        <v>1214</v>
      </c>
    </row>
    <row r="2167" spans="2:6">
      <c r="B2167" s="92" t="s">
        <v>137</v>
      </c>
      <c r="C2167" s="91" t="s">
        <v>817</v>
      </c>
      <c r="D2167" s="93">
        <v>147.5</v>
      </c>
      <c r="E2167" s="93">
        <v>45.5</v>
      </c>
      <c r="F2167" s="103">
        <f>IFERROR(INDEX(Tabella951[PLZ],MATCH(Tabella848[[#This Row],[Colonna2]],Tabella951[Ortschaftsname],0)), "Name not found")</f>
        <v>1290</v>
      </c>
    </row>
    <row r="2168" spans="2:6">
      <c r="B2168" s="92" t="s">
        <v>137</v>
      </c>
      <c r="C2168" s="91" t="s">
        <v>820</v>
      </c>
      <c r="D2168" s="93">
        <v>147.5</v>
      </c>
      <c r="E2168" s="93">
        <v>37</v>
      </c>
      <c r="F2168" s="103">
        <f>IFERROR(INDEX(Tabella951[PLZ],MATCH(Tabella848[[#This Row],[Colonna2]],Tabella951[Ortschaftsname],0)), "Name not found")</f>
        <v>1255</v>
      </c>
    </row>
    <row r="2169" spans="2:6">
      <c r="B2169" s="92" t="s">
        <v>2502</v>
      </c>
      <c r="C2169" s="91" t="s">
        <v>991</v>
      </c>
      <c r="D2169" s="93">
        <v>285</v>
      </c>
      <c r="E2169" s="93">
        <v>225</v>
      </c>
      <c r="F2169" s="103">
        <f>IFERROR(INDEX(Tabella951[PLZ],MATCH(Tabella848[[#This Row],[Colonna2]],Tabella951[Ortschaftsname],0)), "Name not found")</f>
        <v>2942</v>
      </c>
    </row>
    <row r="2170" spans="2:6">
      <c r="B2170" s="92" t="s">
        <v>2502</v>
      </c>
      <c r="C2170" s="91" t="s">
        <v>997</v>
      </c>
      <c r="D2170" s="93">
        <v>285</v>
      </c>
      <c r="E2170" s="93">
        <v>235</v>
      </c>
      <c r="F2170" s="103">
        <v>923</v>
      </c>
    </row>
    <row r="2171" spans="2:6">
      <c r="B2171" s="92" t="s">
        <v>2502</v>
      </c>
      <c r="C2171" s="91" t="s">
        <v>2693</v>
      </c>
      <c r="D2171" s="93">
        <v>285</v>
      </c>
      <c r="E2171" s="93">
        <v>210</v>
      </c>
      <c r="F2171" s="103">
        <v>2944</v>
      </c>
    </row>
    <row r="2172" spans="2:6">
      <c r="B2172" s="92" t="s">
        <v>2502</v>
      </c>
      <c r="C2172" s="91" t="s">
        <v>998</v>
      </c>
      <c r="D2172" s="93">
        <v>285</v>
      </c>
      <c r="E2172" s="93">
        <v>155</v>
      </c>
      <c r="F2172" s="103">
        <f>IFERROR(INDEX(Tabella951[PLZ],MATCH(Tabella848[[#This Row],[Colonna2]],Tabella951[Ortschaftsname],0)), "Name not found")</f>
        <v>2926</v>
      </c>
    </row>
    <row r="2173" spans="2:6">
      <c r="B2173" s="92" t="s">
        <v>2502</v>
      </c>
      <c r="C2173" s="91" t="s">
        <v>1024</v>
      </c>
      <c r="D2173" s="93">
        <v>285</v>
      </c>
      <c r="E2173" s="93">
        <v>225</v>
      </c>
      <c r="F2173" s="103">
        <f>IFERROR(INDEX(Tabella951[PLZ],MATCH(Tabella848[[#This Row],[Colonna2]],Tabella951[Ortschaftsname],0)), "Name not found")</f>
        <v>2803</v>
      </c>
    </row>
    <row r="2174" spans="2:6">
      <c r="B2174" s="92" t="s">
        <v>2502</v>
      </c>
      <c r="C2174" s="91" t="s">
        <v>1002</v>
      </c>
      <c r="D2174" s="93">
        <v>285</v>
      </c>
      <c r="E2174" s="93">
        <v>200</v>
      </c>
      <c r="F2174" s="103">
        <f>IFERROR(INDEX(Tabella951[PLZ],MATCH(Tabella848[[#This Row],[Colonna2]],Tabella951[Ortschaftsname],0)), "Name not found")</f>
        <v>2856</v>
      </c>
    </row>
    <row r="2175" spans="2:6">
      <c r="B2175" s="92" t="s">
        <v>2502</v>
      </c>
      <c r="C2175" s="91" t="s">
        <v>1007</v>
      </c>
      <c r="D2175" s="93">
        <v>285</v>
      </c>
      <c r="E2175" s="93">
        <v>225</v>
      </c>
      <c r="F2175" s="103">
        <f>IFERROR(INDEX(Tabella951[PLZ],MATCH(Tabella848[[#This Row],[Colonna2]],Tabella951[Ortschaftsname],0)), "Name not found")</f>
        <v>2915</v>
      </c>
    </row>
    <row r="2176" spans="2:6">
      <c r="B2176" s="92" t="s">
        <v>2502</v>
      </c>
      <c r="C2176" s="91" t="s">
        <v>1014</v>
      </c>
      <c r="D2176" s="93">
        <v>285</v>
      </c>
      <c r="E2176" s="93">
        <v>200</v>
      </c>
      <c r="F2176" s="103">
        <v>2843</v>
      </c>
    </row>
    <row r="2177" spans="2:6">
      <c r="B2177" s="92" t="s">
        <v>2502</v>
      </c>
      <c r="C2177" s="91" t="s">
        <v>995</v>
      </c>
      <c r="D2177" s="93">
        <v>285</v>
      </c>
      <c r="E2177" s="93">
        <v>215</v>
      </c>
      <c r="F2177" s="103">
        <v>2882</v>
      </c>
    </row>
    <row r="2178" spans="2:6">
      <c r="B2178" s="92" t="s">
        <v>2502</v>
      </c>
      <c r="C2178" s="91" t="s">
        <v>1004</v>
      </c>
      <c r="D2178" s="93">
        <v>285</v>
      </c>
      <c r="E2178" s="93">
        <v>235</v>
      </c>
      <c r="F2178" s="103">
        <f>IFERROR(INDEX(Tabella951[PLZ],MATCH(Tabella848[[#This Row],[Colonna2]],Tabella951[Ortschaftsname],0)), "Name not found")</f>
        <v>2932</v>
      </c>
    </row>
    <row r="2179" spans="2:6">
      <c r="B2179" s="92" t="s">
        <v>2502</v>
      </c>
      <c r="C2179" s="91" t="s">
        <v>1001</v>
      </c>
      <c r="D2179" s="93">
        <v>285</v>
      </c>
      <c r="E2179" s="93">
        <v>204.99999999999997</v>
      </c>
      <c r="F2179" s="103">
        <f>IFERROR(INDEX(Tabella951[PLZ],MATCH(Tabella848[[#This Row],[Colonna2]],Tabella951[Ortschaftsname],0)), "Name not found")</f>
        <v>2952</v>
      </c>
    </row>
    <row r="2180" spans="2:6">
      <c r="B2180" s="92" t="s">
        <v>2502</v>
      </c>
      <c r="C2180" s="91" t="s">
        <v>1016</v>
      </c>
      <c r="D2180" s="93">
        <v>285</v>
      </c>
      <c r="E2180" s="93">
        <v>215</v>
      </c>
      <c r="F2180" s="103">
        <f>IFERROR(INDEX(Tabella951[PLZ],MATCH(Tabella848[[#This Row],[Colonna2]],Tabella951[Ortschaftsname],0)), "Name not found")</f>
        <v>2825</v>
      </c>
    </row>
    <row r="2181" spans="2:6">
      <c r="B2181" s="92" t="s">
        <v>2502</v>
      </c>
      <c r="C2181" s="91" t="s">
        <v>1022</v>
      </c>
      <c r="D2181" s="93">
        <v>285</v>
      </c>
      <c r="E2181" s="93">
        <v>190</v>
      </c>
      <c r="F2181" s="103">
        <f>IFERROR(INDEX(Tabella951[PLZ],MATCH(Tabella848[[#This Row],[Colonna2]],Tabella951[Ortschaftsname],0)), "Name not found")</f>
        <v>2922</v>
      </c>
    </row>
    <row r="2182" spans="2:6">
      <c r="B2182" s="92" t="s">
        <v>2502</v>
      </c>
      <c r="C2182" s="91" t="s">
        <v>989</v>
      </c>
      <c r="D2182" s="93">
        <v>285</v>
      </c>
      <c r="E2182" s="93">
        <v>204.99999999999997</v>
      </c>
      <c r="F2182" s="103">
        <f>IFERROR(INDEX(Tabella951[PLZ],MATCH(Tabella848[[#This Row],[Colonna2]],Tabella951[Ortschaftsname],0)), "Name not found")</f>
        <v>2950</v>
      </c>
    </row>
    <row r="2183" spans="2:6">
      <c r="B2183" s="92" t="s">
        <v>2502</v>
      </c>
      <c r="C2183" s="91" t="s">
        <v>984</v>
      </c>
      <c r="D2183" s="93">
        <v>285</v>
      </c>
      <c r="E2183" s="93">
        <v>225</v>
      </c>
      <c r="F2183" s="103">
        <f>IFERROR(INDEX(Tabella951[PLZ],MATCH(Tabella848[[#This Row],[Colonna2]],Tabella951[Ortschaftsname],0)), "Name not found")</f>
        <v>2830</v>
      </c>
    </row>
    <row r="2184" spans="2:6">
      <c r="B2184" s="92" t="s">
        <v>2502</v>
      </c>
      <c r="C2184" s="91" t="s">
        <v>985</v>
      </c>
      <c r="D2184" s="93">
        <v>285</v>
      </c>
      <c r="E2184" s="93">
        <v>215</v>
      </c>
      <c r="F2184" s="103">
        <f>IFERROR(INDEX(Tabella951[PLZ],MATCH(Tabella848[[#This Row],[Colonna2]],Tabella951[Ortschaftsname],0)), "Name not found")</f>
        <v>2822</v>
      </c>
    </row>
    <row r="2185" spans="2:6">
      <c r="B2185" s="92" t="s">
        <v>2502</v>
      </c>
      <c r="C2185" s="91" t="s">
        <v>1003</v>
      </c>
      <c r="D2185" s="93">
        <v>285</v>
      </c>
      <c r="E2185" s="93">
        <v>220.00000000000003</v>
      </c>
      <c r="F2185" s="103">
        <f>IFERROR(INDEX(Tabella951[PLZ],MATCH(Tabella848[[#This Row],[Colonna2]],Tabella951[Ortschaftsname],0)), "Name not found")</f>
        <v>2905</v>
      </c>
    </row>
    <row r="2186" spans="2:6">
      <c r="B2186" s="92" t="s">
        <v>2502</v>
      </c>
      <c r="C2186" s="91" t="s">
        <v>987</v>
      </c>
      <c r="D2186" s="93">
        <v>285</v>
      </c>
      <c r="E2186" s="93">
        <v>165</v>
      </c>
      <c r="F2186" s="103">
        <f>IFERROR(INDEX(Tabella951[PLZ],MATCH(Tabella848[[#This Row],[Colonna2]],Tabella951[Ortschaftsname],0)), "Name not found")</f>
        <v>2852</v>
      </c>
    </row>
    <row r="2187" spans="2:6">
      <c r="B2187" s="92" t="s">
        <v>2502</v>
      </c>
      <c r="C2187" s="91" t="s">
        <v>2694</v>
      </c>
      <c r="D2187" s="93">
        <v>285</v>
      </c>
      <c r="E2187" s="93">
        <v>215</v>
      </c>
      <c r="F2187" s="103">
        <v>2933</v>
      </c>
    </row>
    <row r="2188" spans="2:6">
      <c r="B2188" s="92" t="s">
        <v>2502</v>
      </c>
      <c r="C2188" s="91" t="s">
        <v>981</v>
      </c>
      <c r="D2188" s="93">
        <v>285</v>
      </c>
      <c r="E2188" s="93">
        <v>190</v>
      </c>
      <c r="F2188" s="103">
        <f>IFERROR(INDEX(Tabella951[PLZ],MATCH(Tabella848[[#This Row],[Colonna2]],Tabella951[Ortschaftsname],0)), "Name not found")</f>
        <v>2800</v>
      </c>
    </row>
    <row r="2189" spans="2:6">
      <c r="B2189" s="92" t="s">
        <v>2502</v>
      </c>
      <c r="C2189" s="91" t="s">
        <v>994</v>
      </c>
      <c r="D2189" s="93">
        <v>285</v>
      </c>
      <c r="E2189" s="93">
        <v>195</v>
      </c>
      <c r="F2189" s="103">
        <f>IFERROR(INDEX(Tabella951[PLZ],MATCH(Tabella848[[#This Row],[Colonna2]],Tabella951[Ortschaftsname],0)), "Name not found")</f>
        <v>2802</v>
      </c>
    </row>
    <row r="2190" spans="2:6">
      <c r="B2190" s="92" t="s">
        <v>2502</v>
      </c>
      <c r="C2190" s="91" t="s">
        <v>1030</v>
      </c>
      <c r="D2190" s="93">
        <v>285</v>
      </c>
      <c r="E2190" s="93">
        <v>220.00000000000003</v>
      </c>
      <c r="F2190" s="103">
        <f>IFERROR(INDEX(Tabella951[PLZ],MATCH(Tabella848[[#This Row],[Colonna2]],Tabella951[Ortschaftsname],0)), "Name not found")</f>
        <v>2813</v>
      </c>
    </row>
    <row r="2191" spans="2:6">
      <c r="B2191" s="92" t="s">
        <v>2502</v>
      </c>
      <c r="C2191" s="91" t="s">
        <v>1019</v>
      </c>
      <c r="D2191" s="93">
        <v>285</v>
      </c>
      <c r="E2191" s="93">
        <v>229.99999999999997</v>
      </c>
      <c r="F2191" s="103">
        <f>IFERROR(INDEX(Tabella951[PLZ],MATCH(Tabella848[[#This Row],[Colonna2]],Tabella951[Ortschaftsname],0)), "Name not found")</f>
        <v>2916</v>
      </c>
    </row>
    <row r="2192" spans="2:6">
      <c r="B2192" s="92" t="s">
        <v>2502</v>
      </c>
      <c r="C2192" s="91" t="s">
        <v>992</v>
      </c>
      <c r="D2192" s="93">
        <v>285</v>
      </c>
      <c r="E2192" s="93">
        <v>235</v>
      </c>
      <c r="F2192" s="103">
        <f>IFERROR(INDEX(Tabella951[PLZ],MATCH(Tabella848[[#This Row],[Colonna2]],Tabella951[Ortschaftsname],0)), "Name not found")</f>
        <v>2902</v>
      </c>
    </row>
    <row r="2193" spans="2:6">
      <c r="B2193" s="92" t="s">
        <v>2502</v>
      </c>
      <c r="C2193" s="91" t="s">
        <v>1018</v>
      </c>
      <c r="D2193" s="93">
        <v>285</v>
      </c>
      <c r="E2193" s="93">
        <v>225</v>
      </c>
      <c r="F2193" s="103">
        <f>IFERROR(INDEX(Tabella951[PLZ],MATCH(Tabella848[[#This Row],[Colonna2]],Tabella951[Ortschaftsname],0)), "Name not found")</f>
        <v>2908</v>
      </c>
    </row>
    <row r="2194" spans="2:6">
      <c r="B2194" s="92" t="s">
        <v>2502</v>
      </c>
      <c r="C2194" s="91" t="s">
        <v>1000</v>
      </c>
      <c r="D2194" s="93">
        <v>285</v>
      </c>
      <c r="E2194" s="93">
        <v>215</v>
      </c>
      <c r="F2194" s="103">
        <v>2906</v>
      </c>
    </row>
    <row r="2195" spans="2:6">
      <c r="B2195" s="92" t="s">
        <v>2502</v>
      </c>
      <c r="C2195" s="91" t="s">
        <v>982</v>
      </c>
      <c r="D2195" s="93">
        <v>285</v>
      </c>
      <c r="E2195" s="93">
        <v>210</v>
      </c>
      <c r="F2195" s="103">
        <v>2854</v>
      </c>
    </row>
    <row r="2196" spans="2:6">
      <c r="B2196" s="92" t="s">
        <v>2502</v>
      </c>
      <c r="C2196" s="91" t="s">
        <v>999</v>
      </c>
      <c r="D2196" s="93">
        <v>285</v>
      </c>
      <c r="E2196" s="93">
        <v>215</v>
      </c>
      <c r="F2196" s="103">
        <v>2947</v>
      </c>
    </row>
    <row r="2197" spans="2:6">
      <c r="B2197" s="92" t="s">
        <v>2502</v>
      </c>
      <c r="C2197" s="91" t="s">
        <v>1005</v>
      </c>
      <c r="D2197" s="93">
        <v>285</v>
      </c>
      <c r="E2197" s="93">
        <v>220.00000000000003</v>
      </c>
      <c r="F2197" s="103">
        <v>2718</v>
      </c>
    </row>
    <row r="2198" spans="2:6">
      <c r="B2198" s="92" t="s">
        <v>2502</v>
      </c>
      <c r="C2198" s="91" t="s">
        <v>1021</v>
      </c>
      <c r="D2198" s="93">
        <v>285</v>
      </c>
      <c r="E2198" s="93">
        <v>195</v>
      </c>
      <c r="F2198" s="103">
        <v>2360</v>
      </c>
    </row>
    <row r="2199" spans="2:6">
      <c r="B2199" s="92" t="s">
        <v>2502</v>
      </c>
      <c r="C2199" s="91" t="s">
        <v>990</v>
      </c>
      <c r="D2199" s="93">
        <v>285</v>
      </c>
      <c r="E2199" s="93">
        <v>170</v>
      </c>
      <c r="F2199" s="103">
        <f>IFERROR(INDEX(Tabella951[PLZ],MATCH(Tabella848[[#This Row],[Colonna2]],Tabella951[Ortschaftsname],0)), "Name not found")</f>
        <v>2340</v>
      </c>
    </row>
    <row r="2200" spans="2:6">
      <c r="B2200" s="92" t="s">
        <v>2502</v>
      </c>
      <c r="C2200" s="91" t="s">
        <v>996</v>
      </c>
      <c r="D2200" s="93">
        <v>285</v>
      </c>
      <c r="E2200" s="93">
        <v>215</v>
      </c>
      <c r="F2200" s="103">
        <f>IFERROR(INDEX(Tabella951[PLZ],MATCH(Tabella848[[#This Row],[Colonna2]],Tabella951[Ortschaftsname],0)), "Name not found")</f>
        <v>2336</v>
      </c>
    </row>
    <row r="2201" spans="2:6">
      <c r="B2201" s="92" t="s">
        <v>2502</v>
      </c>
      <c r="C2201" s="91" t="s">
        <v>993</v>
      </c>
      <c r="D2201" s="93">
        <v>285</v>
      </c>
      <c r="E2201" s="93">
        <v>130</v>
      </c>
      <c r="F2201" s="103">
        <f>IFERROR(INDEX(Tabella951[PLZ],MATCH(Tabella848[[#This Row],[Colonna2]],Tabella951[Ortschaftsname],0)), "Name not found")</f>
        <v>2345</v>
      </c>
    </row>
    <row r="2202" spans="2:6">
      <c r="B2202" s="92" t="s">
        <v>2502</v>
      </c>
      <c r="C2202" s="91" t="s">
        <v>1028</v>
      </c>
      <c r="D2202" s="93">
        <v>285</v>
      </c>
      <c r="E2202" s="93">
        <v>204.99999999999997</v>
      </c>
      <c r="F2202" s="103">
        <f>IFERROR(INDEX(Tabella951[PLZ],MATCH(Tabella848[[#This Row],[Colonna2]],Tabella951[Ortschaftsname],0)), "Name not found")</f>
        <v>2363</v>
      </c>
    </row>
    <row r="2203" spans="2:6">
      <c r="B2203" s="92" t="s">
        <v>2502</v>
      </c>
      <c r="C2203" s="91" t="s">
        <v>1011</v>
      </c>
      <c r="D2203" s="93">
        <v>285</v>
      </c>
      <c r="E2203" s="93">
        <v>204.99999999999997</v>
      </c>
      <c r="F2203" s="103">
        <v>2714</v>
      </c>
    </row>
    <row r="2204" spans="2:6">
      <c r="B2204" s="92" t="s">
        <v>2502</v>
      </c>
      <c r="C2204" s="91" t="s">
        <v>1013</v>
      </c>
      <c r="D2204" s="93">
        <v>285</v>
      </c>
      <c r="E2204" s="93">
        <v>225</v>
      </c>
      <c r="F2204" s="103">
        <f>IFERROR(INDEX(Tabella951[PLZ],MATCH(Tabella848[[#This Row],[Colonna2]],Tabella951[Ortschaftsname],0)), "Name not found")</f>
        <v>2827</v>
      </c>
    </row>
    <row r="2205" spans="2:6">
      <c r="B2205" s="92" t="s">
        <v>2502</v>
      </c>
      <c r="C2205" s="91" t="s">
        <v>1032</v>
      </c>
      <c r="D2205" s="93">
        <v>285</v>
      </c>
      <c r="E2205" s="93">
        <v>220.00000000000003</v>
      </c>
      <c r="F2205" s="103">
        <f>IFERROR(INDEX(Tabella951[PLZ],MATCH(Tabella848[[#This Row],[Colonna2]],Tabella951[Ortschaftsname],0)), "Name not found")</f>
        <v>2806</v>
      </c>
    </row>
    <row r="2206" spans="2:6">
      <c r="B2206" s="92" t="s">
        <v>2502</v>
      </c>
      <c r="C2206" s="91" t="s">
        <v>1009</v>
      </c>
      <c r="D2206" s="93">
        <v>285</v>
      </c>
      <c r="E2206" s="93">
        <v>220.00000000000003</v>
      </c>
      <c r="F2206" s="103">
        <f>IFERROR(INDEX(Tabella951[PLZ],MATCH(Tabella848[[#This Row],[Colonna2]],Tabella951[Ortschaftsname],0)), "Name not found")</f>
        <v>2362</v>
      </c>
    </row>
    <row r="2207" spans="2:6">
      <c r="B2207" s="92" t="s">
        <v>2502</v>
      </c>
      <c r="C2207" s="91" t="s">
        <v>1017</v>
      </c>
      <c r="D2207" s="93">
        <v>285</v>
      </c>
      <c r="E2207" s="93">
        <v>225</v>
      </c>
      <c r="F2207" s="103">
        <f>IFERROR(INDEX(Tabella951[PLZ],MATCH(Tabella848[[#This Row],[Colonna2]],Tabella951[Ortschaftsname],0)), "Name not found")</f>
        <v>2812</v>
      </c>
    </row>
    <row r="2208" spans="2:6">
      <c r="B2208" s="92" t="s">
        <v>2502</v>
      </c>
      <c r="C2208" s="91" t="s">
        <v>1012</v>
      </c>
      <c r="D2208" s="93">
        <v>285</v>
      </c>
      <c r="E2208" s="93">
        <v>160</v>
      </c>
      <c r="F2208" s="103">
        <f>IFERROR(INDEX(Tabella951[PLZ],MATCH(Tabella848[[#This Row],[Colonna2]],Tabella951[Ortschaftsname],0)), "Name not found")</f>
        <v>2338</v>
      </c>
    </row>
    <row r="2209" spans="2:6">
      <c r="B2209" s="92" t="s">
        <v>2502</v>
      </c>
      <c r="C2209" s="91" t="s">
        <v>1020</v>
      </c>
      <c r="D2209" s="93">
        <v>285</v>
      </c>
      <c r="E2209" s="93">
        <v>210</v>
      </c>
      <c r="F2209" s="103">
        <f>IFERROR(INDEX(Tabella951[PLZ],MATCH(Tabella848[[#This Row],[Colonna2]],Tabella951[Ortschaftsname],0)), "Name not found")</f>
        <v>2807</v>
      </c>
    </row>
    <row r="2210" spans="2:6">
      <c r="B2210" s="92" t="s">
        <v>2502</v>
      </c>
      <c r="C2210" s="91" t="s">
        <v>983</v>
      </c>
      <c r="D2210" s="93">
        <v>285</v>
      </c>
      <c r="E2210" s="93">
        <v>204.99999999999997</v>
      </c>
      <c r="F2210" s="103">
        <f>IFERROR(INDEX(Tabella951[PLZ],MATCH(Tabella848[[#This Row],[Colonna2]],Tabella951[Ortschaftsname],0)), "Name not found")</f>
        <v>2900</v>
      </c>
    </row>
    <row r="2211" spans="2:6">
      <c r="B2211" s="92" t="s">
        <v>2502</v>
      </c>
      <c r="C2211" s="91" t="s">
        <v>1008</v>
      </c>
      <c r="D2211" s="93">
        <v>285</v>
      </c>
      <c r="E2211" s="93">
        <v>200</v>
      </c>
      <c r="F2211" s="103">
        <f>IFERROR(INDEX(Tabella951[PLZ],MATCH(Tabella848[[#This Row],[Colonna2]],Tabella951[Ortschaftsname],0)), "Name not found")</f>
        <v>2842</v>
      </c>
    </row>
    <row r="2212" spans="2:6">
      <c r="B2212" s="92" t="s">
        <v>2502</v>
      </c>
      <c r="C2212" s="91" t="s">
        <v>988</v>
      </c>
      <c r="D2212" s="93">
        <v>285</v>
      </c>
      <c r="E2212" s="93">
        <v>229.99999999999997</v>
      </c>
      <c r="F2212" s="103">
        <f>IFERROR(INDEX(Tabella951[PLZ],MATCH(Tabella848[[#This Row],[Colonna2]],Tabella951[Ortschaftsname],0)), "Name not found")</f>
        <v>2350</v>
      </c>
    </row>
    <row r="2213" spans="2:6">
      <c r="B2213" s="92" t="s">
        <v>2502</v>
      </c>
      <c r="C2213" s="91" t="s">
        <v>1025</v>
      </c>
      <c r="D2213" s="93">
        <v>285</v>
      </c>
      <c r="E2213" s="93">
        <v>225</v>
      </c>
      <c r="F2213" s="103">
        <v>2364</v>
      </c>
    </row>
    <row r="2214" spans="2:6">
      <c r="B2214" s="92" t="s">
        <v>2502</v>
      </c>
      <c r="C2214" s="91" t="s">
        <v>1023</v>
      </c>
      <c r="D2214" s="93">
        <v>285</v>
      </c>
      <c r="E2214" s="93">
        <v>220.00000000000003</v>
      </c>
      <c r="F2214" s="103">
        <f>IFERROR(INDEX(Tabella951[PLZ],MATCH(Tabella848[[#This Row],[Colonna2]],Tabella951[Ortschaftsname],0)), "Name not found")</f>
        <v>2873</v>
      </c>
    </row>
    <row r="2215" spans="2:6">
      <c r="B2215" s="92" t="s">
        <v>2502</v>
      </c>
      <c r="C2215" s="91" t="s">
        <v>1029</v>
      </c>
      <c r="D2215" s="93">
        <v>285</v>
      </c>
      <c r="E2215" s="93">
        <v>225</v>
      </c>
      <c r="F2215" s="103">
        <f>IFERROR(INDEX(Tabella951[PLZ],MATCH(Tabella848[[#This Row],[Colonna2]],Tabella951[Ortschaftsname],0)), "Name not found")</f>
        <v>2887</v>
      </c>
    </row>
    <row r="2216" spans="2:6">
      <c r="B2216" s="92" t="s">
        <v>2502</v>
      </c>
      <c r="C2216" s="91" t="s">
        <v>1015</v>
      </c>
      <c r="D2216" s="93">
        <v>285</v>
      </c>
      <c r="E2216" s="93">
        <v>215</v>
      </c>
      <c r="F2216" s="103">
        <f>IFERROR(INDEX(Tabella951[PLZ],MATCH(Tabella848[[#This Row],[Colonna2]],Tabella951[Ortschaftsname],0)), "Name not found")</f>
        <v>2805</v>
      </c>
    </row>
    <row r="2217" spans="2:6">
      <c r="B2217" s="92" t="s">
        <v>2502</v>
      </c>
      <c r="C2217" s="91" t="s">
        <v>986</v>
      </c>
      <c r="D2217" s="93">
        <v>285</v>
      </c>
      <c r="E2217" s="93">
        <v>220.00000000000003</v>
      </c>
      <c r="F2217" s="103">
        <v>2824</v>
      </c>
    </row>
    <row r="2218" spans="2:6">
      <c r="B2218" s="92" t="s">
        <v>2502</v>
      </c>
      <c r="C2218" s="91" t="s">
        <v>1010</v>
      </c>
      <c r="D2218" s="93">
        <v>285</v>
      </c>
      <c r="E2218" s="93">
        <v>229.99999999999997</v>
      </c>
      <c r="F2218" s="103">
        <f>IFERROR(INDEX(Tabella951[PLZ],MATCH(Tabella848[[#This Row],[Colonna2]],Tabella951[Ortschaftsname],0)), "Name not found")</f>
        <v>2943</v>
      </c>
    </row>
    <row r="2219" spans="2:6">
      <c r="B2219" s="2"/>
      <c r="C2219" s="2"/>
      <c r="D2219" s="2"/>
      <c r="E2219" s="2"/>
      <c r="F2219" s="2">
        <f>COUNTIFS(F76:F2218, "Name not found")</f>
        <v>0</v>
      </c>
    </row>
    <row r="2230" spans="2:7">
      <c r="B2230" s="101" t="s">
        <v>2695</v>
      </c>
      <c r="C2230" s="102" t="s">
        <v>43</v>
      </c>
      <c r="E2230" s="99" t="s">
        <v>1671</v>
      </c>
      <c r="F2230" s="99" t="s">
        <v>161</v>
      </c>
      <c r="G2230" s="98" t="s">
        <v>43</v>
      </c>
    </row>
    <row r="2231" spans="2:7" ht="17">
      <c r="B2231" s="116" t="s">
        <v>1911</v>
      </c>
      <c r="C2231" s="117">
        <v>8355</v>
      </c>
      <c r="E2231" s="97" t="s">
        <v>1675</v>
      </c>
      <c r="F2231" s="96" t="s">
        <v>162</v>
      </c>
      <c r="G2231" s="100">
        <v>8610</v>
      </c>
    </row>
    <row r="2232" spans="2:7" ht="17">
      <c r="B2232" s="118" t="s">
        <v>2696</v>
      </c>
      <c r="C2232" s="119">
        <v>8607</v>
      </c>
      <c r="E2232" s="97" t="s">
        <v>162</v>
      </c>
      <c r="F2232" s="96" t="s">
        <v>162</v>
      </c>
      <c r="G2232" s="100">
        <v>8000</v>
      </c>
    </row>
    <row r="2233" spans="2:7" ht="17">
      <c r="B2233" s="118" t="s">
        <v>2696</v>
      </c>
      <c r="C2233" s="119">
        <v>8607</v>
      </c>
      <c r="E2233" s="97" t="s">
        <v>1676</v>
      </c>
      <c r="F2233" s="96" t="s">
        <v>162</v>
      </c>
      <c r="G2233" s="100">
        <v>8400</v>
      </c>
    </row>
    <row r="2234" spans="2:7" ht="17">
      <c r="B2234" s="118" t="s">
        <v>2697</v>
      </c>
      <c r="C2234" s="119">
        <v>8345</v>
      </c>
      <c r="E2234" s="97" t="s">
        <v>1677</v>
      </c>
      <c r="F2234" s="96" t="s">
        <v>162</v>
      </c>
      <c r="G2234" s="100">
        <v>8600</v>
      </c>
    </row>
    <row r="2235" spans="2:7" ht="17">
      <c r="B2235" s="118" t="s">
        <v>2697</v>
      </c>
      <c r="C2235" s="119">
        <v>8345</v>
      </c>
      <c r="E2235" s="97" t="s">
        <v>1679</v>
      </c>
      <c r="F2235" s="96" t="s">
        <v>162</v>
      </c>
      <c r="G2235" s="100">
        <v>8953</v>
      </c>
    </row>
    <row r="2236" spans="2:7" ht="17">
      <c r="B2236" s="118" t="s">
        <v>2698</v>
      </c>
      <c r="C2236" s="119">
        <v>8452</v>
      </c>
      <c r="E2236" s="97" t="s">
        <v>1681</v>
      </c>
      <c r="F2236" s="96" t="s">
        <v>162</v>
      </c>
      <c r="G2236" s="100">
        <v>8820</v>
      </c>
    </row>
    <row r="2237" spans="2:7" ht="17">
      <c r="B2237" s="118" t="s">
        <v>2699</v>
      </c>
      <c r="C2237" s="119">
        <v>8106</v>
      </c>
      <c r="E2237" s="97" t="s">
        <v>1682</v>
      </c>
      <c r="F2237" s="96" t="s">
        <v>162</v>
      </c>
      <c r="G2237" s="100">
        <v>8620</v>
      </c>
    </row>
    <row r="2238" spans="2:7" ht="17">
      <c r="B2238" s="118" t="s">
        <v>1687</v>
      </c>
      <c r="C2238" s="119">
        <v>8134</v>
      </c>
      <c r="E2238" s="97" t="s">
        <v>1683</v>
      </c>
      <c r="F2238" s="96" t="s">
        <v>162</v>
      </c>
      <c r="G2238" s="100">
        <v>8810</v>
      </c>
    </row>
    <row r="2239" spans="2:7" ht="17">
      <c r="B2239" s="118" t="s">
        <v>1687</v>
      </c>
      <c r="C2239" s="119">
        <v>8134</v>
      </c>
      <c r="E2239" s="97" t="s">
        <v>1684</v>
      </c>
      <c r="F2239" s="96" t="s">
        <v>162</v>
      </c>
      <c r="G2239" s="100">
        <v>8152</v>
      </c>
    </row>
    <row r="2240" spans="2:7" ht="17">
      <c r="B2240" s="118" t="s">
        <v>1687</v>
      </c>
      <c r="C2240" s="119">
        <v>8134</v>
      </c>
      <c r="E2240" s="97" t="s">
        <v>1685</v>
      </c>
      <c r="F2240" s="96" t="s">
        <v>162</v>
      </c>
      <c r="G2240" s="100">
        <v>8180</v>
      </c>
    </row>
    <row r="2241" spans="2:7" ht="17">
      <c r="B2241" s="118" t="s">
        <v>2700</v>
      </c>
      <c r="C2241" s="119">
        <v>8412</v>
      </c>
      <c r="E2241" s="97" t="s">
        <v>1686</v>
      </c>
      <c r="F2241" s="96" t="s">
        <v>162</v>
      </c>
      <c r="G2241" s="100">
        <v>8302</v>
      </c>
    </row>
    <row r="2242" spans="2:7" ht="17">
      <c r="B2242" s="118" t="s">
        <v>2701</v>
      </c>
      <c r="C2242" s="119">
        <v>8904</v>
      </c>
      <c r="E2242" s="97" t="s">
        <v>1687</v>
      </c>
      <c r="F2242" s="96" t="s">
        <v>162</v>
      </c>
      <c r="G2242" s="100">
        <v>8134</v>
      </c>
    </row>
    <row r="2243" spans="2:7" ht="17">
      <c r="B2243" s="118" t="s">
        <v>1787</v>
      </c>
      <c r="C2243" s="119">
        <v>8914</v>
      </c>
      <c r="E2243" s="97" t="s">
        <v>1688</v>
      </c>
      <c r="F2243" s="96" t="s">
        <v>162</v>
      </c>
      <c r="G2243" s="100">
        <v>8952</v>
      </c>
    </row>
    <row r="2244" spans="2:7" ht="17">
      <c r="B2244" s="118" t="s">
        <v>2702</v>
      </c>
      <c r="C2244" s="119">
        <v>8914</v>
      </c>
      <c r="E2244" s="97" t="s">
        <v>1689</v>
      </c>
      <c r="F2244" s="96" t="s">
        <v>162</v>
      </c>
      <c r="G2244" s="100">
        <v>8604</v>
      </c>
    </row>
    <row r="2245" spans="2:7" ht="17">
      <c r="B2245" s="118" t="s">
        <v>1700</v>
      </c>
      <c r="C2245" s="119">
        <v>8910</v>
      </c>
      <c r="E2245" s="97" t="s">
        <v>1690</v>
      </c>
      <c r="F2245" s="96" t="s">
        <v>162</v>
      </c>
      <c r="G2245" s="100">
        <v>8105</v>
      </c>
    </row>
    <row r="2246" spans="2:7" ht="17">
      <c r="B2246" s="118" t="s">
        <v>1700</v>
      </c>
      <c r="C2246" s="119">
        <v>8910</v>
      </c>
      <c r="E2246" s="97" t="s">
        <v>1691</v>
      </c>
      <c r="F2246" s="96" t="s">
        <v>162</v>
      </c>
      <c r="G2246" s="100">
        <v>8800</v>
      </c>
    </row>
    <row r="2247" spans="2:7" ht="17">
      <c r="B2247" s="118" t="s">
        <v>2703</v>
      </c>
      <c r="C2247" s="119">
        <v>8308</v>
      </c>
      <c r="E2247" s="97" t="s">
        <v>1692</v>
      </c>
      <c r="F2247" s="96" t="s">
        <v>162</v>
      </c>
      <c r="G2247" s="100">
        <v>8307</v>
      </c>
    </row>
    <row r="2248" spans="2:7" ht="17">
      <c r="B2248" s="118" t="s">
        <v>2703</v>
      </c>
      <c r="C2248" s="119">
        <v>8308</v>
      </c>
      <c r="E2248" s="97" t="s">
        <v>1693</v>
      </c>
      <c r="F2248" s="96" t="s">
        <v>162</v>
      </c>
      <c r="G2248" s="100">
        <v>8304</v>
      </c>
    </row>
    <row r="2249" spans="2:7" ht="17">
      <c r="B2249" s="118" t="s">
        <v>2704</v>
      </c>
      <c r="C2249" s="119">
        <v>8453</v>
      </c>
      <c r="E2249" s="97" t="s">
        <v>1694</v>
      </c>
      <c r="F2249" s="96" t="s">
        <v>162</v>
      </c>
      <c r="G2249" s="100">
        <v>8712</v>
      </c>
    </row>
    <row r="2250" spans="2:7" ht="17">
      <c r="B2250" s="118" t="s">
        <v>1821</v>
      </c>
      <c r="C2250" s="119">
        <v>8479</v>
      </c>
      <c r="E2250" s="97" t="s">
        <v>1695</v>
      </c>
      <c r="F2250" s="96" t="s">
        <v>162</v>
      </c>
      <c r="G2250" s="100">
        <v>8700</v>
      </c>
    </row>
    <row r="2251" spans="2:7" ht="17">
      <c r="B2251" s="118" t="s">
        <v>1782</v>
      </c>
      <c r="C2251" s="119">
        <v>8450</v>
      </c>
      <c r="E2251" s="97" t="s">
        <v>1696</v>
      </c>
      <c r="F2251" s="96" t="s">
        <v>162</v>
      </c>
      <c r="G2251" s="100">
        <v>8706</v>
      </c>
    </row>
    <row r="2252" spans="2:7" ht="17">
      <c r="B2252" s="118" t="s">
        <v>2705</v>
      </c>
      <c r="C2252" s="119">
        <v>8544</v>
      </c>
      <c r="E2252" s="97" t="s">
        <v>1697</v>
      </c>
      <c r="F2252" s="96" t="s">
        <v>162</v>
      </c>
      <c r="G2252" s="100">
        <v>8805</v>
      </c>
    </row>
    <row r="2253" spans="2:7" ht="17">
      <c r="B2253" s="118" t="s">
        <v>2487</v>
      </c>
      <c r="C2253" s="119">
        <v>8804</v>
      </c>
      <c r="E2253" s="97" t="s">
        <v>1698</v>
      </c>
      <c r="F2253" s="96" t="s">
        <v>162</v>
      </c>
      <c r="G2253" s="100">
        <v>8702</v>
      </c>
    </row>
    <row r="2254" spans="2:7" ht="17">
      <c r="B2254" s="118" t="s">
        <v>2706</v>
      </c>
      <c r="C2254" s="119">
        <v>8331</v>
      </c>
      <c r="E2254" s="97" t="s">
        <v>1699</v>
      </c>
      <c r="F2254" s="96" t="s">
        <v>162</v>
      </c>
      <c r="G2254" s="100">
        <v>8630</v>
      </c>
    </row>
    <row r="2255" spans="2:7" ht="17">
      <c r="B2255" s="118" t="s">
        <v>1756</v>
      </c>
      <c r="C2255" s="119">
        <v>8184</v>
      </c>
      <c r="E2255" s="97" t="s">
        <v>1700</v>
      </c>
      <c r="F2255" s="96" t="s">
        <v>162</v>
      </c>
      <c r="G2255" s="100">
        <v>8910</v>
      </c>
    </row>
    <row r="2256" spans="2:7" ht="17">
      <c r="B2256" s="118" t="s">
        <v>2520</v>
      </c>
      <c r="C2256" s="119">
        <v>8164</v>
      </c>
      <c r="E2256" s="97" t="s">
        <v>1701</v>
      </c>
      <c r="F2256" s="96" t="s">
        <v>162</v>
      </c>
      <c r="G2256" s="100">
        <v>8330</v>
      </c>
    </row>
    <row r="2257" spans="2:7" ht="17">
      <c r="B2257" s="118" t="s">
        <v>2520</v>
      </c>
      <c r="C2257" s="119">
        <v>8164</v>
      </c>
      <c r="E2257" s="97" t="s">
        <v>1702</v>
      </c>
      <c r="F2257" s="96" t="s">
        <v>162</v>
      </c>
      <c r="G2257" s="100">
        <v>8303</v>
      </c>
    </row>
    <row r="2258" spans="2:7" ht="17">
      <c r="B2258" s="118" t="s">
        <v>2707</v>
      </c>
      <c r="C2258" s="119">
        <v>8471</v>
      </c>
      <c r="E2258" s="97" t="s">
        <v>1703</v>
      </c>
      <c r="F2258" s="96" t="s">
        <v>162</v>
      </c>
      <c r="G2258" s="100">
        <v>8340</v>
      </c>
    </row>
    <row r="2259" spans="2:7" ht="17">
      <c r="B2259" s="118" t="s">
        <v>2522</v>
      </c>
      <c r="C2259" s="119">
        <v>8344</v>
      </c>
      <c r="E2259" s="97" t="s">
        <v>1704</v>
      </c>
      <c r="F2259" s="96" t="s">
        <v>162</v>
      </c>
      <c r="G2259" s="100">
        <v>8708</v>
      </c>
    </row>
    <row r="2260" spans="2:7" ht="17">
      <c r="B2260" s="118" t="s">
        <v>1702</v>
      </c>
      <c r="C2260" s="119">
        <v>8303</v>
      </c>
      <c r="E2260" s="97" t="s">
        <v>1705</v>
      </c>
      <c r="F2260" s="96" t="s">
        <v>162</v>
      </c>
      <c r="G2260" s="100">
        <v>8124</v>
      </c>
    </row>
    <row r="2261" spans="2:7" ht="17">
      <c r="B2261" s="118" t="s">
        <v>1745</v>
      </c>
      <c r="C2261" s="119">
        <v>8494</v>
      </c>
      <c r="E2261" s="97" t="s">
        <v>1706</v>
      </c>
      <c r="F2261" s="96" t="s">
        <v>162</v>
      </c>
      <c r="G2261" s="100">
        <v>8625</v>
      </c>
    </row>
    <row r="2262" spans="2:7" ht="17">
      <c r="B2262" s="118" t="s">
        <v>1745</v>
      </c>
      <c r="C2262" s="119">
        <v>8494</v>
      </c>
      <c r="E2262" s="97" t="s">
        <v>1707</v>
      </c>
      <c r="F2262" s="96" t="s">
        <v>162</v>
      </c>
      <c r="G2262" s="100">
        <v>8636</v>
      </c>
    </row>
    <row r="2263" spans="2:7" ht="17">
      <c r="B2263" s="118" t="s">
        <v>2708</v>
      </c>
      <c r="C2263" s="119">
        <v>8121</v>
      </c>
      <c r="E2263" s="97" t="s">
        <v>1708</v>
      </c>
      <c r="F2263" s="96" t="s">
        <v>162</v>
      </c>
      <c r="G2263" s="100">
        <v>8902</v>
      </c>
    </row>
    <row r="2264" spans="2:7" ht="17">
      <c r="B2264" s="118" t="s">
        <v>2709</v>
      </c>
      <c r="C2264" s="119">
        <v>8463</v>
      </c>
      <c r="E2264" s="97" t="s">
        <v>1709</v>
      </c>
      <c r="F2264" s="96" t="s">
        <v>162</v>
      </c>
      <c r="G2264" s="100">
        <v>8424</v>
      </c>
    </row>
    <row r="2265" spans="2:7" ht="17">
      <c r="B2265" s="118" t="s">
        <v>2710</v>
      </c>
      <c r="C2265" s="119">
        <v>8471</v>
      </c>
      <c r="E2265" s="97" t="s">
        <v>1710</v>
      </c>
      <c r="F2265" s="96" t="s">
        <v>162</v>
      </c>
      <c r="G2265" s="100">
        <v>8155</v>
      </c>
    </row>
    <row r="2266" spans="2:7" ht="17">
      <c r="B2266" s="118" t="s">
        <v>2521</v>
      </c>
      <c r="C2266" s="119">
        <v>8415</v>
      </c>
      <c r="E2266" s="97" t="s">
        <v>1711</v>
      </c>
      <c r="F2266" s="96" t="s">
        <v>162</v>
      </c>
      <c r="G2266" s="100">
        <v>8634</v>
      </c>
    </row>
    <row r="2267" spans="2:7" ht="17">
      <c r="B2267" s="118" t="s">
        <v>2711</v>
      </c>
      <c r="C2267" s="119">
        <v>8543</v>
      </c>
      <c r="E2267" s="97" t="s">
        <v>1712</v>
      </c>
      <c r="F2267" s="96" t="s">
        <v>162</v>
      </c>
      <c r="G2267" s="100">
        <v>8117</v>
      </c>
    </row>
    <row r="2268" spans="2:7" ht="17">
      <c r="B2268" s="118" t="s">
        <v>2712</v>
      </c>
      <c r="C2268" s="119">
        <v>8614</v>
      </c>
      <c r="E2268" s="97" t="s">
        <v>1713</v>
      </c>
      <c r="F2268" s="96" t="s">
        <v>162</v>
      </c>
      <c r="G2268" s="100">
        <v>8802</v>
      </c>
    </row>
    <row r="2269" spans="2:7" ht="17">
      <c r="B2269" s="118" t="s">
        <v>2713</v>
      </c>
      <c r="C2269" s="119">
        <v>8363</v>
      </c>
      <c r="E2269" s="97" t="s">
        <v>1714</v>
      </c>
      <c r="F2269" s="96" t="s">
        <v>162</v>
      </c>
      <c r="G2269" s="100">
        <v>8132</v>
      </c>
    </row>
    <row r="2270" spans="2:7" ht="17">
      <c r="B2270" s="118" t="s">
        <v>2714</v>
      </c>
      <c r="C2270" s="119">
        <v>8122</v>
      </c>
      <c r="E2270" s="97" t="s">
        <v>1715</v>
      </c>
      <c r="F2270" s="96" t="s">
        <v>162</v>
      </c>
      <c r="G2270" s="100">
        <v>8153</v>
      </c>
    </row>
    <row r="2271" spans="2:7" ht="17">
      <c r="B2271" s="118" t="s">
        <v>2715</v>
      </c>
      <c r="C2271" s="119">
        <v>8903</v>
      </c>
      <c r="E2271" s="97" t="s">
        <v>1716</v>
      </c>
      <c r="F2271" s="96" t="s">
        <v>162</v>
      </c>
      <c r="G2271" s="100">
        <v>8602</v>
      </c>
    </row>
    <row r="2272" spans="2:7" ht="17">
      <c r="B2272" s="118" t="s">
        <v>1737</v>
      </c>
      <c r="C2272" s="119">
        <v>8906</v>
      </c>
      <c r="E2272" s="97" t="s">
        <v>1717</v>
      </c>
      <c r="F2272" s="96" t="s">
        <v>162</v>
      </c>
      <c r="G2272" s="100">
        <v>8305</v>
      </c>
    </row>
    <row r="2273" spans="2:7" ht="17">
      <c r="B2273" s="118" t="s">
        <v>1801</v>
      </c>
      <c r="C2273" s="119">
        <v>8113</v>
      </c>
      <c r="E2273" s="97" t="s">
        <v>1718</v>
      </c>
      <c r="F2273" s="96" t="s">
        <v>162</v>
      </c>
      <c r="G2273" s="100">
        <v>8635</v>
      </c>
    </row>
    <row r="2274" spans="2:7" ht="17">
      <c r="B2274" s="118" t="s">
        <v>1784</v>
      </c>
      <c r="C2274" s="119">
        <v>8311</v>
      </c>
      <c r="E2274" s="97" t="s">
        <v>1719</v>
      </c>
      <c r="F2274" s="96" t="s">
        <v>162</v>
      </c>
      <c r="G2274" s="100">
        <v>8135</v>
      </c>
    </row>
    <row r="2275" spans="2:7" ht="17">
      <c r="B2275" s="118" t="s">
        <v>2716</v>
      </c>
      <c r="C2275" s="119">
        <v>8306</v>
      </c>
      <c r="E2275" s="97" t="s">
        <v>1720</v>
      </c>
      <c r="F2275" s="96" t="s">
        <v>162</v>
      </c>
      <c r="G2275" s="100">
        <v>8472</v>
      </c>
    </row>
    <row r="2276" spans="2:7" ht="17">
      <c r="B2276" s="118" t="s">
        <v>1721</v>
      </c>
      <c r="C2276" s="119">
        <v>8608</v>
      </c>
      <c r="E2276" s="97" t="s">
        <v>1721</v>
      </c>
      <c r="F2276" s="96" t="s">
        <v>162</v>
      </c>
      <c r="G2276" s="100">
        <v>8608</v>
      </c>
    </row>
    <row r="2277" spans="2:7" ht="17">
      <c r="B2277" s="118" t="s">
        <v>1721</v>
      </c>
      <c r="C2277" s="119">
        <v>8608</v>
      </c>
      <c r="E2277" s="97" t="s">
        <v>1722</v>
      </c>
      <c r="F2277" s="96" t="s">
        <v>162</v>
      </c>
      <c r="G2277" s="100">
        <v>8154</v>
      </c>
    </row>
    <row r="2278" spans="2:7" ht="17">
      <c r="B2278" s="118" t="s">
        <v>1812</v>
      </c>
      <c r="C2278" s="119">
        <v>8414</v>
      </c>
      <c r="E2278" s="97" t="s">
        <v>1723</v>
      </c>
      <c r="F2278" s="96" t="s">
        <v>162</v>
      </c>
      <c r="G2278" s="100">
        <v>8102</v>
      </c>
    </row>
    <row r="2279" spans="2:7" ht="17">
      <c r="B2279" s="118" t="s">
        <v>2717</v>
      </c>
      <c r="C2279" s="119">
        <v>8107</v>
      </c>
      <c r="E2279" s="97" t="s">
        <v>1724</v>
      </c>
      <c r="F2279" s="96" t="s">
        <v>162</v>
      </c>
      <c r="G2279" s="100">
        <v>8320</v>
      </c>
    </row>
    <row r="2280" spans="2:7" ht="17">
      <c r="B2280" s="118" t="s">
        <v>2717</v>
      </c>
      <c r="C2280" s="119">
        <v>8107</v>
      </c>
      <c r="E2280" s="97" t="s">
        <v>1725</v>
      </c>
      <c r="F2280" s="96" t="s">
        <v>162</v>
      </c>
      <c r="G2280" s="100">
        <v>8903</v>
      </c>
    </row>
    <row r="2281" spans="2:7" ht="17">
      <c r="B2281" s="118" t="s">
        <v>1685</v>
      </c>
      <c r="C2281" s="119">
        <v>8180</v>
      </c>
      <c r="E2281" s="97" t="s">
        <v>1726</v>
      </c>
      <c r="F2281" s="96" t="s">
        <v>162</v>
      </c>
      <c r="G2281" s="100">
        <v>8542</v>
      </c>
    </row>
    <row r="2282" spans="2:7" ht="17">
      <c r="B2282" s="118" t="s">
        <v>1685</v>
      </c>
      <c r="C2282" s="119">
        <v>8180</v>
      </c>
      <c r="E2282" s="97" t="s">
        <v>1727</v>
      </c>
      <c r="F2282" s="96" t="s">
        <v>162</v>
      </c>
      <c r="G2282" s="100">
        <v>8107</v>
      </c>
    </row>
    <row r="2283" spans="2:7" ht="17">
      <c r="B2283" s="118" t="s">
        <v>1685</v>
      </c>
      <c r="C2283" s="119">
        <v>8180</v>
      </c>
      <c r="E2283" s="97" t="s">
        <v>1728</v>
      </c>
      <c r="F2283" s="96" t="s">
        <v>162</v>
      </c>
      <c r="G2283" s="100">
        <v>8704</v>
      </c>
    </row>
    <row r="2284" spans="2:7" ht="17">
      <c r="B2284" s="118" t="s">
        <v>1788</v>
      </c>
      <c r="C2284" s="119">
        <v>8447</v>
      </c>
      <c r="E2284" s="97" t="s">
        <v>1729</v>
      </c>
      <c r="F2284" s="96" t="s">
        <v>162</v>
      </c>
      <c r="G2284" s="100">
        <v>8707</v>
      </c>
    </row>
    <row r="2285" spans="2:7" ht="17">
      <c r="B2285" s="118" t="s">
        <v>1788</v>
      </c>
      <c r="C2285" s="119">
        <v>8447</v>
      </c>
      <c r="E2285" s="97" t="s">
        <v>1730</v>
      </c>
      <c r="F2285" s="96" t="s">
        <v>162</v>
      </c>
      <c r="G2285" s="100">
        <v>8157</v>
      </c>
    </row>
    <row r="2286" spans="2:7" ht="17">
      <c r="B2286" s="118" t="s">
        <v>1810</v>
      </c>
      <c r="C2286" s="119">
        <v>8471</v>
      </c>
      <c r="E2286" s="97" t="s">
        <v>1731</v>
      </c>
      <c r="F2286" s="96" t="s">
        <v>162</v>
      </c>
      <c r="G2286" s="100">
        <v>8487</v>
      </c>
    </row>
    <row r="2287" spans="2:7" ht="17">
      <c r="B2287" s="118" t="s">
        <v>1755</v>
      </c>
      <c r="C2287" s="119">
        <v>8108</v>
      </c>
      <c r="E2287" s="97" t="s">
        <v>1732</v>
      </c>
      <c r="F2287" s="96" t="s">
        <v>162</v>
      </c>
      <c r="G2287" s="100">
        <v>8803</v>
      </c>
    </row>
    <row r="2288" spans="2:7" ht="17">
      <c r="B2288" s="118" t="s">
        <v>2718</v>
      </c>
      <c r="C2288" s="119">
        <v>8114</v>
      </c>
      <c r="E2288" s="97" t="s">
        <v>1733</v>
      </c>
      <c r="F2288" s="96" t="s">
        <v>162</v>
      </c>
      <c r="G2288" s="100">
        <v>8315</v>
      </c>
    </row>
    <row r="2289" spans="2:7" ht="17">
      <c r="B2289" s="118" t="s">
        <v>1817</v>
      </c>
      <c r="C2289" s="119">
        <v>8421</v>
      </c>
      <c r="E2289" s="97" t="s">
        <v>1734</v>
      </c>
      <c r="F2289" s="96" t="s">
        <v>162</v>
      </c>
      <c r="G2289" s="100">
        <v>8309</v>
      </c>
    </row>
    <row r="2290" spans="2:7" ht="17">
      <c r="B2290" s="118" t="s">
        <v>2719</v>
      </c>
      <c r="C2290" s="119">
        <v>8354</v>
      </c>
      <c r="E2290" s="97" t="s">
        <v>1735</v>
      </c>
      <c r="F2290" s="96" t="s">
        <v>162</v>
      </c>
      <c r="G2290" s="100">
        <v>8703</v>
      </c>
    </row>
    <row r="2291" spans="2:7" ht="17">
      <c r="B2291" s="118" t="s">
        <v>1730</v>
      </c>
      <c r="C2291" s="119">
        <v>8157</v>
      </c>
      <c r="E2291" s="97" t="s">
        <v>1736</v>
      </c>
      <c r="F2291" s="96" t="s">
        <v>162</v>
      </c>
      <c r="G2291" s="100">
        <v>8412</v>
      </c>
    </row>
    <row r="2292" spans="2:7" ht="17">
      <c r="B2292" s="118" t="s">
        <v>1679</v>
      </c>
      <c r="C2292" s="119">
        <v>8953</v>
      </c>
      <c r="E2292" s="97" t="s">
        <v>1737</v>
      </c>
      <c r="F2292" s="96" t="s">
        <v>162</v>
      </c>
      <c r="G2292" s="100">
        <v>8906</v>
      </c>
    </row>
    <row r="2293" spans="2:7" ht="17">
      <c r="B2293" s="118" t="s">
        <v>1717</v>
      </c>
      <c r="C2293" s="119">
        <v>8305</v>
      </c>
      <c r="E2293" s="97" t="s">
        <v>1738</v>
      </c>
      <c r="F2293" s="96" t="s">
        <v>162</v>
      </c>
      <c r="G2293" s="100">
        <v>8912</v>
      </c>
    </row>
    <row r="2294" spans="2:7" ht="17">
      <c r="B2294" s="118" t="s">
        <v>1795</v>
      </c>
      <c r="C2294" s="119">
        <v>8474</v>
      </c>
      <c r="E2294" s="97" t="s">
        <v>1739</v>
      </c>
      <c r="F2294" s="96" t="s">
        <v>162</v>
      </c>
      <c r="G2294" s="100">
        <v>8606</v>
      </c>
    </row>
    <row r="2295" spans="2:7" ht="17">
      <c r="B2295" s="118" t="s">
        <v>1820</v>
      </c>
      <c r="C2295" s="119">
        <v>8458</v>
      </c>
      <c r="E2295" s="97" t="s">
        <v>1740</v>
      </c>
      <c r="F2295" s="96" t="s">
        <v>162</v>
      </c>
      <c r="G2295" s="100">
        <v>8192</v>
      </c>
    </row>
    <row r="2296" spans="2:7" ht="17">
      <c r="B2296" s="118" t="s">
        <v>1677</v>
      </c>
      <c r="C2296" s="119">
        <v>8600</v>
      </c>
      <c r="E2296" s="97" t="s">
        <v>1741</v>
      </c>
      <c r="F2296" s="96" t="s">
        <v>162</v>
      </c>
      <c r="G2296" s="100">
        <v>8193</v>
      </c>
    </row>
    <row r="2297" spans="2:7" ht="17">
      <c r="B2297" s="118" t="s">
        <v>1677</v>
      </c>
      <c r="C2297" s="119">
        <v>8600</v>
      </c>
      <c r="E2297" s="97" t="s">
        <v>1742</v>
      </c>
      <c r="F2297" s="96" t="s">
        <v>162</v>
      </c>
      <c r="G2297" s="100">
        <v>8126</v>
      </c>
    </row>
    <row r="2298" spans="2:7" ht="17">
      <c r="B2298" s="118" t="s">
        <v>1677</v>
      </c>
      <c r="C2298" s="119">
        <v>8600</v>
      </c>
      <c r="E2298" s="97" t="s">
        <v>1743</v>
      </c>
      <c r="F2298" s="96" t="s">
        <v>162</v>
      </c>
      <c r="G2298" s="100">
        <v>8172</v>
      </c>
    </row>
    <row r="2299" spans="2:7" ht="17">
      <c r="B2299" s="118" t="s">
        <v>1718</v>
      </c>
      <c r="C2299" s="119">
        <v>8635</v>
      </c>
      <c r="E2299" s="97" t="s">
        <v>1744</v>
      </c>
      <c r="F2299" s="96" t="s">
        <v>162</v>
      </c>
      <c r="G2299" s="100">
        <v>8954</v>
      </c>
    </row>
    <row r="2300" spans="2:7" ht="17">
      <c r="B2300" s="118" t="s">
        <v>2720</v>
      </c>
      <c r="C2300" s="119">
        <v>8925</v>
      </c>
      <c r="E2300" s="97" t="s">
        <v>1745</v>
      </c>
      <c r="F2300" s="96" t="s">
        <v>162</v>
      </c>
      <c r="G2300" s="100">
        <v>8494</v>
      </c>
    </row>
    <row r="2301" spans="2:7" ht="17">
      <c r="B2301" s="118" t="s">
        <v>2721</v>
      </c>
      <c r="C2301" s="119">
        <v>8123</v>
      </c>
      <c r="E2301" s="97" t="s">
        <v>1746</v>
      </c>
      <c r="F2301" s="96" t="s">
        <v>162</v>
      </c>
      <c r="G2301" s="100">
        <v>8353</v>
      </c>
    </row>
    <row r="2302" spans="2:7" ht="17">
      <c r="B2302" s="118" t="s">
        <v>2722</v>
      </c>
      <c r="C2302" s="119">
        <v>8307</v>
      </c>
      <c r="E2302" s="97" t="s">
        <v>1747</v>
      </c>
      <c r="F2302" s="96" t="s">
        <v>162</v>
      </c>
      <c r="G2302" s="100">
        <v>8932</v>
      </c>
    </row>
    <row r="2303" spans="2:7" ht="17">
      <c r="B2303" s="118" t="s">
        <v>2722</v>
      </c>
      <c r="C2303" s="119">
        <v>8307</v>
      </c>
      <c r="E2303" s="97" t="s">
        <v>1748</v>
      </c>
      <c r="F2303" s="96" t="s">
        <v>162</v>
      </c>
      <c r="G2303" s="100">
        <v>8104</v>
      </c>
    </row>
    <row r="2304" spans="2:7" ht="17">
      <c r="B2304" s="118" t="s">
        <v>2723</v>
      </c>
      <c r="C2304" s="119">
        <v>8132</v>
      </c>
      <c r="E2304" s="97" t="s">
        <v>1749</v>
      </c>
      <c r="F2304" s="96" t="s">
        <v>162</v>
      </c>
      <c r="G2304" s="100">
        <v>8618</v>
      </c>
    </row>
    <row r="2305" spans="2:7" ht="17">
      <c r="B2305" s="118" t="s">
        <v>1741</v>
      </c>
      <c r="C2305" s="119">
        <v>8193</v>
      </c>
      <c r="E2305" s="97" t="s">
        <v>1750</v>
      </c>
      <c r="F2305" s="96" t="s">
        <v>162</v>
      </c>
      <c r="G2305" s="100">
        <v>8488</v>
      </c>
    </row>
    <row r="2306" spans="2:7" ht="17">
      <c r="B2306" s="118" t="s">
        <v>1741</v>
      </c>
      <c r="C2306" s="119">
        <v>8193</v>
      </c>
      <c r="E2306" s="97" t="s">
        <v>1751</v>
      </c>
      <c r="F2306" s="96" t="s">
        <v>162</v>
      </c>
      <c r="G2306" s="100">
        <v>8185</v>
      </c>
    </row>
    <row r="2307" spans="2:7" ht="17">
      <c r="B2307" s="118" t="s">
        <v>2724</v>
      </c>
      <c r="C2307" s="119">
        <v>8489</v>
      </c>
      <c r="E2307" s="97" t="s">
        <v>1752</v>
      </c>
      <c r="F2307" s="96" t="s">
        <v>162</v>
      </c>
      <c r="G2307" s="100">
        <v>8197</v>
      </c>
    </row>
    <row r="2308" spans="2:7" ht="17">
      <c r="B2308" s="118" t="s">
        <v>1746</v>
      </c>
      <c r="C2308" s="119">
        <v>8353</v>
      </c>
      <c r="E2308" s="97" t="s">
        <v>1753</v>
      </c>
      <c r="F2308" s="96" t="s">
        <v>162</v>
      </c>
      <c r="G2308" s="100">
        <v>8332</v>
      </c>
    </row>
    <row r="2309" spans="2:7" ht="17">
      <c r="B2309" s="118" t="s">
        <v>2725</v>
      </c>
      <c r="C2309" s="119">
        <v>8464</v>
      </c>
      <c r="E2309" s="97" t="s">
        <v>1754</v>
      </c>
      <c r="F2309" s="96" t="s">
        <v>162</v>
      </c>
      <c r="G2309" s="100">
        <v>8142</v>
      </c>
    </row>
    <row r="2310" spans="2:7" ht="17">
      <c r="B2310" s="118" t="s">
        <v>2725</v>
      </c>
      <c r="C2310" s="119">
        <v>8464</v>
      </c>
      <c r="E2310" s="97" t="s">
        <v>1755</v>
      </c>
      <c r="F2310" s="96" t="s">
        <v>162</v>
      </c>
      <c r="G2310" s="100">
        <v>8108</v>
      </c>
    </row>
    <row r="2311" spans="2:7" ht="17">
      <c r="B2311" s="118" t="s">
        <v>1815</v>
      </c>
      <c r="C2311" s="119">
        <v>8548</v>
      </c>
      <c r="E2311" s="97" t="s">
        <v>1756</v>
      </c>
      <c r="F2311" s="96" t="s">
        <v>162</v>
      </c>
      <c r="G2311" s="100">
        <v>8184</v>
      </c>
    </row>
    <row r="2312" spans="2:7" ht="17">
      <c r="B2312" s="118" t="s">
        <v>1765</v>
      </c>
      <c r="C2312" s="119">
        <v>8352</v>
      </c>
      <c r="E2312" s="97" t="s">
        <v>1757</v>
      </c>
      <c r="F2312" s="96" t="s">
        <v>162</v>
      </c>
      <c r="G2312" s="100">
        <v>8422</v>
      </c>
    </row>
    <row r="2313" spans="2:7" ht="17">
      <c r="B2313" s="118" t="s">
        <v>1709</v>
      </c>
      <c r="C2313" s="119">
        <v>8424</v>
      </c>
      <c r="E2313" s="97" t="s">
        <v>1758</v>
      </c>
      <c r="F2313" s="96" t="s">
        <v>162</v>
      </c>
      <c r="G2313" s="100">
        <v>8103</v>
      </c>
    </row>
    <row r="2314" spans="2:7" ht="17">
      <c r="B2314" s="118" t="s">
        <v>2726</v>
      </c>
      <c r="C2314" s="119">
        <v>8703</v>
      </c>
      <c r="E2314" s="97" t="s">
        <v>1759</v>
      </c>
      <c r="F2314" s="96" t="s">
        <v>162</v>
      </c>
      <c r="G2314" s="100">
        <v>8617</v>
      </c>
    </row>
    <row r="2315" spans="2:7" ht="17">
      <c r="B2315" s="118" t="s">
        <v>2726</v>
      </c>
      <c r="C2315" s="119">
        <v>8703</v>
      </c>
      <c r="E2315" s="97" t="s">
        <v>1760</v>
      </c>
      <c r="F2315" s="96" t="s">
        <v>162</v>
      </c>
      <c r="G2315" s="100">
        <v>8143</v>
      </c>
    </row>
    <row r="2316" spans="2:7" ht="17">
      <c r="B2316" s="118" t="s">
        <v>2727</v>
      </c>
      <c r="C2316" s="119">
        <v>8133</v>
      </c>
      <c r="E2316" s="97" t="s">
        <v>1761</v>
      </c>
      <c r="F2316" s="96" t="s">
        <v>162</v>
      </c>
      <c r="G2316" s="100">
        <v>8908</v>
      </c>
    </row>
    <row r="2317" spans="2:7" ht="17">
      <c r="B2317" s="118" t="s">
        <v>2728</v>
      </c>
      <c r="C2317" s="119">
        <v>8951</v>
      </c>
      <c r="E2317" s="97" t="s">
        <v>1762</v>
      </c>
      <c r="F2317" s="96" t="s">
        <v>162</v>
      </c>
      <c r="G2317" s="100">
        <v>8915</v>
      </c>
    </row>
    <row r="2318" spans="2:7" ht="17">
      <c r="B2318" s="118" t="s">
        <v>2728</v>
      </c>
      <c r="C2318" s="119">
        <v>8951</v>
      </c>
      <c r="E2318" s="97" t="s">
        <v>1763</v>
      </c>
      <c r="F2318" s="96" t="s">
        <v>162</v>
      </c>
      <c r="G2318" s="100">
        <v>8245</v>
      </c>
    </row>
    <row r="2319" spans="2:7" ht="17">
      <c r="B2319" s="118" t="s">
        <v>2728</v>
      </c>
      <c r="C2319" s="119">
        <v>8951</v>
      </c>
      <c r="E2319" s="97" t="s">
        <v>1764</v>
      </c>
      <c r="F2319" s="96" t="s">
        <v>162</v>
      </c>
      <c r="G2319" s="100">
        <v>8335</v>
      </c>
    </row>
    <row r="2320" spans="2:7" ht="17">
      <c r="B2320" s="118" t="s">
        <v>1712</v>
      </c>
      <c r="C2320" s="119">
        <v>8117</v>
      </c>
      <c r="E2320" s="97" t="s">
        <v>1765</v>
      </c>
      <c r="F2320" s="96" t="s">
        <v>162</v>
      </c>
      <c r="G2320" s="100">
        <v>8352</v>
      </c>
    </row>
    <row r="2321" spans="2:7" ht="17">
      <c r="B2321" s="118" t="s">
        <v>1724</v>
      </c>
      <c r="C2321" s="119">
        <v>8320</v>
      </c>
      <c r="E2321" s="97" t="s">
        <v>1766</v>
      </c>
      <c r="F2321" s="96" t="s">
        <v>162</v>
      </c>
      <c r="G2321" s="100">
        <v>8162</v>
      </c>
    </row>
    <row r="2322" spans="2:7" ht="17">
      <c r="B2322" s="118" t="s">
        <v>2729</v>
      </c>
      <c r="C2322" s="119">
        <v>8714</v>
      </c>
      <c r="E2322" s="97" t="s">
        <v>1767</v>
      </c>
      <c r="F2322" s="96" t="s">
        <v>162</v>
      </c>
      <c r="G2322" s="100">
        <v>8627</v>
      </c>
    </row>
    <row r="2323" spans="2:7" ht="17">
      <c r="B2323" s="118" t="s">
        <v>1763</v>
      </c>
      <c r="C2323" s="119">
        <v>8245</v>
      </c>
      <c r="E2323" s="97" t="s">
        <v>1768</v>
      </c>
      <c r="F2323" s="96" t="s">
        <v>162</v>
      </c>
      <c r="G2323" s="100">
        <v>8484</v>
      </c>
    </row>
    <row r="2324" spans="2:7" ht="17">
      <c r="B2324" s="118" t="s">
        <v>1775</v>
      </c>
      <c r="C2324" s="119">
        <v>8497</v>
      </c>
      <c r="E2324" s="97" t="s">
        <v>1769</v>
      </c>
      <c r="F2324" s="96" t="s">
        <v>162</v>
      </c>
      <c r="G2324" s="100">
        <v>8442</v>
      </c>
    </row>
    <row r="2325" spans="2:7" ht="17">
      <c r="B2325" s="118" t="s">
        <v>1775</v>
      </c>
      <c r="C2325" s="119">
        <v>8497</v>
      </c>
      <c r="E2325" s="97" t="s">
        <v>1770</v>
      </c>
      <c r="F2325" s="96" t="s">
        <v>162</v>
      </c>
      <c r="G2325" s="100">
        <v>8173</v>
      </c>
    </row>
    <row r="2326" spans="2:7" ht="17">
      <c r="B2326" s="118" t="s">
        <v>1800</v>
      </c>
      <c r="C2326" s="119">
        <v>8416</v>
      </c>
      <c r="E2326" s="97" t="s">
        <v>1771</v>
      </c>
      <c r="F2326" s="96" t="s">
        <v>162</v>
      </c>
      <c r="G2326" s="100">
        <v>8477</v>
      </c>
    </row>
    <row r="2327" spans="2:7" ht="17">
      <c r="B2327" s="118" t="s">
        <v>1797</v>
      </c>
      <c r="C2327" s="119">
        <v>8247</v>
      </c>
      <c r="E2327" s="97" t="s">
        <v>1772</v>
      </c>
      <c r="F2327" s="96" t="s">
        <v>162</v>
      </c>
      <c r="G2327" s="100">
        <v>8181</v>
      </c>
    </row>
    <row r="2328" spans="2:7" ht="17">
      <c r="B2328" s="118" t="s">
        <v>2730</v>
      </c>
      <c r="C2328" s="119">
        <v>8127</v>
      </c>
      <c r="E2328" s="97" t="s">
        <v>1773</v>
      </c>
      <c r="F2328" s="96" t="s">
        <v>162</v>
      </c>
      <c r="G2328" s="100">
        <v>8545</v>
      </c>
    </row>
    <row r="2329" spans="2:7" ht="17">
      <c r="B2329" s="118" t="s">
        <v>2730</v>
      </c>
      <c r="C2329" s="119">
        <v>8127</v>
      </c>
      <c r="E2329" s="97" t="s">
        <v>1774</v>
      </c>
      <c r="F2329" s="96" t="s">
        <v>162</v>
      </c>
      <c r="G2329" s="100">
        <v>8913</v>
      </c>
    </row>
    <row r="2330" spans="2:7" ht="17">
      <c r="B2330" s="118" t="s">
        <v>2730</v>
      </c>
      <c r="C2330" s="119">
        <v>8127</v>
      </c>
      <c r="E2330" s="97" t="s">
        <v>1775</v>
      </c>
      <c r="F2330" s="96" t="s">
        <v>162</v>
      </c>
      <c r="G2330" s="100">
        <v>8615</v>
      </c>
    </row>
    <row r="2331" spans="2:7" ht="17">
      <c r="B2331" s="118" t="s">
        <v>2731</v>
      </c>
      <c r="C2331" s="119">
        <v>8427</v>
      </c>
      <c r="E2331" s="97" t="s">
        <v>1776</v>
      </c>
      <c r="F2331" s="96" t="s">
        <v>162</v>
      </c>
      <c r="G2331" s="100">
        <v>8955</v>
      </c>
    </row>
    <row r="2332" spans="2:7" ht="17">
      <c r="B2332" s="118" t="s">
        <v>2476</v>
      </c>
      <c r="C2332" s="119">
        <v>8615</v>
      </c>
      <c r="E2332" s="97" t="s">
        <v>1777</v>
      </c>
      <c r="F2332" s="96" t="s">
        <v>162</v>
      </c>
      <c r="G2332" s="100">
        <v>8426</v>
      </c>
    </row>
    <row r="2333" spans="2:7" ht="17">
      <c r="B2333" s="118" t="s">
        <v>2486</v>
      </c>
      <c r="C2333" s="119">
        <v>8136</v>
      </c>
      <c r="E2333" s="97" t="s">
        <v>1778</v>
      </c>
      <c r="F2333" s="96" t="s">
        <v>162</v>
      </c>
      <c r="G2333" s="100">
        <v>8427</v>
      </c>
    </row>
    <row r="2334" spans="2:7" ht="17">
      <c r="B2334" s="118" t="s">
        <v>2732</v>
      </c>
      <c r="C2334" s="119">
        <v>8500</v>
      </c>
      <c r="E2334" s="97" t="s">
        <v>1779</v>
      </c>
      <c r="F2334" s="96" t="s">
        <v>162</v>
      </c>
      <c r="G2334" s="100">
        <v>8934</v>
      </c>
    </row>
    <row r="2335" spans="2:7" ht="17">
      <c r="B2335" s="118" t="s">
        <v>1744</v>
      </c>
      <c r="C2335" s="119">
        <v>8954</v>
      </c>
      <c r="E2335" s="97" t="s">
        <v>1780</v>
      </c>
      <c r="F2335" s="96" t="s">
        <v>162</v>
      </c>
      <c r="G2335" s="100">
        <v>8174</v>
      </c>
    </row>
    <row r="2336" spans="2:7" ht="17">
      <c r="B2336" s="118" t="s">
        <v>2733</v>
      </c>
      <c r="C2336" s="119">
        <v>8498</v>
      </c>
      <c r="E2336" s="97" t="s">
        <v>1781</v>
      </c>
      <c r="F2336" s="96" t="s">
        <v>162</v>
      </c>
      <c r="G2336" s="100">
        <v>8444</v>
      </c>
    </row>
    <row r="2337" spans="2:7" ht="17">
      <c r="B2337" s="118" t="s">
        <v>2733</v>
      </c>
      <c r="C2337" s="119">
        <v>8498</v>
      </c>
      <c r="E2337" s="97" t="s">
        <v>1782</v>
      </c>
      <c r="F2337" s="96" t="s">
        <v>162</v>
      </c>
      <c r="G2337" s="100">
        <v>8450</v>
      </c>
    </row>
    <row r="2338" spans="2:7" ht="17">
      <c r="B2338" s="118" t="s">
        <v>2733</v>
      </c>
      <c r="C2338" s="119">
        <v>8498</v>
      </c>
      <c r="E2338" s="97" t="s">
        <v>1783</v>
      </c>
      <c r="F2338" s="96" t="s">
        <v>162</v>
      </c>
      <c r="G2338" s="100">
        <v>8451</v>
      </c>
    </row>
    <row r="2339" spans="2:7" ht="17">
      <c r="B2339" s="118" t="s">
        <v>2493</v>
      </c>
      <c r="C2339" s="119">
        <v>8152</v>
      </c>
      <c r="E2339" s="97" t="s">
        <v>1784</v>
      </c>
      <c r="F2339" s="96" t="s">
        <v>162</v>
      </c>
      <c r="G2339" s="100">
        <v>8311</v>
      </c>
    </row>
    <row r="2340" spans="2:7" ht="17">
      <c r="B2340" s="118" t="s">
        <v>2493</v>
      </c>
      <c r="C2340" s="119">
        <v>8152</v>
      </c>
      <c r="E2340" s="97" t="s">
        <v>1785</v>
      </c>
      <c r="F2340" s="96" t="s">
        <v>162</v>
      </c>
      <c r="G2340" s="100">
        <v>8492</v>
      </c>
    </row>
    <row r="2341" spans="2:7" ht="17">
      <c r="B2341" s="118" t="s">
        <v>2493</v>
      </c>
      <c r="C2341" s="119">
        <v>8152</v>
      </c>
      <c r="E2341" s="97" t="s">
        <v>1786</v>
      </c>
      <c r="F2341" s="96" t="s">
        <v>162</v>
      </c>
      <c r="G2341" s="100">
        <v>8460</v>
      </c>
    </row>
    <row r="2342" spans="2:7" ht="17">
      <c r="B2342" s="118" t="s">
        <v>1740</v>
      </c>
      <c r="C2342" s="119">
        <v>8192</v>
      </c>
      <c r="E2342" s="97" t="s">
        <v>1787</v>
      </c>
      <c r="F2342" s="96" t="s">
        <v>162</v>
      </c>
      <c r="G2342" s="100">
        <v>8914</v>
      </c>
    </row>
    <row r="2343" spans="2:7" ht="17">
      <c r="B2343" s="118" t="s">
        <v>1740</v>
      </c>
      <c r="C2343" s="119">
        <v>8192</v>
      </c>
      <c r="E2343" s="97" t="s">
        <v>1788</v>
      </c>
      <c r="F2343" s="96" t="s">
        <v>162</v>
      </c>
      <c r="G2343" s="100">
        <v>8447</v>
      </c>
    </row>
    <row r="2344" spans="2:7" ht="17">
      <c r="B2344" s="118" t="s">
        <v>1740</v>
      </c>
      <c r="C2344" s="119">
        <v>8192</v>
      </c>
      <c r="E2344" s="97" t="s">
        <v>1789</v>
      </c>
      <c r="F2344" s="96" t="s">
        <v>162</v>
      </c>
      <c r="G2344" s="100">
        <v>8182</v>
      </c>
    </row>
    <row r="2345" spans="2:7" ht="17">
      <c r="B2345" s="118" t="s">
        <v>2492</v>
      </c>
      <c r="C2345" s="119">
        <v>8152</v>
      </c>
      <c r="E2345" s="97" t="s">
        <v>1790</v>
      </c>
      <c r="F2345" s="96" t="s">
        <v>162</v>
      </c>
      <c r="G2345" s="100">
        <v>8114</v>
      </c>
    </row>
    <row r="2346" spans="2:7" ht="17">
      <c r="B2346" s="118" t="s">
        <v>2734</v>
      </c>
      <c r="C2346" s="119">
        <v>8044</v>
      </c>
      <c r="E2346" s="97" t="s">
        <v>1791</v>
      </c>
      <c r="F2346" s="96" t="s">
        <v>162</v>
      </c>
      <c r="G2346" s="100">
        <v>8165</v>
      </c>
    </row>
    <row r="2347" spans="2:7" ht="17">
      <c r="B2347" s="118" t="s">
        <v>2735</v>
      </c>
      <c r="C2347" s="119">
        <v>8625</v>
      </c>
      <c r="E2347" s="97" t="s">
        <v>1792</v>
      </c>
      <c r="F2347" s="96" t="s">
        <v>162</v>
      </c>
      <c r="G2347" s="100">
        <v>8187</v>
      </c>
    </row>
    <row r="2348" spans="2:7" ht="17">
      <c r="B2348" s="118" t="s">
        <v>2736</v>
      </c>
      <c r="C2348" s="119">
        <v>8310</v>
      </c>
      <c r="E2348" s="97" t="s">
        <v>1793</v>
      </c>
      <c r="F2348" s="96" t="s">
        <v>162</v>
      </c>
      <c r="G2348" s="100">
        <v>8248</v>
      </c>
    </row>
    <row r="2349" spans="2:7" ht="17">
      <c r="B2349" s="118" t="s">
        <v>2737</v>
      </c>
      <c r="C2349" s="119">
        <v>8415</v>
      </c>
      <c r="E2349" s="97" t="s">
        <v>1794</v>
      </c>
      <c r="F2349" s="96" t="s">
        <v>162</v>
      </c>
      <c r="G2349" s="100">
        <v>8475</v>
      </c>
    </row>
    <row r="2350" spans="2:7" ht="17">
      <c r="B2350" s="118" t="s">
        <v>1739</v>
      </c>
      <c r="C2350" s="119">
        <v>8606</v>
      </c>
      <c r="E2350" s="97" t="s">
        <v>1795</v>
      </c>
      <c r="F2350" s="96" t="s">
        <v>162</v>
      </c>
      <c r="G2350" s="100">
        <v>8474</v>
      </c>
    </row>
    <row r="2351" spans="2:7" ht="17">
      <c r="B2351" s="118" t="s">
        <v>1767</v>
      </c>
      <c r="C2351" s="119">
        <v>8627</v>
      </c>
      <c r="E2351" s="97" t="s">
        <v>1796</v>
      </c>
      <c r="F2351" s="96" t="s">
        <v>162</v>
      </c>
      <c r="G2351" s="100">
        <v>8607</v>
      </c>
    </row>
    <row r="2352" spans="2:7" ht="17">
      <c r="B2352" s="118" t="s">
        <v>1767</v>
      </c>
      <c r="C2352" s="119">
        <v>8627</v>
      </c>
      <c r="E2352" s="97" t="s">
        <v>1797</v>
      </c>
      <c r="F2352" s="96" t="s">
        <v>162</v>
      </c>
      <c r="G2352" s="100">
        <v>8247</v>
      </c>
    </row>
    <row r="2353" spans="2:7" ht="17">
      <c r="B2353" s="118" t="s">
        <v>1767</v>
      </c>
      <c r="C2353" s="119">
        <v>8627</v>
      </c>
      <c r="E2353" s="97" t="s">
        <v>1798</v>
      </c>
      <c r="F2353" s="96" t="s">
        <v>162</v>
      </c>
      <c r="G2353" s="100">
        <v>8196</v>
      </c>
    </row>
    <row r="2354" spans="2:7" ht="17">
      <c r="B2354" s="118" t="s">
        <v>2738</v>
      </c>
      <c r="C2354" s="119">
        <v>8624</v>
      </c>
      <c r="E2354" s="97" t="s">
        <v>1799</v>
      </c>
      <c r="F2354" s="96" t="s">
        <v>162</v>
      </c>
      <c r="G2354" s="100">
        <v>8165</v>
      </c>
    </row>
    <row r="2355" spans="2:7" ht="17">
      <c r="B2355" s="118" t="s">
        <v>2739</v>
      </c>
      <c r="C2355" s="119">
        <v>8543</v>
      </c>
      <c r="E2355" s="97" t="s">
        <v>1800</v>
      </c>
      <c r="F2355" s="96" t="s">
        <v>162</v>
      </c>
      <c r="G2355" s="100">
        <v>8416</v>
      </c>
    </row>
    <row r="2356" spans="2:7" ht="17">
      <c r="B2356" s="118" t="s">
        <v>2740</v>
      </c>
      <c r="C2356" s="119">
        <v>8322</v>
      </c>
      <c r="E2356" s="97" t="s">
        <v>1801</v>
      </c>
      <c r="F2356" s="96" t="s">
        <v>162</v>
      </c>
      <c r="G2356" s="100">
        <v>8113</v>
      </c>
    </row>
    <row r="2357" spans="2:7" ht="17">
      <c r="B2357" s="118" t="s">
        <v>2741</v>
      </c>
      <c r="C2357" s="119">
        <v>8468</v>
      </c>
      <c r="E2357" s="97" t="s">
        <v>1802</v>
      </c>
      <c r="F2357" s="96" t="s">
        <v>162</v>
      </c>
      <c r="G2357" s="100">
        <v>8904</v>
      </c>
    </row>
    <row r="2358" spans="2:7" ht="17">
      <c r="B2358" s="118" t="s">
        <v>2494</v>
      </c>
      <c r="C2358" s="119">
        <v>8605</v>
      </c>
      <c r="E2358" s="97" t="s">
        <v>1803</v>
      </c>
      <c r="F2358" s="96" t="s">
        <v>162</v>
      </c>
      <c r="G2358" s="100">
        <v>8462</v>
      </c>
    </row>
    <row r="2359" spans="2:7" ht="17">
      <c r="B2359" s="118" t="s">
        <v>2494</v>
      </c>
      <c r="C2359" s="119">
        <v>8605</v>
      </c>
      <c r="E2359" s="97" t="s">
        <v>1804</v>
      </c>
      <c r="F2359" s="96" t="s">
        <v>162</v>
      </c>
      <c r="G2359" s="100">
        <v>8926</v>
      </c>
    </row>
    <row r="2360" spans="2:7" ht="17">
      <c r="B2360" s="118" t="s">
        <v>2742</v>
      </c>
      <c r="C2360" s="119">
        <v>8523</v>
      </c>
      <c r="E2360" s="97" t="s">
        <v>1805</v>
      </c>
      <c r="F2360" s="96" t="s">
        <v>162</v>
      </c>
      <c r="G2360" s="100">
        <v>8523</v>
      </c>
    </row>
    <row r="2361" spans="2:7" ht="17">
      <c r="B2361" s="118" t="s">
        <v>2742</v>
      </c>
      <c r="C2361" s="119">
        <v>8523</v>
      </c>
      <c r="E2361" s="97" t="s">
        <v>1806</v>
      </c>
      <c r="F2361" s="96" t="s">
        <v>162</v>
      </c>
      <c r="G2361" s="100">
        <v>8911</v>
      </c>
    </row>
    <row r="2362" spans="2:7" ht="17">
      <c r="B2362" s="118" t="s">
        <v>2743</v>
      </c>
      <c r="C2362" s="119">
        <v>8926</v>
      </c>
      <c r="E2362" s="97" t="s">
        <v>1807</v>
      </c>
      <c r="F2362" s="96" t="s">
        <v>162</v>
      </c>
      <c r="G2362" s="100">
        <v>8466</v>
      </c>
    </row>
    <row r="2363" spans="2:7" ht="17">
      <c r="B2363" s="118" t="s">
        <v>1762</v>
      </c>
      <c r="C2363" s="119">
        <v>8915</v>
      </c>
      <c r="E2363" s="97" t="s">
        <v>1808</v>
      </c>
      <c r="F2363" s="96" t="s">
        <v>162</v>
      </c>
      <c r="G2363" s="100">
        <v>8425</v>
      </c>
    </row>
    <row r="2364" spans="2:7" ht="17">
      <c r="B2364" s="118" t="s">
        <v>1761</v>
      </c>
      <c r="C2364" s="119">
        <v>8908</v>
      </c>
      <c r="E2364" s="97" t="s">
        <v>1809</v>
      </c>
      <c r="F2364" s="96" t="s">
        <v>162</v>
      </c>
      <c r="G2364" s="100">
        <v>8194</v>
      </c>
    </row>
    <row r="2365" spans="2:7" ht="17">
      <c r="B2365" s="118" t="s">
        <v>1781</v>
      </c>
      <c r="C2365" s="119">
        <v>8444</v>
      </c>
      <c r="E2365" s="97" t="s">
        <v>1810</v>
      </c>
      <c r="F2365" s="96" t="s">
        <v>162</v>
      </c>
      <c r="G2365" s="100">
        <v>8471</v>
      </c>
    </row>
    <row r="2366" spans="2:7" ht="17">
      <c r="B2366" s="118" t="s">
        <v>1728</v>
      </c>
      <c r="C2366" s="119">
        <v>8704</v>
      </c>
      <c r="E2366" s="97" t="s">
        <v>1811</v>
      </c>
      <c r="F2366" s="96" t="s">
        <v>162</v>
      </c>
      <c r="G2366" s="100">
        <v>8489</v>
      </c>
    </row>
    <row r="2367" spans="2:7" ht="17">
      <c r="B2367" s="118" t="s">
        <v>1769</v>
      </c>
      <c r="C2367" s="119">
        <v>8442</v>
      </c>
      <c r="E2367" s="97" t="s">
        <v>1812</v>
      </c>
      <c r="F2367" s="96" t="s">
        <v>162</v>
      </c>
      <c r="G2367" s="100">
        <v>8414</v>
      </c>
    </row>
    <row r="2368" spans="2:7" ht="17">
      <c r="B2368" s="118" t="s">
        <v>2744</v>
      </c>
      <c r="C2368" s="119">
        <v>8132</v>
      </c>
      <c r="E2368" s="97" t="s">
        <v>1813</v>
      </c>
      <c r="F2368" s="96" t="s">
        <v>162</v>
      </c>
      <c r="G2368" s="100">
        <v>8115</v>
      </c>
    </row>
    <row r="2369" spans="2:7" ht="17">
      <c r="B2369" s="118" t="s">
        <v>2744</v>
      </c>
      <c r="C2369" s="119">
        <v>8132</v>
      </c>
      <c r="E2369" s="97" t="s">
        <v>1814</v>
      </c>
      <c r="F2369" s="96" t="s">
        <v>162</v>
      </c>
      <c r="G2369" s="100">
        <v>8478</v>
      </c>
    </row>
    <row r="2370" spans="2:7" ht="17">
      <c r="B2370" s="118" t="s">
        <v>1703</v>
      </c>
      <c r="C2370" s="119">
        <v>8340</v>
      </c>
      <c r="E2370" s="97" t="s">
        <v>1815</v>
      </c>
      <c r="F2370" s="96" t="s">
        <v>162</v>
      </c>
      <c r="G2370" s="100">
        <v>8548</v>
      </c>
    </row>
    <row r="2371" spans="2:7" ht="17">
      <c r="B2371" s="118" t="s">
        <v>1703</v>
      </c>
      <c r="C2371" s="119">
        <v>8340</v>
      </c>
      <c r="E2371" s="97" t="s">
        <v>1816</v>
      </c>
      <c r="F2371" s="96" t="s">
        <v>162</v>
      </c>
      <c r="G2371" s="100">
        <v>8463</v>
      </c>
    </row>
    <row r="2372" spans="2:7" ht="17">
      <c r="B2372" s="118" t="s">
        <v>1703</v>
      </c>
      <c r="C2372" s="119">
        <v>8340</v>
      </c>
      <c r="E2372" s="97" t="s">
        <v>1817</v>
      </c>
      <c r="F2372" s="96" t="s">
        <v>162</v>
      </c>
      <c r="G2372" s="100">
        <v>8421</v>
      </c>
    </row>
    <row r="2373" spans="2:7" ht="17">
      <c r="B2373" s="118" t="s">
        <v>1703</v>
      </c>
      <c r="C2373" s="119">
        <v>8340</v>
      </c>
      <c r="E2373" s="97" t="s">
        <v>1818</v>
      </c>
      <c r="F2373" s="96" t="s">
        <v>162</v>
      </c>
      <c r="G2373" s="100">
        <v>8165</v>
      </c>
    </row>
    <row r="2374" spans="2:7" ht="17">
      <c r="B2374" s="118" t="s">
        <v>2482</v>
      </c>
      <c r="C2374" s="119">
        <v>8816</v>
      </c>
      <c r="E2374" s="97" t="s">
        <v>1819</v>
      </c>
      <c r="F2374" s="96" t="s">
        <v>162</v>
      </c>
      <c r="G2374" s="100">
        <v>8418</v>
      </c>
    </row>
    <row r="2375" spans="2:7" ht="17">
      <c r="B2375" s="118" t="s">
        <v>1764</v>
      </c>
      <c r="C2375" s="119">
        <v>8335</v>
      </c>
      <c r="E2375" s="97" t="s">
        <v>1820</v>
      </c>
      <c r="F2375" s="96" t="s">
        <v>162</v>
      </c>
      <c r="G2375" s="100">
        <v>8458</v>
      </c>
    </row>
    <row r="2376" spans="2:7" ht="17">
      <c r="B2376" s="118" t="s">
        <v>1789</v>
      </c>
      <c r="C2376" s="119">
        <v>8182</v>
      </c>
      <c r="E2376" s="97" t="s">
        <v>1821</v>
      </c>
      <c r="F2376" s="96" t="s">
        <v>162</v>
      </c>
      <c r="G2376" s="100">
        <v>8479</v>
      </c>
    </row>
    <row r="2377" spans="2:7" ht="17">
      <c r="B2377" s="118" t="s">
        <v>2745</v>
      </c>
      <c r="C2377" s="119">
        <v>8354</v>
      </c>
      <c r="E2377" s="97" t="s">
        <v>170</v>
      </c>
      <c r="F2377" s="96" t="s">
        <v>170</v>
      </c>
      <c r="G2377" s="100">
        <v>9000</v>
      </c>
    </row>
    <row r="2378" spans="2:7" ht="17">
      <c r="B2378" s="118" t="s">
        <v>2745</v>
      </c>
      <c r="C2378" s="119">
        <v>8354</v>
      </c>
      <c r="E2378" s="97" t="s">
        <v>1822</v>
      </c>
      <c r="F2378" s="96" t="s">
        <v>170</v>
      </c>
      <c r="G2378" s="100">
        <v>9470</v>
      </c>
    </row>
    <row r="2379" spans="2:7" ht="17">
      <c r="B2379" s="118" t="s">
        <v>1711</v>
      </c>
      <c r="C2379" s="119">
        <v>8634</v>
      </c>
      <c r="E2379" s="97" t="s">
        <v>1823</v>
      </c>
      <c r="F2379" s="96" t="s">
        <v>170</v>
      </c>
      <c r="G2379" s="100">
        <v>8640</v>
      </c>
    </row>
    <row r="2380" spans="2:7" ht="17">
      <c r="B2380" s="118" t="s">
        <v>1711</v>
      </c>
      <c r="C2380" s="119">
        <v>8634</v>
      </c>
      <c r="E2380" s="97" t="s">
        <v>1824</v>
      </c>
      <c r="F2380" s="96" t="s">
        <v>170</v>
      </c>
      <c r="G2380" s="100">
        <v>9500</v>
      </c>
    </row>
    <row r="2381" spans="2:7" ht="17">
      <c r="B2381" s="118" t="s">
        <v>1683</v>
      </c>
      <c r="C2381" s="119">
        <v>8810</v>
      </c>
      <c r="E2381" s="97" t="s">
        <v>1825</v>
      </c>
      <c r="F2381" s="96" t="s">
        <v>170</v>
      </c>
      <c r="G2381" s="100">
        <v>8730</v>
      </c>
    </row>
    <row r="2382" spans="2:7" ht="17">
      <c r="B2382" s="118" t="s">
        <v>2483</v>
      </c>
      <c r="C2382" s="119">
        <v>8815</v>
      </c>
      <c r="E2382" s="97" t="s">
        <v>1826</v>
      </c>
      <c r="F2382" s="96" t="s">
        <v>170</v>
      </c>
      <c r="G2382" s="100">
        <v>9450</v>
      </c>
    </row>
    <row r="2383" spans="2:7" ht="17">
      <c r="B2383" s="118" t="s">
        <v>1772</v>
      </c>
      <c r="C2383" s="119">
        <v>8181</v>
      </c>
      <c r="E2383" s="97" t="s">
        <v>1827</v>
      </c>
      <c r="F2383" s="96" t="s">
        <v>170</v>
      </c>
      <c r="G2383" s="100">
        <v>8880</v>
      </c>
    </row>
    <row r="2384" spans="2:7" ht="17">
      <c r="B2384" s="118" t="s">
        <v>2746</v>
      </c>
      <c r="C2384" s="119">
        <v>8457</v>
      </c>
      <c r="E2384" s="97" t="s">
        <v>1828</v>
      </c>
      <c r="F2384" s="96" t="s">
        <v>170</v>
      </c>
      <c r="G2384" s="100">
        <v>9200</v>
      </c>
    </row>
    <row r="2385" spans="2:7" ht="17">
      <c r="B2385" s="118" t="s">
        <v>2747</v>
      </c>
      <c r="C2385" s="119">
        <v>8412</v>
      </c>
      <c r="E2385" s="97" t="s">
        <v>1829</v>
      </c>
      <c r="F2385" s="96" t="s">
        <v>170</v>
      </c>
      <c r="G2385" s="100">
        <v>7320</v>
      </c>
    </row>
    <row r="2386" spans="2:7" ht="17">
      <c r="B2386" s="118" t="s">
        <v>1809</v>
      </c>
      <c r="C2386" s="119">
        <v>8194</v>
      </c>
      <c r="E2386" s="97" t="s">
        <v>1830</v>
      </c>
      <c r="F2386" s="96" t="s">
        <v>170</v>
      </c>
      <c r="G2386" s="100">
        <v>9466</v>
      </c>
    </row>
    <row r="2387" spans="2:7" ht="17">
      <c r="B2387" s="118" t="s">
        <v>2489</v>
      </c>
      <c r="C2387" s="119">
        <v>8825</v>
      </c>
      <c r="E2387" s="97" t="s">
        <v>1831</v>
      </c>
      <c r="F2387" s="96" t="s">
        <v>170</v>
      </c>
      <c r="G2387" s="100">
        <v>9476</v>
      </c>
    </row>
    <row r="2388" spans="2:7" ht="17">
      <c r="B2388" s="118" t="s">
        <v>1813</v>
      </c>
      <c r="C2388" s="119">
        <v>8115</v>
      </c>
      <c r="E2388" s="97" t="s">
        <v>1832</v>
      </c>
      <c r="F2388" s="96" t="s">
        <v>170</v>
      </c>
      <c r="G2388" s="100">
        <v>8737</v>
      </c>
    </row>
    <row r="2389" spans="2:7" ht="17">
      <c r="B2389" s="118" t="s">
        <v>2748</v>
      </c>
      <c r="C2389" s="119">
        <v>8308</v>
      </c>
      <c r="E2389" s="97" t="s">
        <v>1833</v>
      </c>
      <c r="F2389" s="96" t="s">
        <v>170</v>
      </c>
      <c r="G2389" s="100">
        <v>9475</v>
      </c>
    </row>
    <row r="2390" spans="2:7" ht="17">
      <c r="B2390" s="118" t="s">
        <v>2748</v>
      </c>
      <c r="C2390" s="119">
        <v>8308</v>
      </c>
      <c r="E2390" s="97" t="s">
        <v>1834</v>
      </c>
      <c r="F2390" s="96" t="s">
        <v>170</v>
      </c>
      <c r="G2390" s="100">
        <v>9642</v>
      </c>
    </row>
    <row r="2391" spans="2:7" ht="17">
      <c r="B2391" s="118" t="s">
        <v>1804</v>
      </c>
      <c r="C2391" s="119">
        <v>8926</v>
      </c>
      <c r="E2391" s="97" t="s">
        <v>1835</v>
      </c>
      <c r="F2391" s="96" t="s">
        <v>170</v>
      </c>
      <c r="G2391" s="100">
        <v>8890</v>
      </c>
    </row>
    <row r="2392" spans="2:7" ht="17">
      <c r="B2392" s="118" t="s">
        <v>2749</v>
      </c>
      <c r="C2392" s="119">
        <v>8543</v>
      </c>
      <c r="E2392" s="97" t="s">
        <v>1836</v>
      </c>
      <c r="F2392" s="96" t="s">
        <v>170</v>
      </c>
      <c r="G2392" s="100">
        <v>7324</v>
      </c>
    </row>
    <row r="2393" spans="2:7" ht="17">
      <c r="B2393" s="118" t="s">
        <v>2750</v>
      </c>
      <c r="C2393" s="119">
        <v>8310</v>
      </c>
      <c r="E2393" s="97" t="s">
        <v>1837</v>
      </c>
      <c r="F2393" s="96" t="s">
        <v>170</v>
      </c>
      <c r="G2393" s="100">
        <v>8722</v>
      </c>
    </row>
    <row r="2394" spans="2:7" ht="17">
      <c r="B2394" s="118" t="s">
        <v>2750</v>
      </c>
      <c r="C2394" s="119">
        <v>8310</v>
      </c>
      <c r="E2394" s="97" t="s">
        <v>1838</v>
      </c>
      <c r="F2394" s="96" t="s">
        <v>170</v>
      </c>
      <c r="G2394" s="100">
        <v>9524</v>
      </c>
    </row>
    <row r="2395" spans="2:7" ht="17">
      <c r="B2395" s="118" t="s">
        <v>2751</v>
      </c>
      <c r="C2395" s="119">
        <v>8802</v>
      </c>
      <c r="E2395" s="97" t="s">
        <v>1839</v>
      </c>
      <c r="F2395" s="96" t="s">
        <v>170</v>
      </c>
      <c r="G2395" s="100">
        <v>9606</v>
      </c>
    </row>
    <row r="2396" spans="2:7" ht="17">
      <c r="B2396" s="118" t="s">
        <v>1783</v>
      </c>
      <c r="C2396" s="119">
        <v>8451</v>
      </c>
      <c r="E2396" s="97" t="s">
        <v>1840</v>
      </c>
      <c r="F2396" s="96" t="s">
        <v>170</v>
      </c>
      <c r="G2396" s="100">
        <v>9436</v>
      </c>
    </row>
    <row r="2397" spans="2:7" ht="17">
      <c r="B2397" s="118" t="s">
        <v>1686</v>
      </c>
      <c r="C2397" s="119">
        <v>8302</v>
      </c>
      <c r="E2397" s="97" t="s">
        <v>1841</v>
      </c>
      <c r="F2397" s="96" t="s">
        <v>170</v>
      </c>
      <c r="G2397" s="100">
        <v>9445</v>
      </c>
    </row>
    <row r="2398" spans="2:7" ht="17">
      <c r="B2398" s="118" t="s">
        <v>1779</v>
      </c>
      <c r="C2398" s="119">
        <v>8934</v>
      </c>
      <c r="E2398" s="97" t="s">
        <v>1842</v>
      </c>
      <c r="F2398" s="96" t="s">
        <v>170</v>
      </c>
      <c r="G2398" s="100">
        <v>9245</v>
      </c>
    </row>
    <row r="2399" spans="2:7" ht="17">
      <c r="B2399" s="118" t="s">
        <v>2752</v>
      </c>
      <c r="C2399" s="119">
        <v>8483</v>
      </c>
      <c r="E2399" s="97" t="s">
        <v>1843</v>
      </c>
      <c r="F2399" s="96" t="s">
        <v>170</v>
      </c>
      <c r="G2399" s="100">
        <v>9113</v>
      </c>
    </row>
    <row r="2400" spans="2:7" ht="17">
      <c r="B2400" s="118" t="s">
        <v>2752</v>
      </c>
      <c r="C2400" s="119">
        <v>8483</v>
      </c>
      <c r="E2400" s="97" t="s">
        <v>1844</v>
      </c>
      <c r="F2400" s="96" t="s">
        <v>170</v>
      </c>
      <c r="G2400" s="100">
        <v>9113</v>
      </c>
    </row>
    <row r="2401" spans="2:7" ht="17">
      <c r="B2401" s="118" t="s">
        <v>2753</v>
      </c>
      <c r="C2401" s="119">
        <v>8700</v>
      </c>
      <c r="E2401" s="97" t="s">
        <v>1845</v>
      </c>
      <c r="F2401" s="96" t="s">
        <v>170</v>
      </c>
      <c r="G2401" s="100">
        <v>9442</v>
      </c>
    </row>
    <row r="2402" spans="2:7" ht="17">
      <c r="B2402" s="118" t="s">
        <v>2754</v>
      </c>
      <c r="C2402" s="119">
        <v>8314</v>
      </c>
      <c r="E2402" s="97" t="s">
        <v>1846</v>
      </c>
      <c r="F2402" s="96" t="s">
        <v>170</v>
      </c>
      <c r="G2402" s="100">
        <v>8718</v>
      </c>
    </row>
    <row r="2403" spans="2:7" ht="17">
      <c r="B2403" s="118" t="s">
        <v>1719</v>
      </c>
      <c r="C2403" s="119">
        <v>8135</v>
      </c>
      <c r="E2403" s="97" t="s">
        <v>1847</v>
      </c>
      <c r="F2403" s="96" t="s">
        <v>170</v>
      </c>
      <c r="G2403" s="100">
        <v>9243</v>
      </c>
    </row>
    <row r="2404" spans="2:7" ht="17">
      <c r="B2404" s="118" t="s">
        <v>1719</v>
      </c>
      <c r="C2404" s="119">
        <v>8135</v>
      </c>
      <c r="E2404" s="97" t="s">
        <v>1848</v>
      </c>
      <c r="F2404" s="96" t="s">
        <v>170</v>
      </c>
      <c r="G2404" s="100">
        <v>8716</v>
      </c>
    </row>
    <row r="2405" spans="2:7" ht="17">
      <c r="B2405" s="118" t="s">
        <v>1719</v>
      </c>
      <c r="C2405" s="119">
        <v>8135</v>
      </c>
      <c r="E2405" s="97" t="s">
        <v>1849</v>
      </c>
      <c r="F2405" s="96" t="s">
        <v>170</v>
      </c>
      <c r="G2405" s="100">
        <v>9650</v>
      </c>
    </row>
    <row r="2406" spans="2:7">
      <c r="B2406" s="118" t="s">
        <v>2755</v>
      </c>
      <c r="C2406" s="119">
        <v>8246</v>
      </c>
      <c r="E2406" s="96" t="s">
        <v>1850</v>
      </c>
      <c r="F2406" s="96" t="s">
        <v>170</v>
      </c>
      <c r="G2406" s="100">
        <v>9323</v>
      </c>
    </row>
    <row r="2407" spans="2:7">
      <c r="B2407" s="118" t="s">
        <v>2756</v>
      </c>
      <c r="C2407" s="119">
        <v>8637</v>
      </c>
      <c r="E2407" s="96" t="s">
        <v>1851</v>
      </c>
      <c r="F2407" s="96" t="s">
        <v>170</v>
      </c>
      <c r="G2407" s="100">
        <v>9402</v>
      </c>
    </row>
    <row r="2408" spans="2:7">
      <c r="B2408" s="118" t="s">
        <v>1733</v>
      </c>
      <c r="C2408" s="119">
        <v>8315</v>
      </c>
      <c r="E2408" s="96" t="s">
        <v>1852</v>
      </c>
      <c r="F2408" s="96" t="s">
        <v>170</v>
      </c>
      <c r="G2408" s="100">
        <v>9205</v>
      </c>
    </row>
    <row r="2409" spans="2:7">
      <c r="B2409" s="118" t="s">
        <v>1777</v>
      </c>
      <c r="C2409" s="119">
        <v>8426</v>
      </c>
      <c r="E2409" s="96" t="s">
        <v>1853</v>
      </c>
      <c r="F2409" s="96" t="s">
        <v>170</v>
      </c>
      <c r="G2409" s="100">
        <v>9424</v>
      </c>
    </row>
    <row r="2410" spans="2:7">
      <c r="B2410" s="118" t="s">
        <v>2757</v>
      </c>
      <c r="C2410" s="119">
        <v>8322</v>
      </c>
      <c r="E2410" s="96" t="s">
        <v>1854</v>
      </c>
      <c r="F2410" s="96" t="s">
        <v>170</v>
      </c>
      <c r="G2410" s="100">
        <v>9473</v>
      </c>
    </row>
    <row r="2411" spans="2:7">
      <c r="B2411" s="118" t="s">
        <v>2757</v>
      </c>
      <c r="C2411" s="119">
        <v>8322</v>
      </c>
      <c r="E2411" s="96" t="s">
        <v>1855</v>
      </c>
      <c r="F2411" s="96" t="s">
        <v>170</v>
      </c>
      <c r="G2411" s="100">
        <v>9527</v>
      </c>
    </row>
    <row r="2412" spans="2:7">
      <c r="B2412" s="118" t="s">
        <v>1704</v>
      </c>
      <c r="C2412" s="119">
        <v>8708</v>
      </c>
      <c r="E2412" s="96" t="s">
        <v>1856</v>
      </c>
      <c r="F2412" s="96" t="s">
        <v>170</v>
      </c>
      <c r="G2412" s="100">
        <v>8717</v>
      </c>
    </row>
    <row r="2413" spans="2:7">
      <c r="B2413" s="118" t="s">
        <v>1786</v>
      </c>
      <c r="C2413" s="119">
        <v>8460</v>
      </c>
      <c r="E2413" s="96" t="s">
        <v>1857</v>
      </c>
      <c r="F2413" s="96" t="s">
        <v>170</v>
      </c>
      <c r="G2413" s="100">
        <v>9607</v>
      </c>
    </row>
    <row r="2414" spans="2:7">
      <c r="B2414" s="118" t="s">
        <v>2527</v>
      </c>
      <c r="C2414" s="119">
        <v>8933</v>
      </c>
      <c r="E2414" s="96" t="s">
        <v>1858</v>
      </c>
      <c r="F2414" s="96" t="s">
        <v>170</v>
      </c>
      <c r="G2414" s="100">
        <v>9658</v>
      </c>
    </row>
    <row r="2415" spans="2:7">
      <c r="B2415" s="118" t="s">
        <v>1705</v>
      </c>
      <c r="C2415" s="119">
        <v>8124</v>
      </c>
      <c r="E2415" s="96" t="s">
        <v>1859</v>
      </c>
      <c r="F2415" s="96" t="s">
        <v>170</v>
      </c>
      <c r="G2415" s="100">
        <v>9464</v>
      </c>
    </row>
    <row r="2416" spans="2:7">
      <c r="B2416" s="118" t="s">
        <v>1696</v>
      </c>
      <c r="C2416" s="119">
        <v>8706</v>
      </c>
      <c r="E2416" s="96" t="s">
        <v>1860</v>
      </c>
      <c r="F2416" s="96" t="s">
        <v>170</v>
      </c>
      <c r="G2416" s="100">
        <v>9034</v>
      </c>
    </row>
    <row r="2417" spans="2:7">
      <c r="B2417" s="118" t="s">
        <v>2758</v>
      </c>
      <c r="C2417" s="119">
        <v>8546</v>
      </c>
      <c r="E2417" s="96" t="s">
        <v>1861</v>
      </c>
      <c r="F2417" s="96" t="s">
        <v>170</v>
      </c>
      <c r="G2417" s="100">
        <v>9437</v>
      </c>
    </row>
    <row r="2418" spans="2:7">
      <c r="B2418" s="118" t="s">
        <v>1747</v>
      </c>
      <c r="C2418" s="119">
        <v>8932</v>
      </c>
      <c r="E2418" s="96" t="s">
        <v>1862</v>
      </c>
      <c r="F2418" s="96" t="s">
        <v>170</v>
      </c>
      <c r="G2418" s="100">
        <v>9204</v>
      </c>
    </row>
    <row r="2419" spans="2:7">
      <c r="B2419" s="118" t="s">
        <v>1759</v>
      </c>
      <c r="C2419" s="119">
        <v>8617</v>
      </c>
      <c r="E2419" s="96" t="s">
        <v>1863</v>
      </c>
      <c r="F2419" s="96" t="s">
        <v>170</v>
      </c>
      <c r="G2419" s="100">
        <v>9620</v>
      </c>
    </row>
    <row r="2420" spans="2:7">
      <c r="B2420" s="118" t="s">
        <v>1759</v>
      </c>
      <c r="C2420" s="119">
        <v>8617</v>
      </c>
      <c r="E2420" s="96" t="s">
        <v>1864</v>
      </c>
      <c r="F2420" s="96" t="s">
        <v>170</v>
      </c>
      <c r="G2420" s="100">
        <v>8873</v>
      </c>
    </row>
    <row r="2421" spans="2:7">
      <c r="B2421" s="118" t="s">
        <v>1759</v>
      </c>
      <c r="C2421" s="119">
        <v>8617</v>
      </c>
      <c r="E2421" s="96" t="s">
        <v>1865</v>
      </c>
      <c r="F2421" s="96" t="s">
        <v>170</v>
      </c>
      <c r="G2421" s="100">
        <v>8872</v>
      </c>
    </row>
    <row r="2422" spans="2:7">
      <c r="B2422" s="118" t="s">
        <v>2477</v>
      </c>
      <c r="C2422" s="119">
        <v>8606</v>
      </c>
      <c r="E2422" s="96" t="s">
        <v>1866</v>
      </c>
      <c r="F2422" s="96" t="s">
        <v>170</v>
      </c>
      <c r="G2422" s="100">
        <v>7312</v>
      </c>
    </row>
    <row r="2423" spans="2:7">
      <c r="B2423" s="118" t="s">
        <v>2759</v>
      </c>
      <c r="C2423" s="119">
        <v>8155</v>
      </c>
      <c r="E2423" s="96" t="s">
        <v>1867</v>
      </c>
      <c r="F2423" s="96" t="s">
        <v>170</v>
      </c>
      <c r="G2423" s="100">
        <v>9604</v>
      </c>
    </row>
    <row r="2424" spans="2:7">
      <c r="B2424" s="118" t="s">
        <v>1770</v>
      </c>
      <c r="C2424" s="119">
        <v>8173</v>
      </c>
      <c r="E2424" s="96" t="s">
        <v>1868</v>
      </c>
      <c r="F2424" s="96" t="s">
        <v>170</v>
      </c>
      <c r="G2424" s="100">
        <v>9246</v>
      </c>
    </row>
    <row r="2425" spans="2:7">
      <c r="B2425" s="118" t="s">
        <v>1736</v>
      </c>
      <c r="C2425" s="119">
        <v>8413</v>
      </c>
      <c r="E2425" s="96" t="s">
        <v>1869</v>
      </c>
      <c r="F2425" s="96" t="s">
        <v>170</v>
      </c>
      <c r="G2425" s="100">
        <v>9453</v>
      </c>
    </row>
    <row r="2426" spans="2:7">
      <c r="B2426" s="118" t="s">
        <v>2760</v>
      </c>
      <c r="C2426" s="119">
        <v>8484</v>
      </c>
      <c r="E2426" s="96" t="s">
        <v>1870</v>
      </c>
      <c r="F2426" s="96" t="s">
        <v>170</v>
      </c>
      <c r="G2426" s="100">
        <v>9327</v>
      </c>
    </row>
    <row r="2427" spans="2:7">
      <c r="B2427" s="118" t="s">
        <v>2761</v>
      </c>
      <c r="C2427" s="119">
        <v>8172</v>
      </c>
      <c r="E2427" s="96" t="s">
        <v>1871</v>
      </c>
      <c r="F2427" s="96" t="s">
        <v>170</v>
      </c>
      <c r="G2427" s="100">
        <v>9312</v>
      </c>
    </row>
    <row r="2428" spans="2:7">
      <c r="B2428" s="118" t="s">
        <v>1710</v>
      </c>
      <c r="C2428" s="119">
        <v>8155</v>
      </c>
      <c r="E2428" s="96" t="s">
        <v>1872</v>
      </c>
      <c r="F2428" s="96" t="s">
        <v>170</v>
      </c>
      <c r="G2428" s="100">
        <v>9621</v>
      </c>
    </row>
    <row r="2429" spans="2:7">
      <c r="B2429" s="118" t="s">
        <v>1710</v>
      </c>
      <c r="C2429" s="119">
        <v>8155</v>
      </c>
      <c r="E2429" s="96" t="s">
        <v>1873</v>
      </c>
      <c r="F2429" s="96" t="s">
        <v>170</v>
      </c>
      <c r="G2429" s="100">
        <v>9313</v>
      </c>
    </row>
    <row r="2430" spans="2:7">
      <c r="B2430" s="118" t="s">
        <v>1710</v>
      </c>
      <c r="C2430" s="119">
        <v>8155</v>
      </c>
      <c r="E2430" s="96" t="s">
        <v>1874</v>
      </c>
      <c r="F2430" s="96" t="s">
        <v>170</v>
      </c>
      <c r="G2430" s="100">
        <v>9033</v>
      </c>
    </row>
    <row r="2431" spans="2:7">
      <c r="B2431" s="118" t="s">
        <v>2529</v>
      </c>
      <c r="C2431" s="119">
        <v>8166</v>
      </c>
      <c r="E2431" s="96" t="s">
        <v>1875</v>
      </c>
      <c r="F2431" s="96" t="s">
        <v>170</v>
      </c>
      <c r="G2431" s="100">
        <v>9633</v>
      </c>
    </row>
    <row r="2432" spans="2:7">
      <c r="B2432" s="118" t="s">
        <v>2762</v>
      </c>
      <c r="C2432" s="119">
        <v>8212</v>
      </c>
      <c r="E2432" s="96" t="s">
        <v>1876</v>
      </c>
      <c r="F2432" s="96" t="s">
        <v>170</v>
      </c>
      <c r="G2432" s="100">
        <v>9305</v>
      </c>
    </row>
    <row r="2433" spans="2:7">
      <c r="B2433" s="118" t="s">
        <v>1734</v>
      </c>
      <c r="C2433" s="119">
        <v>8309</v>
      </c>
      <c r="E2433" s="96" t="s">
        <v>1877</v>
      </c>
      <c r="F2433" s="96" t="s">
        <v>1878</v>
      </c>
      <c r="G2433" s="100">
        <v>9100</v>
      </c>
    </row>
    <row r="2434" spans="2:7">
      <c r="B2434" s="118" t="s">
        <v>1734</v>
      </c>
      <c r="C2434" s="119">
        <v>8309</v>
      </c>
      <c r="E2434" s="96" t="s">
        <v>1879</v>
      </c>
      <c r="F2434" s="96" t="s">
        <v>1878</v>
      </c>
      <c r="G2434" s="100">
        <v>9053</v>
      </c>
    </row>
    <row r="2435" spans="2:7">
      <c r="B2435" s="118" t="s">
        <v>1808</v>
      </c>
      <c r="C2435" s="119">
        <v>8425</v>
      </c>
      <c r="E2435" s="96" t="s">
        <v>1880</v>
      </c>
      <c r="F2435" s="96" t="s">
        <v>1878</v>
      </c>
      <c r="G2435" s="100">
        <v>9042</v>
      </c>
    </row>
    <row r="2436" spans="2:7">
      <c r="B2436" s="118" t="s">
        <v>1723</v>
      </c>
      <c r="C2436" s="119">
        <v>8102</v>
      </c>
      <c r="E2436" s="96" t="s">
        <v>1881</v>
      </c>
      <c r="F2436" s="96" t="s">
        <v>1878</v>
      </c>
      <c r="G2436" s="100">
        <v>9410</v>
      </c>
    </row>
    <row r="2437" spans="2:7">
      <c r="B2437" s="118" t="s">
        <v>2763</v>
      </c>
      <c r="C2437" s="119">
        <v>8154</v>
      </c>
      <c r="E2437" s="96" t="s">
        <v>1882</v>
      </c>
      <c r="F2437" s="96" t="s">
        <v>1878</v>
      </c>
      <c r="G2437" s="100">
        <v>9056</v>
      </c>
    </row>
    <row r="2438" spans="2:7">
      <c r="B2438" s="118" t="s">
        <v>2764</v>
      </c>
      <c r="C2438" s="119">
        <v>8156</v>
      </c>
      <c r="E2438" s="96" t="s">
        <v>1883</v>
      </c>
      <c r="F2438" s="96" t="s">
        <v>1878</v>
      </c>
      <c r="G2438" s="100">
        <v>9107</v>
      </c>
    </row>
    <row r="2439" spans="2:7">
      <c r="B2439" s="118" t="s">
        <v>2530</v>
      </c>
      <c r="C2439" s="119">
        <v>8942</v>
      </c>
      <c r="E2439" s="96" t="s">
        <v>1884</v>
      </c>
      <c r="F2439" s="96" t="s">
        <v>1878</v>
      </c>
      <c r="G2439" s="100">
        <v>9428</v>
      </c>
    </row>
    <row r="2440" spans="2:7">
      <c r="B2440" s="118" t="s">
        <v>2765</v>
      </c>
      <c r="C2440" s="119">
        <v>8477</v>
      </c>
      <c r="E2440" s="96" t="s">
        <v>1885</v>
      </c>
      <c r="F2440" s="96" t="s">
        <v>1878</v>
      </c>
      <c r="G2440" s="100">
        <v>9104</v>
      </c>
    </row>
    <row r="2441" spans="2:7">
      <c r="B2441" s="118" t="s">
        <v>1791</v>
      </c>
      <c r="C2441" s="119">
        <v>8165</v>
      </c>
      <c r="E2441" s="96" t="s">
        <v>1886</v>
      </c>
      <c r="F2441" s="96" t="s">
        <v>1878</v>
      </c>
      <c r="G2441" s="100">
        <v>9427</v>
      </c>
    </row>
    <row r="2442" spans="2:7">
      <c r="B2442" s="118" t="s">
        <v>2766</v>
      </c>
      <c r="C2442" s="119">
        <v>8471</v>
      </c>
      <c r="E2442" s="96" t="s">
        <v>1887</v>
      </c>
      <c r="F2442" s="96" t="s">
        <v>1878</v>
      </c>
      <c r="G2442" s="100">
        <v>9055</v>
      </c>
    </row>
    <row r="2443" spans="2:7">
      <c r="B2443" s="118" t="s">
        <v>1738</v>
      </c>
      <c r="C2443" s="119">
        <v>8912</v>
      </c>
      <c r="E2443" s="96" t="s">
        <v>1888</v>
      </c>
      <c r="F2443" s="96" t="s">
        <v>1878</v>
      </c>
      <c r="G2443" s="100">
        <v>9038</v>
      </c>
    </row>
    <row r="2444" spans="2:7">
      <c r="B2444" s="118" t="s">
        <v>2767</v>
      </c>
      <c r="C2444" s="119">
        <v>8461</v>
      </c>
      <c r="E2444" s="96" t="s">
        <v>1889</v>
      </c>
      <c r="F2444" s="96" t="s">
        <v>1878</v>
      </c>
      <c r="G2444" s="100">
        <v>9043</v>
      </c>
    </row>
    <row r="2445" spans="2:7">
      <c r="B2445" s="118" t="s">
        <v>1749</v>
      </c>
      <c r="C2445" s="119">
        <v>8618</v>
      </c>
      <c r="E2445" s="96" t="s">
        <v>1890</v>
      </c>
      <c r="F2445" s="96" t="s">
        <v>1878</v>
      </c>
      <c r="G2445" s="100">
        <v>9103</v>
      </c>
    </row>
    <row r="2446" spans="2:7">
      <c r="B2446" s="118" t="s">
        <v>1749</v>
      </c>
      <c r="C2446" s="119">
        <v>8618</v>
      </c>
      <c r="E2446" s="96" t="s">
        <v>1891</v>
      </c>
      <c r="F2446" s="96" t="s">
        <v>1878</v>
      </c>
      <c r="G2446" s="100">
        <v>9063</v>
      </c>
    </row>
    <row r="2447" spans="2:7">
      <c r="B2447" s="118" t="s">
        <v>1776</v>
      </c>
      <c r="C2447" s="119">
        <v>8955</v>
      </c>
      <c r="E2447" s="96" t="s">
        <v>1892</v>
      </c>
      <c r="F2447" s="96" t="s">
        <v>1878</v>
      </c>
      <c r="G2447" s="100">
        <v>9426</v>
      </c>
    </row>
    <row r="2448" spans="2:7">
      <c r="B2448" s="118" t="s">
        <v>1684</v>
      </c>
      <c r="C2448" s="119">
        <v>8152</v>
      </c>
      <c r="E2448" s="96" t="s">
        <v>1893</v>
      </c>
      <c r="F2448" s="96" t="s">
        <v>1878</v>
      </c>
      <c r="G2448" s="100">
        <v>9035</v>
      </c>
    </row>
    <row r="2449" spans="2:7">
      <c r="B2449" s="118" t="s">
        <v>1794</v>
      </c>
      <c r="C2449" s="119">
        <v>8475</v>
      </c>
      <c r="E2449" s="96" t="s">
        <v>1894</v>
      </c>
      <c r="F2449" s="96" t="s">
        <v>1878</v>
      </c>
      <c r="G2449" s="100">
        <v>9064</v>
      </c>
    </row>
    <row r="2450" spans="2:7">
      <c r="B2450" s="118" t="s">
        <v>2532</v>
      </c>
      <c r="C2450" s="119">
        <v>8112</v>
      </c>
      <c r="E2450" s="96" t="s">
        <v>1895</v>
      </c>
      <c r="F2450" s="96" t="s">
        <v>1878</v>
      </c>
      <c r="G2450" s="100">
        <v>9044</v>
      </c>
    </row>
    <row r="2451" spans="2:7">
      <c r="B2451" s="118" t="s">
        <v>1774</v>
      </c>
      <c r="C2451" s="119">
        <v>8913</v>
      </c>
      <c r="E2451" s="96" t="s">
        <v>1896</v>
      </c>
      <c r="F2451" s="96" t="s">
        <v>1878</v>
      </c>
      <c r="G2451" s="100">
        <v>9411</v>
      </c>
    </row>
    <row r="2452" spans="2:7">
      <c r="B2452" s="118" t="s">
        <v>2768</v>
      </c>
      <c r="C2452" s="119">
        <v>8626</v>
      </c>
      <c r="E2452" s="96" t="s">
        <v>1897</v>
      </c>
      <c r="F2452" s="96" t="s">
        <v>1878</v>
      </c>
      <c r="G2452" s="100">
        <v>9105</v>
      </c>
    </row>
    <row r="2453" spans="2:7">
      <c r="B2453" s="118" t="s">
        <v>2769</v>
      </c>
      <c r="C2453" s="119">
        <v>8307</v>
      </c>
      <c r="E2453" s="96" t="s">
        <v>1898</v>
      </c>
      <c r="F2453" s="96" t="s">
        <v>1899</v>
      </c>
      <c r="G2453" s="100">
        <v>9050</v>
      </c>
    </row>
    <row r="2454" spans="2:7">
      <c r="B2454" s="118" t="s">
        <v>2770</v>
      </c>
      <c r="C2454" s="119">
        <v>8118</v>
      </c>
      <c r="E2454" s="96" t="s">
        <v>1900</v>
      </c>
      <c r="F2454" s="96" t="s">
        <v>1899</v>
      </c>
      <c r="G2454" s="100">
        <v>9050</v>
      </c>
    </row>
    <row r="2455" spans="2:7">
      <c r="B2455" s="118" t="s">
        <v>2771</v>
      </c>
      <c r="C2455" s="119">
        <v>8330</v>
      </c>
      <c r="E2455" s="96" t="s">
        <v>1901</v>
      </c>
      <c r="F2455" s="96" t="s">
        <v>1899</v>
      </c>
      <c r="G2455" s="100">
        <v>9057</v>
      </c>
    </row>
    <row r="2456" spans="2:7">
      <c r="B2456" s="118" t="s">
        <v>1757</v>
      </c>
      <c r="C2456" s="119">
        <v>8422</v>
      </c>
      <c r="E2456" s="96" t="s">
        <v>1902</v>
      </c>
      <c r="F2456" s="96" t="s">
        <v>1899</v>
      </c>
      <c r="G2456" s="100">
        <v>9413</v>
      </c>
    </row>
    <row r="2457" spans="2:7">
      <c r="B2457" s="118" t="s">
        <v>1752</v>
      </c>
      <c r="C2457" s="119">
        <v>8197</v>
      </c>
      <c r="E2457" s="96" t="s">
        <v>1903</v>
      </c>
      <c r="F2457" s="96" t="s">
        <v>1899</v>
      </c>
      <c r="G2457" s="100">
        <v>9108</v>
      </c>
    </row>
    <row r="2458" spans="2:7">
      <c r="B2458" s="118" t="s">
        <v>1752</v>
      </c>
      <c r="C2458" s="119">
        <v>8197</v>
      </c>
      <c r="E2458" s="96" t="s">
        <v>1904</v>
      </c>
      <c r="F2458" s="96" t="s">
        <v>1899</v>
      </c>
      <c r="G2458" s="100">
        <v>9054</v>
      </c>
    </row>
    <row r="2459" spans="2:7">
      <c r="B2459" s="118" t="s">
        <v>1752</v>
      </c>
      <c r="C2459" s="119">
        <v>8197</v>
      </c>
      <c r="E2459" s="96" t="s">
        <v>1905</v>
      </c>
      <c r="F2459" s="96" t="s">
        <v>172</v>
      </c>
      <c r="G2459" s="100">
        <v>8500</v>
      </c>
    </row>
    <row r="2460" spans="2:7">
      <c r="B2460" s="118" t="s">
        <v>2772</v>
      </c>
      <c r="C2460" s="119">
        <v>8487</v>
      </c>
      <c r="E2460" s="96" t="s">
        <v>1906</v>
      </c>
      <c r="F2460" s="96" t="s">
        <v>172</v>
      </c>
      <c r="G2460" s="100">
        <v>8280</v>
      </c>
    </row>
    <row r="2461" spans="2:7">
      <c r="B2461" s="118" t="s">
        <v>2533</v>
      </c>
      <c r="C2461" s="119">
        <v>8158</v>
      </c>
      <c r="E2461" s="96" t="s">
        <v>1907</v>
      </c>
      <c r="F2461" s="96" t="s">
        <v>172</v>
      </c>
      <c r="G2461" s="100">
        <v>9320</v>
      </c>
    </row>
    <row r="2462" spans="2:7">
      <c r="B2462" s="118" t="s">
        <v>2533</v>
      </c>
      <c r="C2462" s="119">
        <v>8158</v>
      </c>
      <c r="E2462" s="96" t="s">
        <v>1908</v>
      </c>
      <c r="F2462" s="96" t="s">
        <v>172</v>
      </c>
      <c r="G2462" s="100">
        <v>8580</v>
      </c>
    </row>
    <row r="2463" spans="2:7">
      <c r="B2463" s="118" t="s">
        <v>1690</v>
      </c>
      <c r="C2463" s="119">
        <v>8105</v>
      </c>
      <c r="E2463" s="96" t="s">
        <v>1909</v>
      </c>
      <c r="F2463" s="96" t="s">
        <v>172</v>
      </c>
      <c r="G2463" s="100">
        <v>8570</v>
      </c>
    </row>
    <row r="2464" spans="2:7">
      <c r="B2464" s="118" t="s">
        <v>2474</v>
      </c>
      <c r="C2464" s="119">
        <v>8404</v>
      </c>
      <c r="E2464" s="96" t="s">
        <v>1910</v>
      </c>
      <c r="F2464" s="96" t="s">
        <v>172</v>
      </c>
      <c r="G2464" s="100">
        <v>8590</v>
      </c>
    </row>
    <row r="2465" spans="2:7">
      <c r="B2465" s="118" t="s">
        <v>1803</v>
      </c>
      <c r="C2465" s="119">
        <v>8462</v>
      </c>
      <c r="E2465" s="96" t="s">
        <v>1911</v>
      </c>
      <c r="F2465" s="96" t="s">
        <v>172</v>
      </c>
      <c r="G2465" s="100">
        <v>8355</v>
      </c>
    </row>
    <row r="2466" spans="2:7">
      <c r="B2466" s="118" t="s">
        <v>1697</v>
      </c>
      <c r="C2466" s="119">
        <v>8805</v>
      </c>
      <c r="E2466" s="96" t="s">
        <v>1912</v>
      </c>
      <c r="F2466" s="96" t="s">
        <v>172</v>
      </c>
      <c r="G2466" s="100">
        <v>8370</v>
      </c>
    </row>
    <row r="2467" spans="2:7">
      <c r="B2467" s="118" t="s">
        <v>2773</v>
      </c>
      <c r="C2467" s="119">
        <v>8545</v>
      </c>
      <c r="E2467" s="96" t="s">
        <v>1913</v>
      </c>
      <c r="F2467" s="96" t="s">
        <v>172</v>
      </c>
      <c r="G2467" s="100">
        <v>9220</v>
      </c>
    </row>
    <row r="2468" spans="2:7">
      <c r="B2468" s="118" t="s">
        <v>2773</v>
      </c>
      <c r="C2468" s="119">
        <v>8545</v>
      </c>
      <c r="E2468" s="96" t="s">
        <v>1914</v>
      </c>
      <c r="F2468" s="96" t="s">
        <v>172</v>
      </c>
      <c r="G2468" s="100">
        <v>9542</v>
      </c>
    </row>
    <row r="2469" spans="2:7">
      <c r="B2469" s="118" t="s">
        <v>2774</v>
      </c>
      <c r="C2469" s="119">
        <v>8545</v>
      </c>
      <c r="E2469" s="96" t="s">
        <v>1915</v>
      </c>
      <c r="F2469" s="96" t="s">
        <v>172</v>
      </c>
      <c r="G2469" s="100">
        <v>9322</v>
      </c>
    </row>
    <row r="2470" spans="2:7">
      <c r="B2470" s="118" t="s">
        <v>2475</v>
      </c>
      <c r="C2470" s="119">
        <v>8352</v>
      </c>
      <c r="E2470" s="96" t="s">
        <v>1916</v>
      </c>
      <c r="F2470" s="96" t="s">
        <v>172</v>
      </c>
      <c r="G2470" s="100">
        <v>9545</v>
      </c>
    </row>
    <row r="2471" spans="2:7">
      <c r="B2471" s="118" t="s">
        <v>2480</v>
      </c>
      <c r="C2471" s="119">
        <v>8616</v>
      </c>
      <c r="E2471" s="96" t="s">
        <v>1917</v>
      </c>
      <c r="F2471" s="96" t="s">
        <v>172</v>
      </c>
      <c r="G2471" s="100">
        <v>8274</v>
      </c>
    </row>
    <row r="2472" spans="2:7">
      <c r="B2472" s="118" t="s">
        <v>2775</v>
      </c>
      <c r="C2472" s="119">
        <v>8412</v>
      </c>
      <c r="E2472" s="96" t="s">
        <v>1918</v>
      </c>
      <c r="F2472" s="96" t="s">
        <v>172</v>
      </c>
      <c r="G2472" s="100">
        <v>8360</v>
      </c>
    </row>
    <row r="2473" spans="2:7">
      <c r="B2473" s="118" t="s">
        <v>1806</v>
      </c>
      <c r="C2473" s="119">
        <v>8911</v>
      </c>
      <c r="E2473" s="96" t="s">
        <v>1919</v>
      </c>
      <c r="F2473" s="96" t="s">
        <v>172</v>
      </c>
      <c r="G2473" s="100">
        <v>8547</v>
      </c>
    </row>
    <row r="2474" spans="2:7">
      <c r="B2474" s="118" t="s">
        <v>2776</v>
      </c>
      <c r="C2474" s="119">
        <v>8486</v>
      </c>
      <c r="E2474" s="96" t="s">
        <v>1920</v>
      </c>
      <c r="F2474" s="96" t="s">
        <v>172</v>
      </c>
      <c r="G2474" s="100">
        <v>8253</v>
      </c>
    </row>
    <row r="2475" spans="2:7">
      <c r="B2475" s="118" t="s">
        <v>2776</v>
      </c>
      <c r="C2475" s="119">
        <v>8486</v>
      </c>
      <c r="E2475" s="96" t="s">
        <v>1921</v>
      </c>
      <c r="F2475" s="96" t="s">
        <v>172</v>
      </c>
      <c r="G2475" s="100">
        <v>8575</v>
      </c>
    </row>
    <row r="2476" spans="2:7">
      <c r="B2476" s="118" t="s">
        <v>2534</v>
      </c>
      <c r="C2476" s="119">
        <v>8427</v>
      </c>
      <c r="E2476" s="96" t="s">
        <v>1922</v>
      </c>
      <c r="F2476" s="96" t="s">
        <v>172</v>
      </c>
      <c r="G2476" s="100">
        <v>8266</v>
      </c>
    </row>
    <row r="2477" spans="2:7">
      <c r="B2477" s="118" t="s">
        <v>2777</v>
      </c>
      <c r="C2477" s="119">
        <v>8465</v>
      </c>
      <c r="E2477" s="96" t="s">
        <v>1923</v>
      </c>
      <c r="F2477" s="96" t="s">
        <v>172</v>
      </c>
      <c r="G2477" s="100">
        <v>8583</v>
      </c>
    </row>
    <row r="2478" spans="2:7">
      <c r="B2478" s="118" t="s">
        <v>1715</v>
      </c>
      <c r="C2478" s="119">
        <v>8153</v>
      </c>
      <c r="E2478" s="96" t="s">
        <v>1924</v>
      </c>
      <c r="F2478" s="96" t="s">
        <v>172</v>
      </c>
      <c r="G2478" s="100">
        <v>8586</v>
      </c>
    </row>
    <row r="2479" spans="2:7">
      <c r="B2479" s="118" t="s">
        <v>2778</v>
      </c>
      <c r="C2479" s="119">
        <v>8332</v>
      </c>
      <c r="E2479" s="96" t="s">
        <v>1925</v>
      </c>
      <c r="F2479" s="96" t="s">
        <v>172</v>
      </c>
      <c r="G2479" s="100">
        <v>9214</v>
      </c>
    </row>
    <row r="2480" spans="2:7">
      <c r="B2480" s="118" t="s">
        <v>1732</v>
      </c>
      <c r="C2480" s="119">
        <v>8803</v>
      </c>
      <c r="E2480" s="96" t="s">
        <v>1926</v>
      </c>
      <c r="F2480" s="96" t="s">
        <v>172</v>
      </c>
      <c r="G2480" s="100">
        <v>8596</v>
      </c>
    </row>
    <row r="2481" spans="2:7">
      <c r="B2481" s="118" t="s">
        <v>1732</v>
      </c>
      <c r="C2481" s="119">
        <v>8803</v>
      </c>
      <c r="E2481" s="96" t="s">
        <v>1927</v>
      </c>
      <c r="F2481" s="96" t="s">
        <v>172</v>
      </c>
      <c r="G2481" s="100">
        <v>8272</v>
      </c>
    </row>
    <row r="2482" spans="2:7">
      <c r="B2482" s="118" t="s">
        <v>1753</v>
      </c>
      <c r="C2482" s="119">
        <v>8332</v>
      </c>
      <c r="E2482" s="96" t="s">
        <v>1928</v>
      </c>
      <c r="F2482" s="96" t="s">
        <v>172</v>
      </c>
      <c r="G2482" s="100">
        <v>8572</v>
      </c>
    </row>
    <row r="2483" spans="2:7">
      <c r="B2483" s="118" t="s">
        <v>2779</v>
      </c>
      <c r="C2483" s="119">
        <v>8630</v>
      </c>
      <c r="E2483" s="96" t="s">
        <v>1929</v>
      </c>
      <c r="F2483" s="96" t="s">
        <v>172</v>
      </c>
      <c r="G2483" s="100">
        <v>9325</v>
      </c>
    </row>
    <row r="2484" spans="2:7">
      <c r="B2484" s="118" t="s">
        <v>2779</v>
      </c>
      <c r="C2484" s="119">
        <v>8630</v>
      </c>
      <c r="E2484" s="96" t="s">
        <v>1930</v>
      </c>
      <c r="F2484" s="96" t="s">
        <v>172</v>
      </c>
      <c r="G2484" s="100">
        <v>8555</v>
      </c>
    </row>
    <row r="2485" spans="2:7">
      <c r="B2485" s="118" t="s">
        <v>2780</v>
      </c>
      <c r="C2485" s="119">
        <v>8471</v>
      </c>
      <c r="E2485" s="96" t="s">
        <v>1931</v>
      </c>
      <c r="F2485" s="96" t="s">
        <v>172</v>
      </c>
      <c r="G2485" s="100">
        <v>9548</v>
      </c>
    </row>
    <row r="2486" spans="2:7">
      <c r="B2486" s="118" t="s">
        <v>2781</v>
      </c>
      <c r="C2486" s="119">
        <v>8493</v>
      </c>
      <c r="E2486" s="96" t="s">
        <v>1932</v>
      </c>
      <c r="F2486" s="96" t="s">
        <v>172</v>
      </c>
      <c r="G2486" s="100">
        <v>8363</v>
      </c>
    </row>
    <row r="2487" spans="2:7">
      <c r="B2487" s="118" t="s">
        <v>2781</v>
      </c>
      <c r="C2487" s="119">
        <v>8493</v>
      </c>
      <c r="E2487" s="96" t="s">
        <v>1933</v>
      </c>
      <c r="F2487" s="96" t="s">
        <v>172</v>
      </c>
      <c r="G2487" s="100">
        <v>8560</v>
      </c>
    </row>
    <row r="2488" spans="2:7">
      <c r="B2488" s="118" t="s">
        <v>2491</v>
      </c>
      <c r="C2488" s="119">
        <v>8833</v>
      </c>
      <c r="E2488" s="96" t="s">
        <v>1934</v>
      </c>
      <c r="F2488" s="96" t="s">
        <v>172</v>
      </c>
      <c r="G2488" s="100">
        <v>8552</v>
      </c>
    </row>
    <row r="2489" spans="2:7">
      <c r="B2489" s="118" t="s">
        <v>2782</v>
      </c>
      <c r="C2489" s="119">
        <v>8489</v>
      </c>
      <c r="E2489" s="96" t="s">
        <v>1935</v>
      </c>
      <c r="F2489" s="96" t="s">
        <v>172</v>
      </c>
      <c r="G2489" s="100">
        <v>8581</v>
      </c>
    </row>
    <row r="2490" spans="2:7">
      <c r="B2490" s="118" t="s">
        <v>2783</v>
      </c>
      <c r="C2490" s="119">
        <v>8418</v>
      </c>
      <c r="E2490" s="96" t="s">
        <v>1936</v>
      </c>
      <c r="F2490" s="96" t="s">
        <v>172</v>
      </c>
      <c r="G2490" s="100">
        <v>9326</v>
      </c>
    </row>
    <row r="2491" spans="2:7">
      <c r="B2491" s="118" t="s">
        <v>1818</v>
      </c>
      <c r="C2491" s="119">
        <v>8165</v>
      </c>
      <c r="E2491" s="96" t="s">
        <v>1937</v>
      </c>
      <c r="F2491" s="96" t="s">
        <v>172</v>
      </c>
      <c r="G2491" s="100">
        <v>8376</v>
      </c>
    </row>
    <row r="2492" spans="2:7">
      <c r="B2492" s="118" t="s">
        <v>1688</v>
      </c>
      <c r="C2492" s="119">
        <v>8952</v>
      </c>
      <c r="E2492" s="96" t="s">
        <v>1938</v>
      </c>
      <c r="F2492" s="96" t="s">
        <v>172</v>
      </c>
      <c r="G2492" s="100">
        <v>9556</v>
      </c>
    </row>
    <row r="2493" spans="2:7">
      <c r="B2493" s="118" t="s">
        <v>1688</v>
      </c>
      <c r="C2493" s="119">
        <v>8952</v>
      </c>
      <c r="E2493" s="96" t="s">
        <v>1939</v>
      </c>
      <c r="F2493" s="96" t="s">
        <v>172</v>
      </c>
      <c r="G2493" s="100">
        <v>9535</v>
      </c>
    </row>
    <row r="2494" spans="2:7">
      <c r="B2494" s="118" t="s">
        <v>2784</v>
      </c>
      <c r="C2494" s="119">
        <v>8495</v>
      </c>
      <c r="E2494" s="96" t="s">
        <v>1940</v>
      </c>
      <c r="F2494" s="96" t="s">
        <v>172</v>
      </c>
      <c r="G2494" s="100">
        <v>8573</v>
      </c>
    </row>
    <row r="2495" spans="2:7">
      <c r="B2495" s="118" t="s">
        <v>1799</v>
      </c>
      <c r="C2495" s="119">
        <v>8165</v>
      </c>
      <c r="E2495" s="96" t="s">
        <v>1941</v>
      </c>
      <c r="F2495" s="96" t="s">
        <v>172</v>
      </c>
      <c r="G2495" s="100">
        <v>8556</v>
      </c>
    </row>
    <row r="2496" spans="2:7">
      <c r="B2496" s="118" t="s">
        <v>2488</v>
      </c>
      <c r="C2496" s="119">
        <v>8824</v>
      </c>
      <c r="E2496" s="96" t="s">
        <v>1942</v>
      </c>
      <c r="F2496" s="96" t="s">
        <v>172</v>
      </c>
      <c r="G2496" s="100">
        <v>8588</v>
      </c>
    </row>
    <row r="2497" spans="2:7">
      <c r="B2497" s="118" t="s">
        <v>2535</v>
      </c>
      <c r="C2497" s="119">
        <v>8603</v>
      </c>
      <c r="E2497" s="96" t="s">
        <v>1943</v>
      </c>
      <c r="F2497" s="96" t="s">
        <v>172</v>
      </c>
      <c r="G2497" s="100">
        <v>9565</v>
      </c>
    </row>
    <row r="2498" spans="2:7">
      <c r="B2498" s="118" t="s">
        <v>2535</v>
      </c>
      <c r="C2498" s="119">
        <v>8603</v>
      </c>
      <c r="E2498" s="96" t="s">
        <v>1944</v>
      </c>
      <c r="F2498" s="96" t="s">
        <v>172</v>
      </c>
      <c r="G2498" s="100">
        <v>8595</v>
      </c>
    </row>
    <row r="2499" spans="2:7">
      <c r="B2499" s="118" t="s">
        <v>2473</v>
      </c>
      <c r="C2499" s="119">
        <v>8482</v>
      </c>
      <c r="E2499" s="96" t="s">
        <v>1945</v>
      </c>
      <c r="F2499" s="96" t="s">
        <v>172</v>
      </c>
      <c r="G2499" s="100">
        <v>8598</v>
      </c>
    </row>
    <row r="2500" spans="2:7">
      <c r="B2500" s="118" t="s">
        <v>2473</v>
      </c>
      <c r="C2500" s="119">
        <v>8482</v>
      </c>
      <c r="E2500" s="96" t="s">
        <v>1946</v>
      </c>
      <c r="F2500" s="96" t="s">
        <v>172</v>
      </c>
      <c r="G2500" s="100">
        <v>8505</v>
      </c>
    </row>
    <row r="2501" spans="2:7">
      <c r="B2501" s="118" t="s">
        <v>1720</v>
      </c>
      <c r="C2501" s="119">
        <v>8472</v>
      </c>
      <c r="E2501" s="96" t="s">
        <v>1947</v>
      </c>
      <c r="F2501" s="96" t="s">
        <v>172</v>
      </c>
      <c r="G2501" s="100">
        <v>9213</v>
      </c>
    </row>
    <row r="2502" spans="2:7">
      <c r="B2502" s="118" t="s">
        <v>673</v>
      </c>
      <c r="C2502" s="119">
        <v>5462</v>
      </c>
      <c r="E2502" s="96" t="s">
        <v>1948</v>
      </c>
      <c r="F2502" s="96" t="s">
        <v>172</v>
      </c>
      <c r="G2502" s="100">
        <v>8592</v>
      </c>
    </row>
    <row r="2503" spans="2:7">
      <c r="B2503" s="118" t="s">
        <v>2785</v>
      </c>
      <c r="C2503" s="119">
        <v>6340</v>
      </c>
      <c r="E2503" s="96" t="s">
        <v>1949</v>
      </c>
      <c r="F2503" s="96" t="s">
        <v>172</v>
      </c>
      <c r="G2503" s="100">
        <v>8254</v>
      </c>
    </row>
    <row r="2504" spans="2:7">
      <c r="B2504" s="118" t="s">
        <v>2785</v>
      </c>
      <c r="C2504" s="119">
        <v>6340</v>
      </c>
      <c r="E2504" s="96" t="s">
        <v>1950</v>
      </c>
      <c r="F2504" s="96" t="s">
        <v>172</v>
      </c>
      <c r="G2504" s="100">
        <v>8264</v>
      </c>
    </row>
    <row r="2505" spans="2:7">
      <c r="B2505" s="118" t="s">
        <v>2485</v>
      </c>
      <c r="C2505" s="119">
        <v>8135</v>
      </c>
      <c r="E2505" s="96" t="s">
        <v>1951</v>
      </c>
      <c r="F2505" s="96" t="s">
        <v>172</v>
      </c>
      <c r="G2505" s="100">
        <v>8574</v>
      </c>
    </row>
    <row r="2506" spans="2:7">
      <c r="B2506" s="118" t="s">
        <v>2484</v>
      </c>
      <c r="C2506" s="119">
        <v>8135</v>
      </c>
      <c r="E2506" s="96" t="s">
        <v>1952</v>
      </c>
      <c r="F2506" s="96" t="s">
        <v>172</v>
      </c>
      <c r="G2506" s="100">
        <v>8536</v>
      </c>
    </row>
    <row r="2507" spans="2:7">
      <c r="B2507" s="118" t="s">
        <v>2472</v>
      </c>
      <c r="C2507" s="119">
        <v>8404</v>
      </c>
      <c r="E2507" s="96" t="s">
        <v>1953</v>
      </c>
      <c r="F2507" s="96" t="s">
        <v>172</v>
      </c>
      <c r="G2507" s="100">
        <v>8252</v>
      </c>
    </row>
    <row r="2508" spans="2:7">
      <c r="B2508" s="118" t="s">
        <v>2786</v>
      </c>
      <c r="C2508" s="119">
        <v>8174</v>
      </c>
      <c r="E2508" s="96" t="s">
        <v>1954</v>
      </c>
      <c r="F2508" s="96" t="s">
        <v>172</v>
      </c>
      <c r="G2508" s="100">
        <v>8259</v>
      </c>
    </row>
    <row r="2509" spans="2:7">
      <c r="B2509" s="118" t="s">
        <v>2786</v>
      </c>
      <c r="C2509" s="119">
        <v>8174</v>
      </c>
      <c r="E2509" s="96" t="s">
        <v>1955</v>
      </c>
      <c r="F2509" s="96" t="s">
        <v>172</v>
      </c>
      <c r="G2509" s="100">
        <v>8594</v>
      </c>
    </row>
    <row r="2510" spans="2:7">
      <c r="B2510" s="118" t="s">
        <v>1694</v>
      </c>
      <c r="C2510" s="119">
        <v>8712</v>
      </c>
      <c r="E2510" s="96" t="s">
        <v>1956</v>
      </c>
      <c r="F2510" s="96" t="s">
        <v>172</v>
      </c>
      <c r="G2510" s="100">
        <v>9555</v>
      </c>
    </row>
    <row r="2511" spans="2:7">
      <c r="B2511" s="118" t="s">
        <v>1760</v>
      </c>
      <c r="C2511" s="119">
        <v>8143</v>
      </c>
      <c r="E2511" s="96" t="s">
        <v>1957</v>
      </c>
      <c r="F2511" s="96" t="s">
        <v>172</v>
      </c>
      <c r="G2511" s="100">
        <v>8508</v>
      </c>
    </row>
    <row r="2512" spans="2:7">
      <c r="B2512" s="118" t="s">
        <v>2787</v>
      </c>
      <c r="C2512" s="119">
        <v>8496</v>
      </c>
      <c r="E2512" s="96" t="s">
        <v>1958</v>
      </c>
      <c r="F2512" s="96" t="s">
        <v>172</v>
      </c>
      <c r="G2512" s="100">
        <v>8512</v>
      </c>
    </row>
    <row r="2513" spans="2:7">
      <c r="B2513" s="118" t="s">
        <v>1766</v>
      </c>
      <c r="C2513" s="119">
        <v>8162</v>
      </c>
      <c r="E2513" s="96" t="s">
        <v>1959</v>
      </c>
      <c r="F2513" s="96" t="s">
        <v>172</v>
      </c>
      <c r="G2513" s="100">
        <v>8599</v>
      </c>
    </row>
    <row r="2514" spans="2:7">
      <c r="B2514" s="118" t="s">
        <v>1766</v>
      </c>
      <c r="C2514" s="119">
        <v>8162</v>
      </c>
      <c r="E2514" s="96" t="s">
        <v>1960</v>
      </c>
      <c r="F2514" s="96" t="s">
        <v>172</v>
      </c>
      <c r="G2514" s="100">
        <v>8577</v>
      </c>
    </row>
    <row r="2515" spans="2:7">
      <c r="B2515" s="118" t="s">
        <v>2788</v>
      </c>
      <c r="C2515" s="119">
        <v>8499</v>
      </c>
      <c r="E2515" s="96" t="s">
        <v>1961</v>
      </c>
      <c r="F2515" s="96" t="s">
        <v>172</v>
      </c>
      <c r="G2515" s="100">
        <v>8514</v>
      </c>
    </row>
    <row r="2516" spans="2:7">
      <c r="B2516" s="118" t="s">
        <v>2478</v>
      </c>
      <c r="C2516" s="119">
        <v>8614</v>
      </c>
      <c r="E2516" s="96" t="s">
        <v>1962</v>
      </c>
      <c r="F2516" s="96" t="s">
        <v>172</v>
      </c>
      <c r="G2516" s="100">
        <v>8532</v>
      </c>
    </row>
    <row r="2517" spans="2:7">
      <c r="B2517" s="118" t="s">
        <v>2789</v>
      </c>
      <c r="C2517" s="119">
        <v>8162</v>
      </c>
      <c r="E2517" s="96" t="s">
        <v>1963</v>
      </c>
      <c r="F2517" s="96" t="s">
        <v>172</v>
      </c>
      <c r="G2517" s="100">
        <v>8585</v>
      </c>
    </row>
    <row r="2518" spans="2:7">
      <c r="B2518" s="118" t="s">
        <v>2790</v>
      </c>
      <c r="C2518" s="119">
        <v>8317</v>
      </c>
      <c r="E2518" s="96" t="s">
        <v>1964</v>
      </c>
      <c r="F2518" s="96" t="s">
        <v>172</v>
      </c>
      <c r="G2518" s="100">
        <v>8268</v>
      </c>
    </row>
    <row r="2519" spans="2:7">
      <c r="B2519" s="118" t="s">
        <v>2791</v>
      </c>
      <c r="C2519" s="119">
        <v>8632</v>
      </c>
      <c r="E2519" s="96" t="s">
        <v>1965</v>
      </c>
      <c r="F2519" s="96" t="s">
        <v>172</v>
      </c>
      <c r="G2519" s="100">
        <v>9553</v>
      </c>
    </row>
    <row r="2520" spans="2:7">
      <c r="B2520" s="118" t="s">
        <v>2792</v>
      </c>
      <c r="C2520" s="119">
        <v>8428</v>
      </c>
      <c r="E2520" s="96" t="s">
        <v>1966</v>
      </c>
      <c r="F2520" s="96" t="s">
        <v>172</v>
      </c>
      <c r="G2520" s="100">
        <v>9506</v>
      </c>
    </row>
    <row r="2521" spans="2:7">
      <c r="B2521" s="118" t="s">
        <v>2792</v>
      </c>
      <c r="C2521" s="119">
        <v>8428</v>
      </c>
      <c r="E2521" s="96" t="s">
        <v>1967</v>
      </c>
      <c r="F2521" s="96" t="s">
        <v>172</v>
      </c>
      <c r="G2521" s="100">
        <v>9507</v>
      </c>
    </row>
    <row r="2522" spans="2:7">
      <c r="B2522" s="118" t="s">
        <v>1814</v>
      </c>
      <c r="C2522" s="119">
        <v>8478</v>
      </c>
      <c r="E2522" s="96" t="s">
        <v>1968</v>
      </c>
      <c r="F2522" s="96" t="s">
        <v>172</v>
      </c>
      <c r="G2522" s="100">
        <v>8580</v>
      </c>
    </row>
    <row r="2523" spans="2:7">
      <c r="B2523" s="118" t="s">
        <v>1691</v>
      </c>
      <c r="C2523" s="119">
        <v>8800</v>
      </c>
      <c r="E2523" s="96" t="s">
        <v>1969</v>
      </c>
      <c r="F2523" s="96" t="s">
        <v>172</v>
      </c>
      <c r="G2523" s="100">
        <v>9514</v>
      </c>
    </row>
    <row r="2524" spans="2:7">
      <c r="B2524" s="118" t="s">
        <v>2793</v>
      </c>
      <c r="C2524" s="119">
        <v>8484</v>
      </c>
      <c r="E2524" s="96" t="s">
        <v>1970</v>
      </c>
      <c r="F2524" s="96" t="s">
        <v>172</v>
      </c>
      <c r="G2524" s="100">
        <v>8553</v>
      </c>
    </row>
    <row r="2525" spans="2:7">
      <c r="B2525" s="118" t="s">
        <v>1807</v>
      </c>
      <c r="C2525" s="119">
        <v>8466</v>
      </c>
      <c r="E2525" s="96" t="s">
        <v>1971</v>
      </c>
      <c r="F2525" s="96" t="s">
        <v>172</v>
      </c>
      <c r="G2525" s="100">
        <v>8564</v>
      </c>
    </row>
    <row r="2526" spans="2:7">
      <c r="B2526" s="118" t="s">
        <v>1807</v>
      </c>
      <c r="C2526" s="119">
        <v>8466</v>
      </c>
      <c r="E2526" s="96" t="s">
        <v>1972</v>
      </c>
      <c r="F2526" s="96" t="s">
        <v>172</v>
      </c>
      <c r="G2526" s="100">
        <v>8535</v>
      </c>
    </row>
    <row r="2527" spans="2:7">
      <c r="B2527" s="118" t="s">
        <v>2537</v>
      </c>
      <c r="C2527" s="119">
        <v>8467</v>
      </c>
      <c r="E2527" s="96" t="s">
        <v>1973</v>
      </c>
      <c r="F2527" s="96" t="s">
        <v>172</v>
      </c>
      <c r="G2527" s="100">
        <v>8525</v>
      </c>
    </row>
    <row r="2528" spans="2:7">
      <c r="B2528" s="118" t="s">
        <v>1750</v>
      </c>
      <c r="C2528" s="119">
        <v>8488</v>
      </c>
      <c r="E2528" s="96" t="s">
        <v>1974</v>
      </c>
      <c r="F2528" s="96" t="s">
        <v>172</v>
      </c>
      <c r="G2528" s="100">
        <v>8593</v>
      </c>
    </row>
    <row r="2529" spans="2:7">
      <c r="B2529" s="118" t="s">
        <v>1750</v>
      </c>
      <c r="C2529" s="119">
        <v>8488</v>
      </c>
      <c r="E2529" s="96" t="s">
        <v>1975</v>
      </c>
      <c r="F2529" s="96" t="s">
        <v>172</v>
      </c>
      <c r="G2529" s="100">
        <v>8267</v>
      </c>
    </row>
    <row r="2530" spans="2:7">
      <c r="B2530" s="118" t="s">
        <v>2481</v>
      </c>
      <c r="C2530" s="119">
        <v>8713</v>
      </c>
      <c r="E2530" s="96" t="s">
        <v>1976</v>
      </c>
      <c r="F2530" s="96" t="s">
        <v>172</v>
      </c>
      <c r="G2530" s="100">
        <v>8577</v>
      </c>
    </row>
    <row r="2531" spans="2:7">
      <c r="B2531" s="118" t="s">
        <v>2794</v>
      </c>
      <c r="C2531" s="119">
        <v>8926</v>
      </c>
      <c r="E2531" s="96" t="s">
        <v>1977</v>
      </c>
      <c r="F2531" s="96" t="s">
        <v>172</v>
      </c>
      <c r="G2531" s="100">
        <v>8553</v>
      </c>
    </row>
    <row r="2532" spans="2:7">
      <c r="B2532" s="118" t="s">
        <v>1729</v>
      </c>
      <c r="C2532" s="119">
        <v>8707</v>
      </c>
      <c r="E2532" s="96" t="s">
        <v>1978</v>
      </c>
      <c r="F2532" s="96" t="s">
        <v>172</v>
      </c>
      <c r="G2532" s="100">
        <v>9502</v>
      </c>
    </row>
    <row r="2533" spans="2:7">
      <c r="B2533" s="118" t="s">
        <v>2795</v>
      </c>
      <c r="C2533" s="119">
        <v>8143</v>
      </c>
      <c r="E2533" s="96" t="s">
        <v>1979</v>
      </c>
      <c r="F2533" s="96" t="s">
        <v>172</v>
      </c>
      <c r="G2533" s="100">
        <v>8582</v>
      </c>
    </row>
    <row r="2534" spans="2:7">
      <c r="B2534" s="118" t="s">
        <v>2795</v>
      </c>
      <c r="C2534" s="119">
        <v>8143</v>
      </c>
      <c r="E2534" s="96" t="s">
        <v>1980</v>
      </c>
      <c r="F2534" s="96" t="s">
        <v>172</v>
      </c>
      <c r="G2534" s="100">
        <v>8265</v>
      </c>
    </row>
    <row r="2535" spans="2:7">
      <c r="B2535" s="118" t="s">
        <v>2795</v>
      </c>
      <c r="C2535" s="119">
        <v>8143</v>
      </c>
      <c r="E2535" s="96" t="s">
        <v>1981</v>
      </c>
      <c r="F2535" s="96" t="s">
        <v>172</v>
      </c>
      <c r="G2535" s="100">
        <v>9216</v>
      </c>
    </row>
    <row r="2536" spans="2:7">
      <c r="B2536" s="118" t="s">
        <v>2796</v>
      </c>
      <c r="C2536" s="119">
        <v>8248</v>
      </c>
      <c r="E2536" s="96" t="s">
        <v>1982</v>
      </c>
      <c r="F2536" s="96" t="s">
        <v>172</v>
      </c>
      <c r="G2536" s="100">
        <v>8580</v>
      </c>
    </row>
    <row r="2537" spans="2:7">
      <c r="B2537" s="118" t="s">
        <v>2797</v>
      </c>
      <c r="C2537" s="119">
        <v>8142</v>
      </c>
      <c r="E2537" s="96" t="s">
        <v>1983</v>
      </c>
      <c r="F2537" s="96" t="s">
        <v>172</v>
      </c>
      <c r="G2537" s="100">
        <v>8564</v>
      </c>
    </row>
    <row r="2538" spans="2:7">
      <c r="B2538" s="118" t="s">
        <v>2797</v>
      </c>
      <c r="C2538" s="119">
        <v>8142</v>
      </c>
      <c r="E2538" s="96" t="s">
        <v>1984</v>
      </c>
      <c r="F2538" s="96" t="s">
        <v>172</v>
      </c>
      <c r="G2538" s="100">
        <v>8274</v>
      </c>
    </row>
    <row r="2539" spans="2:7">
      <c r="B2539" s="118" t="s">
        <v>2797</v>
      </c>
      <c r="C2539" s="119">
        <v>8142</v>
      </c>
      <c r="E2539" s="96" t="s">
        <v>1985</v>
      </c>
      <c r="F2539" s="96" t="s">
        <v>181</v>
      </c>
      <c r="G2539" s="100">
        <v>6460</v>
      </c>
    </row>
    <row r="2540" spans="2:7">
      <c r="B2540" s="118" t="s">
        <v>1758</v>
      </c>
      <c r="C2540" s="119">
        <v>8103</v>
      </c>
      <c r="E2540" s="96" t="s">
        <v>1986</v>
      </c>
      <c r="F2540" s="96" t="s">
        <v>181</v>
      </c>
      <c r="G2540" s="100">
        <v>6467</v>
      </c>
    </row>
    <row r="2541" spans="2:7">
      <c r="B2541" s="118" t="s">
        <v>2798</v>
      </c>
      <c r="C2541" s="119">
        <v>8476</v>
      </c>
      <c r="E2541" s="96" t="s">
        <v>1987</v>
      </c>
      <c r="F2541" s="96" t="s">
        <v>181</v>
      </c>
      <c r="G2541" s="100">
        <v>6463</v>
      </c>
    </row>
    <row r="2542" spans="2:7">
      <c r="B2542" s="118" t="s">
        <v>1708</v>
      </c>
      <c r="C2542" s="119">
        <v>8902</v>
      </c>
      <c r="E2542" s="96" t="s">
        <v>1988</v>
      </c>
      <c r="F2542" s="96" t="s">
        <v>181</v>
      </c>
      <c r="G2542" s="100">
        <v>6472</v>
      </c>
    </row>
    <row r="2543" spans="2:7">
      <c r="B2543" s="118" t="s">
        <v>1708</v>
      </c>
      <c r="C2543" s="119">
        <v>8902</v>
      </c>
      <c r="E2543" s="96" t="s">
        <v>1989</v>
      </c>
      <c r="F2543" s="96" t="s">
        <v>181</v>
      </c>
      <c r="G2543" s="100">
        <v>6473</v>
      </c>
    </row>
    <row r="2544" spans="2:7">
      <c r="B2544" s="118" t="s">
        <v>1675</v>
      </c>
      <c r="C2544" s="119">
        <v>8610</v>
      </c>
      <c r="E2544" s="96" t="s">
        <v>1990</v>
      </c>
      <c r="F2544" s="96" t="s">
        <v>181</v>
      </c>
      <c r="G2544" s="100">
        <v>6454</v>
      </c>
    </row>
    <row r="2545" spans="2:7">
      <c r="B2545" s="118" t="s">
        <v>2538</v>
      </c>
      <c r="C2545" s="119">
        <v>8459</v>
      </c>
      <c r="E2545" s="96" t="s">
        <v>1991</v>
      </c>
      <c r="F2545" s="96" t="s">
        <v>181</v>
      </c>
      <c r="G2545" s="100">
        <v>6462</v>
      </c>
    </row>
    <row r="2546" spans="2:7">
      <c r="B2546" s="118" t="s">
        <v>1689</v>
      </c>
      <c r="C2546" s="119">
        <v>8604</v>
      </c>
      <c r="E2546" s="96" t="s">
        <v>1992</v>
      </c>
      <c r="F2546" s="96" t="s">
        <v>181</v>
      </c>
      <c r="G2546" s="100">
        <v>6468</v>
      </c>
    </row>
    <row r="2547" spans="2:7">
      <c r="B2547" s="118" t="s">
        <v>1681</v>
      </c>
      <c r="C2547" s="119">
        <v>8820</v>
      </c>
      <c r="E2547" s="96" t="s">
        <v>1993</v>
      </c>
      <c r="F2547" s="96" t="s">
        <v>181</v>
      </c>
      <c r="G2547" s="100">
        <v>6490</v>
      </c>
    </row>
    <row r="2548" spans="2:7">
      <c r="B2548" s="118" t="s">
        <v>2799</v>
      </c>
      <c r="C2548" s="119">
        <v>8636</v>
      </c>
      <c r="E2548" s="96" t="s">
        <v>1994</v>
      </c>
      <c r="F2548" s="96" t="s">
        <v>181</v>
      </c>
      <c r="G2548" s="100">
        <v>6440</v>
      </c>
    </row>
    <row r="2549" spans="2:7">
      <c r="B2549" s="118" t="s">
        <v>2799</v>
      </c>
      <c r="C2549" s="119">
        <v>8636</v>
      </c>
      <c r="E2549" s="96" t="s">
        <v>1995</v>
      </c>
      <c r="F2549" s="96" t="s">
        <v>181</v>
      </c>
      <c r="G2549" s="100">
        <v>6465</v>
      </c>
    </row>
    <row r="2550" spans="2:7">
      <c r="B2550" s="118" t="s">
        <v>2799</v>
      </c>
      <c r="C2550" s="119">
        <v>8636</v>
      </c>
      <c r="E2550" s="96" t="s">
        <v>1996</v>
      </c>
      <c r="F2550" s="96" t="s">
        <v>181</v>
      </c>
      <c r="G2550" s="100">
        <v>6377</v>
      </c>
    </row>
    <row r="2551" spans="2:7">
      <c r="B2551" s="118" t="s">
        <v>1693</v>
      </c>
      <c r="C2551" s="119">
        <v>8304</v>
      </c>
      <c r="E2551" s="96" t="s">
        <v>1997</v>
      </c>
      <c r="F2551" s="96" t="s">
        <v>181</v>
      </c>
      <c r="G2551" s="100">
        <v>6482</v>
      </c>
    </row>
    <row r="2552" spans="2:7">
      <c r="B2552" s="118" t="s">
        <v>2800</v>
      </c>
      <c r="C2552" s="119">
        <v>8468</v>
      </c>
      <c r="E2552" s="96" t="s">
        <v>1998</v>
      </c>
      <c r="F2552" s="96" t="s">
        <v>181</v>
      </c>
      <c r="G2552" s="100">
        <v>6476</v>
      </c>
    </row>
    <row r="2553" spans="2:7">
      <c r="B2553" s="118" t="s">
        <v>2801</v>
      </c>
      <c r="C2553" s="119">
        <v>8602</v>
      </c>
      <c r="E2553" s="96" t="s">
        <v>1999</v>
      </c>
      <c r="F2553" s="96" t="s">
        <v>181</v>
      </c>
      <c r="G2553" s="100">
        <v>6487</v>
      </c>
    </row>
    <row r="2554" spans="2:7">
      <c r="B2554" s="118" t="s">
        <v>2539</v>
      </c>
      <c r="C2554" s="119">
        <v>8195</v>
      </c>
      <c r="E2554" s="96" t="s">
        <v>2000</v>
      </c>
      <c r="F2554" s="96" t="s">
        <v>181</v>
      </c>
      <c r="G2554" s="100">
        <v>6484</v>
      </c>
    </row>
    <row r="2555" spans="2:7">
      <c r="B2555" s="118" t="s">
        <v>2490</v>
      </c>
      <c r="C2555" s="119">
        <v>8105</v>
      </c>
      <c r="E2555" s="96" t="s">
        <v>2001</v>
      </c>
      <c r="F2555" s="96" t="s">
        <v>181</v>
      </c>
      <c r="G2555" s="100">
        <v>6452</v>
      </c>
    </row>
    <row r="2556" spans="2:7">
      <c r="B2556" s="118" t="s">
        <v>1792</v>
      </c>
      <c r="C2556" s="119">
        <v>8187</v>
      </c>
      <c r="E2556" s="96" t="s">
        <v>2002</v>
      </c>
      <c r="F2556" s="96" t="s">
        <v>181</v>
      </c>
      <c r="G2556" s="100">
        <v>6493</v>
      </c>
    </row>
    <row r="2557" spans="2:7">
      <c r="B2557" s="118" t="s">
        <v>2802</v>
      </c>
      <c r="C2557" s="119">
        <v>8104</v>
      </c>
      <c r="E2557" s="96" t="s">
        <v>2003</v>
      </c>
      <c r="F2557" s="96" t="s">
        <v>181</v>
      </c>
      <c r="G2557" s="100">
        <v>6466</v>
      </c>
    </row>
    <row r="2558" spans="2:7">
      <c r="B2558" s="118" t="s">
        <v>1768</v>
      </c>
      <c r="C2558" s="119">
        <v>8484</v>
      </c>
      <c r="E2558" s="96" t="s">
        <v>2004</v>
      </c>
      <c r="F2558" s="96" t="s">
        <v>181</v>
      </c>
      <c r="G2558" s="100">
        <v>6491</v>
      </c>
    </row>
    <row r="2559" spans="2:7">
      <c r="B2559" s="118" t="s">
        <v>2479</v>
      </c>
      <c r="C2559" s="119">
        <v>8615</v>
      </c>
      <c r="E2559" s="96" t="s">
        <v>2005</v>
      </c>
      <c r="F2559" s="96" t="s">
        <v>179</v>
      </c>
      <c r="G2559" s="100">
        <v>6370</v>
      </c>
    </row>
    <row r="2560" spans="2:7">
      <c r="B2560" s="118" t="s">
        <v>2803</v>
      </c>
      <c r="C2560" s="119">
        <v>8342</v>
      </c>
      <c r="E2560" s="96" t="s">
        <v>2006</v>
      </c>
      <c r="F2560" s="96" t="s">
        <v>179</v>
      </c>
      <c r="G2560" s="100">
        <v>6052</v>
      </c>
    </row>
    <row r="2561" spans="2:7">
      <c r="B2561" s="118" t="s">
        <v>2804</v>
      </c>
      <c r="C2561" s="119">
        <v>8907</v>
      </c>
      <c r="E2561" s="96" t="s">
        <v>2007</v>
      </c>
      <c r="F2561" s="96" t="s">
        <v>179</v>
      </c>
      <c r="G2561" s="100">
        <v>6374</v>
      </c>
    </row>
    <row r="2562" spans="2:7">
      <c r="B2562" s="118" t="s">
        <v>2805</v>
      </c>
      <c r="C2562" s="119">
        <v>8620</v>
      </c>
      <c r="E2562" s="96" t="s">
        <v>2008</v>
      </c>
      <c r="F2562" s="96" t="s">
        <v>179</v>
      </c>
      <c r="G2562" s="100">
        <v>6373</v>
      </c>
    </row>
    <row r="2563" spans="2:7">
      <c r="B2563" s="118" t="s">
        <v>2805</v>
      </c>
      <c r="C2563" s="119">
        <v>8623</v>
      </c>
      <c r="E2563" s="96" t="s">
        <v>2009</v>
      </c>
      <c r="F2563" s="96" t="s">
        <v>179</v>
      </c>
      <c r="G2563" s="100">
        <v>6362</v>
      </c>
    </row>
    <row r="2564" spans="2:7">
      <c r="B2564" s="118" t="s">
        <v>2805</v>
      </c>
      <c r="C2564" s="119">
        <v>8623</v>
      </c>
      <c r="E2564" s="96" t="s">
        <v>2010</v>
      </c>
      <c r="F2564" s="96" t="s">
        <v>179</v>
      </c>
      <c r="G2564" s="100">
        <v>6375</v>
      </c>
    </row>
    <row r="2565" spans="2:7">
      <c r="B2565" s="118" t="s">
        <v>1726</v>
      </c>
      <c r="C2565" s="119">
        <v>8542</v>
      </c>
      <c r="E2565" s="96" t="s">
        <v>2011</v>
      </c>
      <c r="F2565" s="96" t="s">
        <v>179</v>
      </c>
      <c r="G2565" s="100">
        <v>6370</v>
      </c>
    </row>
    <row r="2566" spans="2:7">
      <c r="B2566" s="118" t="s">
        <v>1726</v>
      </c>
      <c r="C2566" s="119">
        <v>8542</v>
      </c>
      <c r="E2566" s="96" t="s">
        <v>2012</v>
      </c>
      <c r="F2566" s="96" t="s">
        <v>179</v>
      </c>
      <c r="G2566" s="100">
        <v>6372</v>
      </c>
    </row>
    <row r="2567" spans="2:7">
      <c r="B2567" s="118" t="s">
        <v>2806</v>
      </c>
      <c r="C2567" s="119">
        <v>8196</v>
      </c>
      <c r="E2567" s="96" t="s">
        <v>2013</v>
      </c>
      <c r="F2567" s="96" t="s">
        <v>179</v>
      </c>
      <c r="G2567" s="100">
        <v>6386</v>
      </c>
    </row>
    <row r="2568" spans="2:7">
      <c r="B2568" s="118" t="s">
        <v>2806</v>
      </c>
      <c r="C2568" s="119">
        <v>8196</v>
      </c>
      <c r="E2568" s="96" t="s">
        <v>2014</v>
      </c>
      <c r="F2568" s="96" t="s">
        <v>179</v>
      </c>
      <c r="G2568" s="100">
        <v>6383</v>
      </c>
    </row>
    <row r="2569" spans="2:7">
      <c r="B2569" s="118" t="s">
        <v>1785</v>
      </c>
      <c r="C2569" s="119">
        <v>8492</v>
      </c>
      <c r="E2569" s="96" t="s">
        <v>2015</v>
      </c>
      <c r="F2569" s="96" t="s">
        <v>179</v>
      </c>
      <c r="G2569" s="100">
        <v>6376</v>
      </c>
    </row>
    <row r="2570" spans="2:7">
      <c r="B2570" s="118" t="s">
        <v>1785</v>
      </c>
      <c r="C2570" s="119">
        <v>8492</v>
      </c>
      <c r="E2570" s="96" t="s">
        <v>2016</v>
      </c>
      <c r="F2570" s="96" t="s">
        <v>2017</v>
      </c>
      <c r="G2570" s="100">
        <v>6060</v>
      </c>
    </row>
    <row r="2571" spans="2:7">
      <c r="B2571" s="118" t="s">
        <v>1811</v>
      </c>
      <c r="C2571" s="119">
        <v>8489</v>
      </c>
      <c r="E2571" s="96" t="s">
        <v>2018</v>
      </c>
      <c r="F2571" s="96" t="s">
        <v>2017</v>
      </c>
      <c r="G2571" s="100">
        <v>6064</v>
      </c>
    </row>
    <row r="2572" spans="2:7">
      <c r="B2572" s="118" t="s">
        <v>2807</v>
      </c>
      <c r="C2572" s="119">
        <v>8465</v>
      </c>
      <c r="E2572" s="96" t="s">
        <v>2019</v>
      </c>
      <c r="F2572" s="96" t="s">
        <v>2017</v>
      </c>
      <c r="G2572" s="100">
        <v>6055</v>
      </c>
    </row>
    <row r="2573" spans="2:7">
      <c r="B2573" s="118" t="s">
        <v>2808</v>
      </c>
      <c r="C2573" s="119">
        <v>8525</v>
      </c>
      <c r="E2573" s="96" t="s">
        <v>2020</v>
      </c>
      <c r="F2573" s="96" t="s">
        <v>2017</v>
      </c>
      <c r="G2573" s="100">
        <v>6072</v>
      </c>
    </row>
    <row r="2574" spans="2:7">
      <c r="B2574" s="118" t="s">
        <v>2809</v>
      </c>
      <c r="C2574" s="119">
        <v>8175</v>
      </c>
      <c r="E2574" s="96" t="s">
        <v>2021</v>
      </c>
      <c r="F2574" s="96" t="s">
        <v>2017</v>
      </c>
      <c r="G2574" s="100">
        <v>6390</v>
      </c>
    </row>
    <row r="2575" spans="2:7">
      <c r="B2575" s="118" t="s">
        <v>1751</v>
      </c>
      <c r="C2575" s="119">
        <v>8185</v>
      </c>
      <c r="E2575" s="96" t="s">
        <v>2022</v>
      </c>
      <c r="F2575" s="96" t="s">
        <v>2017</v>
      </c>
      <c r="G2575" s="100">
        <v>6074</v>
      </c>
    </row>
    <row r="2576" spans="2:7">
      <c r="B2576" s="118" t="s">
        <v>2810</v>
      </c>
      <c r="C2576" s="119">
        <v>8312</v>
      </c>
      <c r="E2576" s="96" t="s">
        <v>2023</v>
      </c>
      <c r="F2576" s="96" t="s">
        <v>2017</v>
      </c>
      <c r="G2576" s="100">
        <v>6078</v>
      </c>
    </row>
    <row r="2577" spans="2:7">
      <c r="B2577" s="118" t="s">
        <v>1676</v>
      </c>
      <c r="C2577" s="119">
        <v>8405</v>
      </c>
      <c r="E2577" s="96" t="s">
        <v>2024</v>
      </c>
      <c r="F2577" s="96" t="s">
        <v>2025</v>
      </c>
      <c r="G2577" s="96"/>
    </row>
    <row r="2578" spans="2:7">
      <c r="B2578" s="118" t="s">
        <v>1676</v>
      </c>
      <c r="C2578" s="119">
        <v>8400</v>
      </c>
      <c r="E2578" s="96" t="s">
        <v>2026</v>
      </c>
      <c r="F2578" s="96" t="s">
        <v>2025</v>
      </c>
      <c r="G2578" s="100">
        <v>2540</v>
      </c>
    </row>
    <row r="2579" spans="2:7">
      <c r="B2579" s="118" t="s">
        <v>1676</v>
      </c>
      <c r="C2579" s="119">
        <v>8404</v>
      </c>
      <c r="E2579" s="96" t="s">
        <v>169</v>
      </c>
      <c r="F2579" s="96" t="s">
        <v>2025</v>
      </c>
      <c r="G2579" s="100">
        <v>4500</v>
      </c>
    </row>
    <row r="2580" spans="2:7">
      <c r="B2580" s="118" t="s">
        <v>1676</v>
      </c>
      <c r="C2580" s="119">
        <v>8405</v>
      </c>
      <c r="E2580" s="96" t="s">
        <v>2027</v>
      </c>
      <c r="F2580" s="96" t="s">
        <v>2025</v>
      </c>
      <c r="G2580" s="100">
        <v>4528</v>
      </c>
    </row>
    <row r="2581" spans="2:7">
      <c r="B2581" s="118" t="s">
        <v>1676</v>
      </c>
      <c r="C2581" s="119">
        <v>8406</v>
      </c>
      <c r="E2581" s="96" t="s">
        <v>2028</v>
      </c>
      <c r="F2581" s="96" t="s">
        <v>2025</v>
      </c>
      <c r="G2581" s="100">
        <v>4562</v>
      </c>
    </row>
    <row r="2582" spans="2:7">
      <c r="B2582" s="118" t="s">
        <v>1676</v>
      </c>
      <c r="C2582" s="119">
        <v>8408</v>
      </c>
      <c r="E2582" s="96" t="s">
        <v>2029</v>
      </c>
      <c r="F2582" s="96" t="s">
        <v>2025</v>
      </c>
      <c r="G2582" s="100">
        <v>4143</v>
      </c>
    </row>
    <row r="2583" spans="2:7">
      <c r="B2583" s="118" t="s">
        <v>1676</v>
      </c>
      <c r="C2583" s="119">
        <v>8409</v>
      </c>
      <c r="E2583" s="96" t="s">
        <v>2030</v>
      </c>
      <c r="F2583" s="96" t="s">
        <v>2025</v>
      </c>
      <c r="G2583" s="100">
        <v>4632</v>
      </c>
    </row>
    <row r="2584" spans="2:7">
      <c r="B2584" s="118" t="s">
        <v>2811</v>
      </c>
      <c r="C2584" s="119">
        <v>8633</v>
      </c>
      <c r="E2584" s="96" t="s">
        <v>2031</v>
      </c>
      <c r="F2584" s="96" t="s">
        <v>2025</v>
      </c>
      <c r="G2584" s="100">
        <v>4552</v>
      </c>
    </row>
    <row r="2585" spans="2:7">
      <c r="B2585" s="118" t="s">
        <v>2812</v>
      </c>
      <c r="C2585" s="119">
        <v>8487</v>
      </c>
      <c r="E2585" s="96" t="s">
        <v>2032</v>
      </c>
      <c r="F2585" s="96" t="s">
        <v>2025</v>
      </c>
      <c r="G2585" s="100">
        <v>4702</v>
      </c>
    </row>
    <row r="2586" spans="2:7">
      <c r="B2586" s="118" t="s">
        <v>2495</v>
      </c>
      <c r="C2586" s="119">
        <v>8125</v>
      </c>
      <c r="E2586" s="96" t="s">
        <v>2033</v>
      </c>
      <c r="F2586" s="96" t="s">
        <v>2025</v>
      </c>
      <c r="G2586" s="100">
        <v>4710</v>
      </c>
    </row>
    <row r="2587" spans="2:7">
      <c r="B2587" s="118" t="s">
        <v>2495</v>
      </c>
      <c r="C2587" s="119">
        <v>8125</v>
      </c>
      <c r="E2587" s="96" t="s">
        <v>2034</v>
      </c>
      <c r="F2587" s="96" t="s">
        <v>2025</v>
      </c>
      <c r="G2587" s="100">
        <v>4512</v>
      </c>
    </row>
    <row r="2588" spans="2:7">
      <c r="B2588" s="118" t="s">
        <v>1698</v>
      </c>
      <c r="C2588" s="119">
        <v>8702</v>
      </c>
      <c r="E2588" s="96" t="s">
        <v>2035</v>
      </c>
      <c r="F2588" s="96" t="s">
        <v>2025</v>
      </c>
      <c r="G2588" s="100">
        <v>4563</v>
      </c>
    </row>
    <row r="2589" spans="2:7">
      <c r="B2589" s="118" t="s">
        <v>1742</v>
      </c>
      <c r="C2589" s="119">
        <v>8126</v>
      </c>
      <c r="E2589" s="96" t="s">
        <v>2036</v>
      </c>
      <c r="F2589" s="96" t="s">
        <v>2025</v>
      </c>
      <c r="G2589" s="100">
        <v>4612</v>
      </c>
    </row>
    <row r="2590" spans="2:7">
      <c r="B2590" s="118" t="s">
        <v>162</v>
      </c>
      <c r="C2590" s="119">
        <v>8052</v>
      </c>
      <c r="E2590" s="96" t="s">
        <v>2037</v>
      </c>
      <c r="F2590" s="96" t="s">
        <v>2025</v>
      </c>
      <c r="G2590" s="100">
        <v>4614</v>
      </c>
    </row>
    <row r="2591" spans="2:7">
      <c r="B2591" s="118" t="s">
        <v>162</v>
      </c>
      <c r="C2591" s="119">
        <v>8052</v>
      </c>
      <c r="E2591" s="96" t="s">
        <v>2038</v>
      </c>
      <c r="F2591" s="96" t="s">
        <v>2025</v>
      </c>
      <c r="G2591" s="100">
        <v>4657</v>
      </c>
    </row>
    <row r="2592" spans="2:7">
      <c r="B2592" s="118" t="s">
        <v>162</v>
      </c>
      <c r="C2592" s="119">
        <v>8041</v>
      </c>
      <c r="E2592" s="96" t="s">
        <v>2039</v>
      </c>
      <c r="F2592" s="96" t="s">
        <v>2025</v>
      </c>
      <c r="G2592" s="100">
        <v>2544</v>
      </c>
    </row>
    <row r="2593" spans="2:7">
      <c r="B2593" s="118" t="s">
        <v>162</v>
      </c>
      <c r="C2593" s="119">
        <v>8051</v>
      </c>
      <c r="E2593" s="96" t="s">
        <v>2040</v>
      </c>
      <c r="F2593" s="96" t="s">
        <v>2025</v>
      </c>
      <c r="G2593" s="100">
        <v>5012</v>
      </c>
    </row>
    <row r="2594" spans="2:7">
      <c r="B2594" s="118" t="s">
        <v>162</v>
      </c>
      <c r="C2594" s="119">
        <v>8001</v>
      </c>
      <c r="E2594" s="96" t="s">
        <v>2041</v>
      </c>
      <c r="F2594" s="96" t="s">
        <v>2025</v>
      </c>
      <c r="G2594" s="100">
        <v>4654</v>
      </c>
    </row>
    <row r="2595" spans="2:7">
      <c r="B2595" s="118" t="s">
        <v>162</v>
      </c>
      <c r="C2595" s="119">
        <v>8002</v>
      </c>
      <c r="E2595" s="96" t="s">
        <v>2042</v>
      </c>
      <c r="F2595" s="96" t="s">
        <v>2025</v>
      </c>
      <c r="G2595" s="100">
        <v>5013</v>
      </c>
    </row>
    <row r="2596" spans="2:7">
      <c r="B2596" s="118" t="s">
        <v>162</v>
      </c>
      <c r="C2596" s="119">
        <v>8003</v>
      </c>
      <c r="E2596" s="96" t="s">
        <v>2043</v>
      </c>
      <c r="F2596" s="96" t="s">
        <v>2025</v>
      </c>
      <c r="G2596" s="100">
        <v>4226</v>
      </c>
    </row>
    <row r="2597" spans="2:7">
      <c r="B2597" s="118" t="s">
        <v>162</v>
      </c>
      <c r="C2597" s="119">
        <v>8004</v>
      </c>
      <c r="E2597" s="96" t="s">
        <v>2044</v>
      </c>
      <c r="F2597" s="96" t="s">
        <v>2025</v>
      </c>
      <c r="G2597" s="100">
        <v>4513</v>
      </c>
    </row>
    <row r="2598" spans="2:7">
      <c r="B2598" s="118" t="s">
        <v>162</v>
      </c>
      <c r="C2598" s="119">
        <v>8005</v>
      </c>
      <c r="E2598" s="96" t="s">
        <v>2045</v>
      </c>
      <c r="F2598" s="96" t="s">
        <v>2025</v>
      </c>
      <c r="G2598" s="100">
        <v>5018</v>
      </c>
    </row>
    <row r="2599" spans="2:7">
      <c r="B2599" s="118" t="s">
        <v>162</v>
      </c>
      <c r="C2599" s="119">
        <v>8006</v>
      </c>
      <c r="E2599" s="96" t="s">
        <v>2046</v>
      </c>
      <c r="F2599" s="96" t="s">
        <v>2025</v>
      </c>
      <c r="G2599" s="100">
        <v>4622</v>
      </c>
    </row>
    <row r="2600" spans="2:7">
      <c r="B2600" s="118" t="s">
        <v>162</v>
      </c>
      <c r="C2600" s="119">
        <v>8008</v>
      </c>
      <c r="E2600" s="96" t="s">
        <v>2047</v>
      </c>
      <c r="F2600" s="96" t="s">
        <v>2025</v>
      </c>
      <c r="G2600" s="100">
        <v>4542</v>
      </c>
    </row>
    <row r="2601" spans="2:7">
      <c r="B2601" s="118" t="s">
        <v>162</v>
      </c>
      <c r="C2601" s="119">
        <v>8032</v>
      </c>
      <c r="E2601" s="96" t="s">
        <v>2048</v>
      </c>
      <c r="F2601" s="96" t="s">
        <v>2025</v>
      </c>
      <c r="G2601" s="100">
        <v>2545</v>
      </c>
    </row>
    <row r="2602" spans="2:7">
      <c r="B2602" s="118" t="s">
        <v>162</v>
      </c>
      <c r="C2602" s="119">
        <v>8037</v>
      </c>
      <c r="E2602" s="96" t="s">
        <v>2049</v>
      </c>
      <c r="F2602" s="96" t="s">
        <v>2025</v>
      </c>
      <c r="G2602" s="100">
        <v>4616</v>
      </c>
    </row>
    <row r="2603" spans="2:7">
      <c r="B2603" s="118" t="s">
        <v>162</v>
      </c>
      <c r="C2603" s="119">
        <v>8038</v>
      </c>
      <c r="E2603" s="96" t="s">
        <v>2050</v>
      </c>
      <c r="F2603" s="96" t="s">
        <v>2025</v>
      </c>
      <c r="G2603" s="100">
        <v>4553</v>
      </c>
    </row>
    <row r="2604" spans="2:7">
      <c r="B2604" s="118" t="s">
        <v>162</v>
      </c>
      <c r="C2604" s="119">
        <v>8041</v>
      </c>
      <c r="E2604" s="96" t="s">
        <v>2051</v>
      </c>
      <c r="F2604" s="96" t="s">
        <v>2025</v>
      </c>
      <c r="G2604" s="100">
        <v>4114</v>
      </c>
    </row>
    <row r="2605" spans="2:7">
      <c r="B2605" s="118" t="s">
        <v>162</v>
      </c>
      <c r="C2605" s="119">
        <v>8044</v>
      </c>
      <c r="E2605" s="96" t="s">
        <v>2052</v>
      </c>
      <c r="F2605" s="96" t="s">
        <v>2025</v>
      </c>
      <c r="G2605" s="100">
        <v>4573</v>
      </c>
    </row>
    <row r="2606" spans="2:7">
      <c r="B2606" s="118" t="s">
        <v>162</v>
      </c>
      <c r="C2606" s="119">
        <v>8045</v>
      </c>
      <c r="E2606" s="96" t="s">
        <v>2053</v>
      </c>
      <c r="F2606" s="96" t="s">
        <v>2025</v>
      </c>
      <c r="G2606" s="100">
        <v>4658</v>
      </c>
    </row>
    <row r="2607" spans="2:7">
      <c r="B2607" s="118" t="s">
        <v>162</v>
      </c>
      <c r="C2607" s="119">
        <v>8046</v>
      </c>
      <c r="E2607" s="96" t="s">
        <v>2054</v>
      </c>
      <c r="F2607" s="96" t="s">
        <v>2025</v>
      </c>
      <c r="G2607" s="100">
        <v>5014</v>
      </c>
    </row>
    <row r="2608" spans="2:7">
      <c r="B2608" s="118" t="s">
        <v>162</v>
      </c>
      <c r="C2608" s="119">
        <v>8047</v>
      </c>
      <c r="E2608" s="96" t="s">
        <v>2055</v>
      </c>
      <c r="F2608" s="96" t="s">
        <v>2025</v>
      </c>
      <c r="G2608" s="100">
        <v>4583</v>
      </c>
    </row>
    <row r="2609" spans="2:7">
      <c r="B2609" s="118" t="s">
        <v>162</v>
      </c>
      <c r="C2609" s="119">
        <v>8048</v>
      </c>
      <c r="E2609" s="96" t="s">
        <v>2056</v>
      </c>
      <c r="F2609" s="96" t="s">
        <v>2025</v>
      </c>
      <c r="G2609" s="100">
        <v>4717</v>
      </c>
    </row>
    <row r="2610" spans="2:7">
      <c r="B2610" s="118" t="s">
        <v>162</v>
      </c>
      <c r="C2610" s="119">
        <v>8049</v>
      </c>
      <c r="E2610" s="96" t="s">
        <v>2057</v>
      </c>
      <c r="F2610" s="96" t="s">
        <v>2025</v>
      </c>
      <c r="G2610" s="100">
        <v>4533</v>
      </c>
    </row>
    <row r="2611" spans="2:7">
      <c r="B2611" s="118" t="s">
        <v>162</v>
      </c>
      <c r="C2611" s="119">
        <v>8050</v>
      </c>
      <c r="E2611" s="96" t="s">
        <v>2058</v>
      </c>
      <c r="F2611" s="96" t="s">
        <v>2025</v>
      </c>
      <c r="G2611" s="100">
        <v>4227</v>
      </c>
    </row>
    <row r="2612" spans="2:7">
      <c r="B2612" s="118" t="s">
        <v>162</v>
      </c>
      <c r="C2612" s="119">
        <v>8051</v>
      </c>
      <c r="E2612" s="96" t="s">
        <v>2059</v>
      </c>
      <c r="F2612" s="96" t="s">
        <v>2025</v>
      </c>
      <c r="G2612" s="100">
        <v>4625</v>
      </c>
    </row>
    <row r="2613" spans="2:7">
      <c r="B2613" s="118" t="s">
        <v>162</v>
      </c>
      <c r="C2613" s="119">
        <v>8052</v>
      </c>
      <c r="E2613" s="96" t="s">
        <v>2060</v>
      </c>
      <c r="F2613" s="96" t="s">
        <v>2025</v>
      </c>
      <c r="G2613" s="100">
        <v>4543</v>
      </c>
    </row>
    <row r="2614" spans="2:7">
      <c r="B2614" s="118" t="s">
        <v>162</v>
      </c>
      <c r="C2614" s="119">
        <v>8053</v>
      </c>
      <c r="E2614" s="96" t="s">
        <v>2061</v>
      </c>
      <c r="F2614" s="96" t="s">
        <v>2025</v>
      </c>
      <c r="G2614" s="100">
        <v>4653</v>
      </c>
    </row>
    <row r="2615" spans="2:7">
      <c r="B2615" s="118" t="s">
        <v>162</v>
      </c>
      <c r="C2615" s="119">
        <v>8055</v>
      </c>
      <c r="E2615" s="96" t="s">
        <v>2062</v>
      </c>
      <c r="F2615" s="96" t="s">
        <v>2025</v>
      </c>
      <c r="G2615" s="100">
        <v>4628</v>
      </c>
    </row>
    <row r="2616" spans="2:7">
      <c r="B2616" s="118" t="s">
        <v>162</v>
      </c>
      <c r="C2616" s="119">
        <v>8057</v>
      </c>
      <c r="E2616" s="96" t="s">
        <v>2063</v>
      </c>
      <c r="F2616" s="96" t="s">
        <v>2025</v>
      </c>
      <c r="G2616" s="100">
        <v>4623</v>
      </c>
    </row>
    <row r="2617" spans="2:7">
      <c r="B2617" s="118" t="s">
        <v>162</v>
      </c>
      <c r="C2617" s="119">
        <v>8064</v>
      </c>
      <c r="E2617" s="96" t="s">
        <v>2064</v>
      </c>
      <c r="F2617" s="96" t="s">
        <v>2025</v>
      </c>
      <c r="G2617" s="100">
        <v>4565</v>
      </c>
    </row>
    <row r="2618" spans="2:7">
      <c r="B2618" s="118" t="s">
        <v>2813</v>
      </c>
      <c r="C2618" s="119">
        <v>8192</v>
      </c>
      <c r="E2618" s="96" t="s">
        <v>2065</v>
      </c>
      <c r="F2618" s="96" t="s">
        <v>2025</v>
      </c>
      <c r="G2618" s="100">
        <v>4208</v>
      </c>
    </row>
    <row r="2619" spans="2:7">
      <c r="B2619" s="118" t="s">
        <v>2814</v>
      </c>
      <c r="C2619" s="119">
        <v>8909</v>
      </c>
      <c r="E2619" s="96" t="s">
        <v>2066</v>
      </c>
      <c r="F2619" s="96" t="s">
        <v>2025</v>
      </c>
      <c r="G2619" s="100">
        <v>4652</v>
      </c>
    </row>
    <row r="2620" spans="2:7">
      <c r="B2620" s="118" t="s">
        <v>2192</v>
      </c>
      <c r="C2620" s="119">
        <v>3250</v>
      </c>
      <c r="E2620" s="96" t="s">
        <v>2067</v>
      </c>
      <c r="F2620" s="96" t="s">
        <v>2025</v>
      </c>
      <c r="G2620" s="100">
        <v>4703</v>
      </c>
    </row>
    <row r="2621" spans="2:7">
      <c r="B2621" s="118" t="s">
        <v>2815</v>
      </c>
      <c r="C2621" s="119">
        <v>3267</v>
      </c>
      <c r="E2621" s="96" t="s">
        <v>2068</v>
      </c>
      <c r="F2621" s="96" t="s">
        <v>2025</v>
      </c>
      <c r="G2621" s="100">
        <v>4629</v>
      </c>
    </row>
    <row r="2622" spans="2:7">
      <c r="B2622" s="118" t="s">
        <v>2229</v>
      </c>
      <c r="C2622" s="119">
        <v>3270</v>
      </c>
      <c r="E2622" s="96" t="s">
        <v>2069</v>
      </c>
      <c r="F2622" s="96" t="s">
        <v>2025</v>
      </c>
      <c r="G2622" s="100">
        <v>4712</v>
      </c>
    </row>
    <row r="2623" spans="2:7">
      <c r="B2623" s="118" t="s">
        <v>2575</v>
      </c>
      <c r="C2623" s="119">
        <v>3273</v>
      </c>
      <c r="E2623" s="96" t="s">
        <v>2070</v>
      </c>
      <c r="F2623" s="96" t="s">
        <v>2025</v>
      </c>
      <c r="G2623" s="100">
        <v>4515</v>
      </c>
    </row>
    <row r="2624" spans="2:7">
      <c r="B2624" s="118" t="s">
        <v>2816</v>
      </c>
      <c r="C2624" s="119">
        <v>3282</v>
      </c>
      <c r="E2624" s="96" t="s">
        <v>2071</v>
      </c>
      <c r="F2624" s="96" t="s">
        <v>2025</v>
      </c>
      <c r="G2624" s="100">
        <v>4656</v>
      </c>
    </row>
    <row r="2625" spans="2:7">
      <c r="B2625" s="118" t="s">
        <v>2300</v>
      </c>
      <c r="C2625" s="119">
        <v>3283</v>
      </c>
      <c r="E2625" s="96" t="s">
        <v>2072</v>
      </c>
      <c r="F2625" s="96" t="s">
        <v>2025</v>
      </c>
      <c r="G2625" s="100">
        <v>4617</v>
      </c>
    </row>
    <row r="2626" spans="2:7">
      <c r="B2626" s="118" t="s">
        <v>2265</v>
      </c>
      <c r="C2626" s="119">
        <v>3257</v>
      </c>
      <c r="E2626" s="96" t="s">
        <v>2073</v>
      </c>
      <c r="F2626" s="96" t="s">
        <v>2025</v>
      </c>
      <c r="G2626" s="100">
        <v>4624</v>
      </c>
    </row>
    <row r="2627" spans="2:7">
      <c r="B2627" s="118" t="s">
        <v>2817</v>
      </c>
      <c r="C2627" s="119">
        <v>3257</v>
      </c>
      <c r="E2627" s="96" t="s">
        <v>2074</v>
      </c>
      <c r="F2627" s="96" t="s">
        <v>2025</v>
      </c>
      <c r="G2627" s="100">
        <v>4514</v>
      </c>
    </row>
    <row r="2628" spans="2:7">
      <c r="B2628" s="118" t="s">
        <v>2818</v>
      </c>
      <c r="C2628" s="119">
        <v>3262</v>
      </c>
      <c r="E2628" s="96" t="s">
        <v>2075</v>
      </c>
      <c r="F2628" s="96" t="s">
        <v>2025</v>
      </c>
      <c r="G2628" s="100">
        <v>4108</v>
      </c>
    </row>
    <row r="2629" spans="2:7">
      <c r="B2629" s="118" t="s">
        <v>2819</v>
      </c>
      <c r="C2629" s="119">
        <v>3207</v>
      </c>
      <c r="E2629" s="96" t="s">
        <v>2076</v>
      </c>
      <c r="F2629" s="96" t="s">
        <v>2025</v>
      </c>
      <c r="G2629" s="100">
        <v>4522</v>
      </c>
    </row>
    <row r="2630" spans="2:7">
      <c r="B2630" s="118" t="s">
        <v>2468</v>
      </c>
      <c r="C2630" s="119">
        <v>3226</v>
      </c>
      <c r="E2630" s="96" t="s">
        <v>2077</v>
      </c>
      <c r="F2630" s="96" t="s">
        <v>2025</v>
      </c>
      <c r="G2630" s="100">
        <v>3254</v>
      </c>
    </row>
    <row r="2631" spans="2:7">
      <c r="B2631" s="118" t="s">
        <v>2300</v>
      </c>
      <c r="C2631" s="119">
        <v>3283</v>
      </c>
      <c r="E2631" s="96" t="s">
        <v>2079</v>
      </c>
      <c r="F2631" s="96" t="s">
        <v>2025</v>
      </c>
      <c r="G2631" s="100">
        <v>4412</v>
      </c>
    </row>
    <row r="2632" spans="2:7">
      <c r="B2632" s="118" t="s">
        <v>2820</v>
      </c>
      <c r="C2632" s="119">
        <v>3283</v>
      </c>
      <c r="E2632" s="96" t="s">
        <v>2081</v>
      </c>
      <c r="F2632" s="96" t="s">
        <v>2025</v>
      </c>
      <c r="G2632" s="100">
        <v>4713</v>
      </c>
    </row>
    <row r="2633" spans="2:7">
      <c r="B2633" s="118" t="s">
        <v>2192</v>
      </c>
      <c r="C2633" s="119">
        <v>3250</v>
      </c>
      <c r="E2633" s="96" t="s">
        <v>2083</v>
      </c>
      <c r="F2633" s="96" t="s">
        <v>2025</v>
      </c>
      <c r="G2633" s="100">
        <v>4118</v>
      </c>
    </row>
    <row r="2634" spans="2:7">
      <c r="B2634" s="118" t="s">
        <v>2299</v>
      </c>
      <c r="C2634" s="119">
        <v>3252</v>
      </c>
      <c r="E2634" s="96" t="s">
        <v>2085</v>
      </c>
      <c r="F2634" s="96" t="s">
        <v>2025</v>
      </c>
      <c r="G2634" s="100">
        <v>4566</v>
      </c>
    </row>
    <row r="2635" spans="2:7">
      <c r="B2635" s="118" t="s">
        <v>2575</v>
      </c>
      <c r="C2635" s="119">
        <v>3273</v>
      </c>
      <c r="E2635" s="96" t="s">
        <v>2087</v>
      </c>
      <c r="F2635" s="96" t="s">
        <v>2025</v>
      </c>
      <c r="G2635" s="100">
        <v>4146</v>
      </c>
    </row>
    <row r="2636" spans="2:7">
      <c r="B2636" s="118" t="s">
        <v>2821</v>
      </c>
      <c r="C2636" s="119">
        <v>2557</v>
      </c>
      <c r="E2636" s="96" t="s">
        <v>2089</v>
      </c>
      <c r="F2636" s="96" t="s">
        <v>2025</v>
      </c>
      <c r="G2636" s="100">
        <v>4245</v>
      </c>
    </row>
    <row r="2637" spans="2:7">
      <c r="B2637" s="118" t="s">
        <v>2192</v>
      </c>
      <c r="C2637" s="119">
        <v>3250</v>
      </c>
      <c r="E2637" s="96" t="s">
        <v>2091</v>
      </c>
      <c r="F2637" s="96" t="s">
        <v>2025</v>
      </c>
      <c r="G2637" s="100">
        <v>4556</v>
      </c>
    </row>
    <row r="2638" spans="2:7">
      <c r="B2638" s="118" t="s">
        <v>2822</v>
      </c>
      <c r="C2638" s="119">
        <v>3292</v>
      </c>
      <c r="E2638" s="96" t="s">
        <v>2093</v>
      </c>
      <c r="F2638" s="96" t="s">
        <v>2025</v>
      </c>
      <c r="G2638" s="100">
        <v>4112</v>
      </c>
    </row>
    <row r="2639" spans="2:7">
      <c r="B2639" s="118" t="s">
        <v>2823</v>
      </c>
      <c r="C2639" s="119">
        <v>3042</v>
      </c>
      <c r="E2639" s="96" t="s">
        <v>2095</v>
      </c>
      <c r="F2639" s="96" t="s">
        <v>2025</v>
      </c>
      <c r="G2639" s="100">
        <v>4626</v>
      </c>
    </row>
    <row r="2640" spans="2:7">
      <c r="B2640" s="118" t="s">
        <v>2283</v>
      </c>
      <c r="C2640" s="119">
        <v>3045</v>
      </c>
      <c r="E2640" s="96" t="s">
        <v>2097</v>
      </c>
      <c r="F2640" s="96" t="s">
        <v>2025</v>
      </c>
      <c r="G2640" s="100">
        <v>4524</v>
      </c>
    </row>
    <row r="2641" spans="2:7">
      <c r="B2641" s="118" t="s">
        <v>2824</v>
      </c>
      <c r="C2641" s="119">
        <v>3046</v>
      </c>
      <c r="E2641" s="96" t="s">
        <v>2099</v>
      </c>
      <c r="F2641" s="96" t="s">
        <v>2025</v>
      </c>
      <c r="G2641" s="100">
        <v>4564</v>
      </c>
    </row>
    <row r="2642" spans="2:7">
      <c r="B2642" s="118" t="s">
        <v>2825</v>
      </c>
      <c r="C2642" s="119">
        <v>3036</v>
      </c>
      <c r="E2642" s="96" t="s">
        <v>2101</v>
      </c>
      <c r="F2642" s="96" t="s">
        <v>2025</v>
      </c>
      <c r="G2642" s="100">
        <v>3253</v>
      </c>
    </row>
    <row r="2643" spans="2:7">
      <c r="B2643" s="118" t="s">
        <v>2826</v>
      </c>
      <c r="C2643" s="119">
        <v>3271</v>
      </c>
      <c r="E2643" s="96" t="s">
        <v>2103</v>
      </c>
      <c r="F2643" s="96" t="s">
        <v>2025</v>
      </c>
      <c r="G2643" s="100">
        <v>4716</v>
      </c>
    </row>
    <row r="2644" spans="2:7">
      <c r="B2644" s="118" t="s">
        <v>2827</v>
      </c>
      <c r="C2644" s="119">
        <v>3053</v>
      </c>
      <c r="E2644" s="96" t="s">
        <v>2105</v>
      </c>
      <c r="F2644" s="96" t="s">
        <v>2025</v>
      </c>
      <c r="G2644" s="100">
        <v>4655</v>
      </c>
    </row>
    <row r="2645" spans="2:7">
      <c r="B2645" s="118" t="s">
        <v>2828</v>
      </c>
      <c r="C2645" s="119">
        <v>3251</v>
      </c>
      <c r="E2645" s="96" t="s">
        <v>2107</v>
      </c>
      <c r="F2645" s="96" t="s">
        <v>2025</v>
      </c>
      <c r="G2645" s="100">
        <v>4574</v>
      </c>
    </row>
    <row r="2646" spans="2:7">
      <c r="B2646" s="118" t="s">
        <v>2829</v>
      </c>
      <c r="C2646" s="119">
        <v>3251</v>
      </c>
      <c r="E2646" s="96" t="s">
        <v>2109</v>
      </c>
      <c r="F2646" s="96" t="s">
        <v>2025</v>
      </c>
      <c r="G2646" s="100">
        <v>4413</v>
      </c>
    </row>
    <row r="2647" spans="2:7">
      <c r="B2647" s="118" t="s">
        <v>2077</v>
      </c>
      <c r="C2647" s="119">
        <v>3254</v>
      </c>
      <c r="E2647" s="96" t="s">
        <v>2111</v>
      </c>
      <c r="F2647" s="96" t="s">
        <v>2025</v>
      </c>
      <c r="G2647" s="100">
        <v>4206</v>
      </c>
    </row>
    <row r="2648" spans="2:7">
      <c r="B2648" s="118" t="s">
        <v>2830</v>
      </c>
      <c r="C2648" s="119">
        <v>3255</v>
      </c>
      <c r="E2648" s="96" t="s">
        <v>2113</v>
      </c>
      <c r="F2648" s="96" t="s">
        <v>2025</v>
      </c>
      <c r="G2648" s="100">
        <v>4532</v>
      </c>
    </row>
    <row r="2649" spans="2:7">
      <c r="B2649" s="118" t="s">
        <v>2831</v>
      </c>
      <c r="C2649" s="119">
        <v>3256</v>
      </c>
      <c r="E2649" s="96" t="s">
        <v>2115</v>
      </c>
      <c r="F2649" s="96" t="s">
        <v>2025</v>
      </c>
      <c r="G2649" s="100">
        <v>4534</v>
      </c>
    </row>
    <row r="2650" spans="2:7">
      <c r="B2650" s="118" t="s">
        <v>2832</v>
      </c>
      <c r="C2650" s="119">
        <v>3256</v>
      </c>
      <c r="E2650" s="96" t="s">
        <v>2117</v>
      </c>
      <c r="F2650" s="96" t="s">
        <v>2025</v>
      </c>
      <c r="G2650" s="100">
        <v>4532</v>
      </c>
    </row>
    <row r="2651" spans="2:7">
      <c r="B2651" s="118" t="s">
        <v>2833</v>
      </c>
      <c r="C2651" s="119">
        <v>3256</v>
      </c>
      <c r="E2651" s="96" t="s">
        <v>2119</v>
      </c>
      <c r="F2651" s="96" t="s">
        <v>2025</v>
      </c>
      <c r="G2651" s="100">
        <v>4116</v>
      </c>
    </row>
    <row r="2652" spans="2:7">
      <c r="B2652" s="118" t="s">
        <v>2200</v>
      </c>
      <c r="C2652" s="119">
        <v>3053</v>
      </c>
      <c r="E2652" s="96" t="s">
        <v>2121</v>
      </c>
      <c r="F2652" s="96" t="s">
        <v>2025</v>
      </c>
      <c r="G2652" s="100">
        <v>4204</v>
      </c>
    </row>
    <row r="2653" spans="2:7">
      <c r="B2653" s="118" t="s">
        <v>2246</v>
      </c>
      <c r="C2653" s="119">
        <v>3054</v>
      </c>
      <c r="E2653" s="96" t="s">
        <v>2123</v>
      </c>
      <c r="F2653" s="96" t="s">
        <v>2025</v>
      </c>
      <c r="G2653" s="100">
        <v>4228</v>
      </c>
    </row>
    <row r="2654" spans="2:7">
      <c r="B2654" s="118" t="s">
        <v>2834</v>
      </c>
      <c r="C2654" s="119">
        <v>3035</v>
      </c>
      <c r="E2654" s="96" t="s">
        <v>2125</v>
      </c>
      <c r="F2654" s="96" t="s">
        <v>2025</v>
      </c>
      <c r="G2654" s="100">
        <v>4145</v>
      </c>
    </row>
    <row r="2655" spans="2:7">
      <c r="B2655" s="118" t="s">
        <v>2835</v>
      </c>
      <c r="C2655" s="119">
        <v>3266</v>
      </c>
      <c r="E2655" s="96" t="s">
        <v>2127</v>
      </c>
      <c r="F2655" s="96" t="s">
        <v>2025</v>
      </c>
      <c r="G2655" s="100">
        <v>4567</v>
      </c>
    </row>
    <row r="2656" spans="2:7">
      <c r="B2656" s="118" t="s">
        <v>2815</v>
      </c>
      <c r="C2656" s="119">
        <v>3267</v>
      </c>
      <c r="E2656" s="96" t="s">
        <v>2129</v>
      </c>
      <c r="F2656" s="96" t="s">
        <v>2025</v>
      </c>
      <c r="G2656" s="100">
        <v>4557</v>
      </c>
    </row>
    <row r="2657" spans="2:7">
      <c r="B2657" s="118" t="s">
        <v>2836</v>
      </c>
      <c r="C2657" s="119">
        <v>3268</v>
      </c>
      <c r="E2657" s="96" t="s">
        <v>2130</v>
      </c>
      <c r="F2657" s="96" t="s">
        <v>2025</v>
      </c>
      <c r="G2657" s="100">
        <v>4554</v>
      </c>
    </row>
    <row r="2658" spans="2:7">
      <c r="B2658" s="118" t="s">
        <v>2229</v>
      </c>
      <c r="C2658" s="119">
        <v>3270</v>
      </c>
      <c r="E2658" s="96" t="s">
        <v>2132</v>
      </c>
      <c r="F2658" s="96" t="s">
        <v>2025</v>
      </c>
      <c r="G2658" s="100">
        <v>4562</v>
      </c>
    </row>
    <row r="2659" spans="2:7">
      <c r="B2659" s="118" t="s">
        <v>2230</v>
      </c>
      <c r="C2659" s="119">
        <v>4912</v>
      </c>
      <c r="E2659" s="96" t="s">
        <v>2134</v>
      </c>
      <c r="F2659" s="96" t="s">
        <v>2025</v>
      </c>
      <c r="G2659" s="100">
        <v>4224</v>
      </c>
    </row>
    <row r="2660" spans="2:7">
      <c r="B2660" s="118" t="s">
        <v>2837</v>
      </c>
      <c r="C2660" s="119">
        <v>4922</v>
      </c>
      <c r="E2660" s="96" t="s">
        <v>2136</v>
      </c>
      <c r="F2660" s="96" t="s">
        <v>2025</v>
      </c>
      <c r="G2660" s="100">
        <v>4571</v>
      </c>
    </row>
    <row r="2661" spans="2:7">
      <c r="B2661" s="118" t="s">
        <v>2331</v>
      </c>
      <c r="C2661" s="119">
        <v>4938</v>
      </c>
      <c r="E2661" s="96" t="s">
        <v>2137</v>
      </c>
      <c r="F2661" s="96" t="s">
        <v>2025</v>
      </c>
      <c r="G2661" s="100">
        <v>4618</v>
      </c>
    </row>
    <row r="2662" spans="2:7">
      <c r="B2662" s="118" t="s">
        <v>2460</v>
      </c>
      <c r="C2662" s="119">
        <v>4944</v>
      </c>
      <c r="E2662" s="96" t="s">
        <v>2139</v>
      </c>
      <c r="F2662" s="96" t="s">
        <v>2025</v>
      </c>
      <c r="G2662" s="100">
        <v>4535</v>
      </c>
    </row>
    <row r="2663" spans="2:7">
      <c r="B2663" s="118" t="s">
        <v>2230</v>
      </c>
      <c r="C2663" s="119">
        <v>4912</v>
      </c>
      <c r="E2663" s="96" t="s">
        <v>2141</v>
      </c>
      <c r="F2663" s="96" t="s">
        <v>2025</v>
      </c>
      <c r="G2663" s="100">
        <v>4557</v>
      </c>
    </row>
    <row r="2664" spans="2:7">
      <c r="B2664" s="118" t="s">
        <v>2413</v>
      </c>
      <c r="C2664" s="119">
        <v>4913</v>
      </c>
      <c r="E2664" s="96" t="s">
        <v>2143</v>
      </c>
      <c r="F2664" s="96" t="s">
        <v>2025</v>
      </c>
      <c r="G2664" s="100">
        <v>5746</v>
      </c>
    </row>
    <row r="2665" spans="2:7">
      <c r="B2665" s="118" t="s">
        <v>2410</v>
      </c>
      <c r="C2665" s="119">
        <v>3368</v>
      </c>
      <c r="E2665" s="96" t="s">
        <v>2145</v>
      </c>
      <c r="F2665" s="96" t="s">
        <v>2025</v>
      </c>
      <c r="G2665" s="100">
        <v>4718</v>
      </c>
    </row>
    <row r="2666" spans="2:7">
      <c r="B2666" s="118" t="s">
        <v>2838</v>
      </c>
      <c r="C2666" s="119">
        <v>4917</v>
      </c>
      <c r="E2666" s="96" t="s">
        <v>2147</v>
      </c>
      <c r="F2666" s="96" t="s">
        <v>2025</v>
      </c>
      <c r="G2666" s="100">
        <v>4234</v>
      </c>
    </row>
    <row r="2667" spans="2:7">
      <c r="B2667" s="118" t="s">
        <v>2408</v>
      </c>
      <c r="C2667" s="119">
        <v>4955</v>
      </c>
      <c r="E2667" s="96" t="s">
        <v>2149</v>
      </c>
      <c r="F2667" s="96" t="s">
        <v>2025</v>
      </c>
      <c r="G2667" s="100">
        <v>4233</v>
      </c>
    </row>
    <row r="2668" spans="2:7">
      <c r="B2668" s="118" t="s">
        <v>1591</v>
      </c>
      <c r="C2668" s="119">
        <v>4900</v>
      </c>
      <c r="E2668" s="96" t="s">
        <v>2151</v>
      </c>
      <c r="F2668" s="96" t="s">
        <v>2025</v>
      </c>
      <c r="G2668" s="100">
        <v>4556</v>
      </c>
    </row>
    <row r="2669" spans="2:7">
      <c r="B2669" s="118" t="s">
        <v>1592</v>
      </c>
      <c r="C2669" s="119">
        <v>4916</v>
      </c>
      <c r="E2669" s="96" t="s">
        <v>2152</v>
      </c>
      <c r="F2669" s="96" t="s">
        <v>2025</v>
      </c>
      <c r="G2669" s="100">
        <v>4232</v>
      </c>
    </row>
    <row r="2670" spans="2:7">
      <c r="B2670" s="118" t="s">
        <v>2469</v>
      </c>
      <c r="C2670" s="119">
        <v>4924</v>
      </c>
      <c r="E2670" s="96" t="s">
        <v>2154</v>
      </c>
      <c r="F2670" s="96" t="s">
        <v>2025</v>
      </c>
      <c r="G2670" s="100">
        <v>4715</v>
      </c>
    </row>
    <row r="2671" spans="2:7">
      <c r="B2671" s="118" t="s">
        <v>2410</v>
      </c>
      <c r="C2671" s="119">
        <v>3368</v>
      </c>
      <c r="E2671" s="96" t="s">
        <v>2156</v>
      </c>
      <c r="F2671" s="96" t="s">
        <v>2025</v>
      </c>
      <c r="G2671" s="100">
        <v>4715</v>
      </c>
    </row>
    <row r="2672" spans="2:7">
      <c r="B2672" s="118" t="s">
        <v>2281</v>
      </c>
      <c r="C2672" s="119">
        <v>4932</v>
      </c>
      <c r="E2672" s="96" t="s">
        <v>2158</v>
      </c>
      <c r="F2672" s="96" t="s">
        <v>2025</v>
      </c>
      <c r="G2672" s="100">
        <v>4468</v>
      </c>
    </row>
    <row r="2673" spans="2:7">
      <c r="B2673" s="118" t="s">
        <v>2591</v>
      </c>
      <c r="C2673" s="119">
        <v>4919</v>
      </c>
      <c r="E2673" s="96" t="s">
        <v>2160</v>
      </c>
      <c r="F2673" s="96" t="s">
        <v>2025</v>
      </c>
      <c r="G2673" s="100">
        <v>4247</v>
      </c>
    </row>
    <row r="2674" spans="2:7">
      <c r="B2674" s="118" t="s">
        <v>2839</v>
      </c>
      <c r="C2674" s="119">
        <v>4932</v>
      </c>
      <c r="E2674" s="96" t="s">
        <v>2162</v>
      </c>
      <c r="F2674" s="96" t="s">
        <v>2025</v>
      </c>
      <c r="G2674" s="100">
        <v>4634</v>
      </c>
    </row>
    <row r="2675" spans="2:7">
      <c r="B2675" s="118" t="s">
        <v>2257</v>
      </c>
      <c r="C2675" s="119">
        <v>4934</v>
      </c>
      <c r="E2675" s="96" t="s">
        <v>2164</v>
      </c>
      <c r="F2675" s="96" t="s">
        <v>2025</v>
      </c>
      <c r="G2675" s="100">
        <v>5012</v>
      </c>
    </row>
    <row r="2676" spans="2:7">
      <c r="B2676" s="118" t="s">
        <v>2840</v>
      </c>
      <c r="C2676" s="119">
        <v>4935</v>
      </c>
      <c r="E2676" s="96" t="s">
        <v>2166</v>
      </c>
      <c r="F2676" s="96" t="s">
        <v>2025</v>
      </c>
      <c r="G2676" s="100">
        <v>4584</v>
      </c>
    </row>
    <row r="2677" spans="2:7">
      <c r="B2677" s="118" t="s">
        <v>2841</v>
      </c>
      <c r="C2677" s="119">
        <v>4936</v>
      </c>
      <c r="E2677" s="96" t="s">
        <v>2168</v>
      </c>
      <c r="F2677" s="96" t="s">
        <v>2025</v>
      </c>
      <c r="G2677" s="100">
        <v>4585</v>
      </c>
    </row>
    <row r="2678" spans="2:7">
      <c r="B2678" s="118" t="s">
        <v>2329</v>
      </c>
      <c r="C2678" s="119">
        <v>4917</v>
      </c>
      <c r="E2678" s="96" t="s">
        <v>2170</v>
      </c>
      <c r="F2678" s="96" t="s">
        <v>2025</v>
      </c>
      <c r="G2678" s="100">
        <v>4633</v>
      </c>
    </row>
    <row r="2679" spans="2:7">
      <c r="B2679" s="118" t="s">
        <v>1335</v>
      </c>
      <c r="C2679" s="119">
        <v>6146</v>
      </c>
      <c r="E2679" s="96" t="s">
        <v>2172</v>
      </c>
      <c r="F2679" s="96" t="s">
        <v>2025</v>
      </c>
      <c r="G2679" s="100">
        <v>4229</v>
      </c>
    </row>
    <row r="2680" spans="2:7">
      <c r="B2680" s="118" t="s">
        <v>1331</v>
      </c>
      <c r="C2680" s="119">
        <v>6147</v>
      </c>
      <c r="E2680" s="96" t="s">
        <v>2174</v>
      </c>
      <c r="F2680" s="96" t="s">
        <v>2025</v>
      </c>
      <c r="G2680" s="100">
        <v>4586</v>
      </c>
    </row>
    <row r="2681" spans="2:7">
      <c r="B2681" s="118" t="s">
        <v>2586</v>
      </c>
      <c r="C2681" s="119">
        <v>4943</v>
      </c>
      <c r="E2681" s="96" t="s">
        <v>2176</v>
      </c>
      <c r="F2681" s="96" t="s">
        <v>2025</v>
      </c>
      <c r="G2681" s="100">
        <v>4514</v>
      </c>
    </row>
    <row r="2682" spans="2:7">
      <c r="B2682" s="118" t="s">
        <v>2591</v>
      </c>
      <c r="C2682" s="119">
        <v>4919</v>
      </c>
      <c r="E2682" s="96" t="s">
        <v>2178</v>
      </c>
      <c r="F2682" s="96" t="s">
        <v>2025</v>
      </c>
      <c r="G2682" s="100">
        <v>4544</v>
      </c>
    </row>
    <row r="2683" spans="2:7">
      <c r="B2683" s="118" t="s">
        <v>2842</v>
      </c>
      <c r="C2683" s="119">
        <v>4914</v>
      </c>
      <c r="E2683" s="96" t="s">
        <v>2180</v>
      </c>
      <c r="F2683" s="96" t="s">
        <v>2025</v>
      </c>
      <c r="G2683" s="100">
        <v>4655</v>
      </c>
    </row>
    <row r="2684" spans="2:7">
      <c r="B2684" s="118" t="s">
        <v>2331</v>
      </c>
      <c r="C2684" s="119">
        <v>4938</v>
      </c>
      <c r="E2684" s="96" t="s">
        <v>2182</v>
      </c>
      <c r="F2684" s="96" t="s">
        <v>2025</v>
      </c>
      <c r="G2684" s="100">
        <v>4718</v>
      </c>
    </row>
    <row r="2685" spans="2:7">
      <c r="B2685" s="118" t="s">
        <v>2593</v>
      </c>
      <c r="C2685" s="119">
        <v>4938</v>
      </c>
      <c r="E2685" s="96" t="s">
        <v>2184</v>
      </c>
      <c r="F2685" s="96" t="s">
        <v>2025</v>
      </c>
      <c r="G2685" s="100">
        <v>4535</v>
      </c>
    </row>
    <row r="2686" spans="2:7">
      <c r="B2686" s="118" t="s">
        <v>2435</v>
      </c>
      <c r="C2686" s="119">
        <v>4933</v>
      </c>
      <c r="E2686" s="96" t="s">
        <v>164</v>
      </c>
      <c r="F2686" s="96" t="s">
        <v>164</v>
      </c>
      <c r="G2686" s="100">
        <v>3000</v>
      </c>
    </row>
    <row r="2687" spans="2:7">
      <c r="B2687" s="118" t="s">
        <v>2446</v>
      </c>
      <c r="C2687" s="119">
        <v>4911</v>
      </c>
      <c r="E2687" s="96" t="s">
        <v>2186</v>
      </c>
      <c r="F2687" s="96" t="s">
        <v>164</v>
      </c>
      <c r="G2687" s="100">
        <v>2500</v>
      </c>
    </row>
    <row r="2688" spans="2:7">
      <c r="B2688" s="118" t="s">
        <v>2837</v>
      </c>
      <c r="C2688" s="119">
        <v>4922</v>
      </c>
      <c r="E2688" s="96" t="s">
        <v>2187</v>
      </c>
      <c r="F2688" s="96" t="s">
        <v>164</v>
      </c>
      <c r="G2688" s="100">
        <v>3600</v>
      </c>
    </row>
    <row r="2689" spans="2:7">
      <c r="B2689" s="118" t="s">
        <v>2256</v>
      </c>
      <c r="C2689" s="119">
        <v>4922</v>
      </c>
      <c r="E2689" s="96" t="s">
        <v>2188</v>
      </c>
      <c r="F2689" s="96" t="s">
        <v>164</v>
      </c>
      <c r="G2689" s="100">
        <v>3098</v>
      </c>
    </row>
    <row r="2690" spans="2:7">
      <c r="B2690" s="118" t="s">
        <v>2841</v>
      </c>
      <c r="C2690" s="119">
        <v>4936</v>
      </c>
      <c r="E2690" s="96" t="s">
        <v>2189</v>
      </c>
      <c r="F2690" s="96" t="s">
        <v>164</v>
      </c>
      <c r="G2690" s="100">
        <v>3072</v>
      </c>
    </row>
    <row r="2691" spans="2:7">
      <c r="B2691" s="118" t="s">
        <v>2388</v>
      </c>
      <c r="C2691" s="119">
        <v>4937</v>
      </c>
      <c r="E2691" s="96" t="s">
        <v>2190</v>
      </c>
      <c r="F2691" s="96" t="s">
        <v>164</v>
      </c>
      <c r="G2691" s="100">
        <v>3400</v>
      </c>
    </row>
    <row r="2692" spans="2:7">
      <c r="B2692" s="118" t="s">
        <v>2843</v>
      </c>
      <c r="C2692" s="119">
        <v>4942</v>
      </c>
      <c r="E2692" s="96" t="s">
        <v>2191</v>
      </c>
      <c r="F2692" s="96" t="s">
        <v>164</v>
      </c>
      <c r="G2692" s="100">
        <v>3612</v>
      </c>
    </row>
    <row r="2693" spans="2:7">
      <c r="B2693" s="118" t="s">
        <v>2586</v>
      </c>
      <c r="C2693" s="119">
        <v>4943</v>
      </c>
      <c r="E2693" s="96" t="s">
        <v>1591</v>
      </c>
      <c r="F2693" s="96" t="s">
        <v>164</v>
      </c>
      <c r="G2693" s="100">
        <v>4900</v>
      </c>
    </row>
    <row r="2694" spans="2:7">
      <c r="B2694" s="118" t="s">
        <v>2321</v>
      </c>
      <c r="C2694" s="119">
        <v>4923</v>
      </c>
      <c r="E2694" s="96" t="s">
        <v>2192</v>
      </c>
      <c r="F2694" s="96" t="s">
        <v>164</v>
      </c>
      <c r="G2694" s="100">
        <v>3250</v>
      </c>
    </row>
    <row r="2695" spans="2:7">
      <c r="B2695" s="118" t="s">
        <v>164</v>
      </c>
      <c r="C2695" s="119">
        <v>3004</v>
      </c>
      <c r="E2695" s="96" t="s">
        <v>2193</v>
      </c>
      <c r="F2695" s="96" t="s">
        <v>164</v>
      </c>
      <c r="G2695" s="100">
        <v>3074</v>
      </c>
    </row>
    <row r="2696" spans="2:7">
      <c r="B2696" s="118" t="s">
        <v>164</v>
      </c>
      <c r="C2696" s="119">
        <v>3005</v>
      </c>
      <c r="E2696" s="96" t="s">
        <v>2194</v>
      </c>
      <c r="F2696" s="96" t="s">
        <v>164</v>
      </c>
      <c r="G2696" s="100">
        <v>3700</v>
      </c>
    </row>
    <row r="2697" spans="2:7">
      <c r="B2697" s="118" t="s">
        <v>164</v>
      </c>
      <c r="C2697" s="119">
        <v>3006</v>
      </c>
      <c r="E2697" s="96" t="s">
        <v>2195</v>
      </c>
      <c r="F2697" s="96" t="s">
        <v>164</v>
      </c>
      <c r="G2697" s="100">
        <v>3110</v>
      </c>
    </row>
    <row r="2698" spans="2:7">
      <c r="B2698" s="118" t="s">
        <v>164</v>
      </c>
      <c r="C2698" s="119">
        <v>3007</v>
      </c>
      <c r="E2698" s="96" t="s">
        <v>2196</v>
      </c>
      <c r="F2698" s="96" t="s">
        <v>164</v>
      </c>
      <c r="G2698" s="100">
        <v>3123</v>
      </c>
    </row>
    <row r="2699" spans="2:7">
      <c r="B2699" s="118" t="s">
        <v>164</v>
      </c>
      <c r="C2699" s="119">
        <v>3008</v>
      </c>
      <c r="E2699" s="96" t="s">
        <v>2197</v>
      </c>
      <c r="F2699" s="96" t="s">
        <v>164</v>
      </c>
      <c r="G2699" s="100">
        <v>3076</v>
      </c>
    </row>
    <row r="2700" spans="2:7">
      <c r="B2700" s="118" t="s">
        <v>164</v>
      </c>
      <c r="C2700" s="119">
        <v>3010</v>
      </c>
      <c r="E2700" s="96" t="s">
        <v>2198</v>
      </c>
      <c r="F2700" s="96" t="s">
        <v>164</v>
      </c>
      <c r="G2700" s="100">
        <v>3063</v>
      </c>
    </row>
    <row r="2701" spans="2:7">
      <c r="B2701" s="118" t="s">
        <v>164</v>
      </c>
      <c r="C2701" s="119">
        <v>3011</v>
      </c>
      <c r="E2701" s="96" t="s">
        <v>2199</v>
      </c>
      <c r="F2701" s="96" t="s">
        <v>164</v>
      </c>
      <c r="G2701" s="100">
        <v>3052</v>
      </c>
    </row>
    <row r="2702" spans="2:7">
      <c r="B2702" s="118" t="s">
        <v>164</v>
      </c>
      <c r="C2702" s="119">
        <v>3012</v>
      </c>
      <c r="E2702" s="96" t="s">
        <v>2200</v>
      </c>
      <c r="F2702" s="96" t="s">
        <v>164</v>
      </c>
      <c r="G2702" s="100">
        <v>3053</v>
      </c>
    </row>
    <row r="2703" spans="2:7">
      <c r="B2703" s="118" t="s">
        <v>164</v>
      </c>
      <c r="C2703" s="119">
        <v>3013</v>
      </c>
      <c r="E2703" s="96" t="s">
        <v>2201</v>
      </c>
      <c r="F2703" s="96" t="s">
        <v>164</v>
      </c>
      <c r="G2703" s="100">
        <v>3550</v>
      </c>
    </row>
    <row r="2704" spans="2:7">
      <c r="B2704" s="118" t="s">
        <v>164</v>
      </c>
      <c r="C2704" s="119">
        <v>3014</v>
      </c>
      <c r="E2704" s="96" t="s">
        <v>2202</v>
      </c>
      <c r="F2704" s="96" t="s">
        <v>164</v>
      </c>
      <c r="G2704" s="100">
        <v>3033</v>
      </c>
    </row>
    <row r="2705" spans="2:7">
      <c r="B2705" s="118" t="s">
        <v>164</v>
      </c>
      <c r="C2705" s="119">
        <v>3015</v>
      </c>
      <c r="E2705" s="96" t="s">
        <v>2203</v>
      </c>
      <c r="F2705" s="96" t="s">
        <v>164</v>
      </c>
      <c r="G2705" s="100">
        <v>2740</v>
      </c>
    </row>
    <row r="2706" spans="2:7">
      <c r="B2706" s="118" t="s">
        <v>164</v>
      </c>
      <c r="C2706" s="119">
        <v>3018</v>
      </c>
      <c r="E2706" s="96" t="s">
        <v>2204</v>
      </c>
      <c r="F2706" s="96" t="s">
        <v>164</v>
      </c>
      <c r="G2706" s="100">
        <v>3360</v>
      </c>
    </row>
    <row r="2707" spans="2:7">
      <c r="B2707" s="118" t="s">
        <v>164</v>
      </c>
      <c r="C2707" s="119">
        <v>3019</v>
      </c>
      <c r="E2707" s="96" t="s">
        <v>2205</v>
      </c>
      <c r="F2707" s="96" t="s">
        <v>164</v>
      </c>
      <c r="G2707" s="100">
        <v>3714</v>
      </c>
    </row>
    <row r="2708" spans="2:7">
      <c r="B2708" s="118" t="s">
        <v>164</v>
      </c>
      <c r="C2708" s="119">
        <v>3020</v>
      </c>
      <c r="E2708" s="96" t="s">
        <v>2206</v>
      </c>
      <c r="F2708" s="96" t="s">
        <v>164</v>
      </c>
      <c r="G2708" s="100">
        <v>3792</v>
      </c>
    </row>
    <row r="2709" spans="2:7">
      <c r="B2709" s="118" t="s">
        <v>164</v>
      </c>
      <c r="C2709" s="119">
        <v>3027</v>
      </c>
      <c r="E2709" s="96" t="s">
        <v>2207</v>
      </c>
      <c r="F2709" s="96" t="s">
        <v>164</v>
      </c>
      <c r="G2709" s="100">
        <v>2560</v>
      </c>
    </row>
    <row r="2710" spans="2:7">
      <c r="B2710" s="118" t="s">
        <v>2844</v>
      </c>
      <c r="C2710" s="119">
        <v>3032</v>
      </c>
      <c r="E2710" s="96" t="s">
        <v>2208</v>
      </c>
      <c r="F2710" s="96" t="s">
        <v>164</v>
      </c>
      <c r="G2710" s="100">
        <v>3150</v>
      </c>
    </row>
    <row r="2711" spans="2:7">
      <c r="B2711" s="118" t="s">
        <v>2845</v>
      </c>
      <c r="C2711" s="119">
        <v>3037</v>
      </c>
      <c r="E2711" s="96" t="s">
        <v>2209</v>
      </c>
      <c r="F2711" s="96" t="s">
        <v>164</v>
      </c>
      <c r="G2711" s="100">
        <v>3627</v>
      </c>
    </row>
    <row r="2712" spans="2:7">
      <c r="B2712" s="118" t="s">
        <v>2846</v>
      </c>
      <c r="C2712" s="119">
        <v>3048</v>
      </c>
      <c r="E2712" s="96" t="s">
        <v>2210</v>
      </c>
      <c r="F2712" s="96" t="s">
        <v>164</v>
      </c>
      <c r="G2712" s="100">
        <v>3065</v>
      </c>
    </row>
    <row r="2713" spans="2:7">
      <c r="B2713" s="118" t="s">
        <v>2198</v>
      </c>
      <c r="C2713" s="119">
        <v>3063</v>
      </c>
      <c r="E2713" s="96" t="s">
        <v>2211</v>
      </c>
      <c r="F2713" s="96" t="s">
        <v>164</v>
      </c>
      <c r="G2713" s="100">
        <v>3322</v>
      </c>
    </row>
    <row r="2714" spans="2:7">
      <c r="B2714" s="118" t="s">
        <v>2189</v>
      </c>
      <c r="C2714" s="119">
        <v>3072</v>
      </c>
      <c r="E2714" s="96" t="s">
        <v>2212</v>
      </c>
      <c r="F2714" s="96" t="s">
        <v>164</v>
      </c>
      <c r="G2714" s="100">
        <v>3661</v>
      </c>
    </row>
    <row r="2715" spans="2:7">
      <c r="B2715" s="118" t="s">
        <v>2847</v>
      </c>
      <c r="C2715" s="119">
        <v>3073</v>
      </c>
      <c r="E2715" s="96" t="s">
        <v>2213</v>
      </c>
      <c r="F2715" s="96" t="s">
        <v>164</v>
      </c>
      <c r="G2715" s="100">
        <v>3422</v>
      </c>
    </row>
    <row r="2716" spans="2:7">
      <c r="B2716" s="118" t="s">
        <v>2848</v>
      </c>
      <c r="C2716" s="119">
        <v>3084</v>
      </c>
      <c r="E2716" s="96" t="s">
        <v>2214</v>
      </c>
      <c r="F2716" s="96" t="s">
        <v>164</v>
      </c>
      <c r="G2716" s="100">
        <v>3800</v>
      </c>
    </row>
    <row r="2717" spans="2:7">
      <c r="B2717" s="118" t="s">
        <v>2849</v>
      </c>
      <c r="C2717" s="119">
        <v>3097</v>
      </c>
      <c r="E2717" s="96" t="s">
        <v>2215</v>
      </c>
      <c r="F2717" s="96" t="s">
        <v>164</v>
      </c>
      <c r="G2717" s="100">
        <v>3303</v>
      </c>
    </row>
    <row r="2718" spans="2:7">
      <c r="B2718" s="118" t="s">
        <v>2850</v>
      </c>
      <c r="C2718" s="119">
        <v>3172</v>
      </c>
      <c r="E2718" s="96" t="s">
        <v>2216</v>
      </c>
      <c r="F2718" s="96" t="s">
        <v>164</v>
      </c>
      <c r="G2718" s="100">
        <v>3800</v>
      </c>
    </row>
    <row r="2719" spans="2:7">
      <c r="B2719" s="118" t="s">
        <v>2210</v>
      </c>
      <c r="C2719" s="119">
        <v>3065</v>
      </c>
      <c r="E2719" s="96" t="s">
        <v>2217</v>
      </c>
      <c r="F2719" s="96" t="s">
        <v>164</v>
      </c>
      <c r="G2719" s="100">
        <v>3176</v>
      </c>
    </row>
    <row r="2720" spans="2:7">
      <c r="B2720" s="118" t="s">
        <v>2263</v>
      </c>
      <c r="C2720" s="119">
        <v>3066</v>
      </c>
      <c r="E2720" s="96" t="s">
        <v>2218</v>
      </c>
      <c r="F2720" s="96" t="s">
        <v>164</v>
      </c>
      <c r="G2720" s="100">
        <v>3510</v>
      </c>
    </row>
    <row r="2721" spans="2:7">
      <c r="B2721" s="118" t="s">
        <v>2294</v>
      </c>
      <c r="C2721" s="119">
        <v>3326</v>
      </c>
      <c r="E2721" s="96" t="s">
        <v>2219</v>
      </c>
      <c r="F2721" s="96" t="s">
        <v>164</v>
      </c>
      <c r="G2721" s="100">
        <v>3067</v>
      </c>
    </row>
    <row r="2722" spans="2:7">
      <c r="B2722" s="118" t="s">
        <v>2851</v>
      </c>
      <c r="C2722" s="119">
        <v>3047</v>
      </c>
      <c r="E2722" s="96" t="s">
        <v>2220</v>
      </c>
      <c r="F2722" s="96" t="s">
        <v>164</v>
      </c>
      <c r="G2722" s="100">
        <v>2543</v>
      </c>
    </row>
    <row r="2723" spans="2:7">
      <c r="B2723" s="118" t="s">
        <v>2845</v>
      </c>
      <c r="C2723" s="119">
        <v>3037</v>
      </c>
      <c r="E2723" s="96" t="s">
        <v>2221</v>
      </c>
      <c r="F2723" s="96" t="s">
        <v>164</v>
      </c>
      <c r="G2723" s="100">
        <v>2610</v>
      </c>
    </row>
    <row r="2724" spans="2:7">
      <c r="B2724" s="118" t="s">
        <v>2267</v>
      </c>
      <c r="C2724" s="119">
        <v>3038</v>
      </c>
      <c r="E2724" s="96" t="s">
        <v>2222</v>
      </c>
      <c r="F2724" s="96" t="s">
        <v>164</v>
      </c>
      <c r="G2724" s="100">
        <v>3454</v>
      </c>
    </row>
    <row r="2725" spans="2:7">
      <c r="B2725" s="118" t="s">
        <v>2823</v>
      </c>
      <c r="C2725" s="119">
        <v>3042</v>
      </c>
      <c r="E2725" s="96" t="s">
        <v>2223</v>
      </c>
      <c r="F2725" s="96" t="s">
        <v>164</v>
      </c>
      <c r="G2725" s="100">
        <v>3312</v>
      </c>
    </row>
    <row r="2726" spans="2:7">
      <c r="B2726" s="118" t="s">
        <v>164</v>
      </c>
      <c r="C2726" s="119">
        <v>3007</v>
      </c>
      <c r="E2726" s="96" t="s">
        <v>2224</v>
      </c>
      <c r="F2726" s="96" t="s">
        <v>164</v>
      </c>
      <c r="G2726" s="100">
        <v>4950</v>
      </c>
    </row>
    <row r="2727" spans="2:7">
      <c r="B2727" s="118" t="s">
        <v>2848</v>
      </c>
      <c r="C2727" s="119">
        <v>3084</v>
      </c>
      <c r="E2727" s="96" t="s">
        <v>2225</v>
      </c>
      <c r="F2727" s="96" t="s">
        <v>164</v>
      </c>
      <c r="G2727" s="100">
        <v>3655</v>
      </c>
    </row>
    <row r="2728" spans="2:7">
      <c r="B2728" s="118" t="s">
        <v>2852</v>
      </c>
      <c r="C2728" s="119">
        <v>3095</v>
      </c>
      <c r="E2728" s="96" t="s">
        <v>2226</v>
      </c>
      <c r="F2728" s="96" t="s">
        <v>164</v>
      </c>
      <c r="G2728" s="100">
        <v>4704</v>
      </c>
    </row>
    <row r="2729" spans="2:7">
      <c r="B2729" s="118" t="s">
        <v>2849</v>
      </c>
      <c r="C2729" s="119">
        <v>3097</v>
      </c>
      <c r="E2729" s="96" t="s">
        <v>2227</v>
      </c>
      <c r="F2729" s="96" t="s">
        <v>164</v>
      </c>
      <c r="G2729" s="100">
        <v>3860</v>
      </c>
    </row>
    <row r="2730" spans="2:7">
      <c r="B2730" s="118" t="s">
        <v>2188</v>
      </c>
      <c r="C2730" s="119">
        <v>3098</v>
      </c>
      <c r="E2730" s="96" t="s">
        <v>2228</v>
      </c>
      <c r="F2730" s="96" t="s">
        <v>164</v>
      </c>
      <c r="G2730" s="100">
        <v>2720</v>
      </c>
    </row>
    <row r="2731" spans="2:7">
      <c r="B2731" s="118" t="s">
        <v>2188</v>
      </c>
      <c r="C2731" s="119">
        <v>3098</v>
      </c>
      <c r="E2731" s="96" t="s">
        <v>2229</v>
      </c>
      <c r="F2731" s="96" t="s">
        <v>164</v>
      </c>
      <c r="G2731" s="100">
        <v>3270</v>
      </c>
    </row>
    <row r="2732" spans="2:7">
      <c r="B2732" s="118" t="s">
        <v>2853</v>
      </c>
      <c r="C2732" s="119">
        <v>3098</v>
      </c>
      <c r="E2732" s="96" t="s">
        <v>2230</v>
      </c>
      <c r="F2732" s="96" t="s">
        <v>164</v>
      </c>
      <c r="G2732" s="100">
        <v>4912</v>
      </c>
    </row>
    <row r="2733" spans="2:7">
      <c r="B2733" s="118" t="s">
        <v>2854</v>
      </c>
      <c r="C2733" s="119">
        <v>3144</v>
      </c>
      <c r="E2733" s="96" t="s">
        <v>2231</v>
      </c>
      <c r="F2733" s="96" t="s">
        <v>164</v>
      </c>
      <c r="G2733" s="100">
        <v>3047</v>
      </c>
    </row>
    <row r="2734" spans="2:7">
      <c r="B2734" s="118" t="s">
        <v>2855</v>
      </c>
      <c r="C2734" s="119">
        <v>3145</v>
      </c>
      <c r="E2734" s="96" t="s">
        <v>2232</v>
      </c>
      <c r="F2734" s="96" t="s">
        <v>164</v>
      </c>
      <c r="G2734" s="100">
        <v>3114</v>
      </c>
    </row>
    <row r="2735" spans="2:7">
      <c r="B2735" s="118" t="s">
        <v>2856</v>
      </c>
      <c r="C2735" s="119">
        <v>3147</v>
      </c>
      <c r="E2735" s="96" t="s">
        <v>2233</v>
      </c>
      <c r="F2735" s="96" t="s">
        <v>164</v>
      </c>
      <c r="G2735" s="100">
        <v>3427</v>
      </c>
    </row>
    <row r="2736" spans="2:7">
      <c r="B2736" s="118" t="s">
        <v>2850</v>
      </c>
      <c r="C2736" s="119">
        <v>3172</v>
      </c>
      <c r="E2736" s="96" t="s">
        <v>2234</v>
      </c>
      <c r="F2736" s="96" t="s">
        <v>164</v>
      </c>
      <c r="G2736" s="100">
        <v>2555</v>
      </c>
    </row>
    <row r="2737" spans="2:7">
      <c r="B2737" s="118" t="s">
        <v>2857</v>
      </c>
      <c r="C2737" s="119">
        <v>3173</v>
      </c>
      <c r="E2737" s="96" t="s">
        <v>2235</v>
      </c>
      <c r="F2737" s="96" t="s">
        <v>164</v>
      </c>
      <c r="G2737" s="100">
        <v>3122</v>
      </c>
    </row>
    <row r="2738" spans="2:7">
      <c r="B2738" s="118" t="s">
        <v>2858</v>
      </c>
      <c r="C2738" s="119">
        <v>3174</v>
      </c>
      <c r="E2738" s="96" t="s">
        <v>2236</v>
      </c>
      <c r="F2738" s="96" t="s">
        <v>164</v>
      </c>
      <c r="G2738" s="100">
        <v>2542</v>
      </c>
    </row>
    <row r="2739" spans="2:7">
      <c r="B2739" s="118" t="s">
        <v>2847</v>
      </c>
      <c r="C2739" s="119">
        <v>3073</v>
      </c>
      <c r="E2739" s="96" t="s">
        <v>2237</v>
      </c>
      <c r="F2739" s="96" t="s">
        <v>164</v>
      </c>
      <c r="G2739" s="100">
        <v>3506</v>
      </c>
    </row>
    <row r="2740" spans="2:7">
      <c r="B2740" s="118" t="s">
        <v>2859</v>
      </c>
      <c r="C2740" s="119">
        <v>3074</v>
      </c>
      <c r="E2740" s="96" t="s">
        <v>2238</v>
      </c>
      <c r="F2740" s="96" t="s">
        <v>164</v>
      </c>
      <c r="G2740" s="100">
        <v>3432</v>
      </c>
    </row>
    <row r="2741" spans="2:7">
      <c r="B2741" s="118" t="s">
        <v>2197</v>
      </c>
      <c r="C2741" s="119">
        <v>3076</v>
      </c>
      <c r="E2741" s="96" t="s">
        <v>2239</v>
      </c>
      <c r="F2741" s="96" t="s">
        <v>164</v>
      </c>
      <c r="G2741" s="100">
        <v>3302</v>
      </c>
    </row>
    <row r="2742" spans="2:7">
      <c r="B2742" s="118" t="s">
        <v>2860</v>
      </c>
      <c r="C2742" s="119">
        <v>3086</v>
      </c>
      <c r="E2742" s="96" t="s">
        <v>2240</v>
      </c>
      <c r="F2742" s="96" t="s">
        <v>164</v>
      </c>
      <c r="G2742" s="100">
        <v>3652</v>
      </c>
    </row>
    <row r="2743" spans="2:7">
      <c r="B2743" s="118" t="s">
        <v>2391</v>
      </c>
      <c r="C2743" s="119">
        <v>3096</v>
      </c>
      <c r="E2743" s="96" t="s">
        <v>2241</v>
      </c>
      <c r="F2743" s="96" t="s">
        <v>164</v>
      </c>
      <c r="G2743" s="100">
        <v>3800</v>
      </c>
    </row>
    <row r="2744" spans="2:7">
      <c r="B2744" s="118" t="s">
        <v>2855</v>
      </c>
      <c r="C2744" s="119">
        <v>3145</v>
      </c>
      <c r="E2744" s="96" t="s">
        <v>2242</v>
      </c>
      <c r="F2744" s="96" t="s">
        <v>164</v>
      </c>
      <c r="G2744" s="100">
        <v>4914</v>
      </c>
    </row>
    <row r="2745" spans="2:7">
      <c r="B2745" s="118" t="s">
        <v>2856</v>
      </c>
      <c r="C2745" s="119">
        <v>3147</v>
      </c>
      <c r="E2745" s="96" t="s">
        <v>2243</v>
      </c>
      <c r="F2745" s="96" t="s">
        <v>164</v>
      </c>
      <c r="G2745" s="100">
        <v>2732</v>
      </c>
    </row>
    <row r="2746" spans="2:7">
      <c r="B2746" s="118" t="s">
        <v>2263</v>
      </c>
      <c r="C2746" s="119">
        <v>3066</v>
      </c>
      <c r="E2746" s="96" t="s">
        <v>2244</v>
      </c>
      <c r="F2746" s="96" t="s">
        <v>164</v>
      </c>
      <c r="G2746" s="100">
        <v>2563</v>
      </c>
    </row>
    <row r="2747" spans="2:7">
      <c r="B2747" s="118" t="s">
        <v>2861</v>
      </c>
      <c r="C2747" s="119">
        <v>3067</v>
      </c>
      <c r="E2747" s="96" t="s">
        <v>2245</v>
      </c>
      <c r="F2747" s="96" t="s">
        <v>164</v>
      </c>
      <c r="G2747" s="100">
        <v>3818</v>
      </c>
    </row>
    <row r="2748" spans="2:7">
      <c r="B2748" s="118" t="s">
        <v>2197</v>
      </c>
      <c r="C2748" s="119">
        <v>3076</v>
      </c>
      <c r="E2748" s="96" t="s">
        <v>2246</v>
      </c>
      <c r="F2748" s="96" t="s">
        <v>164</v>
      </c>
      <c r="G2748" s="100">
        <v>3054</v>
      </c>
    </row>
    <row r="2749" spans="2:7">
      <c r="B2749" s="118" t="s">
        <v>2263</v>
      </c>
      <c r="C2749" s="119">
        <v>3066</v>
      </c>
      <c r="E2749" s="96" t="s">
        <v>2247</v>
      </c>
      <c r="F2749" s="96" t="s">
        <v>164</v>
      </c>
      <c r="G2749" s="100">
        <v>2520</v>
      </c>
    </row>
    <row r="2750" spans="2:7">
      <c r="B2750" s="118" t="s">
        <v>2861</v>
      </c>
      <c r="C2750" s="119">
        <v>3067</v>
      </c>
      <c r="E2750" s="96" t="s">
        <v>2248</v>
      </c>
      <c r="F2750" s="96" t="s">
        <v>164</v>
      </c>
      <c r="G2750" s="100">
        <v>2710</v>
      </c>
    </row>
    <row r="2751" spans="2:7">
      <c r="B2751" s="118" t="s">
        <v>2862</v>
      </c>
      <c r="C2751" s="119">
        <v>3068</v>
      </c>
      <c r="E2751" s="96" t="s">
        <v>2249</v>
      </c>
      <c r="F2751" s="96" t="s">
        <v>164</v>
      </c>
      <c r="G2751" s="100">
        <v>2562</v>
      </c>
    </row>
    <row r="2752" spans="2:7">
      <c r="B2752" s="118" t="s">
        <v>2197</v>
      </c>
      <c r="C2752" s="119">
        <v>3076</v>
      </c>
      <c r="E2752" s="96" t="s">
        <v>2250</v>
      </c>
      <c r="F2752" s="96" t="s">
        <v>164</v>
      </c>
      <c r="G2752" s="100">
        <v>3713</v>
      </c>
    </row>
    <row r="2753" spans="2:7">
      <c r="B2753" s="118" t="s">
        <v>2863</v>
      </c>
      <c r="C2753" s="119">
        <v>3513</v>
      </c>
      <c r="E2753" s="96" t="s">
        <v>2251</v>
      </c>
      <c r="F2753" s="96" t="s">
        <v>164</v>
      </c>
      <c r="G2753" s="100">
        <v>3294</v>
      </c>
    </row>
    <row r="2754" spans="2:7">
      <c r="B2754" s="118" t="s">
        <v>2844</v>
      </c>
      <c r="C2754" s="119">
        <v>3032</v>
      </c>
      <c r="E2754" s="96" t="s">
        <v>2252</v>
      </c>
      <c r="F2754" s="96" t="s">
        <v>164</v>
      </c>
      <c r="G2754" s="100">
        <v>3232</v>
      </c>
    </row>
    <row r="2755" spans="2:7">
      <c r="B2755" s="118" t="s">
        <v>2864</v>
      </c>
      <c r="C2755" s="119">
        <v>3033</v>
      </c>
      <c r="E2755" s="96" t="s">
        <v>2253</v>
      </c>
      <c r="F2755" s="96" t="s">
        <v>164</v>
      </c>
      <c r="G2755" s="100">
        <v>3672</v>
      </c>
    </row>
    <row r="2756" spans="2:7">
      <c r="B2756" s="118" t="s">
        <v>2865</v>
      </c>
      <c r="C2756" s="119">
        <v>3034</v>
      </c>
      <c r="E2756" s="96" t="s">
        <v>2254</v>
      </c>
      <c r="F2756" s="96" t="s">
        <v>164</v>
      </c>
      <c r="G2756" s="100">
        <v>3715</v>
      </c>
    </row>
    <row r="2757" spans="2:7">
      <c r="B2757" s="118" t="s">
        <v>2834</v>
      </c>
      <c r="C2757" s="119">
        <v>3035</v>
      </c>
      <c r="E2757" s="96" t="s">
        <v>2255</v>
      </c>
      <c r="F2757" s="96" t="s">
        <v>164</v>
      </c>
      <c r="G2757" s="100">
        <v>3415</v>
      </c>
    </row>
    <row r="2758" spans="2:7">
      <c r="B2758" s="118" t="s">
        <v>2825</v>
      </c>
      <c r="C2758" s="119">
        <v>3036</v>
      </c>
      <c r="E2758" s="96" t="s">
        <v>2256</v>
      </c>
      <c r="F2758" s="96" t="s">
        <v>164</v>
      </c>
      <c r="G2758" s="100">
        <v>4922</v>
      </c>
    </row>
    <row r="2759" spans="2:7">
      <c r="B2759" s="118" t="s">
        <v>2845</v>
      </c>
      <c r="C2759" s="119">
        <v>3037</v>
      </c>
      <c r="E2759" s="96" t="s">
        <v>2257</v>
      </c>
      <c r="F2759" s="96" t="s">
        <v>164</v>
      </c>
      <c r="G2759" s="100">
        <v>4934</v>
      </c>
    </row>
    <row r="2760" spans="2:7">
      <c r="B2760" s="118" t="s">
        <v>2823</v>
      </c>
      <c r="C2760" s="119">
        <v>3042</v>
      </c>
      <c r="E2760" s="96" t="s">
        <v>2258</v>
      </c>
      <c r="F2760" s="96" t="s">
        <v>164</v>
      </c>
      <c r="G2760" s="100">
        <v>2557</v>
      </c>
    </row>
    <row r="2761" spans="2:7">
      <c r="B2761" s="118" t="s">
        <v>2866</v>
      </c>
      <c r="C2761" s="119">
        <v>3043</v>
      </c>
      <c r="E2761" s="96" t="s">
        <v>2259</v>
      </c>
      <c r="F2761" s="96" t="s">
        <v>164</v>
      </c>
      <c r="G2761" s="100">
        <v>3417</v>
      </c>
    </row>
    <row r="2762" spans="2:7">
      <c r="B2762" s="118" t="s">
        <v>2867</v>
      </c>
      <c r="C2762" s="119">
        <v>3044</v>
      </c>
      <c r="E2762" s="96" t="s">
        <v>2260</v>
      </c>
      <c r="F2762" s="96" t="s">
        <v>164</v>
      </c>
      <c r="G2762" s="100">
        <v>3315</v>
      </c>
    </row>
    <row r="2763" spans="2:7">
      <c r="B2763" s="118" t="s">
        <v>2283</v>
      </c>
      <c r="C2763" s="119">
        <v>3045</v>
      </c>
      <c r="E2763" s="96" t="s">
        <v>2261</v>
      </c>
      <c r="F2763" s="96" t="s">
        <v>164</v>
      </c>
      <c r="G2763" s="100">
        <v>3855</v>
      </c>
    </row>
    <row r="2764" spans="2:7">
      <c r="B2764" s="118" t="s">
        <v>2868</v>
      </c>
      <c r="C2764" s="119">
        <v>3049</v>
      </c>
      <c r="E2764" s="96" t="s">
        <v>2262</v>
      </c>
      <c r="F2764" s="96" t="s">
        <v>164</v>
      </c>
      <c r="G2764" s="100">
        <v>3267</v>
      </c>
    </row>
    <row r="2765" spans="2:7">
      <c r="B2765" s="118" t="s">
        <v>2199</v>
      </c>
      <c r="C2765" s="119">
        <v>3052</v>
      </c>
      <c r="E2765" s="96" t="s">
        <v>2263</v>
      </c>
      <c r="F2765" s="96" t="s">
        <v>164</v>
      </c>
      <c r="G2765" s="100">
        <v>3066</v>
      </c>
    </row>
    <row r="2766" spans="2:7">
      <c r="B2766" s="118" t="s">
        <v>2846</v>
      </c>
      <c r="C2766" s="119">
        <v>3048</v>
      </c>
      <c r="E2766" s="96" t="s">
        <v>2264</v>
      </c>
      <c r="F2766" s="96" t="s">
        <v>164</v>
      </c>
      <c r="G2766" s="100">
        <v>3177</v>
      </c>
    </row>
    <row r="2767" spans="2:7">
      <c r="B2767" s="118" t="s">
        <v>2198</v>
      </c>
      <c r="C2767" s="119">
        <v>3063</v>
      </c>
      <c r="E2767" s="96" t="s">
        <v>2265</v>
      </c>
      <c r="F2767" s="96" t="s">
        <v>164</v>
      </c>
      <c r="G2767" s="100">
        <v>3257</v>
      </c>
    </row>
    <row r="2768" spans="2:7">
      <c r="B2768" s="118" t="s">
        <v>2198</v>
      </c>
      <c r="C2768" s="119">
        <v>3063</v>
      </c>
      <c r="E2768" s="96" t="s">
        <v>2266</v>
      </c>
      <c r="F2768" s="96" t="s">
        <v>164</v>
      </c>
      <c r="G2768" s="100">
        <v>3770</v>
      </c>
    </row>
    <row r="2769" spans="2:7">
      <c r="B2769" s="118" t="s">
        <v>2210</v>
      </c>
      <c r="C2769" s="119">
        <v>3065</v>
      </c>
      <c r="E2769" s="96" t="s">
        <v>2267</v>
      </c>
      <c r="F2769" s="96" t="s">
        <v>164</v>
      </c>
      <c r="G2769" s="100">
        <v>3038</v>
      </c>
    </row>
    <row r="2770" spans="2:7">
      <c r="B2770" s="118" t="s">
        <v>2263</v>
      </c>
      <c r="C2770" s="119">
        <v>3066</v>
      </c>
      <c r="E2770" s="96" t="s">
        <v>2268</v>
      </c>
      <c r="F2770" s="96" t="s">
        <v>164</v>
      </c>
      <c r="G2770" s="100">
        <v>3203</v>
      </c>
    </row>
    <row r="2771" spans="2:7">
      <c r="B2771" s="118" t="s">
        <v>2189</v>
      </c>
      <c r="C2771" s="119">
        <v>3072</v>
      </c>
      <c r="E2771" s="96" t="s">
        <v>2269</v>
      </c>
      <c r="F2771" s="96" t="s">
        <v>164</v>
      </c>
      <c r="G2771" s="100">
        <v>3113</v>
      </c>
    </row>
    <row r="2772" spans="2:7">
      <c r="B2772" s="118" t="s">
        <v>2847</v>
      </c>
      <c r="C2772" s="119">
        <v>3073</v>
      </c>
      <c r="E2772" s="96" t="s">
        <v>2270</v>
      </c>
      <c r="F2772" s="96" t="s">
        <v>164</v>
      </c>
      <c r="G2772" s="100">
        <v>3414</v>
      </c>
    </row>
    <row r="2773" spans="2:7">
      <c r="B2773" s="118" t="s">
        <v>2545</v>
      </c>
      <c r="C2773" s="119">
        <v>2502</v>
      </c>
      <c r="E2773" s="96" t="s">
        <v>2271</v>
      </c>
      <c r="F2773" s="96" t="s">
        <v>164</v>
      </c>
      <c r="G2773" s="100">
        <v>3665</v>
      </c>
    </row>
    <row r="2774" spans="2:7">
      <c r="B2774" s="118" t="s">
        <v>2545</v>
      </c>
      <c r="C2774" s="119">
        <v>2503</v>
      </c>
      <c r="E2774" s="96" t="s">
        <v>2272</v>
      </c>
      <c r="F2774" s="96" t="s">
        <v>164</v>
      </c>
      <c r="G2774" s="100">
        <v>2575</v>
      </c>
    </row>
    <row r="2775" spans="2:7">
      <c r="B2775" s="118" t="s">
        <v>2545</v>
      </c>
      <c r="C2775" s="119">
        <v>2504</v>
      </c>
      <c r="E2775" s="96" t="s">
        <v>2273</v>
      </c>
      <c r="F2775" s="96" t="s">
        <v>164</v>
      </c>
      <c r="G2775" s="100">
        <v>2552</v>
      </c>
    </row>
    <row r="2776" spans="2:7">
      <c r="B2776" s="118" t="s">
        <v>2545</v>
      </c>
      <c r="C2776" s="119">
        <v>2505</v>
      </c>
      <c r="E2776" s="96" t="s">
        <v>2274</v>
      </c>
      <c r="F2776" s="96" t="s">
        <v>164</v>
      </c>
      <c r="G2776" s="100">
        <v>3534</v>
      </c>
    </row>
    <row r="2777" spans="2:7">
      <c r="B2777" s="118" t="s">
        <v>2869</v>
      </c>
      <c r="C2777" s="119">
        <v>2532</v>
      </c>
      <c r="E2777" s="96" t="s">
        <v>2275</v>
      </c>
      <c r="F2777" s="96" t="s">
        <v>164</v>
      </c>
      <c r="G2777" s="100">
        <v>3812</v>
      </c>
    </row>
    <row r="2778" spans="2:7">
      <c r="B2778" s="118" t="s">
        <v>2869</v>
      </c>
      <c r="C2778" s="119">
        <v>2532</v>
      </c>
      <c r="E2778" s="96" t="s">
        <v>2276</v>
      </c>
      <c r="F2778" s="96" t="s">
        <v>164</v>
      </c>
      <c r="G2778" s="100">
        <v>3852</v>
      </c>
    </row>
    <row r="2779" spans="2:7">
      <c r="B2779" s="118" t="s">
        <v>2278</v>
      </c>
      <c r="C2779" s="119">
        <v>2533</v>
      </c>
      <c r="E2779" s="96" t="s">
        <v>2277</v>
      </c>
      <c r="F2779" s="96" t="s">
        <v>164</v>
      </c>
      <c r="G2779" s="100">
        <v>3255</v>
      </c>
    </row>
    <row r="2780" spans="2:7">
      <c r="B2780" s="118" t="s">
        <v>2325</v>
      </c>
      <c r="C2780" s="119">
        <v>3296</v>
      </c>
      <c r="E2780" s="96" t="s">
        <v>2278</v>
      </c>
      <c r="F2780" s="96" t="s">
        <v>164</v>
      </c>
      <c r="G2780" s="100">
        <v>2533</v>
      </c>
    </row>
    <row r="2781" spans="2:7">
      <c r="B2781" s="118" t="s">
        <v>2821</v>
      </c>
      <c r="C2781" s="119">
        <v>2557</v>
      </c>
      <c r="E2781" s="96" t="s">
        <v>2279</v>
      </c>
      <c r="F2781" s="96" t="s">
        <v>164</v>
      </c>
      <c r="G2781" s="100">
        <v>3438</v>
      </c>
    </row>
    <row r="2782" spans="2:7">
      <c r="B2782" s="118" t="s">
        <v>2393</v>
      </c>
      <c r="C2782" s="119">
        <v>3263</v>
      </c>
      <c r="E2782" s="96" t="s">
        <v>2280</v>
      </c>
      <c r="F2782" s="96" t="s">
        <v>164</v>
      </c>
      <c r="G2782" s="100">
        <v>3125</v>
      </c>
    </row>
    <row r="2783" spans="2:7">
      <c r="B2783" s="118" t="s">
        <v>2251</v>
      </c>
      <c r="C2783" s="119">
        <v>3294</v>
      </c>
      <c r="E2783" s="96" t="s">
        <v>2281</v>
      </c>
      <c r="F2783" s="96" t="s">
        <v>164</v>
      </c>
      <c r="G2783" s="100">
        <v>4932</v>
      </c>
    </row>
    <row r="2784" spans="2:7">
      <c r="B2784" s="118" t="s">
        <v>2870</v>
      </c>
      <c r="C2784" s="119">
        <v>3264</v>
      </c>
      <c r="E2784" s="96" t="s">
        <v>2282</v>
      </c>
      <c r="F2784" s="96" t="s">
        <v>164</v>
      </c>
      <c r="G2784" s="100">
        <v>3806</v>
      </c>
    </row>
    <row r="2785" spans="2:7">
      <c r="B2785" s="118" t="s">
        <v>2330</v>
      </c>
      <c r="C2785" s="119">
        <v>3293</v>
      </c>
      <c r="E2785" s="96" t="s">
        <v>2283</v>
      </c>
      <c r="F2785" s="96" t="s">
        <v>164</v>
      </c>
      <c r="G2785" s="100">
        <v>3045</v>
      </c>
    </row>
    <row r="2786" spans="2:7">
      <c r="B2786" s="118" t="s">
        <v>2251</v>
      </c>
      <c r="C2786" s="119">
        <v>3294</v>
      </c>
      <c r="E2786" s="96" t="s">
        <v>2284</v>
      </c>
      <c r="F2786" s="96" t="s">
        <v>164</v>
      </c>
      <c r="G2786" s="100">
        <v>3324</v>
      </c>
    </row>
    <row r="2787" spans="2:7">
      <c r="B2787" s="118" t="s">
        <v>2871</v>
      </c>
      <c r="C2787" s="119">
        <v>2543</v>
      </c>
      <c r="E2787" s="96" t="s">
        <v>2285</v>
      </c>
      <c r="F2787" s="96" t="s">
        <v>164</v>
      </c>
      <c r="G2787" s="100">
        <v>3132</v>
      </c>
    </row>
    <row r="2788" spans="2:7">
      <c r="B2788" s="118" t="s">
        <v>2350</v>
      </c>
      <c r="C2788" s="119">
        <v>3297</v>
      </c>
      <c r="E2788" s="96" t="s">
        <v>2286</v>
      </c>
      <c r="F2788" s="96" t="s">
        <v>164</v>
      </c>
      <c r="G2788" s="100">
        <v>3537</v>
      </c>
    </row>
    <row r="2789" spans="2:7">
      <c r="B2789" s="118" t="s">
        <v>2580</v>
      </c>
      <c r="C2789" s="119">
        <v>3294</v>
      </c>
      <c r="E2789" s="96" t="s">
        <v>2287</v>
      </c>
      <c r="F2789" s="96" t="s">
        <v>164</v>
      </c>
      <c r="G2789" s="100">
        <v>3752</v>
      </c>
    </row>
    <row r="2790" spans="2:7">
      <c r="B2790" s="118" t="s">
        <v>2345</v>
      </c>
      <c r="C2790" s="119">
        <v>2554</v>
      </c>
      <c r="E2790" s="96" t="s">
        <v>2288</v>
      </c>
      <c r="F2790" s="96" t="s">
        <v>164</v>
      </c>
      <c r="G2790" s="100">
        <v>3653</v>
      </c>
    </row>
    <row r="2791" spans="2:7">
      <c r="B2791" s="118" t="s">
        <v>2872</v>
      </c>
      <c r="C2791" s="119">
        <v>3298</v>
      </c>
      <c r="E2791" s="96" t="s">
        <v>2289</v>
      </c>
      <c r="F2791" s="96" t="s">
        <v>164</v>
      </c>
      <c r="G2791" s="100">
        <v>3623</v>
      </c>
    </row>
    <row r="2792" spans="2:7">
      <c r="B2792" s="118" t="s">
        <v>2236</v>
      </c>
      <c r="C2792" s="119">
        <v>2542</v>
      </c>
      <c r="E2792" s="96" t="s">
        <v>2290</v>
      </c>
      <c r="F2792" s="96" t="s">
        <v>164</v>
      </c>
      <c r="G2792" s="100">
        <v>3422</v>
      </c>
    </row>
    <row r="2793" spans="2:7">
      <c r="B2793" s="118" t="s">
        <v>2873</v>
      </c>
      <c r="C2793" s="119">
        <v>3295</v>
      </c>
      <c r="E2793" s="96" t="s">
        <v>2291</v>
      </c>
      <c r="F2793" s="96" t="s">
        <v>164</v>
      </c>
      <c r="G2793" s="100">
        <v>3437</v>
      </c>
    </row>
    <row r="2794" spans="2:7">
      <c r="B2794" s="118" t="s">
        <v>2828</v>
      </c>
      <c r="C2794" s="119">
        <v>3251</v>
      </c>
      <c r="E2794" s="96" t="s">
        <v>2292</v>
      </c>
      <c r="F2794" s="96" t="s">
        <v>164</v>
      </c>
      <c r="G2794" s="100">
        <v>3822</v>
      </c>
    </row>
    <row r="2795" spans="2:7">
      <c r="B2795" s="118" t="s">
        <v>2265</v>
      </c>
      <c r="C2795" s="119">
        <v>3257</v>
      </c>
      <c r="E2795" s="96" t="s">
        <v>2293</v>
      </c>
      <c r="F2795" s="96" t="s">
        <v>164</v>
      </c>
      <c r="G2795" s="100">
        <v>3775</v>
      </c>
    </row>
    <row r="2796" spans="2:7">
      <c r="B2796" s="118" t="s">
        <v>2368</v>
      </c>
      <c r="C2796" s="119">
        <v>3426</v>
      </c>
      <c r="E2796" s="96" t="s">
        <v>2294</v>
      </c>
      <c r="F2796" s="96" t="s">
        <v>164</v>
      </c>
      <c r="G2796" s="100">
        <v>3326</v>
      </c>
    </row>
    <row r="2797" spans="2:7">
      <c r="B2797" s="118" t="s">
        <v>2430</v>
      </c>
      <c r="C2797" s="119">
        <v>3473</v>
      </c>
      <c r="E2797" s="96" t="s">
        <v>2295</v>
      </c>
      <c r="F2797" s="96" t="s">
        <v>164</v>
      </c>
      <c r="G2797" s="100">
        <v>4537</v>
      </c>
    </row>
    <row r="2798" spans="2:7">
      <c r="B2798" s="118" t="s">
        <v>2874</v>
      </c>
      <c r="C2798" s="119">
        <v>3323</v>
      </c>
      <c r="E2798" s="96" t="s">
        <v>2296</v>
      </c>
      <c r="F2798" s="96" t="s">
        <v>164</v>
      </c>
      <c r="G2798" s="100">
        <v>2738</v>
      </c>
    </row>
    <row r="2799" spans="2:7">
      <c r="B2799" s="118" t="s">
        <v>2190</v>
      </c>
      <c r="C2799" s="119">
        <v>3400</v>
      </c>
      <c r="E2799" s="96" t="s">
        <v>2297</v>
      </c>
      <c r="F2799" s="96" t="s">
        <v>164</v>
      </c>
      <c r="G2799" s="100">
        <v>3380</v>
      </c>
    </row>
    <row r="2800" spans="2:7">
      <c r="B2800" s="118" t="s">
        <v>2875</v>
      </c>
      <c r="C2800" s="119">
        <v>3413</v>
      </c>
      <c r="E2800" s="96" t="s">
        <v>2298</v>
      </c>
      <c r="F2800" s="96" t="s">
        <v>164</v>
      </c>
      <c r="G2800" s="100">
        <v>3703</v>
      </c>
    </row>
    <row r="2801" spans="2:7">
      <c r="B2801" s="118" t="s">
        <v>2270</v>
      </c>
      <c r="C2801" s="119">
        <v>3414</v>
      </c>
      <c r="E2801" s="96" t="s">
        <v>2299</v>
      </c>
      <c r="F2801" s="96" t="s">
        <v>164</v>
      </c>
      <c r="G2801" s="100">
        <v>3252</v>
      </c>
    </row>
    <row r="2802" spans="2:7">
      <c r="B2802" s="118" t="s">
        <v>2308</v>
      </c>
      <c r="C2802" s="119">
        <v>3472</v>
      </c>
      <c r="E2802" s="96" t="s">
        <v>2300</v>
      </c>
      <c r="F2802" s="96" t="s">
        <v>164</v>
      </c>
      <c r="G2802" s="100">
        <v>3283</v>
      </c>
    </row>
    <row r="2803" spans="2:7">
      <c r="B2803" s="118" t="s">
        <v>2876</v>
      </c>
      <c r="C2803" s="119">
        <v>3422</v>
      </c>
      <c r="E2803" s="96" t="s">
        <v>2301</v>
      </c>
      <c r="F2803" s="96" t="s">
        <v>164</v>
      </c>
      <c r="G2803" s="100">
        <v>3754</v>
      </c>
    </row>
    <row r="2804" spans="2:7">
      <c r="B2804" s="118" t="s">
        <v>2305</v>
      </c>
      <c r="C2804" s="119">
        <v>3423</v>
      </c>
      <c r="E2804" s="96" t="s">
        <v>2302</v>
      </c>
      <c r="F2804" s="96" t="s">
        <v>164</v>
      </c>
      <c r="G2804" s="100">
        <v>3662</v>
      </c>
    </row>
    <row r="2805" spans="2:7">
      <c r="B2805" s="118" t="s">
        <v>2877</v>
      </c>
      <c r="C2805" s="119">
        <v>3424</v>
      </c>
      <c r="E2805" s="96" t="s">
        <v>2303</v>
      </c>
      <c r="F2805" s="96" t="s">
        <v>164</v>
      </c>
      <c r="G2805" s="100">
        <v>3425</v>
      </c>
    </row>
    <row r="2806" spans="2:7">
      <c r="B2806" s="118" t="s">
        <v>2878</v>
      </c>
      <c r="C2806" s="119">
        <v>3424</v>
      </c>
      <c r="E2806" s="96" t="s">
        <v>2304</v>
      </c>
      <c r="F2806" s="96" t="s">
        <v>164</v>
      </c>
      <c r="G2806" s="100">
        <v>3628</v>
      </c>
    </row>
    <row r="2807" spans="2:7">
      <c r="B2807" s="118" t="s">
        <v>2303</v>
      </c>
      <c r="C2807" s="119">
        <v>3425</v>
      </c>
      <c r="E2807" s="96" t="s">
        <v>2305</v>
      </c>
      <c r="F2807" s="96" t="s">
        <v>164</v>
      </c>
      <c r="G2807" s="100">
        <v>3423</v>
      </c>
    </row>
    <row r="2808" spans="2:7">
      <c r="B2808" s="118" t="s">
        <v>2595</v>
      </c>
      <c r="C2808" s="119">
        <v>3472</v>
      </c>
      <c r="E2808" s="96" t="s">
        <v>2306</v>
      </c>
      <c r="F2808" s="96" t="s">
        <v>164</v>
      </c>
      <c r="G2808" s="100">
        <v>2615</v>
      </c>
    </row>
    <row r="2809" spans="2:7">
      <c r="B2809" s="118" t="s">
        <v>1590</v>
      </c>
      <c r="C2809" s="119">
        <v>3415</v>
      </c>
      <c r="E2809" s="96" t="s">
        <v>2307</v>
      </c>
      <c r="F2809" s="96" t="s">
        <v>164</v>
      </c>
      <c r="G2809" s="100">
        <v>2558</v>
      </c>
    </row>
    <row r="2810" spans="2:7">
      <c r="B2810" s="118" t="s">
        <v>1588</v>
      </c>
      <c r="C2810" s="119">
        <v>3415</v>
      </c>
      <c r="E2810" s="96" t="s">
        <v>2308</v>
      </c>
      <c r="F2810" s="96" t="s">
        <v>164</v>
      </c>
      <c r="G2810" s="100">
        <v>3404</v>
      </c>
    </row>
    <row r="2811" spans="2:7">
      <c r="B2811" s="118" t="s">
        <v>1589</v>
      </c>
      <c r="C2811" s="119">
        <v>3419</v>
      </c>
      <c r="E2811" s="96" t="s">
        <v>2309</v>
      </c>
      <c r="F2811" s="96" t="s">
        <v>164</v>
      </c>
      <c r="G2811" s="100">
        <v>2605</v>
      </c>
    </row>
    <row r="2812" spans="2:7">
      <c r="B2812" s="118" t="s">
        <v>2879</v>
      </c>
      <c r="C2812" s="119">
        <v>3432</v>
      </c>
      <c r="E2812" s="96" t="s">
        <v>2310</v>
      </c>
      <c r="F2812" s="96" t="s">
        <v>164</v>
      </c>
      <c r="G2812" s="100">
        <v>2603</v>
      </c>
    </row>
    <row r="2813" spans="2:7">
      <c r="B2813" s="118" t="s">
        <v>2880</v>
      </c>
      <c r="C2813" s="119">
        <v>3433</v>
      </c>
      <c r="E2813" s="96" t="s">
        <v>2311</v>
      </c>
      <c r="F2813" s="96" t="s">
        <v>164</v>
      </c>
      <c r="G2813" s="100">
        <v>2553</v>
      </c>
    </row>
    <row r="2814" spans="2:7">
      <c r="B2814" s="118" t="s">
        <v>2863</v>
      </c>
      <c r="C2814" s="119">
        <v>3513</v>
      </c>
      <c r="E2814" s="96" t="s">
        <v>2312</v>
      </c>
      <c r="F2814" s="96" t="s">
        <v>164</v>
      </c>
      <c r="G2814" s="100">
        <v>3116</v>
      </c>
    </row>
    <row r="2815" spans="2:7">
      <c r="B2815" s="118" t="s">
        <v>2324</v>
      </c>
      <c r="C2815" s="119">
        <v>3412</v>
      </c>
      <c r="E2815" s="96" t="s">
        <v>2313</v>
      </c>
      <c r="F2815" s="96" t="s">
        <v>164</v>
      </c>
      <c r="G2815" s="100">
        <v>3507</v>
      </c>
    </row>
    <row r="2816" spans="2:7">
      <c r="B2816" s="118" t="s">
        <v>2875</v>
      </c>
      <c r="C2816" s="119">
        <v>3413</v>
      </c>
      <c r="E2816" s="96" t="s">
        <v>2314</v>
      </c>
      <c r="F2816" s="96" t="s">
        <v>164</v>
      </c>
      <c r="G2816" s="100">
        <v>3088</v>
      </c>
    </row>
    <row r="2817" spans="2:7">
      <c r="B2817" s="118" t="s">
        <v>2881</v>
      </c>
      <c r="C2817" s="119">
        <v>3415</v>
      </c>
      <c r="E2817" s="96" t="s">
        <v>2315</v>
      </c>
      <c r="F2817" s="96" t="s">
        <v>164</v>
      </c>
      <c r="G2817" s="100">
        <v>3512</v>
      </c>
    </row>
    <row r="2818" spans="2:7">
      <c r="B2818" s="118" t="s">
        <v>2363</v>
      </c>
      <c r="C2818" s="119">
        <v>3416</v>
      </c>
      <c r="E2818" s="96" t="s">
        <v>2316</v>
      </c>
      <c r="F2818" s="96" t="s">
        <v>164</v>
      </c>
      <c r="G2818" s="100">
        <v>3762</v>
      </c>
    </row>
    <row r="2819" spans="2:7">
      <c r="B2819" s="118" t="s">
        <v>2882</v>
      </c>
      <c r="C2819" s="119">
        <v>3418</v>
      </c>
      <c r="E2819" s="96" t="s">
        <v>2317</v>
      </c>
      <c r="F2819" s="96" t="s">
        <v>164</v>
      </c>
      <c r="G2819" s="100">
        <v>4538</v>
      </c>
    </row>
    <row r="2820" spans="2:7">
      <c r="B2820" s="118" t="s">
        <v>2308</v>
      </c>
      <c r="C2820" s="119">
        <v>3472</v>
      </c>
      <c r="E2820" s="96" t="s">
        <v>2318</v>
      </c>
      <c r="F2820" s="96" t="s">
        <v>164</v>
      </c>
      <c r="G2820" s="100">
        <v>3362</v>
      </c>
    </row>
    <row r="2821" spans="2:7">
      <c r="B2821" s="118" t="s">
        <v>2568</v>
      </c>
      <c r="C2821" s="119">
        <v>3429</v>
      </c>
      <c r="E2821" s="96" t="s">
        <v>2319</v>
      </c>
      <c r="F2821" s="96" t="s">
        <v>164</v>
      </c>
      <c r="G2821" s="100">
        <v>2606</v>
      </c>
    </row>
    <row r="2822" spans="2:7">
      <c r="B2822" s="118" t="s">
        <v>2284</v>
      </c>
      <c r="C2822" s="119">
        <v>3324</v>
      </c>
      <c r="E2822" s="96" t="s">
        <v>2320</v>
      </c>
      <c r="F2822" s="96" t="s">
        <v>164</v>
      </c>
      <c r="G2822" s="100">
        <v>2564</v>
      </c>
    </row>
    <row r="2823" spans="2:7">
      <c r="B2823" s="118" t="s">
        <v>2883</v>
      </c>
      <c r="C2823" s="119">
        <v>3324</v>
      </c>
      <c r="E2823" s="96" t="s">
        <v>2321</v>
      </c>
      <c r="F2823" s="96" t="s">
        <v>164</v>
      </c>
      <c r="G2823" s="100">
        <v>4923</v>
      </c>
    </row>
    <row r="2824" spans="2:7">
      <c r="B2824" s="118" t="s">
        <v>2884</v>
      </c>
      <c r="C2824" s="119">
        <v>3325</v>
      </c>
      <c r="E2824" s="96" t="s">
        <v>2322</v>
      </c>
      <c r="F2824" s="96" t="s">
        <v>164</v>
      </c>
      <c r="G2824" s="100">
        <v>3153</v>
      </c>
    </row>
    <row r="2825" spans="2:7">
      <c r="B2825" s="118" t="s">
        <v>2336</v>
      </c>
      <c r="C2825" s="119">
        <v>3421</v>
      </c>
      <c r="E2825" s="96" t="s">
        <v>2323</v>
      </c>
      <c r="F2825" s="96" t="s">
        <v>164</v>
      </c>
      <c r="G2825" s="100">
        <v>3532</v>
      </c>
    </row>
    <row r="2826" spans="2:7">
      <c r="B2826" s="118" t="s">
        <v>2572</v>
      </c>
      <c r="C2826" s="119">
        <v>3429</v>
      </c>
      <c r="E2826" s="96" t="s">
        <v>2324</v>
      </c>
      <c r="F2826" s="96" t="s">
        <v>164</v>
      </c>
      <c r="G2826" s="100">
        <v>3412</v>
      </c>
    </row>
    <row r="2827" spans="2:7">
      <c r="B2827" s="118" t="s">
        <v>2442</v>
      </c>
      <c r="C2827" s="119">
        <v>3309</v>
      </c>
      <c r="E2827" s="96" t="s">
        <v>2325</v>
      </c>
      <c r="F2827" s="96" t="s">
        <v>164</v>
      </c>
      <c r="G2827" s="100">
        <v>3296</v>
      </c>
    </row>
    <row r="2828" spans="2:7">
      <c r="B2828" s="118" t="s">
        <v>2190</v>
      </c>
      <c r="C2828" s="119">
        <v>3400</v>
      </c>
      <c r="E2828" s="96" t="s">
        <v>2326</v>
      </c>
      <c r="F2828" s="96" t="s">
        <v>164</v>
      </c>
      <c r="G2828" s="100">
        <v>3615</v>
      </c>
    </row>
    <row r="2829" spans="2:7">
      <c r="B2829" s="118" t="s">
        <v>2876</v>
      </c>
      <c r="C2829" s="119">
        <v>3422</v>
      </c>
      <c r="E2829" s="96" t="s">
        <v>2327</v>
      </c>
      <c r="F2829" s="96" t="s">
        <v>164</v>
      </c>
      <c r="G2829" s="100">
        <v>3365</v>
      </c>
    </row>
    <row r="2830" spans="2:7">
      <c r="B2830" s="118" t="s">
        <v>2303</v>
      </c>
      <c r="C2830" s="119">
        <v>3425</v>
      </c>
      <c r="E2830" s="96" t="s">
        <v>2328</v>
      </c>
      <c r="F2830" s="96" t="s">
        <v>164</v>
      </c>
      <c r="G2830" s="100">
        <v>3158</v>
      </c>
    </row>
    <row r="2831" spans="2:7">
      <c r="B2831" s="118" t="s">
        <v>2884</v>
      </c>
      <c r="C2831" s="119">
        <v>3325</v>
      </c>
      <c r="E2831" s="96" t="s">
        <v>2329</v>
      </c>
      <c r="F2831" s="96" t="s">
        <v>164</v>
      </c>
      <c r="G2831" s="100">
        <v>4917</v>
      </c>
    </row>
    <row r="2832" spans="2:7">
      <c r="B2832" s="118" t="s">
        <v>2294</v>
      </c>
      <c r="C2832" s="119">
        <v>3326</v>
      </c>
      <c r="E2832" s="96" t="s">
        <v>2330</v>
      </c>
      <c r="F2832" s="96" t="s">
        <v>164</v>
      </c>
      <c r="G2832" s="100">
        <v>3293</v>
      </c>
    </row>
    <row r="2833" spans="2:7">
      <c r="B2833" s="118" t="s">
        <v>2284</v>
      </c>
      <c r="C2833" s="119">
        <v>3324</v>
      </c>
      <c r="E2833" s="96" t="s">
        <v>2331</v>
      </c>
      <c r="F2833" s="96" t="s">
        <v>164</v>
      </c>
      <c r="G2833" s="100">
        <v>4938</v>
      </c>
    </row>
    <row r="2834" spans="2:7">
      <c r="B2834" s="118" t="s">
        <v>2336</v>
      </c>
      <c r="C2834" s="119">
        <v>3421</v>
      </c>
      <c r="E2834" s="96" t="s">
        <v>2332</v>
      </c>
      <c r="F2834" s="96" t="s">
        <v>164</v>
      </c>
      <c r="G2834" s="100">
        <v>4536</v>
      </c>
    </row>
    <row r="2835" spans="2:7">
      <c r="B2835" s="118" t="s">
        <v>2885</v>
      </c>
      <c r="C2835" s="119">
        <v>3422</v>
      </c>
      <c r="E2835" s="96" t="s">
        <v>2333</v>
      </c>
      <c r="F2835" s="96" t="s">
        <v>164</v>
      </c>
      <c r="G2835" s="100">
        <v>3555</v>
      </c>
    </row>
    <row r="2836" spans="2:7">
      <c r="B2836" s="118" t="s">
        <v>2270</v>
      </c>
      <c r="C2836" s="119">
        <v>3414</v>
      </c>
      <c r="E2836" s="96" t="s">
        <v>2334</v>
      </c>
      <c r="F2836" s="96" t="s">
        <v>164</v>
      </c>
      <c r="G2836" s="100">
        <v>2738</v>
      </c>
    </row>
    <row r="2837" spans="2:7">
      <c r="B2837" s="118" t="s">
        <v>2336</v>
      </c>
      <c r="C2837" s="119">
        <v>3421</v>
      </c>
      <c r="E2837" s="96" t="s">
        <v>2335</v>
      </c>
      <c r="F2837" s="96" t="s">
        <v>164</v>
      </c>
      <c r="G2837" s="100">
        <v>3235</v>
      </c>
    </row>
    <row r="2838" spans="2:7">
      <c r="B2838" s="118" t="s">
        <v>2886</v>
      </c>
      <c r="C2838" s="119">
        <v>3422</v>
      </c>
      <c r="E2838" s="96" t="s">
        <v>2336</v>
      </c>
      <c r="F2838" s="96" t="s">
        <v>164</v>
      </c>
      <c r="G2838" s="100">
        <v>3421</v>
      </c>
    </row>
    <row r="2839" spans="2:7">
      <c r="B2839" s="118" t="s">
        <v>2885</v>
      </c>
      <c r="C2839" s="119">
        <v>3422</v>
      </c>
      <c r="E2839" s="96" t="s">
        <v>2337</v>
      </c>
      <c r="F2839" s="96" t="s">
        <v>164</v>
      </c>
      <c r="G2839" s="100">
        <v>4952</v>
      </c>
    </row>
    <row r="2840" spans="2:7">
      <c r="B2840" s="118" t="s">
        <v>2595</v>
      </c>
      <c r="C2840" s="119">
        <v>3472</v>
      </c>
      <c r="E2840" s="96" t="s">
        <v>2338</v>
      </c>
      <c r="F2840" s="96" t="s">
        <v>164</v>
      </c>
      <c r="G2840" s="100">
        <v>3225</v>
      </c>
    </row>
    <row r="2841" spans="2:7">
      <c r="B2841" s="118" t="s">
        <v>2887</v>
      </c>
      <c r="C2841" s="119">
        <v>3421</v>
      </c>
      <c r="E2841" s="96" t="s">
        <v>2339</v>
      </c>
      <c r="F2841" s="96" t="s">
        <v>164</v>
      </c>
      <c r="G2841" s="100">
        <v>2608</v>
      </c>
    </row>
    <row r="2842" spans="2:7">
      <c r="B2842" s="118" t="s">
        <v>2613</v>
      </c>
      <c r="C2842" s="119">
        <v>3425</v>
      </c>
      <c r="E2842" s="96" t="s">
        <v>2340</v>
      </c>
      <c r="F2842" s="96" t="s">
        <v>164</v>
      </c>
      <c r="G2842" s="100">
        <v>2572</v>
      </c>
    </row>
    <row r="2843" spans="2:7">
      <c r="B2843" s="118" t="s">
        <v>2888</v>
      </c>
      <c r="C2843" s="119">
        <v>3464</v>
      </c>
      <c r="E2843" s="96" t="s">
        <v>2341</v>
      </c>
      <c r="F2843" s="96" t="s">
        <v>164</v>
      </c>
      <c r="G2843" s="100">
        <v>3127</v>
      </c>
    </row>
    <row r="2844" spans="2:7">
      <c r="B2844" s="118" t="s">
        <v>2308</v>
      </c>
      <c r="C2844" s="119">
        <v>3472</v>
      </c>
      <c r="E2844" s="96" t="s">
        <v>2342</v>
      </c>
      <c r="F2844" s="96" t="s">
        <v>164</v>
      </c>
      <c r="G2844" s="100">
        <v>3533</v>
      </c>
    </row>
    <row r="2845" spans="2:7">
      <c r="B2845" s="118" t="s">
        <v>2889</v>
      </c>
      <c r="C2845" s="119">
        <v>3474</v>
      </c>
      <c r="E2845" s="96" t="s">
        <v>2343</v>
      </c>
      <c r="F2845" s="96" t="s">
        <v>164</v>
      </c>
      <c r="G2845" s="100">
        <v>3556</v>
      </c>
    </row>
    <row r="2846" spans="2:7">
      <c r="B2846" s="118" t="s">
        <v>2890</v>
      </c>
      <c r="C2846" s="119">
        <v>2534</v>
      </c>
      <c r="E2846" s="96" t="s">
        <v>2344</v>
      </c>
      <c r="F2846" s="96" t="s">
        <v>164</v>
      </c>
      <c r="G2846" s="100">
        <v>3772</v>
      </c>
    </row>
    <row r="2847" spans="2:7">
      <c r="B2847" s="118" t="s">
        <v>2319</v>
      </c>
      <c r="C2847" s="119">
        <v>2606</v>
      </c>
      <c r="E2847" s="96" t="s">
        <v>2345</v>
      </c>
      <c r="F2847" s="96" t="s">
        <v>164</v>
      </c>
      <c r="G2847" s="100">
        <v>2554</v>
      </c>
    </row>
    <row r="2848" spans="2:7">
      <c r="B2848" s="118" t="s">
        <v>2891</v>
      </c>
      <c r="C2848" s="119">
        <v>2608</v>
      </c>
      <c r="E2848" s="96" t="s">
        <v>2346</v>
      </c>
      <c r="F2848" s="96" t="s">
        <v>164</v>
      </c>
      <c r="G2848" s="100">
        <v>3718</v>
      </c>
    </row>
    <row r="2849" spans="2:7">
      <c r="B2849" s="118" t="s">
        <v>2892</v>
      </c>
      <c r="C2849" s="119">
        <v>2720</v>
      </c>
      <c r="E2849" s="96" t="s">
        <v>2347</v>
      </c>
      <c r="F2849" s="96" t="s">
        <v>164</v>
      </c>
      <c r="G2849" s="100">
        <v>3673</v>
      </c>
    </row>
    <row r="2850" spans="2:7">
      <c r="B2850" s="118" t="s">
        <v>2891</v>
      </c>
      <c r="C2850" s="119">
        <v>2608</v>
      </c>
      <c r="E2850" s="96" t="s">
        <v>2348</v>
      </c>
      <c r="F2850" s="96" t="s">
        <v>164</v>
      </c>
      <c r="G2850" s="100">
        <v>3766</v>
      </c>
    </row>
    <row r="2851" spans="2:7">
      <c r="B2851" s="118" t="s">
        <v>2893</v>
      </c>
      <c r="C2851" s="119">
        <v>2610</v>
      </c>
      <c r="E2851" s="96" t="s">
        <v>2349</v>
      </c>
      <c r="F2851" s="96" t="s">
        <v>164</v>
      </c>
      <c r="G2851" s="100">
        <v>3271</v>
      </c>
    </row>
    <row r="2852" spans="2:7">
      <c r="B2852" s="118" t="s">
        <v>2453</v>
      </c>
      <c r="C2852" s="119">
        <v>2612</v>
      </c>
      <c r="E2852" s="96" t="s">
        <v>2350</v>
      </c>
      <c r="F2852" s="96" t="s">
        <v>164</v>
      </c>
      <c r="G2852" s="100">
        <v>3297</v>
      </c>
    </row>
    <row r="2853" spans="2:7">
      <c r="B2853" s="118" t="s">
        <v>2385</v>
      </c>
      <c r="C2853" s="119">
        <v>2613</v>
      </c>
      <c r="E2853" s="96" t="s">
        <v>2351</v>
      </c>
      <c r="F2853" s="96" t="s">
        <v>164</v>
      </c>
      <c r="G2853" s="100">
        <v>3206</v>
      </c>
    </row>
    <row r="2854" spans="2:7">
      <c r="B2854" s="118" t="s">
        <v>2409</v>
      </c>
      <c r="C2854" s="119">
        <v>2607</v>
      </c>
      <c r="E2854" s="96" t="s">
        <v>2352</v>
      </c>
      <c r="F2854" s="96" t="s">
        <v>164</v>
      </c>
      <c r="G2854" s="100">
        <v>2615</v>
      </c>
    </row>
    <row r="2855" spans="2:7">
      <c r="B2855" s="118" t="s">
        <v>2891</v>
      </c>
      <c r="C2855" s="119">
        <v>2608</v>
      </c>
      <c r="E2855" s="96" t="s">
        <v>2353</v>
      </c>
      <c r="F2855" s="96" t="s">
        <v>164</v>
      </c>
      <c r="G2855" s="100">
        <v>3202</v>
      </c>
    </row>
    <row r="2856" spans="2:7">
      <c r="B2856" s="118" t="s">
        <v>2582</v>
      </c>
      <c r="C2856" s="119">
        <v>2723</v>
      </c>
      <c r="E2856" s="96" t="s">
        <v>2354</v>
      </c>
      <c r="F2856" s="96" t="s">
        <v>164</v>
      </c>
      <c r="G2856" s="100">
        <v>3638</v>
      </c>
    </row>
    <row r="2857" spans="2:7">
      <c r="B2857" s="118" t="s">
        <v>2339</v>
      </c>
      <c r="C2857" s="119">
        <v>2608</v>
      </c>
      <c r="E2857" s="96" t="s">
        <v>2355</v>
      </c>
      <c r="F2857" s="96" t="s">
        <v>164</v>
      </c>
      <c r="G2857" s="100">
        <v>3803</v>
      </c>
    </row>
    <row r="2858" spans="2:7">
      <c r="B2858" s="118" t="s">
        <v>2891</v>
      </c>
      <c r="C2858" s="119">
        <v>2608</v>
      </c>
      <c r="E2858" s="96" t="s">
        <v>2356</v>
      </c>
      <c r="F2858" s="96" t="s">
        <v>164</v>
      </c>
      <c r="G2858" s="100">
        <v>2534</v>
      </c>
    </row>
    <row r="2859" spans="2:7">
      <c r="B2859" s="118" t="s">
        <v>2893</v>
      </c>
      <c r="C2859" s="119">
        <v>2610</v>
      </c>
      <c r="E2859" s="96" t="s">
        <v>2357</v>
      </c>
      <c r="F2859" s="96" t="s">
        <v>164</v>
      </c>
      <c r="G2859" s="100">
        <v>3115</v>
      </c>
    </row>
    <row r="2860" spans="2:7">
      <c r="B2860" s="118" t="s">
        <v>2582</v>
      </c>
      <c r="C2860" s="119">
        <v>2723</v>
      </c>
      <c r="E2860" s="96" t="s">
        <v>2358</v>
      </c>
      <c r="F2860" s="96" t="s">
        <v>164</v>
      </c>
      <c r="G2860" s="100">
        <v>3538</v>
      </c>
    </row>
    <row r="2861" spans="2:7">
      <c r="B2861" s="118" t="s">
        <v>2441</v>
      </c>
      <c r="C2861" s="119">
        <v>2333</v>
      </c>
      <c r="E2861" s="96" t="s">
        <v>2359</v>
      </c>
      <c r="F2861" s="96" t="s">
        <v>164</v>
      </c>
      <c r="G2861" s="100">
        <v>6083</v>
      </c>
    </row>
    <row r="2862" spans="2:7">
      <c r="B2862" s="118" t="s">
        <v>2894</v>
      </c>
      <c r="C2862" s="119">
        <v>2333</v>
      </c>
      <c r="E2862" s="96" t="s">
        <v>2360</v>
      </c>
      <c r="F2862" s="96" t="s">
        <v>164</v>
      </c>
      <c r="G2862" s="100">
        <v>3086</v>
      </c>
    </row>
    <row r="2863" spans="2:7">
      <c r="B2863" s="118" t="s">
        <v>2895</v>
      </c>
      <c r="C2863" s="119">
        <v>2610</v>
      </c>
      <c r="E2863" s="96" t="s">
        <v>2361</v>
      </c>
      <c r="F2863" s="96" t="s">
        <v>164</v>
      </c>
      <c r="G2863" s="100">
        <v>4954</v>
      </c>
    </row>
    <row r="2864" spans="2:7">
      <c r="B2864" s="118" t="s">
        <v>2228</v>
      </c>
      <c r="C2864" s="119">
        <v>2720</v>
      </c>
      <c r="E2864" s="96" t="s">
        <v>2362</v>
      </c>
      <c r="F2864" s="96" t="s">
        <v>164</v>
      </c>
      <c r="G2864" s="100">
        <v>2513</v>
      </c>
    </row>
    <row r="2865" spans="2:7">
      <c r="B2865" s="118" t="s">
        <v>2582</v>
      </c>
      <c r="C2865" s="119">
        <v>2723</v>
      </c>
      <c r="E2865" s="96" t="s">
        <v>2363</v>
      </c>
      <c r="F2865" s="96" t="s">
        <v>164</v>
      </c>
      <c r="G2865" s="100">
        <v>3416</v>
      </c>
    </row>
    <row r="2866" spans="2:7">
      <c r="B2866" s="118" t="s">
        <v>2356</v>
      </c>
      <c r="C2866" s="119">
        <v>2534</v>
      </c>
      <c r="E2866" s="96" t="s">
        <v>2364</v>
      </c>
      <c r="F2866" s="96" t="s">
        <v>164</v>
      </c>
      <c r="G2866" s="100">
        <v>3723</v>
      </c>
    </row>
    <row r="2867" spans="2:7">
      <c r="B2867" s="118" t="s">
        <v>2890</v>
      </c>
      <c r="C2867" s="119">
        <v>2534</v>
      </c>
      <c r="E2867" s="96" t="s">
        <v>2365</v>
      </c>
      <c r="F2867" s="96" t="s">
        <v>164</v>
      </c>
      <c r="G2867" s="100">
        <v>3367</v>
      </c>
    </row>
    <row r="2868" spans="2:7">
      <c r="B2868" s="118" t="s">
        <v>2896</v>
      </c>
      <c r="C2868" s="119">
        <v>2535</v>
      </c>
      <c r="E2868" s="96" t="s">
        <v>2366</v>
      </c>
      <c r="F2868" s="96" t="s">
        <v>164</v>
      </c>
      <c r="G2868" s="100">
        <v>3373</v>
      </c>
    </row>
    <row r="2869" spans="2:7">
      <c r="B2869" s="118" t="s">
        <v>2897</v>
      </c>
      <c r="C2869" s="119">
        <v>2616</v>
      </c>
      <c r="E2869" s="96" t="s">
        <v>2367</v>
      </c>
      <c r="F2869" s="96" t="s">
        <v>164</v>
      </c>
      <c r="G2869" s="100">
        <v>3664</v>
      </c>
    </row>
    <row r="2870" spans="2:7">
      <c r="B2870" s="118" t="s">
        <v>2894</v>
      </c>
      <c r="C2870" s="119">
        <v>2616</v>
      </c>
      <c r="E2870" s="96" t="s">
        <v>2368</v>
      </c>
      <c r="F2870" s="96" t="s">
        <v>164</v>
      </c>
      <c r="G2870" s="100">
        <v>3426</v>
      </c>
    </row>
    <row r="2871" spans="2:7">
      <c r="B2871" s="118" t="s">
        <v>2898</v>
      </c>
      <c r="C2871" s="119">
        <v>2536</v>
      </c>
      <c r="E2871" s="96" t="s">
        <v>2369</v>
      </c>
      <c r="F2871" s="96" t="s">
        <v>164</v>
      </c>
      <c r="G2871" s="100">
        <v>3126</v>
      </c>
    </row>
    <row r="2872" spans="2:7">
      <c r="B2872" s="118" t="s">
        <v>2899</v>
      </c>
      <c r="C2872" s="119">
        <v>2538</v>
      </c>
      <c r="E2872" s="96" t="s">
        <v>2370</v>
      </c>
      <c r="F2872" s="96" t="s">
        <v>164</v>
      </c>
      <c r="G2872" s="100">
        <v>3706</v>
      </c>
    </row>
    <row r="2873" spans="2:7">
      <c r="B2873" s="118" t="s">
        <v>2900</v>
      </c>
      <c r="C2873" s="119">
        <v>2603</v>
      </c>
      <c r="E2873" s="96" t="s">
        <v>2371</v>
      </c>
      <c r="F2873" s="96" t="s">
        <v>164</v>
      </c>
      <c r="G2873" s="100">
        <v>3862</v>
      </c>
    </row>
    <row r="2874" spans="2:7">
      <c r="B2874" s="118" t="s">
        <v>2901</v>
      </c>
      <c r="C2874" s="119">
        <v>2345</v>
      </c>
      <c r="E2874" s="96" t="s">
        <v>2372</v>
      </c>
      <c r="F2874" s="96" t="s">
        <v>164</v>
      </c>
      <c r="G2874" s="100">
        <v>3323</v>
      </c>
    </row>
    <row r="2875" spans="2:7">
      <c r="B2875" s="118" t="s">
        <v>2902</v>
      </c>
      <c r="C2875" s="119">
        <v>2610</v>
      </c>
      <c r="E2875" s="96" t="s">
        <v>2373</v>
      </c>
      <c r="F2875" s="96" t="s">
        <v>164</v>
      </c>
      <c r="G2875" s="100">
        <v>3465</v>
      </c>
    </row>
    <row r="2876" spans="2:7">
      <c r="B2876" s="118" t="s">
        <v>2895</v>
      </c>
      <c r="C2876" s="119">
        <v>2610</v>
      </c>
      <c r="E2876" s="96" t="s">
        <v>2374</v>
      </c>
      <c r="F2876" s="96" t="s">
        <v>164</v>
      </c>
      <c r="G2876" s="100">
        <v>3282</v>
      </c>
    </row>
    <row r="2877" spans="2:7">
      <c r="B2877" s="118" t="s">
        <v>2903</v>
      </c>
      <c r="C2877" s="119">
        <v>2610</v>
      </c>
      <c r="E2877" s="96" t="s">
        <v>2375</v>
      </c>
      <c r="F2877" s="96" t="s">
        <v>164</v>
      </c>
      <c r="G2877" s="100">
        <v>3272</v>
      </c>
    </row>
    <row r="2878" spans="2:7">
      <c r="B2878" s="118" t="s">
        <v>2309</v>
      </c>
      <c r="C2878" s="119">
        <v>2605</v>
      </c>
      <c r="E2878" s="96" t="s">
        <v>2376</v>
      </c>
      <c r="F2878" s="96" t="s">
        <v>164</v>
      </c>
      <c r="G2878" s="100">
        <v>3624</v>
      </c>
    </row>
    <row r="2879" spans="2:7">
      <c r="B2879" s="118" t="s">
        <v>2319</v>
      </c>
      <c r="C2879" s="119">
        <v>2606</v>
      </c>
      <c r="E2879" s="96" t="s">
        <v>2377</v>
      </c>
      <c r="F2879" s="96" t="s">
        <v>164</v>
      </c>
      <c r="G2879" s="100">
        <v>3264</v>
      </c>
    </row>
    <row r="2880" spans="2:7">
      <c r="B2880" s="118" t="s">
        <v>2892</v>
      </c>
      <c r="C2880" s="119">
        <v>2720</v>
      </c>
      <c r="E2880" s="96" t="s">
        <v>2378</v>
      </c>
      <c r="F2880" s="96" t="s">
        <v>164</v>
      </c>
      <c r="G2880" s="100">
        <v>3629</v>
      </c>
    </row>
    <row r="2881" spans="2:7">
      <c r="B2881" s="118" t="s">
        <v>2441</v>
      </c>
      <c r="C2881" s="119">
        <v>2333</v>
      </c>
      <c r="E2881" s="96" t="s">
        <v>2379</v>
      </c>
      <c r="F2881" s="96" t="s">
        <v>164</v>
      </c>
      <c r="G2881" s="100">
        <v>3614</v>
      </c>
    </row>
    <row r="2882" spans="2:7">
      <c r="B2882" s="118" t="s">
        <v>2901</v>
      </c>
      <c r="C2882" s="119">
        <v>2345</v>
      </c>
      <c r="E2882" s="96" t="s">
        <v>2380</v>
      </c>
      <c r="F2882" s="96" t="s">
        <v>164</v>
      </c>
      <c r="G2882" s="100">
        <v>3647</v>
      </c>
    </row>
    <row r="2883" spans="2:7">
      <c r="B2883" s="118" t="s">
        <v>2895</v>
      </c>
      <c r="C2883" s="119">
        <v>2610</v>
      </c>
      <c r="E2883" s="96" t="s">
        <v>2381</v>
      </c>
      <c r="F2883" s="96" t="s">
        <v>164</v>
      </c>
      <c r="G2883" s="100">
        <v>3785</v>
      </c>
    </row>
    <row r="2884" spans="2:7">
      <c r="B2884" s="118" t="s">
        <v>2352</v>
      </c>
      <c r="C2884" s="119">
        <v>2615</v>
      </c>
      <c r="E2884" s="96" t="s">
        <v>2382</v>
      </c>
      <c r="F2884" s="96" t="s">
        <v>164</v>
      </c>
      <c r="G2884" s="100">
        <v>3236</v>
      </c>
    </row>
    <row r="2885" spans="2:7">
      <c r="B2885" s="118" t="s">
        <v>2904</v>
      </c>
      <c r="C2885" s="119">
        <v>2615</v>
      </c>
      <c r="E2885" s="96" t="s">
        <v>2383</v>
      </c>
      <c r="F2885" s="96" t="s">
        <v>164</v>
      </c>
      <c r="G2885" s="100">
        <v>3456</v>
      </c>
    </row>
    <row r="2886" spans="2:7">
      <c r="B2886" s="118" t="s">
        <v>2228</v>
      </c>
      <c r="C2886" s="119">
        <v>2720</v>
      </c>
      <c r="E2886" s="96" t="s">
        <v>2384</v>
      </c>
      <c r="F2886" s="96" t="s">
        <v>164</v>
      </c>
      <c r="G2886" s="100">
        <v>3508</v>
      </c>
    </row>
    <row r="2887" spans="2:7">
      <c r="B2887" s="118" t="s">
        <v>2892</v>
      </c>
      <c r="C2887" s="119">
        <v>2720</v>
      </c>
      <c r="E2887" s="96" t="s">
        <v>2385</v>
      </c>
      <c r="F2887" s="96" t="s">
        <v>164</v>
      </c>
      <c r="G2887" s="100">
        <v>2613</v>
      </c>
    </row>
    <row r="2888" spans="2:7">
      <c r="B2888" s="118" t="s">
        <v>2905</v>
      </c>
      <c r="C2888" s="119">
        <v>2722</v>
      </c>
      <c r="E2888" s="96" t="s">
        <v>2386</v>
      </c>
      <c r="F2888" s="96" t="s">
        <v>164</v>
      </c>
      <c r="G2888" s="100">
        <v>2616</v>
      </c>
    </row>
    <row r="2889" spans="2:7">
      <c r="B2889" s="118" t="s">
        <v>2582</v>
      </c>
      <c r="C2889" s="119">
        <v>2723</v>
      </c>
      <c r="E2889" s="96" t="s">
        <v>2387</v>
      </c>
      <c r="F2889" s="96" t="s">
        <v>164</v>
      </c>
      <c r="G2889" s="100">
        <v>3428</v>
      </c>
    </row>
    <row r="2890" spans="2:7">
      <c r="B2890" s="118" t="s">
        <v>993</v>
      </c>
      <c r="C2890" s="119">
        <v>2345</v>
      </c>
      <c r="E2890" s="96" t="s">
        <v>2388</v>
      </c>
      <c r="F2890" s="96" t="s">
        <v>164</v>
      </c>
      <c r="G2890" s="100">
        <v>4937</v>
      </c>
    </row>
    <row r="2891" spans="2:7">
      <c r="B2891" s="118" t="s">
        <v>2903</v>
      </c>
      <c r="C2891" s="119">
        <v>2610</v>
      </c>
      <c r="E2891" s="96" t="s">
        <v>2389</v>
      </c>
      <c r="F2891" s="96" t="s">
        <v>164</v>
      </c>
      <c r="G2891" s="100">
        <v>6197</v>
      </c>
    </row>
    <row r="2892" spans="2:7">
      <c r="B2892" s="118" t="s">
        <v>2893</v>
      </c>
      <c r="C2892" s="119">
        <v>2610</v>
      </c>
      <c r="E2892" s="96" t="s">
        <v>2390</v>
      </c>
      <c r="F2892" s="96" t="s">
        <v>164</v>
      </c>
      <c r="G2892" s="100">
        <v>3274</v>
      </c>
    </row>
    <row r="2893" spans="2:7">
      <c r="B2893" s="118" t="s">
        <v>2385</v>
      </c>
      <c r="C2893" s="119">
        <v>2613</v>
      </c>
      <c r="E2893" s="96" t="s">
        <v>2391</v>
      </c>
      <c r="F2893" s="96" t="s">
        <v>164</v>
      </c>
      <c r="G2893" s="100">
        <v>3096</v>
      </c>
    </row>
    <row r="2894" spans="2:7">
      <c r="B2894" s="118" t="s">
        <v>2896</v>
      </c>
      <c r="C2894" s="119">
        <v>2535</v>
      </c>
      <c r="E2894" s="96" t="s">
        <v>2392</v>
      </c>
      <c r="F2894" s="96" t="s">
        <v>164</v>
      </c>
      <c r="G2894" s="100">
        <v>3763</v>
      </c>
    </row>
    <row r="2895" spans="2:7">
      <c r="B2895" s="118" t="s">
        <v>2898</v>
      </c>
      <c r="C2895" s="119">
        <v>2536</v>
      </c>
      <c r="E2895" s="96" t="s">
        <v>2393</v>
      </c>
      <c r="F2895" s="96" t="s">
        <v>164</v>
      </c>
      <c r="G2895" s="100">
        <v>3263</v>
      </c>
    </row>
    <row r="2896" spans="2:7">
      <c r="B2896" s="118" t="s">
        <v>2906</v>
      </c>
      <c r="C2896" s="119">
        <v>2537</v>
      </c>
      <c r="E2896" s="96" t="s">
        <v>2394</v>
      </c>
      <c r="F2896" s="96" t="s">
        <v>164</v>
      </c>
      <c r="G2896" s="100">
        <v>3237</v>
      </c>
    </row>
    <row r="2897" spans="2:7">
      <c r="B2897" s="118" t="s">
        <v>2896</v>
      </c>
      <c r="C2897" s="119">
        <v>2535</v>
      </c>
      <c r="E2897" s="96" t="s">
        <v>2395</v>
      </c>
      <c r="F2897" s="96" t="s">
        <v>164</v>
      </c>
      <c r="G2897" s="100">
        <v>3298</v>
      </c>
    </row>
    <row r="2898" spans="2:7">
      <c r="B2898" s="118" t="s">
        <v>2900</v>
      </c>
      <c r="C2898" s="119">
        <v>2603</v>
      </c>
      <c r="E2898" s="96" t="s">
        <v>2396</v>
      </c>
      <c r="F2898" s="96" t="s">
        <v>164</v>
      </c>
      <c r="G2898" s="100">
        <v>3295</v>
      </c>
    </row>
    <row r="2899" spans="2:7">
      <c r="B2899" s="118" t="s">
        <v>2907</v>
      </c>
      <c r="C2899" s="119">
        <v>2604</v>
      </c>
      <c r="E2899" s="96" t="s">
        <v>2397</v>
      </c>
      <c r="F2899" s="96" t="s">
        <v>164</v>
      </c>
      <c r="G2899" s="100">
        <v>3663</v>
      </c>
    </row>
    <row r="2900" spans="2:7">
      <c r="B2900" s="118" t="s">
        <v>2296</v>
      </c>
      <c r="C2900" s="119">
        <v>2732</v>
      </c>
      <c r="E2900" s="96" t="s">
        <v>2398</v>
      </c>
      <c r="F2900" s="96" t="s">
        <v>164</v>
      </c>
      <c r="G2900" s="100">
        <v>3782</v>
      </c>
    </row>
    <row r="2901" spans="2:7">
      <c r="B2901" s="118" t="s">
        <v>2908</v>
      </c>
      <c r="C2901" s="119">
        <v>2735</v>
      </c>
      <c r="E2901" s="96" t="s">
        <v>2399</v>
      </c>
      <c r="F2901" s="96" t="s">
        <v>164</v>
      </c>
      <c r="G2901" s="100">
        <v>3633</v>
      </c>
    </row>
    <row r="2902" spans="2:7">
      <c r="B2902" s="118" t="s">
        <v>2428</v>
      </c>
      <c r="C2902" s="119">
        <v>3237</v>
      </c>
      <c r="E2902" s="96" t="s">
        <v>2400</v>
      </c>
      <c r="F2902" s="96" t="s">
        <v>164</v>
      </c>
      <c r="G2902" s="100">
        <v>2606</v>
      </c>
    </row>
    <row r="2903" spans="2:7">
      <c r="B2903" s="118" t="s">
        <v>2252</v>
      </c>
      <c r="C2903" s="119">
        <v>3232</v>
      </c>
      <c r="E2903" s="96" t="s">
        <v>2401</v>
      </c>
      <c r="F2903" s="96" t="s">
        <v>164</v>
      </c>
      <c r="G2903" s="100">
        <v>3238</v>
      </c>
    </row>
    <row r="2904" spans="2:7">
      <c r="B2904" s="118" t="s">
        <v>2461</v>
      </c>
      <c r="C2904" s="119">
        <v>3233</v>
      </c>
      <c r="E2904" s="96" t="s">
        <v>2402</v>
      </c>
      <c r="F2904" s="96" t="s">
        <v>164</v>
      </c>
      <c r="G2904" s="100">
        <v>3755</v>
      </c>
    </row>
    <row r="2905" spans="2:7">
      <c r="B2905" s="118" t="s">
        <v>2335</v>
      </c>
      <c r="C2905" s="119">
        <v>3235</v>
      </c>
      <c r="E2905" s="96" t="s">
        <v>2403</v>
      </c>
      <c r="F2905" s="96" t="s">
        <v>164</v>
      </c>
      <c r="G2905" s="100">
        <v>3617</v>
      </c>
    </row>
    <row r="2906" spans="2:7">
      <c r="B2906" s="118" t="s">
        <v>2438</v>
      </c>
      <c r="C2906" s="119">
        <v>2577</v>
      </c>
      <c r="E2906" s="96" t="s">
        <v>2404</v>
      </c>
      <c r="F2906" s="96" t="s">
        <v>164</v>
      </c>
      <c r="G2906" s="100">
        <v>3716</v>
      </c>
    </row>
    <row r="2907" spans="2:7">
      <c r="B2907" s="118" t="s">
        <v>1356</v>
      </c>
      <c r="C2907" s="119">
        <v>2525</v>
      </c>
      <c r="E2907" s="96" t="s">
        <v>2405</v>
      </c>
      <c r="F2907" s="96" t="s">
        <v>164</v>
      </c>
      <c r="G2907" s="100">
        <v>3634</v>
      </c>
    </row>
    <row r="2908" spans="2:7">
      <c r="B2908" s="118" t="s">
        <v>2335</v>
      </c>
      <c r="C2908" s="119">
        <v>3235</v>
      </c>
      <c r="E2908" s="96" t="s">
        <v>2406</v>
      </c>
      <c r="F2908" s="96" t="s">
        <v>164</v>
      </c>
      <c r="G2908" s="100">
        <v>2513</v>
      </c>
    </row>
    <row r="2909" spans="2:7">
      <c r="B2909" s="118" t="s">
        <v>2401</v>
      </c>
      <c r="C2909" s="119">
        <v>3238</v>
      </c>
      <c r="E2909" s="96" t="s">
        <v>2407</v>
      </c>
      <c r="F2909" s="96" t="s">
        <v>164</v>
      </c>
      <c r="G2909" s="100">
        <v>3531</v>
      </c>
    </row>
    <row r="2910" spans="2:7">
      <c r="B2910" s="118" t="s">
        <v>2382</v>
      </c>
      <c r="C2910" s="119">
        <v>3236</v>
      </c>
      <c r="E2910" s="96" t="s">
        <v>2408</v>
      </c>
      <c r="F2910" s="96" t="s">
        <v>164</v>
      </c>
      <c r="G2910" s="100">
        <v>4955</v>
      </c>
    </row>
    <row r="2911" spans="2:7">
      <c r="B2911" s="118" t="s">
        <v>2252</v>
      </c>
      <c r="C2911" s="119">
        <v>3232</v>
      </c>
      <c r="E2911" s="96" t="s">
        <v>2409</v>
      </c>
      <c r="F2911" s="96" t="s">
        <v>164</v>
      </c>
      <c r="G2911" s="100">
        <v>2607</v>
      </c>
    </row>
    <row r="2912" spans="2:7">
      <c r="B2912" s="118" t="s">
        <v>2382</v>
      </c>
      <c r="C2912" s="119">
        <v>3236</v>
      </c>
      <c r="E2912" s="96" t="s">
        <v>2410</v>
      </c>
      <c r="F2912" s="96" t="s">
        <v>164</v>
      </c>
      <c r="G2912" s="100">
        <v>3368</v>
      </c>
    </row>
    <row r="2913" spans="2:7">
      <c r="B2913" s="118" t="s">
        <v>2566</v>
      </c>
      <c r="C2913" s="119">
        <v>2575</v>
      </c>
      <c r="E2913" s="96" t="s">
        <v>2411</v>
      </c>
      <c r="F2913" s="96" t="s">
        <v>164</v>
      </c>
      <c r="G2913" s="100">
        <v>3635</v>
      </c>
    </row>
    <row r="2914" spans="2:7">
      <c r="B2914" s="118" t="s">
        <v>2440</v>
      </c>
      <c r="C2914" s="119">
        <v>2576</v>
      </c>
      <c r="E2914" s="96" t="s">
        <v>2412</v>
      </c>
      <c r="F2914" s="96" t="s">
        <v>164</v>
      </c>
      <c r="G2914" s="100">
        <v>3625</v>
      </c>
    </row>
    <row r="2915" spans="2:7">
      <c r="B2915" s="118" t="s">
        <v>2338</v>
      </c>
      <c r="C2915" s="119">
        <v>3225</v>
      </c>
      <c r="E2915" s="96" t="s">
        <v>2413</v>
      </c>
      <c r="F2915" s="96" t="s">
        <v>164</v>
      </c>
      <c r="G2915" s="100">
        <v>4913</v>
      </c>
    </row>
    <row r="2916" spans="2:7">
      <c r="B2916" s="118" t="s">
        <v>2909</v>
      </c>
      <c r="C2916" s="119">
        <v>2577</v>
      </c>
      <c r="E2916" s="96" t="s">
        <v>2414</v>
      </c>
      <c r="F2916" s="96" t="s">
        <v>164</v>
      </c>
      <c r="G2916" s="100">
        <v>2556</v>
      </c>
    </row>
    <row r="2917" spans="2:7">
      <c r="B2917" s="118" t="s">
        <v>2468</v>
      </c>
      <c r="C2917" s="119">
        <v>3226</v>
      </c>
      <c r="E2917" s="96" t="s">
        <v>2415</v>
      </c>
      <c r="F2917" s="96" t="s">
        <v>164</v>
      </c>
      <c r="G2917" s="100">
        <v>2565</v>
      </c>
    </row>
    <row r="2918" spans="2:7">
      <c r="B2918" s="118" t="s">
        <v>2461</v>
      </c>
      <c r="C2918" s="119">
        <v>3233</v>
      </c>
      <c r="E2918" s="96" t="s">
        <v>2416</v>
      </c>
      <c r="F2918" s="96" t="s">
        <v>164</v>
      </c>
      <c r="G2918" s="100">
        <v>3629</v>
      </c>
    </row>
    <row r="2919" spans="2:7">
      <c r="B2919" s="118" t="s">
        <v>2440</v>
      </c>
      <c r="C2919" s="119">
        <v>2576</v>
      </c>
      <c r="E2919" s="96" t="s">
        <v>2417</v>
      </c>
      <c r="F2919" s="96" t="s">
        <v>164</v>
      </c>
      <c r="G2919" s="100">
        <v>3804</v>
      </c>
    </row>
    <row r="2920" spans="2:7">
      <c r="B2920" s="118" t="s">
        <v>2394</v>
      </c>
      <c r="C2920" s="119">
        <v>3234</v>
      </c>
      <c r="E2920" s="96" t="s">
        <v>2418</v>
      </c>
      <c r="F2920" s="96" t="s">
        <v>164</v>
      </c>
      <c r="G2920" s="100">
        <v>3366</v>
      </c>
    </row>
    <row r="2921" spans="2:7">
      <c r="B2921" s="118" t="s">
        <v>2910</v>
      </c>
      <c r="C2921" s="119">
        <v>3314</v>
      </c>
      <c r="E2921" s="96" t="s">
        <v>2419</v>
      </c>
      <c r="F2921" s="96" t="s">
        <v>164</v>
      </c>
      <c r="G2921" s="100">
        <v>3532</v>
      </c>
    </row>
    <row r="2922" spans="2:7">
      <c r="B2922" s="118" t="s">
        <v>2260</v>
      </c>
      <c r="C2922" s="119">
        <v>3315</v>
      </c>
      <c r="E2922" s="96" t="s">
        <v>2420</v>
      </c>
      <c r="F2922" s="96" t="s">
        <v>164</v>
      </c>
      <c r="G2922" s="100">
        <v>3434</v>
      </c>
    </row>
    <row r="2923" spans="2:7">
      <c r="B2923" s="118" t="s">
        <v>2911</v>
      </c>
      <c r="C2923" s="119">
        <v>3315</v>
      </c>
      <c r="E2923" s="96" t="s">
        <v>2421</v>
      </c>
      <c r="F2923" s="96" t="s">
        <v>164</v>
      </c>
      <c r="G2923" s="100">
        <v>2732</v>
      </c>
    </row>
    <row r="2924" spans="2:7">
      <c r="B2924" s="118" t="s">
        <v>2052</v>
      </c>
      <c r="C2924" s="119">
        <v>4573</v>
      </c>
      <c r="E2924" s="96" t="s">
        <v>2422</v>
      </c>
      <c r="F2924" s="96" t="s">
        <v>164</v>
      </c>
      <c r="G2924" s="100">
        <v>3251</v>
      </c>
    </row>
    <row r="2925" spans="2:7">
      <c r="B2925" s="118" t="s">
        <v>2912</v>
      </c>
      <c r="C2925" s="119">
        <v>3053</v>
      </c>
      <c r="E2925" s="96" t="s">
        <v>2423</v>
      </c>
      <c r="F2925" s="96" t="s">
        <v>164</v>
      </c>
      <c r="G2925" s="100">
        <v>3504</v>
      </c>
    </row>
    <row r="2926" spans="2:7">
      <c r="B2926" s="118" t="s">
        <v>2913</v>
      </c>
      <c r="C2926" s="119">
        <v>3306</v>
      </c>
      <c r="E2926" s="96" t="s">
        <v>2424</v>
      </c>
      <c r="F2926" s="96" t="s">
        <v>164</v>
      </c>
      <c r="G2926" s="100">
        <v>3375</v>
      </c>
    </row>
    <row r="2927" spans="2:7">
      <c r="B2927" s="118" t="s">
        <v>2914</v>
      </c>
      <c r="C2927" s="119">
        <v>3308</v>
      </c>
      <c r="E2927" s="96" t="s">
        <v>2425</v>
      </c>
      <c r="F2927" s="96" t="s">
        <v>164</v>
      </c>
      <c r="G2927" s="100">
        <v>3855</v>
      </c>
    </row>
    <row r="2928" spans="2:7">
      <c r="B2928" s="118" t="s">
        <v>2915</v>
      </c>
      <c r="C2928" s="119">
        <v>3309</v>
      </c>
      <c r="E2928" s="96" t="s">
        <v>2426</v>
      </c>
      <c r="F2928" s="96" t="s">
        <v>164</v>
      </c>
      <c r="G2928" s="100">
        <v>3377</v>
      </c>
    </row>
    <row r="2929" spans="2:7">
      <c r="B2929" s="118" t="s">
        <v>2223</v>
      </c>
      <c r="C2929" s="119">
        <v>3312</v>
      </c>
      <c r="E2929" s="96" t="s">
        <v>2427</v>
      </c>
      <c r="F2929" s="96" t="s">
        <v>164</v>
      </c>
      <c r="G2929" s="100">
        <v>3671</v>
      </c>
    </row>
    <row r="2930" spans="2:7">
      <c r="B2930" s="118" t="s">
        <v>2916</v>
      </c>
      <c r="C2930" s="119">
        <v>3313</v>
      </c>
      <c r="E2930" s="96" t="s">
        <v>2428</v>
      </c>
      <c r="F2930" s="96" t="s">
        <v>164</v>
      </c>
      <c r="G2930" s="100">
        <v>3237</v>
      </c>
    </row>
    <row r="2931" spans="2:7">
      <c r="B2931" s="118" t="s">
        <v>2910</v>
      </c>
      <c r="C2931" s="119">
        <v>3314</v>
      </c>
      <c r="E2931" s="96" t="s">
        <v>2429</v>
      </c>
      <c r="F2931" s="96" t="s">
        <v>164</v>
      </c>
      <c r="G2931" s="100">
        <v>3112</v>
      </c>
    </row>
    <row r="2932" spans="2:7">
      <c r="B2932" s="118" t="s">
        <v>2917</v>
      </c>
      <c r="C2932" s="119">
        <v>3317</v>
      </c>
      <c r="E2932" s="96" t="s">
        <v>2430</v>
      </c>
      <c r="F2932" s="96" t="s">
        <v>164</v>
      </c>
      <c r="G2932" s="100">
        <v>3473</v>
      </c>
    </row>
    <row r="2933" spans="2:7">
      <c r="B2933" s="118" t="s">
        <v>2918</v>
      </c>
      <c r="C2933" s="119">
        <v>3317</v>
      </c>
      <c r="E2933" s="96" t="s">
        <v>2431</v>
      </c>
      <c r="F2933" s="96" t="s">
        <v>164</v>
      </c>
      <c r="G2933" s="100">
        <v>2577</v>
      </c>
    </row>
    <row r="2934" spans="2:7">
      <c r="B2934" s="118" t="s">
        <v>2886</v>
      </c>
      <c r="C2934" s="119">
        <v>3422</v>
      </c>
      <c r="E2934" s="96" t="s">
        <v>2432</v>
      </c>
      <c r="F2934" s="96" t="s">
        <v>164</v>
      </c>
      <c r="G2934" s="100">
        <v>3322</v>
      </c>
    </row>
    <row r="2935" spans="2:7">
      <c r="B2935" s="118" t="s">
        <v>2215</v>
      </c>
      <c r="C2935" s="119">
        <v>3303</v>
      </c>
      <c r="E2935" s="96" t="s">
        <v>2433</v>
      </c>
      <c r="F2935" s="96" t="s">
        <v>164</v>
      </c>
      <c r="G2935" s="100">
        <v>3054</v>
      </c>
    </row>
    <row r="2936" spans="2:7">
      <c r="B2936" s="118" t="s">
        <v>2919</v>
      </c>
      <c r="C2936" s="119">
        <v>3303</v>
      </c>
      <c r="E2936" s="96" t="s">
        <v>2434</v>
      </c>
      <c r="F2936" s="96" t="s">
        <v>164</v>
      </c>
      <c r="G2936" s="100">
        <v>2514</v>
      </c>
    </row>
    <row r="2937" spans="2:7">
      <c r="B2937" s="118" t="s">
        <v>2920</v>
      </c>
      <c r="C2937" s="119">
        <v>3303</v>
      </c>
      <c r="E2937" s="96" t="s">
        <v>2435</v>
      </c>
      <c r="F2937" s="96" t="s">
        <v>164</v>
      </c>
      <c r="G2937" s="100">
        <v>4933</v>
      </c>
    </row>
    <row r="2938" spans="2:7">
      <c r="B2938" s="118" t="s">
        <v>2921</v>
      </c>
      <c r="C2938" s="119">
        <v>3305</v>
      </c>
      <c r="E2938" s="96" t="s">
        <v>2436</v>
      </c>
      <c r="F2938" s="96" t="s">
        <v>164</v>
      </c>
      <c r="G2938" s="100">
        <v>3367</v>
      </c>
    </row>
    <row r="2939" spans="2:7">
      <c r="B2939" s="118" t="s">
        <v>2462</v>
      </c>
      <c r="C2939" s="119">
        <v>3305</v>
      </c>
      <c r="E2939" s="96" t="s">
        <v>2437</v>
      </c>
      <c r="F2939" s="96" t="s">
        <v>164</v>
      </c>
      <c r="G2939" s="100">
        <v>3860</v>
      </c>
    </row>
    <row r="2940" spans="2:7">
      <c r="B2940" s="118" t="s">
        <v>2211</v>
      </c>
      <c r="C2940" s="119">
        <v>3322</v>
      </c>
      <c r="E2940" s="96" t="s">
        <v>2438</v>
      </c>
      <c r="F2940" s="96" t="s">
        <v>164</v>
      </c>
      <c r="G2940" s="100">
        <v>2577</v>
      </c>
    </row>
    <row r="2941" spans="2:7">
      <c r="B2941" s="118" t="s">
        <v>2432</v>
      </c>
      <c r="C2941" s="119">
        <v>3322</v>
      </c>
      <c r="E2941" s="96" t="s">
        <v>2439</v>
      </c>
      <c r="F2941" s="96" t="s">
        <v>164</v>
      </c>
      <c r="G2941" s="100">
        <v>4944</v>
      </c>
    </row>
    <row r="2942" spans="2:7">
      <c r="B2942" s="118" t="s">
        <v>2200</v>
      </c>
      <c r="C2942" s="119">
        <v>3053</v>
      </c>
      <c r="E2942" s="96" t="s">
        <v>2440</v>
      </c>
      <c r="F2942" s="96" t="s">
        <v>164</v>
      </c>
      <c r="G2942" s="100">
        <v>2576</v>
      </c>
    </row>
    <row r="2943" spans="2:7">
      <c r="B2943" s="118" t="s">
        <v>2239</v>
      </c>
      <c r="C2943" s="119">
        <v>3302</v>
      </c>
      <c r="E2943" s="96" t="s">
        <v>2441</v>
      </c>
      <c r="F2943" s="96" t="s">
        <v>164</v>
      </c>
      <c r="G2943" s="100">
        <v>2333</v>
      </c>
    </row>
    <row r="2944" spans="2:7">
      <c r="B2944" s="118" t="s">
        <v>2211</v>
      </c>
      <c r="C2944" s="119">
        <v>3322</v>
      </c>
      <c r="E2944" s="96" t="s">
        <v>2442</v>
      </c>
      <c r="F2944" s="96" t="s">
        <v>164</v>
      </c>
      <c r="G2944" s="100">
        <v>3309</v>
      </c>
    </row>
    <row r="2945" spans="2:7">
      <c r="B2945" s="118" t="s">
        <v>2199</v>
      </c>
      <c r="C2945" s="119">
        <v>3052</v>
      </c>
      <c r="E2945" s="96" t="s">
        <v>2443</v>
      </c>
      <c r="F2945" s="96" t="s">
        <v>164</v>
      </c>
      <c r="G2945" s="100">
        <v>3858</v>
      </c>
    </row>
    <row r="2946" spans="2:7">
      <c r="B2946" s="118" t="s">
        <v>2200</v>
      </c>
      <c r="C2946" s="119">
        <v>3053</v>
      </c>
      <c r="E2946" s="96" t="s">
        <v>2444</v>
      </c>
      <c r="F2946" s="96" t="s">
        <v>164</v>
      </c>
      <c r="G2946" s="100">
        <v>3622</v>
      </c>
    </row>
    <row r="2947" spans="2:7">
      <c r="B2947" s="118" t="s">
        <v>2922</v>
      </c>
      <c r="C2947" s="119">
        <v>3053</v>
      </c>
      <c r="E2947" s="96" t="s">
        <v>2445</v>
      </c>
      <c r="F2947" s="96" t="s">
        <v>164</v>
      </c>
      <c r="G2947" s="100">
        <v>2746</v>
      </c>
    </row>
    <row r="2948" spans="2:7">
      <c r="B2948" s="118" t="s">
        <v>2211</v>
      </c>
      <c r="C2948" s="119">
        <v>3322</v>
      </c>
      <c r="E2948" s="96" t="s">
        <v>2446</v>
      </c>
      <c r="F2948" s="96" t="s">
        <v>164</v>
      </c>
      <c r="G2948" s="100">
        <v>4911</v>
      </c>
    </row>
    <row r="2949" spans="2:7">
      <c r="B2949" s="118" t="s">
        <v>2233</v>
      </c>
      <c r="C2949" s="119">
        <v>3427</v>
      </c>
      <c r="E2949" s="96" t="s">
        <v>2447</v>
      </c>
      <c r="F2949" s="96" t="s">
        <v>164</v>
      </c>
      <c r="G2949" s="100">
        <v>1797</v>
      </c>
    </row>
    <row r="2950" spans="2:7">
      <c r="B2950" s="118" t="s">
        <v>2611</v>
      </c>
      <c r="C2950" s="119">
        <v>3053</v>
      </c>
      <c r="E2950" s="96" t="s">
        <v>2448</v>
      </c>
      <c r="F2950" s="96" t="s">
        <v>164</v>
      </c>
      <c r="G2950" s="100">
        <v>3087</v>
      </c>
    </row>
    <row r="2951" spans="2:7">
      <c r="B2951" s="118" t="s">
        <v>2233</v>
      </c>
      <c r="C2951" s="119">
        <v>3427</v>
      </c>
      <c r="E2951" s="96" t="s">
        <v>2449</v>
      </c>
      <c r="F2951" s="96" t="s">
        <v>164</v>
      </c>
      <c r="G2951" s="100">
        <v>3856</v>
      </c>
    </row>
    <row r="2952" spans="2:7">
      <c r="B2952" s="118" t="s">
        <v>2923</v>
      </c>
      <c r="C2952" s="119">
        <v>3428</v>
      </c>
      <c r="E2952" s="96" t="s">
        <v>2450</v>
      </c>
      <c r="F2952" s="96" t="s">
        <v>164</v>
      </c>
      <c r="G2952" s="100">
        <v>3619</v>
      </c>
    </row>
    <row r="2953" spans="2:7">
      <c r="B2953" s="118" t="s">
        <v>2614</v>
      </c>
      <c r="C2953" s="119">
        <v>4564</v>
      </c>
      <c r="E2953" s="96" t="s">
        <v>2451</v>
      </c>
      <c r="F2953" s="96" t="s">
        <v>164</v>
      </c>
      <c r="G2953" s="100">
        <v>3671</v>
      </c>
    </row>
    <row r="2954" spans="2:7">
      <c r="B2954" s="118" t="s">
        <v>2924</v>
      </c>
      <c r="C2954" s="119">
        <v>3303</v>
      </c>
      <c r="E2954" s="96" t="s">
        <v>2452</v>
      </c>
      <c r="F2954" s="96" t="s">
        <v>164</v>
      </c>
      <c r="G2954" s="100">
        <v>4539</v>
      </c>
    </row>
    <row r="2955" spans="2:7">
      <c r="B2955" s="118" t="s">
        <v>2254</v>
      </c>
      <c r="C2955" s="119">
        <v>3715</v>
      </c>
      <c r="E2955" s="96" t="s">
        <v>2453</v>
      </c>
      <c r="F2955" s="96" t="s">
        <v>164</v>
      </c>
      <c r="G2955" s="100">
        <v>2612</v>
      </c>
    </row>
    <row r="2956" spans="2:7">
      <c r="B2956" s="118" t="s">
        <v>2925</v>
      </c>
      <c r="C2956" s="119">
        <v>3725</v>
      </c>
      <c r="E2956" s="96" t="s">
        <v>2454</v>
      </c>
      <c r="F2956" s="96" t="s">
        <v>164</v>
      </c>
      <c r="G2956" s="100">
        <v>3854</v>
      </c>
    </row>
    <row r="2957" spans="2:7">
      <c r="B2957" s="118" t="s">
        <v>2926</v>
      </c>
      <c r="C2957" s="119">
        <v>3702</v>
      </c>
      <c r="E2957" s="96" t="s">
        <v>2455</v>
      </c>
      <c r="F2957" s="96" t="s">
        <v>164</v>
      </c>
      <c r="G2957" s="100">
        <v>3618</v>
      </c>
    </row>
    <row r="2958" spans="2:7">
      <c r="B2958" s="118" t="s">
        <v>2927</v>
      </c>
      <c r="C2958" s="119">
        <v>3703</v>
      </c>
      <c r="E2958" s="96" t="s">
        <v>2456</v>
      </c>
      <c r="F2958" s="96" t="s">
        <v>164</v>
      </c>
      <c r="G2958" s="100">
        <v>3510</v>
      </c>
    </row>
    <row r="2959" spans="2:7">
      <c r="B2959" s="118" t="s">
        <v>2928</v>
      </c>
      <c r="C2959" s="119">
        <v>3703</v>
      </c>
      <c r="E2959" s="96" t="s">
        <v>2457</v>
      </c>
      <c r="F2959" s="96" t="s">
        <v>164</v>
      </c>
      <c r="G2959" s="100">
        <v>2742</v>
      </c>
    </row>
    <row r="2960" spans="2:7">
      <c r="B2960" s="118" t="s">
        <v>2364</v>
      </c>
      <c r="C2960" s="119">
        <v>3704</v>
      </c>
      <c r="E2960" s="96" t="s">
        <v>2458</v>
      </c>
      <c r="F2960" s="96" t="s">
        <v>164</v>
      </c>
      <c r="G2960" s="100">
        <v>3179</v>
      </c>
    </row>
    <row r="2961" spans="2:7">
      <c r="B2961" s="118" t="s">
        <v>2929</v>
      </c>
      <c r="C2961" s="119">
        <v>3711</v>
      </c>
      <c r="E2961" s="96" t="s">
        <v>2459</v>
      </c>
      <c r="F2961" s="96" t="s">
        <v>164</v>
      </c>
      <c r="G2961" s="100">
        <v>2556</v>
      </c>
    </row>
    <row r="2962" spans="2:7">
      <c r="B2962" s="118" t="s">
        <v>2930</v>
      </c>
      <c r="C2962" s="119">
        <v>3711</v>
      </c>
      <c r="E2962" s="96" t="s">
        <v>2460</v>
      </c>
      <c r="F2962" s="96" t="s">
        <v>164</v>
      </c>
      <c r="G2962" s="100">
        <v>4944</v>
      </c>
    </row>
    <row r="2963" spans="2:7">
      <c r="B2963" s="118" t="s">
        <v>2250</v>
      </c>
      <c r="C2963" s="119">
        <v>3713</v>
      </c>
      <c r="E2963" s="96" t="s">
        <v>2461</v>
      </c>
      <c r="F2963" s="96" t="s">
        <v>164</v>
      </c>
      <c r="G2963" s="100">
        <v>3233</v>
      </c>
    </row>
    <row r="2964" spans="2:7">
      <c r="B2964" s="118" t="s">
        <v>2205</v>
      </c>
      <c r="C2964" s="119">
        <v>3714</v>
      </c>
      <c r="E2964" s="96" t="s">
        <v>2462</v>
      </c>
      <c r="F2964" s="96" t="s">
        <v>164</v>
      </c>
      <c r="G2964" s="100">
        <v>3305</v>
      </c>
    </row>
    <row r="2965" spans="2:7">
      <c r="B2965" s="118" t="s">
        <v>2254</v>
      </c>
      <c r="C2965" s="119">
        <v>3715</v>
      </c>
      <c r="E2965" s="96" t="s">
        <v>2463</v>
      </c>
      <c r="F2965" s="96" t="s">
        <v>164</v>
      </c>
      <c r="G2965" s="100">
        <v>3807</v>
      </c>
    </row>
    <row r="2966" spans="2:7">
      <c r="B2966" s="118" t="s">
        <v>2404</v>
      </c>
      <c r="C2966" s="119">
        <v>3716</v>
      </c>
      <c r="E2966" s="96" t="s">
        <v>2464</v>
      </c>
      <c r="F2966" s="96" t="s">
        <v>164</v>
      </c>
      <c r="G2966" s="100">
        <v>3128</v>
      </c>
    </row>
    <row r="2967" spans="2:7">
      <c r="B2967" s="118" t="s">
        <v>2931</v>
      </c>
      <c r="C2967" s="119">
        <v>3724</v>
      </c>
      <c r="E2967" s="96" t="s">
        <v>2465</v>
      </c>
      <c r="F2967" s="96" t="s">
        <v>164</v>
      </c>
      <c r="G2967" s="100">
        <v>3374</v>
      </c>
    </row>
    <row r="2968" spans="2:7">
      <c r="B2968" s="118" t="s">
        <v>2925</v>
      </c>
      <c r="C2968" s="119">
        <v>3725</v>
      </c>
      <c r="E2968" s="96" t="s">
        <v>2466</v>
      </c>
      <c r="F2968" s="96" t="s">
        <v>164</v>
      </c>
      <c r="G2968" s="100">
        <v>3707</v>
      </c>
    </row>
    <row r="2969" spans="2:7">
      <c r="B2969" s="118" t="s">
        <v>2404</v>
      </c>
      <c r="C2969" s="119">
        <v>3716</v>
      </c>
      <c r="E2969" s="96" t="s">
        <v>2467</v>
      </c>
      <c r="F2969" s="96" t="s">
        <v>164</v>
      </c>
      <c r="G2969" s="100">
        <v>3177</v>
      </c>
    </row>
    <row r="2970" spans="2:7">
      <c r="B2970" s="118" t="s">
        <v>2932</v>
      </c>
      <c r="C2970" s="119">
        <v>3717</v>
      </c>
      <c r="E2970" s="96" t="s">
        <v>2468</v>
      </c>
      <c r="F2970" s="96" t="s">
        <v>164</v>
      </c>
      <c r="G2970" s="100">
        <v>3226</v>
      </c>
    </row>
    <row r="2971" spans="2:7">
      <c r="B2971" s="118" t="s">
        <v>2346</v>
      </c>
      <c r="C2971" s="119">
        <v>3718</v>
      </c>
      <c r="E2971" s="96" t="s">
        <v>2469</v>
      </c>
      <c r="F2971" s="96" t="s">
        <v>164</v>
      </c>
      <c r="G2971" s="100">
        <v>4924</v>
      </c>
    </row>
    <row r="2972" spans="2:7">
      <c r="B2972" s="118" t="s">
        <v>2364</v>
      </c>
      <c r="C2972" s="119">
        <v>3704</v>
      </c>
      <c r="E2972" s="96" t="s">
        <v>182</v>
      </c>
      <c r="F2972" s="96" t="s">
        <v>183</v>
      </c>
      <c r="G2972" s="100">
        <v>1000</v>
      </c>
    </row>
    <row r="2973" spans="2:7">
      <c r="B2973" s="118" t="s">
        <v>2933</v>
      </c>
      <c r="C2973" s="119">
        <v>3705</v>
      </c>
      <c r="E2973" s="96" t="s">
        <v>185</v>
      </c>
      <c r="F2973" s="96" t="s">
        <v>183</v>
      </c>
      <c r="G2973" s="100">
        <v>1400</v>
      </c>
    </row>
    <row r="2974" spans="2:7">
      <c r="B2974" s="118" t="s">
        <v>2930</v>
      </c>
      <c r="C2974" s="119">
        <v>3711</v>
      </c>
      <c r="E2974" s="96" t="s">
        <v>186</v>
      </c>
      <c r="F2974" s="96" t="s">
        <v>183</v>
      </c>
      <c r="G2974" s="100">
        <v>1820</v>
      </c>
    </row>
    <row r="2975" spans="2:7">
      <c r="B2975" s="118" t="s">
        <v>2250</v>
      </c>
      <c r="C2975" s="119">
        <v>3713</v>
      </c>
      <c r="E2975" s="96" t="s">
        <v>187</v>
      </c>
      <c r="F2975" s="96" t="s">
        <v>183</v>
      </c>
      <c r="G2975" s="100">
        <v>1020</v>
      </c>
    </row>
    <row r="2976" spans="2:7">
      <c r="B2976" s="118" t="s">
        <v>2934</v>
      </c>
      <c r="C2976" s="119">
        <v>3714</v>
      </c>
      <c r="E2976" s="96" t="s">
        <v>188</v>
      </c>
      <c r="F2976" s="96" t="s">
        <v>183</v>
      </c>
      <c r="G2976" s="100">
        <v>1260</v>
      </c>
    </row>
    <row r="2977" spans="2:7">
      <c r="B2977" s="118" t="s">
        <v>2935</v>
      </c>
      <c r="C2977" s="119">
        <v>3722</v>
      </c>
      <c r="E2977" s="96" t="s">
        <v>190</v>
      </c>
      <c r="F2977" s="96" t="s">
        <v>183</v>
      </c>
      <c r="G2977" s="100">
        <v>1800</v>
      </c>
    </row>
    <row r="2978" spans="2:7">
      <c r="B2978" s="118" t="s">
        <v>2936</v>
      </c>
      <c r="C2978" s="119">
        <v>3723</v>
      </c>
      <c r="E2978" s="96" t="s">
        <v>191</v>
      </c>
      <c r="F2978" s="96" t="s">
        <v>183</v>
      </c>
      <c r="G2978" s="100">
        <v>1009</v>
      </c>
    </row>
    <row r="2979" spans="2:7">
      <c r="B2979" s="118" t="s">
        <v>2937</v>
      </c>
      <c r="C2979" s="119">
        <v>3800</v>
      </c>
      <c r="E2979" s="96" t="s">
        <v>192</v>
      </c>
      <c r="F2979" s="96" t="s">
        <v>183</v>
      </c>
      <c r="G2979" s="100">
        <v>1110</v>
      </c>
    </row>
    <row r="2980" spans="2:7">
      <c r="B2980" s="118" t="s">
        <v>2355</v>
      </c>
      <c r="C2980" s="119">
        <v>3803</v>
      </c>
      <c r="E2980" s="96" t="s">
        <v>193</v>
      </c>
      <c r="F2980" s="96" t="s">
        <v>183</v>
      </c>
      <c r="G2980" s="100">
        <v>1196</v>
      </c>
    </row>
    <row r="2981" spans="2:7">
      <c r="B2981" s="118" t="s">
        <v>2216</v>
      </c>
      <c r="C2981" s="119">
        <v>3800</v>
      </c>
      <c r="E2981" s="96" t="s">
        <v>194</v>
      </c>
      <c r="F2981" s="96" t="s">
        <v>183</v>
      </c>
      <c r="G2981" s="100">
        <v>1024</v>
      </c>
    </row>
    <row r="2982" spans="2:7">
      <c r="B2982" s="118" t="s">
        <v>2938</v>
      </c>
      <c r="C2982" s="119">
        <v>3806</v>
      </c>
      <c r="E2982" s="96" t="s">
        <v>195</v>
      </c>
      <c r="F2982" s="96" t="s">
        <v>183</v>
      </c>
      <c r="G2982" s="100">
        <v>1008</v>
      </c>
    </row>
    <row r="2983" spans="2:7">
      <c r="B2983" s="118" t="s">
        <v>2939</v>
      </c>
      <c r="C2983" s="119">
        <v>3855</v>
      </c>
      <c r="E2983" s="96" t="s">
        <v>196</v>
      </c>
      <c r="F2983" s="96" t="s">
        <v>183</v>
      </c>
      <c r="G2983" s="100">
        <v>1814</v>
      </c>
    </row>
    <row r="2984" spans="2:7">
      <c r="B2984" s="118" t="s">
        <v>2940</v>
      </c>
      <c r="C2984" s="119">
        <v>3855</v>
      </c>
      <c r="E2984" s="96" t="s">
        <v>197</v>
      </c>
      <c r="F2984" s="96" t="s">
        <v>183</v>
      </c>
      <c r="G2984" s="100">
        <v>1860</v>
      </c>
    </row>
    <row r="2985" spans="2:7">
      <c r="B2985" s="118" t="s">
        <v>2449</v>
      </c>
      <c r="C2985" s="119">
        <v>3856</v>
      </c>
      <c r="E2985" s="96" t="s">
        <v>198</v>
      </c>
      <c r="F2985" s="96" t="s">
        <v>183</v>
      </c>
      <c r="G2985" s="100">
        <v>1095</v>
      </c>
    </row>
    <row r="2986" spans="2:7">
      <c r="B2986" s="118" t="s">
        <v>2227</v>
      </c>
      <c r="C2986" s="119">
        <v>3860</v>
      </c>
      <c r="E2986" s="96" t="s">
        <v>199</v>
      </c>
      <c r="F2986" s="96" t="s">
        <v>183</v>
      </c>
      <c r="G2986" s="100">
        <v>1530</v>
      </c>
    </row>
    <row r="2987" spans="2:7">
      <c r="B2987" s="118" t="s">
        <v>2370</v>
      </c>
      <c r="C2987" s="119">
        <v>3706</v>
      </c>
      <c r="E2987" s="96" t="s">
        <v>200</v>
      </c>
      <c r="F2987" s="96" t="s">
        <v>183</v>
      </c>
      <c r="G2987" s="100">
        <v>1066</v>
      </c>
    </row>
    <row r="2988" spans="2:7">
      <c r="B2988" s="118" t="s">
        <v>2466</v>
      </c>
      <c r="C2988" s="119">
        <v>3707</v>
      </c>
      <c r="E2988" s="96" t="s">
        <v>201</v>
      </c>
      <c r="F2988" s="96" t="s">
        <v>183</v>
      </c>
      <c r="G2988" s="100">
        <v>1030</v>
      </c>
    </row>
    <row r="2989" spans="2:7">
      <c r="B2989" s="118" t="s">
        <v>2579</v>
      </c>
      <c r="C2989" s="119">
        <v>3816</v>
      </c>
      <c r="E2989" s="96" t="s">
        <v>202</v>
      </c>
      <c r="F2989" s="96" t="s">
        <v>183</v>
      </c>
      <c r="G2989" s="100">
        <v>1052</v>
      </c>
    </row>
    <row r="2990" spans="2:7">
      <c r="B2990" s="118" t="s">
        <v>2941</v>
      </c>
      <c r="C2990" s="119">
        <v>3816</v>
      </c>
      <c r="E2990" s="96" t="s">
        <v>203</v>
      </c>
      <c r="F2990" s="96" t="s">
        <v>183</v>
      </c>
      <c r="G2990" s="100">
        <v>1023</v>
      </c>
    </row>
    <row r="2991" spans="2:7">
      <c r="B2991" s="118" t="s">
        <v>2245</v>
      </c>
      <c r="C2991" s="119">
        <v>3818</v>
      </c>
      <c r="E2991" s="96" t="s">
        <v>204</v>
      </c>
      <c r="F2991" s="96" t="s">
        <v>183</v>
      </c>
      <c r="G2991" s="100">
        <v>1880</v>
      </c>
    </row>
    <row r="2992" spans="2:7">
      <c r="B2992" s="118" t="s">
        <v>2942</v>
      </c>
      <c r="C2992" s="119">
        <v>3823</v>
      </c>
      <c r="E2992" s="96" t="s">
        <v>205</v>
      </c>
      <c r="F2992" s="96" t="s">
        <v>183</v>
      </c>
      <c r="G2992" s="100">
        <v>1022</v>
      </c>
    </row>
    <row r="2993" spans="2:7">
      <c r="B2993" s="118" t="s">
        <v>2275</v>
      </c>
      <c r="C2993" s="119">
        <v>3812</v>
      </c>
      <c r="E2993" s="96" t="s">
        <v>206</v>
      </c>
      <c r="F2993" s="96" t="s">
        <v>183</v>
      </c>
      <c r="G2993" s="100">
        <v>1867</v>
      </c>
    </row>
    <row r="2994" spans="2:7">
      <c r="B2994" s="118" t="s">
        <v>2562</v>
      </c>
      <c r="C2994" s="119">
        <v>3814</v>
      </c>
      <c r="E2994" s="96" t="s">
        <v>207</v>
      </c>
      <c r="F2994" s="96" t="s">
        <v>183</v>
      </c>
      <c r="G2994" s="100">
        <v>1350</v>
      </c>
    </row>
    <row r="2995" spans="2:7">
      <c r="B2995" s="118" t="s">
        <v>2275</v>
      </c>
      <c r="C2995" s="119">
        <v>3812</v>
      </c>
      <c r="E2995" s="96" t="s">
        <v>208</v>
      </c>
      <c r="F2995" s="96" t="s">
        <v>183</v>
      </c>
      <c r="G2995" s="100">
        <v>1180</v>
      </c>
    </row>
    <row r="2996" spans="2:7">
      <c r="B2996" s="118" t="s">
        <v>2943</v>
      </c>
      <c r="C2996" s="119">
        <v>3815</v>
      </c>
      <c r="E2996" s="96" t="s">
        <v>209</v>
      </c>
      <c r="F2996" s="96" t="s">
        <v>183</v>
      </c>
      <c r="G2996" s="100">
        <v>1807</v>
      </c>
    </row>
    <row r="2997" spans="2:7">
      <c r="B2997" s="118" t="s">
        <v>2565</v>
      </c>
      <c r="C2997" s="119">
        <v>3815</v>
      </c>
      <c r="E2997" s="96" t="s">
        <v>210</v>
      </c>
      <c r="F2997" s="96" t="s">
        <v>183</v>
      </c>
      <c r="G2997" s="100">
        <v>1510</v>
      </c>
    </row>
    <row r="2998" spans="2:7">
      <c r="B2998" s="118" t="s">
        <v>2417</v>
      </c>
      <c r="C2998" s="119">
        <v>3804</v>
      </c>
      <c r="E2998" s="96" t="s">
        <v>211</v>
      </c>
      <c r="F2998" s="96" t="s">
        <v>183</v>
      </c>
      <c r="G2998" s="100">
        <v>1040</v>
      </c>
    </row>
    <row r="2999" spans="2:7">
      <c r="B2999" s="118" t="s">
        <v>2389</v>
      </c>
      <c r="C2999" s="119">
        <v>6197</v>
      </c>
      <c r="E2999" s="96" t="s">
        <v>212</v>
      </c>
      <c r="F2999" s="96" t="s">
        <v>183</v>
      </c>
      <c r="G2999" s="100">
        <v>1162</v>
      </c>
    </row>
    <row r="3000" spans="2:7">
      <c r="B3000" s="118" t="s">
        <v>2944</v>
      </c>
      <c r="C3000" s="119">
        <v>3858</v>
      </c>
      <c r="E3000" s="96" t="s">
        <v>213</v>
      </c>
      <c r="F3000" s="96" t="s">
        <v>183</v>
      </c>
      <c r="G3000" s="100">
        <v>1844</v>
      </c>
    </row>
    <row r="3001" spans="2:7">
      <c r="B3001" s="118" t="s">
        <v>2216</v>
      </c>
      <c r="C3001" s="119">
        <v>3800</v>
      </c>
      <c r="E3001" s="96" t="s">
        <v>214</v>
      </c>
      <c r="F3001" s="96" t="s">
        <v>183</v>
      </c>
      <c r="G3001" s="100">
        <v>1610</v>
      </c>
    </row>
    <row r="3002" spans="2:7">
      <c r="B3002" s="118" t="s">
        <v>2463</v>
      </c>
      <c r="C3002" s="119">
        <v>3807</v>
      </c>
      <c r="E3002" s="96" t="s">
        <v>215</v>
      </c>
      <c r="F3002" s="96" t="s">
        <v>183</v>
      </c>
      <c r="G3002" s="100">
        <v>1028</v>
      </c>
    </row>
    <row r="3003" spans="2:7">
      <c r="B3003" s="118" t="s">
        <v>2945</v>
      </c>
      <c r="C3003" s="119">
        <v>3801</v>
      </c>
      <c r="E3003" s="96" t="s">
        <v>182</v>
      </c>
      <c r="F3003" s="96" t="s">
        <v>183</v>
      </c>
      <c r="G3003" s="100">
        <v>1000</v>
      </c>
    </row>
    <row r="3004" spans="2:7">
      <c r="B3004" s="118" t="s">
        <v>2292</v>
      </c>
      <c r="C3004" s="119">
        <v>3822</v>
      </c>
      <c r="E3004" s="96" t="s">
        <v>185</v>
      </c>
      <c r="F3004" s="96" t="s">
        <v>183</v>
      </c>
      <c r="G3004" s="100">
        <v>1400</v>
      </c>
    </row>
    <row r="3005" spans="2:7">
      <c r="B3005" s="118" t="s">
        <v>2946</v>
      </c>
      <c r="C3005" s="119">
        <v>3822</v>
      </c>
      <c r="E3005" s="96" t="s">
        <v>186</v>
      </c>
      <c r="F3005" s="96" t="s">
        <v>183</v>
      </c>
      <c r="G3005" s="100">
        <v>1820</v>
      </c>
    </row>
    <row r="3006" spans="2:7">
      <c r="B3006" s="118" t="s">
        <v>2947</v>
      </c>
      <c r="C3006" s="119">
        <v>3823</v>
      </c>
      <c r="E3006" s="96" t="s">
        <v>187</v>
      </c>
      <c r="F3006" s="96" t="s">
        <v>183</v>
      </c>
      <c r="G3006" s="100">
        <v>1020</v>
      </c>
    </row>
    <row r="3007" spans="2:7">
      <c r="B3007" s="118" t="s">
        <v>2942</v>
      </c>
      <c r="C3007" s="119">
        <v>3823</v>
      </c>
      <c r="E3007" s="96" t="s">
        <v>188</v>
      </c>
      <c r="F3007" s="96" t="s">
        <v>183</v>
      </c>
      <c r="G3007" s="100">
        <v>1260</v>
      </c>
    </row>
    <row r="3008" spans="2:7">
      <c r="B3008" s="118" t="s">
        <v>2948</v>
      </c>
      <c r="C3008" s="119">
        <v>3823</v>
      </c>
      <c r="E3008" s="96" t="s">
        <v>190</v>
      </c>
      <c r="F3008" s="96" t="s">
        <v>183</v>
      </c>
      <c r="G3008" s="100">
        <v>1800</v>
      </c>
    </row>
    <row r="3009" spans="2:7">
      <c r="B3009" s="118" t="s">
        <v>2949</v>
      </c>
      <c r="C3009" s="119">
        <v>3824</v>
      </c>
      <c r="E3009" s="96" t="s">
        <v>191</v>
      </c>
      <c r="F3009" s="96" t="s">
        <v>183</v>
      </c>
      <c r="G3009" s="100">
        <v>1009</v>
      </c>
    </row>
    <row r="3010" spans="2:7">
      <c r="B3010" s="118" t="s">
        <v>2950</v>
      </c>
      <c r="C3010" s="119">
        <v>3825</v>
      </c>
      <c r="E3010" s="96" t="s">
        <v>192</v>
      </c>
      <c r="F3010" s="96" t="s">
        <v>183</v>
      </c>
      <c r="G3010" s="100">
        <v>1110</v>
      </c>
    </row>
    <row r="3011" spans="2:7">
      <c r="B3011" s="118" t="s">
        <v>2951</v>
      </c>
      <c r="C3011" s="119">
        <v>3826</v>
      </c>
      <c r="E3011" s="96" t="s">
        <v>193</v>
      </c>
      <c r="F3011" s="96" t="s">
        <v>183</v>
      </c>
      <c r="G3011" s="100">
        <v>1196</v>
      </c>
    </row>
    <row r="3012" spans="2:7">
      <c r="B3012" s="118" t="s">
        <v>2370</v>
      </c>
      <c r="C3012" s="119">
        <v>3706</v>
      </c>
      <c r="E3012" s="96" t="s">
        <v>194</v>
      </c>
      <c r="F3012" s="96" t="s">
        <v>183</v>
      </c>
      <c r="G3012" s="100">
        <v>1024</v>
      </c>
    </row>
    <row r="3013" spans="2:7">
      <c r="B3013" s="118" t="s">
        <v>2579</v>
      </c>
      <c r="C3013" s="119">
        <v>3816</v>
      </c>
      <c r="E3013" s="96" t="s">
        <v>195</v>
      </c>
      <c r="F3013" s="96" t="s">
        <v>183</v>
      </c>
      <c r="G3013" s="100">
        <v>1008</v>
      </c>
    </row>
    <row r="3014" spans="2:7">
      <c r="B3014" s="118" t="s">
        <v>2952</v>
      </c>
      <c r="C3014" s="119">
        <v>3800</v>
      </c>
      <c r="E3014" s="96" t="s">
        <v>196</v>
      </c>
      <c r="F3014" s="96" t="s">
        <v>183</v>
      </c>
      <c r="G3014" s="100">
        <v>1814</v>
      </c>
    </row>
    <row r="3015" spans="2:7">
      <c r="B3015" s="118" t="s">
        <v>2275</v>
      </c>
      <c r="C3015" s="119">
        <v>3812</v>
      </c>
      <c r="E3015" s="96" t="s">
        <v>197</v>
      </c>
      <c r="F3015" s="96" t="s">
        <v>183</v>
      </c>
      <c r="G3015" s="100">
        <v>1860</v>
      </c>
    </row>
    <row r="3016" spans="2:7">
      <c r="B3016" s="118" t="s">
        <v>2953</v>
      </c>
      <c r="C3016" s="119">
        <v>3853</v>
      </c>
      <c r="E3016" s="96" t="s">
        <v>198</v>
      </c>
      <c r="F3016" s="96" t="s">
        <v>183</v>
      </c>
      <c r="G3016" s="100">
        <v>1095</v>
      </c>
    </row>
    <row r="3017" spans="2:7">
      <c r="B3017" s="118" t="s">
        <v>2454</v>
      </c>
      <c r="C3017" s="119">
        <v>3854</v>
      </c>
      <c r="E3017" s="96" t="s">
        <v>199</v>
      </c>
      <c r="F3017" s="96" t="s">
        <v>183</v>
      </c>
      <c r="G3017" s="100">
        <v>1530</v>
      </c>
    </row>
    <row r="3018" spans="2:7">
      <c r="B3018" s="118" t="s">
        <v>2939</v>
      </c>
      <c r="C3018" s="119">
        <v>3855</v>
      </c>
      <c r="E3018" s="96" t="s">
        <v>200</v>
      </c>
      <c r="F3018" s="96" t="s">
        <v>183</v>
      </c>
      <c r="G3018" s="100">
        <v>1066</v>
      </c>
    </row>
    <row r="3019" spans="2:7">
      <c r="B3019" s="118" t="s">
        <v>2954</v>
      </c>
      <c r="C3019" s="119">
        <v>3805</v>
      </c>
      <c r="E3019" s="96" t="s">
        <v>201</v>
      </c>
      <c r="F3019" s="96" t="s">
        <v>183</v>
      </c>
      <c r="G3019" s="100">
        <v>1030</v>
      </c>
    </row>
    <row r="3020" spans="2:7">
      <c r="B3020" s="118" t="s">
        <v>2955</v>
      </c>
      <c r="C3020" s="119">
        <v>3852</v>
      </c>
      <c r="E3020" s="96" t="s">
        <v>202</v>
      </c>
      <c r="F3020" s="96" t="s">
        <v>183</v>
      </c>
      <c r="G3020" s="100">
        <v>1052</v>
      </c>
    </row>
    <row r="3021" spans="2:7">
      <c r="B3021" s="118" t="s">
        <v>2599</v>
      </c>
      <c r="C3021" s="119">
        <v>3813</v>
      </c>
      <c r="E3021" s="96" t="s">
        <v>203</v>
      </c>
      <c r="F3021" s="96" t="s">
        <v>183</v>
      </c>
      <c r="G3021" s="100">
        <v>1023</v>
      </c>
    </row>
    <row r="3022" spans="2:7">
      <c r="B3022" s="118" t="s">
        <v>2956</v>
      </c>
      <c r="C3022" s="119">
        <v>3855</v>
      </c>
      <c r="E3022" s="96" t="s">
        <v>204</v>
      </c>
      <c r="F3022" s="96" t="s">
        <v>183</v>
      </c>
      <c r="G3022" s="100">
        <v>1880</v>
      </c>
    </row>
    <row r="3023" spans="2:7">
      <c r="B3023" s="118" t="s">
        <v>2214</v>
      </c>
      <c r="C3023" s="119">
        <v>3800</v>
      </c>
      <c r="E3023" s="96" t="s">
        <v>205</v>
      </c>
      <c r="F3023" s="96" t="s">
        <v>183</v>
      </c>
      <c r="G3023" s="100">
        <v>1022</v>
      </c>
    </row>
    <row r="3024" spans="2:7">
      <c r="B3024" s="118" t="s">
        <v>2275</v>
      </c>
      <c r="C3024" s="119">
        <v>3812</v>
      </c>
      <c r="E3024" s="96" t="s">
        <v>206</v>
      </c>
      <c r="F3024" s="96" t="s">
        <v>183</v>
      </c>
      <c r="G3024" s="100">
        <v>1867</v>
      </c>
    </row>
    <row r="3025" spans="2:7">
      <c r="B3025" s="118" t="s">
        <v>2313</v>
      </c>
      <c r="C3025" s="119">
        <v>3507</v>
      </c>
      <c r="E3025" s="96" t="s">
        <v>207</v>
      </c>
      <c r="F3025" s="96" t="s">
        <v>183</v>
      </c>
      <c r="G3025" s="100">
        <v>1350</v>
      </c>
    </row>
    <row r="3026" spans="2:7">
      <c r="B3026" s="118" t="s">
        <v>2957</v>
      </c>
      <c r="C3026" s="119">
        <v>3508</v>
      </c>
      <c r="E3026" s="96" t="s">
        <v>208</v>
      </c>
      <c r="F3026" s="96" t="s">
        <v>183</v>
      </c>
      <c r="G3026" s="100">
        <v>1180</v>
      </c>
    </row>
    <row r="3027" spans="2:7">
      <c r="B3027" s="118" t="s">
        <v>2313</v>
      </c>
      <c r="C3027" s="119">
        <v>3507</v>
      </c>
      <c r="E3027" s="96" t="s">
        <v>209</v>
      </c>
      <c r="F3027" s="96" t="s">
        <v>183</v>
      </c>
      <c r="G3027" s="100">
        <v>1807</v>
      </c>
    </row>
    <row r="3028" spans="2:7">
      <c r="B3028" s="118" t="s">
        <v>2407</v>
      </c>
      <c r="C3028" s="119">
        <v>3531</v>
      </c>
      <c r="E3028" s="96" t="s">
        <v>210</v>
      </c>
      <c r="F3028" s="96" t="s">
        <v>183</v>
      </c>
      <c r="G3028" s="100">
        <v>1510</v>
      </c>
    </row>
    <row r="3029" spans="2:7">
      <c r="B3029" s="118" t="s">
        <v>2342</v>
      </c>
      <c r="C3029" s="119">
        <v>3533</v>
      </c>
      <c r="E3029" s="96" t="s">
        <v>211</v>
      </c>
      <c r="F3029" s="96" t="s">
        <v>183</v>
      </c>
      <c r="G3029" s="100">
        <v>1040</v>
      </c>
    </row>
    <row r="3030" spans="2:7">
      <c r="B3030" s="118" t="s">
        <v>2274</v>
      </c>
      <c r="C3030" s="119">
        <v>3534</v>
      </c>
      <c r="E3030" s="96" t="s">
        <v>212</v>
      </c>
      <c r="F3030" s="96" t="s">
        <v>183</v>
      </c>
      <c r="G3030" s="100">
        <v>1162</v>
      </c>
    </row>
    <row r="3031" spans="2:7">
      <c r="B3031" s="118" t="s">
        <v>2358</v>
      </c>
      <c r="C3031" s="119">
        <v>3538</v>
      </c>
      <c r="E3031" s="96" t="s">
        <v>213</v>
      </c>
      <c r="F3031" s="96" t="s">
        <v>183</v>
      </c>
      <c r="G3031" s="100">
        <v>1844</v>
      </c>
    </row>
    <row r="3032" spans="2:7">
      <c r="B3032" s="118" t="s">
        <v>2347</v>
      </c>
      <c r="C3032" s="119">
        <v>3673</v>
      </c>
      <c r="E3032" s="96" t="s">
        <v>214</v>
      </c>
      <c r="F3032" s="96" t="s">
        <v>183</v>
      </c>
      <c r="G3032" s="100">
        <v>1610</v>
      </c>
    </row>
    <row r="3033" spans="2:7">
      <c r="B3033" s="118" t="s">
        <v>2451</v>
      </c>
      <c r="C3033" s="119">
        <v>3671</v>
      </c>
      <c r="E3033" s="96" t="s">
        <v>215</v>
      </c>
      <c r="F3033" s="96" t="s">
        <v>183</v>
      </c>
      <c r="G3033" s="100">
        <v>1028</v>
      </c>
    </row>
    <row r="3034" spans="2:7">
      <c r="B3034" s="118" t="s">
        <v>2456</v>
      </c>
      <c r="C3034" s="119">
        <v>3510</v>
      </c>
      <c r="E3034" s="96" t="s">
        <v>216</v>
      </c>
      <c r="F3034" s="96" t="s">
        <v>183</v>
      </c>
      <c r="G3034" s="100">
        <v>1091</v>
      </c>
    </row>
    <row r="3035" spans="2:7">
      <c r="B3035" s="118" t="s">
        <v>2958</v>
      </c>
      <c r="C3035" s="119">
        <v>3082</v>
      </c>
      <c r="E3035" s="96" t="s">
        <v>217</v>
      </c>
      <c r="F3035" s="96" t="s">
        <v>183</v>
      </c>
      <c r="G3035" s="100">
        <v>1806</v>
      </c>
    </row>
    <row r="3036" spans="2:7">
      <c r="B3036" s="118" t="s">
        <v>2237</v>
      </c>
      <c r="C3036" s="119">
        <v>3506</v>
      </c>
      <c r="E3036" s="96" t="s">
        <v>218</v>
      </c>
      <c r="F3036" s="96" t="s">
        <v>183</v>
      </c>
      <c r="G3036" s="100">
        <v>1450</v>
      </c>
    </row>
    <row r="3037" spans="2:7">
      <c r="B3037" s="118" t="s">
        <v>2571</v>
      </c>
      <c r="C3037" s="119">
        <v>3510</v>
      </c>
      <c r="E3037" s="96" t="s">
        <v>219</v>
      </c>
      <c r="F3037" s="96" t="s">
        <v>183</v>
      </c>
      <c r="G3037" s="100">
        <v>1373</v>
      </c>
    </row>
    <row r="3038" spans="2:7">
      <c r="B3038" s="118" t="s">
        <v>2427</v>
      </c>
      <c r="C3038" s="119">
        <v>3671</v>
      </c>
      <c r="E3038" s="96" t="s">
        <v>220</v>
      </c>
      <c r="F3038" s="96" t="s">
        <v>183</v>
      </c>
      <c r="G3038" s="100">
        <v>1342</v>
      </c>
    </row>
    <row r="3039" spans="2:7">
      <c r="B3039" s="118" t="s">
        <v>2232</v>
      </c>
      <c r="C3039" s="119">
        <v>3114</v>
      </c>
      <c r="E3039" s="96" t="s">
        <v>221</v>
      </c>
      <c r="F3039" s="96" t="s">
        <v>183</v>
      </c>
      <c r="G3039" s="100">
        <v>1025</v>
      </c>
    </row>
    <row r="3040" spans="2:7">
      <c r="B3040" s="118" t="s">
        <v>2378</v>
      </c>
      <c r="C3040" s="119">
        <v>3629</v>
      </c>
      <c r="E3040" s="96" t="s">
        <v>222</v>
      </c>
      <c r="F3040" s="96" t="s">
        <v>183</v>
      </c>
      <c r="G3040" s="100">
        <v>1033</v>
      </c>
    </row>
    <row r="3041" spans="2:7">
      <c r="B3041" s="118" t="s">
        <v>2959</v>
      </c>
      <c r="C3041" s="119">
        <v>3503</v>
      </c>
      <c r="E3041" s="96" t="s">
        <v>223</v>
      </c>
      <c r="F3041" s="96" t="s">
        <v>183</v>
      </c>
      <c r="G3041" s="100">
        <v>1580</v>
      </c>
    </row>
    <row r="3042" spans="2:7">
      <c r="B3042" s="118" t="s">
        <v>2218</v>
      </c>
      <c r="C3042" s="119">
        <v>3510</v>
      </c>
      <c r="E3042" s="96" t="s">
        <v>224</v>
      </c>
      <c r="F3042" s="96" t="s">
        <v>183</v>
      </c>
      <c r="G3042" s="100">
        <v>1522</v>
      </c>
    </row>
    <row r="3043" spans="2:7">
      <c r="B3043" s="118" t="s">
        <v>2960</v>
      </c>
      <c r="C3043" s="119">
        <v>3434</v>
      </c>
      <c r="E3043" s="96" t="s">
        <v>225</v>
      </c>
      <c r="F3043" s="96" t="s">
        <v>183</v>
      </c>
      <c r="G3043" s="100">
        <v>1197</v>
      </c>
    </row>
    <row r="3044" spans="2:7">
      <c r="B3044" s="118" t="s">
        <v>2420</v>
      </c>
      <c r="C3044" s="119">
        <v>3434</v>
      </c>
      <c r="E3044" s="96" t="s">
        <v>226</v>
      </c>
      <c r="F3044" s="96" t="s">
        <v>183</v>
      </c>
      <c r="G3044" s="100">
        <v>1854</v>
      </c>
    </row>
    <row r="3045" spans="2:7">
      <c r="B3045" s="118" t="s">
        <v>2957</v>
      </c>
      <c r="C3045" s="119">
        <v>3508</v>
      </c>
      <c r="E3045" s="96" t="s">
        <v>227</v>
      </c>
      <c r="F3045" s="96" t="s">
        <v>183</v>
      </c>
      <c r="G3045" s="100">
        <v>1337</v>
      </c>
    </row>
    <row r="3046" spans="2:7">
      <c r="B3046" s="118" t="s">
        <v>2358</v>
      </c>
      <c r="C3046" s="119">
        <v>3538</v>
      </c>
      <c r="E3046" s="96" t="s">
        <v>228</v>
      </c>
      <c r="F3046" s="96" t="s">
        <v>183</v>
      </c>
      <c r="G3046" s="100">
        <v>1304</v>
      </c>
    </row>
    <row r="3047" spans="2:7">
      <c r="B3047" s="118" t="s">
        <v>2961</v>
      </c>
      <c r="C3047" s="119">
        <v>3615</v>
      </c>
      <c r="E3047" s="96" t="s">
        <v>229</v>
      </c>
      <c r="F3047" s="96" t="s">
        <v>183</v>
      </c>
      <c r="G3047" s="100">
        <v>1297</v>
      </c>
    </row>
    <row r="3048" spans="2:7">
      <c r="B3048" s="118" t="s">
        <v>2253</v>
      </c>
      <c r="C3048" s="119">
        <v>3672</v>
      </c>
      <c r="E3048" s="96" t="s">
        <v>230</v>
      </c>
      <c r="F3048" s="96" t="s">
        <v>183</v>
      </c>
      <c r="G3048" s="100">
        <v>1092</v>
      </c>
    </row>
    <row r="3049" spans="2:7">
      <c r="B3049" s="118" t="s">
        <v>2347</v>
      </c>
      <c r="C3049" s="119">
        <v>3673</v>
      </c>
      <c r="E3049" s="96" t="s">
        <v>231</v>
      </c>
      <c r="F3049" s="96" t="s">
        <v>183</v>
      </c>
      <c r="G3049" s="100">
        <v>1660</v>
      </c>
    </row>
    <row r="3050" spans="2:7">
      <c r="B3050" s="118" t="s">
        <v>2237</v>
      </c>
      <c r="C3050" s="119">
        <v>3506</v>
      </c>
      <c r="E3050" s="96" t="s">
        <v>232</v>
      </c>
      <c r="F3050" s="96" t="s">
        <v>183</v>
      </c>
      <c r="G3050" s="100">
        <v>1804</v>
      </c>
    </row>
    <row r="3051" spans="2:7">
      <c r="B3051" s="118" t="s">
        <v>2419</v>
      </c>
      <c r="C3051" s="119">
        <v>3532</v>
      </c>
      <c r="E3051" s="96" t="s">
        <v>233</v>
      </c>
      <c r="F3051" s="96" t="s">
        <v>183</v>
      </c>
      <c r="G3051" s="100">
        <v>1462</v>
      </c>
    </row>
    <row r="3052" spans="2:7">
      <c r="B3052" s="118" t="s">
        <v>2962</v>
      </c>
      <c r="C3052" s="119">
        <v>3083</v>
      </c>
      <c r="E3052" s="96" t="s">
        <v>234</v>
      </c>
      <c r="F3052" s="96" t="s">
        <v>183</v>
      </c>
      <c r="G3052" s="100">
        <v>1073</v>
      </c>
    </row>
    <row r="3053" spans="2:7">
      <c r="B3053" s="118" t="s">
        <v>2195</v>
      </c>
      <c r="C3053" s="119">
        <v>3110</v>
      </c>
      <c r="E3053" s="96" t="s">
        <v>235</v>
      </c>
      <c r="F3053" s="96" t="s">
        <v>183</v>
      </c>
      <c r="G3053" s="100">
        <v>1032</v>
      </c>
    </row>
    <row r="3054" spans="2:7">
      <c r="B3054" s="118" t="s">
        <v>2963</v>
      </c>
      <c r="C3054" s="119">
        <v>3111</v>
      </c>
      <c r="E3054" s="96" t="s">
        <v>236</v>
      </c>
      <c r="F3054" s="96" t="s">
        <v>183</v>
      </c>
      <c r="G3054" s="100">
        <v>1422</v>
      </c>
    </row>
    <row r="3055" spans="2:7">
      <c r="B3055" s="118" t="s">
        <v>2423</v>
      </c>
      <c r="C3055" s="119">
        <v>3504</v>
      </c>
      <c r="E3055" s="96" t="s">
        <v>237</v>
      </c>
      <c r="F3055" s="96" t="s">
        <v>183</v>
      </c>
      <c r="G3055" s="100">
        <v>1305</v>
      </c>
    </row>
    <row r="3056" spans="2:7">
      <c r="B3056" s="118" t="s">
        <v>2253</v>
      </c>
      <c r="C3056" s="119">
        <v>3672</v>
      </c>
      <c r="E3056" s="96" t="s">
        <v>238</v>
      </c>
      <c r="F3056" s="96" t="s">
        <v>183</v>
      </c>
      <c r="G3056" s="100">
        <v>1170</v>
      </c>
    </row>
    <row r="3057" spans="2:7">
      <c r="B3057" s="118" t="s">
        <v>2964</v>
      </c>
      <c r="C3057" s="119">
        <v>3672</v>
      </c>
      <c r="E3057" s="96" t="s">
        <v>239</v>
      </c>
      <c r="F3057" s="96" t="s">
        <v>183</v>
      </c>
      <c r="G3057" s="100">
        <v>1296</v>
      </c>
    </row>
    <row r="3058" spans="2:7">
      <c r="B3058" s="118" t="s">
        <v>2965</v>
      </c>
      <c r="C3058" s="119">
        <v>3674</v>
      </c>
      <c r="E3058" s="96" t="s">
        <v>240</v>
      </c>
      <c r="F3058" s="96" t="s">
        <v>183</v>
      </c>
      <c r="G3058" s="100">
        <v>1585</v>
      </c>
    </row>
    <row r="3059" spans="2:7">
      <c r="B3059" s="118" t="s">
        <v>2237</v>
      </c>
      <c r="C3059" s="119">
        <v>3506</v>
      </c>
      <c r="E3059" s="96" t="s">
        <v>241</v>
      </c>
      <c r="F3059" s="96" t="s">
        <v>183</v>
      </c>
      <c r="G3059" s="100">
        <v>1534</v>
      </c>
    </row>
    <row r="3060" spans="2:7">
      <c r="B3060" s="118" t="s">
        <v>2957</v>
      </c>
      <c r="C3060" s="119">
        <v>3508</v>
      </c>
      <c r="E3060" s="96" t="s">
        <v>242</v>
      </c>
      <c r="F3060" s="96" t="s">
        <v>183</v>
      </c>
      <c r="G3060" s="100">
        <v>1163</v>
      </c>
    </row>
    <row r="3061" spans="2:7">
      <c r="B3061" s="118" t="s">
        <v>2407</v>
      </c>
      <c r="C3061" s="119">
        <v>3531</v>
      </c>
      <c r="E3061" s="96" t="s">
        <v>243</v>
      </c>
      <c r="F3061" s="96" t="s">
        <v>183</v>
      </c>
      <c r="G3061" s="100">
        <v>1803</v>
      </c>
    </row>
    <row r="3062" spans="2:7">
      <c r="B3062" s="118" t="s">
        <v>2416</v>
      </c>
      <c r="C3062" s="119">
        <v>3629</v>
      </c>
      <c r="E3062" s="96" t="s">
        <v>244</v>
      </c>
      <c r="F3062" s="96" t="s">
        <v>183</v>
      </c>
      <c r="G3062" s="100">
        <v>1070</v>
      </c>
    </row>
    <row r="3063" spans="2:7">
      <c r="B3063" s="118" t="s">
        <v>2966</v>
      </c>
      <c r="C3063" s="119">
        <v>3112</v>
      </c>
      <c r="E3063" s="96" t="s">
        <v>245</v>
      </c>
      <c r="F3063" s="96" t="s">
        <v>183</v>
      </c>
      <c r="G3063" s="100">
        <v>1291</v>
      </c>
    </row>
    <row r="3064" spans="2:7">
      <c r="B3064" s="118" t="s">
        <v>2269</v>
      </c>
      <c r="C3064" s="119">
        <v>3113</v>
      </c>
      <c r="E3064" s="96" t="s">
        <v>246</v>
      </c>
      <c r="F3064" s="96" t="s">
        <v>183</v>
      </c>
      <c r="G3064" s="100">
        <v>1083</v>
      </c>
    </row>
    <row r="3065" spans="2:7">
      <c r="B3065" s="118" t="s">
        <v>2862</v>
      </c>
      <c r="C3065" s="119">
        <v>3068</v>
      </c>
      <c r="E3065" s="96" t="s">
        <v>247</v>
      </c>
      <c r="F3065" s="96" t="s">
        <v>183</v>
      </c>
      <c r="G3065" s="100">
        <v>1026</v>
      </c>
    </row>
    <row r="3066" spans="2:7">
      <c r="B3066" s="118" t="s">
        <v>1588</v>
      </c>
      <c r="C3066" s="119">
        <v>3415</v>
      </c>
      <c r="E3066" s="96" t="s">
        <v>248</v>
      </c>
      <c r="F3066" s="96" t="s">
        <v>183</v>
      </c>
      <c r="G3066" s="100">
        <v>1053</v>
      </c>
    </row>
    <row r="3067" spans="2:7">
      <c r="B3067" s="118" t="s">
        <v>2315</v>
      </c>
      <c r="C3067" s="119">
        <v>3512</v>
      </c>
      <c r="E3067" s="96" t="s">
        <v>249</v>
      </c>
      <c r="F3067" s="96" t="s">
        <v>183</v>
      </c>
      <c r="G3067" s="100">
        <v>1185</v>
      </c>
    </row>
    <row r="3068" spans="2:7">
      <c r="B3068" s="118" t="s">
        <v>2863</v>
      </c>
      <c r="C3068" s="119">
        <v>3513</v>
      </c>
      <c r="E3068" s="96" t="s">
        <v>250</v>
      </c>
      <c r="F3068" s="96" t="s">
        <v>183</v>
      </c>
      <c r="G3068" s="100">
        <v>1112</v>
      </c>
    </row>
    <row r="3069" spans="2:7">
      <c r="B3069" s="118" t="s">
        <v>2862</v>
      </c>
      <c r="C3069" s="119">
        <v>3068</v>
      </c>
      <c r="E3069" s="96" t="s">
        <v>251</v>
      </c>
      <c r="F3069" s="96" t="s">
        <v>183</v>
      </c>
      <c r="G3069" s="100">
        <v>1273</v>
      </c>
    </row>
    <row r="3070" spans="2:7">
      <c r="B3070" s="118" t="s">
        <v>2967</v>
      </c>
      <c r="C3070" s="119">
        <v>3075</v>
      </c>
      <c r="E3070" s="96" t="s">
        <v>252</v>
      </c>
      <c r="F3070" s="96" t="s">
        <v>183</v>
      </c>
      <c r="G3070" s="100">
        <v>1148</v>
      </c>
    </row>
    <row r="3071" spans="2:7">
      <c r="B3071" s="118" t="s">
        <v>2968</v>
      </c>
      <c r="C3071" s="119">
        <v>3075</v>
      </c>
      <c r="E3071" s="96" t="s">
        <v>253</v>
      </c>
      <c r="F3071" s="96" t="s">
        <v>183</v>
      </c>
      <c r="G3071" s="100">
        <v>1315</v>
      </c>
    </row>
    <row r="3072" spans="2:7">
      <c r="B3072" s="118" t="s">
        <v>2197</v>
      </c>
      <c r="C3072" s="119">
        <v>3076</v>
      </c>
      <c r="E3072" s="96" t="s">
        <v>254</v>
      </c>
      <c r="F3072" s="96" t="s">
        <v>183</v>
      </c>
      <c r="G3072" s="100">
        <v>1055</v>
      </c>
    </row>
    <row r="3073" spans="2:7">
      <c r="B3073" s="118" t="s">
        <v>2969</v>
      </c>
      <c r="C3073" s="119">
        <v>3077</v>
      </c>
      <c r="E3073" s="96" t="s">
        <v>255</v>
      </c>
      <c r="F3073" s="96" t="s">
        <v>183</v>
      </c>
      <c r="G3073" s="100">
        <v>1264</v>
      </c>
    </row>
    <row r="3074" spans="2:7">
      <c r="B3074" s="118" t="s">
        <v>2970</v>
      </c>
      <c r="C3074" s="119">
        <v>3078</v>
      </c>
      <c r="E3074" s="96" t="s">
        <v>256</v>
      </c>
      <c r="F3074" s="96" t="s">
        <v>183</v>
      </c>
      <c r="G3074" s="100">
        <v>1027</v>
      </c>
    </row>
    <row r="3075" spans="2:7">
      <c r="B3075" s="118" t="s">
        <v>2958</v>
      </c>
      <c r="C3075" s="119">
        <v>3082</v>
      </c>
      <c r="E3075" s="96" t="s">
        <v>257</v>
      </c>
      <c r="F3075" s="96" t="s">
        <v>183</v>
      </c>
      <c r="G3075" s="100">
        <v>1562</v>
      </c>
    </row>
    <row r="3076" spans="2:7">
      <c r="B3076" s="118" t="s">
        <v>2269</v>
      </c>
      <c r="C3076" s="119">
        <v>3113</v>
      </c>
      <c r="E3076" s="96" t="s">
        <v>258</v>
      </c>
      <c r="F3076" s="96" t="s">
        <v>183</v>
      </c>
      <c r="G3076" s="100">
        <v>1802</v>
      </c>
    </row>
    <row r="3077" spans="2:7">
      <c r="B3077" s="118" t="s">
        <v>2237</v>
      </c>
      <c r="C3077" s="119">
        <v>3506</v>
      </c>
      <c r="E3077" s="96" t="s">
        <v>259</v>
      </c>
      <c r="F3077" s="96" t="s">
        <v>183</v>
      </c>
      <c r="G3077" s="100">
        <v>1071</v>
      </c>
    </row>
    <row r="3078" spans="2:7">
      <c r="B3078" s="118" t="s">
        <v>2407</v>
      </c>
      <c r="C3078" s="119">
        <v>3531</v>
      </c>
      <c r="E3078" s="96" t="s">
        <v>260</v>
      </c>
      <c r="F3078" s="96" t="s">
        <v>183</v>
      </c>
      <c r="G3078" s="100">
        <v>1299</v>
      </c>
    </row>
    <row r="3079" spans="2:7">
      <c r="B3079" s="118" t="s">
        <v>2323</v>
      </c>
      <c r="C3079" s="119">
        <v>3532</v>
      </c>
      <c r="E3079" s="96" t="s">
        <v>261</v>
      </c>
      <c r="F3079" s="96" t="s">
        <v>183</v>
      </c>
      <c r="G3079" s="100">
        <v>1072</v>
      </c>
    </row>
    <row r="3080" spans="2:7">
      <c r="B3080" s="118" t="s">
        <v>2342</v>
      </c>
      <c r="C3080" s="119">
        <v>3533</v>
      </c>
      <c r="E3080" s="96" t="s">
        <v>262</v>
      </c>
      <c r="F3080" s="96" t="s">
        <v>183</v>
      </c>
      <c r="G3080" s="100">
        <v>1295</v>
      </c>
    </row>
    <row r="3081" spans="2:7">
      <c r="B3081" s="118" t="s">
        <v>2585</v>
      </c>
      <c r="C3081" s="119">
        <v>3504</v>
      </c>
      <c r="E3081" s="96" t="s">
        <v>263</v>
      </c>
      <c r="F3081" s="96" t="s">
        <v>183</v>
      </c>
      <c r="G3081" s="100">
        <v>1188</v>
      </c>
    </row>
    <row r="3082" spans="2:7">
      <c r="B3082" s="118" t="s">
        <v>2323</v>
      </c>
      <c r="C3082" s="119">
        <v>3532</v>
      </c>
      <c r="E3082" s="96" t="s">
        <v>264</v>
      </c>
      <c r="F3082" s="96" t="s">
        <v>183</v>
      </c>
      <c r="G3082" s="100">
        <v>1272</v>
      </c>
    </row>
    <row r="3083" spans="2:7">
      <c r="B3083" s="118" t="s">
        <v>2419</v>
      </c>
      <c r="C3083" s="119">
        <v>3532</v>
      </c>
      <c r="E3083" s="96" t="s">
        <v>265</v>
      </c>
      <c r="F3083" s="96" t="s">
        <v>183</v>
      </c>
      <c r="G3083" s="100">
        <v>1268</v>
      </c>
    </row>
    <row r="3084" spans="2:7">
      <c r="B3084" s="118" t="s">
        <v>2342</v>
      </c>
      <c r="C3084" s="119">
        <v>3533</v>
      </c>
      <c r="E3084" s="96" t="s">
        <v>266</v>
      </c>
      <c r="F3084" s="96" t="s">
        <v>183</v>
      </c>
      <c r="G3084" s="100">
        <v>1077</v>
      </c>
    </row>
    <row r="3085" spans="2:7">
      <c r="B3085" s="118" t="s">
        <v>2347</v>
      </c>
      <c r="C3085" s="119">
        <v>3673</v>
      </c>
      <c r="E3085" s="96" t="s">
        <v>267</v>
      </c>
      <c r="F3085" s="96" t="s">
        <v>183</v>
      </c>
      <c r="G3085" s="100">
        <v>1131</v>
      </c>
    </row>
    <row r="3086" spans="2:7">
      <c r="B3086" s="118" t="s">
        <v>2847</v>
      </c>
      <c r="C3086" s="119">
        <v>3073</v>
      </c>
      <c r="E3086" s="96" t="s">
        <v>268</v>
      </c>
      <c r="F3086" s="96" t="s">
        <v>183</v>
      </c>
      <c r="G3086" s="100">
        <v>1410</v>
      </c>
    </row>
    <row r="3087" spans="2:7">
      <c r="B3087" s="118" t="s">
        <v>2966</v>
      </c>
      <c r="C3087" s="119">
        <v>3112</v>
      </c>
      <c r="E3087" s="96" t="s">
        <v>269</v>
      </c>
      <c r="F3087" s="96" t="s">
        <v>183</v>
      </c>
      <c r="G3087" s="100">
        <v>1303</v>
      </c>
    </row>
    <row r="3088" spans="2:7">
      <c r="B3088" s="118" t="s">
        <v>2232</v>
      </c>
      <c r="C3088" s="119">
        <v>3114</v>
      </c>
      <c r="E3088" s="96" t="s">
        <v>270</v>
      </c>
      <c r="F3088" s="96" t="s">
        <v>183</v>
      </c>
      <c r="G3088" s="100">
        <v>1852</v>
      </c>
    </row>
    <row r="3089" spans="2:7">
      <c r="B3089" s="118" t="s">
        <v>2571</v>
      </c>
      <c r="C3089" s="119">
        <v>3510</v>
      </c>
      <c r="E3089" s="96" t="s">
        <v>271</v>
      </c>
      <c r="F3089" s="96" t="s">
        <v>183</v>
      </c>
      <c r="G3089" s="100">
        <v>1026</v>
      </c>
    </row>
    <row r="3090" spans="2:7">
      <c r="B3090" s="118" t="s">
        <v>2971</v>
      </c>
      <c r="C3090" s="119">
        <v>3177</v>
      </c>
      <c r="E3090" s="96" t="s">
        <v>272</v>
      </c>
      <c r="F3090" s="96" t="s">
        <v>183</v>
      </c>
      <c r="G3090" s="100">
        <v>1262</v>
      </c>
    </row>
    <row r="3091" spans="2:7">
      <c r="B3091" s="118" t="s">
        <v>2972</v>
      </c>
      <c r="C3091" s="119">
        <v>3205</v>
      </c>
      <c r="E3091" s="96" t="s">
        <v>273</v>
      </c>
      <c r="F3091" s="96" t="s">
        <v>183</v>
      </c>
      <c r="G3091" s="100">
        <v>1295</v>
      </c>
    </row>
    <row r="3092" spans="2:7">
      <c r="B3092" s="118" t="s">
        <v>2973</v>
      </c>
      <c r="C3092" s="119">
        <v>3206</v>
      </c>
      <c r="E3092" s="96" t="s">
        <v>274</v>
      </c>
      <c r="F3092" s="96" t="s">
        <v>183</v>
      </c>
      <c r="G3092" s="100">
        <v>1588</v>
      </c>
    </row>
    <row r="3093" spans="2:7">
      <c r="B3093" s="118" t="s">
        <v>2351</v>
      </c>
      <c r="C3093" s="119">
        <v>3206</v>
      </c>
      <c r="E3093" s="96" t="s">
        <v>275</v>
      </c>
      <c r="F3093" s="96" t="s">
        <v>183</v>
      </c>
      <c r="G3093" s="100">
        <v>1145</v>
      </c>
    </row>
    <row r="3094" spans="2:7">
      <c r="B3094" s="118" t="s">
        <v>2974</v>
      </c>
      <c r="C3094" s="119">
        <v>3206</v>
      </c>
      <c r="E3094" s="96" t="s">
        <v>276</v>
      </c>
      <c r="F3094" s="96" t="s">
        <v>183</v>
      </c>
      <c r="G3094" s="100">
        <v>1805</v>
      </c>
    </row>
    <row r="3095" spans="2:7">
      <c r="B3095" s="118" t="s">
        <v>2975</v>
      </c>
      <c r="C3095" s="119">
        <v>3206</v>
      </c>
      <c r="E3095" s="96" t="s">
        <v>277</v>
      </c>
      <c r="F3095" s="96" t="s">
        <v>183</v>
      </c>
      <c r="G3095" s="100">
        <v>1059</v>
      </c>
    </row>
    <row r="3096" spans="2:7">
      <c r="B3096" s="118" t="s">
        <v>2612</v>
      </c>
      <c r="C3096" s="119">
        <v>3207</v>
      </c>
      <c r="E3096" s="96" t="s">
        <v>278</v>
      </c>
      <c r="F3096" s="96" t="s">
        <v>183</v>
      </c>
      <c r="G3096" s="100">
        <v>1166</v>
      </c>
    </row>
    <row r="3097" spans="2:7">
      <c r="B3097" s="118" t="s">
        <v>164</v>
      </c>
      <c r="C3097" s="119">
        <v>3020</v>
      </c>
      <c r="E3097" s="96" t="s">
        <v>279</v>
      </c>
      <c r="F3097" s="96" t="s">
        <v>183</v>
      </c>
      <c r="G3097" s="100">
        <v>1344</v>
      </c>
    </row>
    <row r="3098" spans="2:7">
      <c r="B3098" s="118" t="s">
        <v>2864</v>
      </c>
      <c r="C3098" s="119">
        <v>3033</v>
      </c>
      <c r="E3098" s="96" t="s">
        <v>280</v>
      </c>
      <c r="F3098" s="96" t="s">
        <v>183</v>
      </c>
      <c r="G3098" s="100">
        <v>1094</v>
      </c>
    </row>
    <row r="3099" spans="2:7">
      <c r="B3099" s="118" t="s">
        <v>2353</v>
      </c>
      <c r="C3099" s="119">
        <v>3202</v>
      </c>
      <c r="E3099" s="96" t="s">
        <v>281</v>
      </c>
      <c r="F3099" s="96" t="s">
        <v>183</v>
      </c>
      <c r="G3099" s="100">
        <v>1008</v>
      </c>
    </row>
    <row r="3100" spans="2:7">
      <c r="B3100" s="118" t="s">
        <v>2563</v>
      </c>
      <c r="C3100" s="119">
        <v>3208</v>
      </c>
      <c r="E3100" s="96" t="s">
        <v>282</v>
      </c>
      <c r="F3100" s="96" t="s">
        <v>183</v>
      </c>
      <c r="G3100" s="100">
        <v>1864</v>
      </c>
    </row>
    <row r="3101" spans="2:7">
      <c r="B3101" s="118" t="s">
        <v>1136</v>
      </c>
      <c r="C3101" s="119">
        <v>3210</v>
      </c>
      <c r="E3101" s="96" t="s">
        <v>283</v>
      </c>
      <c r="F3101" s="96" t="s">
        <v>183</v>
      </c>
      <c r="G3101" s="100">
        <v>1143</v>
      </c>
    </row>
    <row r="3102" spans="2:7">
      <c r="B3102" s="118" t="s">
        <v>2467</v>
      </c>
      <c r="C3102" s="119">
        <v>3179</v>
      </c>
      <c r="E3102" s="96" t="s">
        <v>284</v>
      </c>
      <c r="F3102" s="96" t="s">
        <v>183</v>
      </c>
      <c r="G3102" s="100">
        <v>1270</v>
      </c>
    </row>
    <row r="3103" spans="2:7">
      <c r="B3103" s="118" t="s">
        <v>2971</v>
      </c>
      <c r="C3103" s="119">
        <v>3177</v>
      </c>
      <c r="E3103" s="96" t="s">
        <v>285</v>
      </c>
      <c r="F3103" s="96" t="s">
        <v>183</v>
      </c>
      <c r="G3103" s="100">
        <v>1169</v>
      </c>
    </row>
    <row r="3104" spans="2:7">
      <c r="B3104" s="118" t="s">
        <v>2353</v>
      </c>
      <c r="C3104" s="119">
        <v>3202</v>
      </c>
      <c r="E3104" s="96" t="s">
        <v>286</v>
      </c>
      <c r="F3104" s="96" t="s">
        <v>183</v>
      </c>
      <c r="G3104" s="100">
        <v>1882</v>
      </c>
    </row>
    <row r="3105" spans="2:7">
      <c r="B3105" s="118" t="s">
        <v>2268</v>
      </c>
      <c r="C3105" s="119">
        <v>3203</v>
      </c>
      <c r="E3105" s="96" t="s">
        <v>287</v>
      </c>
      <c r="F3105" s="96" t="s">
        <v>183</v>
      </c>
      <c r="G3105" s="100">
        <v>1269</v>
      </c>
    </row>
    <row r="3106" spans="2:7">
      <c r="B3106" s="118" t="s">
        <v>2976</v>
      </c>
      <c r="C3106" s="119">
        <v>3204</v>
      </c>
      <c r="E3106" s="96" t="s">
        <v>288</v>
      </c>
      <c r="F3106" s="96" t="s">
        <v>183</v>
      </c>
      <c r="G3106" s="100">
        <v>1182</v>
      </c>
    </row>
    <row r="3107" spans="2:7">
      <c r="B3107" s="118" t="s">
        <v>2972</v>
      </c>
      <c r="C3107" s="119">
        <v>3205</v>
      </c>
      <c r="E3107" s="96" t="s">
        <v>289</v>
      </c>
      <c r="F3107" s="96" t="s">
        <v>183</v>
      </c>
      <c r="G3107" s="100">
        <v>1279</v>
      </c>
    </row>
    <row r="3108" spans="2:7">
      <c r="B3108" s="118" t="s">
        <v>2447</v>
      </c>
      <c r="C3108" s="119">
        <v>1797</v>
      </c>
      <c r="E3108" s="96" t="s">
        <v>290</v>
      </c>
      <c r="F3108" s="96" t="s">
        <v>183</v>
      </c>
      <c r="G3108" s="100">
        <v>1302</v>
      </c>
    </row>
    <row r="3109" spans="2:7">
      <c r="B3109" s="118" t="s">
        <v>2858</v>
      </c>
      <c r="C3109" s="119">
        <v>3174</v>
      </c>
      <c r="E3109" s="96" t="s">
        <v>291</v>
      </c>
      <c r="F3109" s="96" t="s">
        <v>183</v>
      </c>
      <c r="G3109" s="100">
        <v>1261</v>
      </c>
    </row>
    <row r="3110" spans="2:7">
      <c r="B3110" s="118" t="s">
        <v>2217</v>
      </c>
      <c r="C3110" s="119">
        <v>3176</v>
      </c>
      <c r="E3110" s="96" t="s">
        <v>292</v>
      </c>
      <c r="F3110" s="96" t="s">
        <v>183</v>
      </c>
      <c r="G3110" s="100">
        <v>1041</v>
      </c>
    </row>
    <row r="3111" spans="2:7">
      <c r="B3111" s="118" t="s">
        <v>2971</v>
      </c>
      <c r="C3111" s="119">
        <v>3177</v>
      </c>
      <c r="E3111" s="96" t="s">
        <v>293</v>
      </c>
      <c r="F3111" s="96" t="s">
        <v>183</v>
      </c>
      <c r="G3111" s="100">
        <v>1275</v>
      </c>
    </row>
    <row r="3112" spans="2:7">
      <c r="B3112" s="118" t="s">
        <v>2976</v>
      </c>
      <c r="C3112" s="119">
        <v>3204</v>
      </c>
      <c r="E3112" s="96" t="s">
        <v>294</v>
      </c>
      <c r="F3112" s="96" t="s">
        <v>183</v>
      </c>
      <c r="G3112" s="100">
        <v>1038</v>
      </c>
    </row>
    <row r="3113" spans="2:7">
      <c r="B3113" s="118" t="s">
        <v>2612</v>
      </c>
      <c r="C3113" s="119">
        <v>3207</v>
      </c>
      <c r="E3113" s="96" t="s">
        <v>295</v>
      </c>
      <c r="F3113" s="96" t="s">
        <v>183</v>
      </c>
      <c r="G3113" s="100">
        <v>1276</v>
      </c>
    </row>
    <row r="3114" spans="2:7">
      <c r="B3114" s="118" t="s">
        <v>2543</v>
      </c>
      <c r="C3114" s="119">
        <v>2744</v>
      </c>
      <c r="E3114" s="96" t="s">
        <v>296</v>
      </c>
      <c r="F3114" s="96" t="s">
        <v>183</v>
      </c>
      <c r="G3114" s="100">
        <v>1278</v>
      </c>
    </row>
    <row r="3115" spans="2:7">
      <c r="B3115" s="118" t="s">
        <v>2548</v>
      </c>
      <c r="C3115" s="119">
        <v>2735</v>
      </c>
      <c r="E3115" s="96" t="s">
        <v>297</v>
      </c>
      <c r="F3115" s="96" t="s">
        <v>183</v>
      </c>
      <c r="G3115" s="100">
        <v>1263</v>
      </c>
    </row>
    <row r="3116" spans="2:7">
      <c r="B3116" s="118" t="s">
        <v>2977</v>
      </c>
      <c r="C3116" s="119">
        <v>2747</v>
      </c>
      <c r="E3116" s="96" t="s">
        <v>298</v>
      </c>
      <c r="F3116" s="96" t="s">
        <v>183</v>
      </c>
      <c r="G3116" s="100">
        <v>1047</v>
      </c>
    </row>
    <row r="3117" spans="2:7">
      <c r="B3117" s="118" t="s">
        <v>2548</v>
      </c>
      <c r="C3117" s="119">
        <v>2735</v>
      </c>
      <c r="E3117" s="96" t="s">
        <v>299</v>
      </c>
      <c r="F3117" s="96" t="s">
        <v>183</v>
      </c>
      <c r="G3117" s="100">
        <v>1277</v>
      </c>
    </row>
    <row r="3118" spans="2:7">
      <c r="B3118" s="118" t="s">
        <v>2334</v>
      </c>
      <c r="C3118" s="119">
        <v>2738</v>
      </c>
      <c r="E3118" s="96" t="s">
        <v>300</v>
      </c>
      <c r="F3118" s="96" t="s">
        <v>183</v>
      </c>
      <c r="G3118" s="100">
        <v>1142</v>
      </c>
    </row>
    <row r="3119" spans="2:7">
      <c r="B3119" s="118" t="s">
        <v>2445</v>
      </c>
      <c r="C3119" s="119">
        <v>2746</v>
      </c>
      <c r="E3119" s="96" t="s">
        <v>301</v>
      </c>
      <c r="F3119" s="96" t="s">
        <v>183</v>
      </c>
      <c r="G3119" s="100">
        <v>1037</v>
      </c>
    </row>
    <row r="3120" spans="2:7">
      <c r="B3120" s="118" t="s">
        <v>2182</v>
      </c>
      <c r="C3120" s="119">
        <v>4716</v>
      </c>
      <c r="E3120" s="96" t="s">
        <v>302</v>
      </c>
      <c r="F3120" s="96" t="s">
        <v>183</v>
      </c>
      <c r="G3120" s="100">
        <v>1862</v>
      </c>
    </row>
    <row r="3121" spans="2:7">
      <c r="B3121" s="118" t="s">
        <v>2553</v>
      </c>
      <c r="C3121" s="119">
        <v>2743</v>
      </c>
      <c r="E3121" s="96" t="s">
        <v>303</v>
      </c>
      <c r="F3121" s="96" t="s">
        <v>183</v>
      </c>
      <c r="G3121" s="100">
        <v>1376</v>
      </c>
    </row>
    <row r="3122" spans="2:7">
      <c r="B3122" s="118" t="s">
        <v>2560</v>
      </c>
      <c r="C3122" s="119">
        <v>2745</v>
      </c>
      <c r="E3122" s="96" t="s">
        <v>304</v>
      </c>
      <c r="F3122" s="96" t="s">
        <v>183</v>
      </c>
      <c r="G3122" s="100">
        <v>1312</v>
      </c>
    </row>
    <row r="3123" spans="2:7">
      <c r="B3123" s="118" t="s">
        <v>2577</v>
      </c>
      <c r="C3123" s="119">
        <v>2732</v>
      </c>
      <c r="E3123" s="96" t="s">
        <v>305</v>
      </c>
      <c r="F3123" s="96" t="s">
        <v>183</v>
      </c>
      <c r="G3123" s="100">
        <v>1338</v>
      </c>
    </row>
    <row r="3124" spans="2:7">
      <c r="B3124" s="118" t="s">
        <v>2978</v>
      </c>
      <c r="C3124" s="119">
        <v>2733</v>
      </c>
      <c r="E3124" s="96" t="s">
        <v>306</v>
      </c>
      <c r="F3124" s="96" t="s">
        <v>183</v>
      </c>
      <c r="G3124" s="100">
        <v>1054</v>
      </c>
    </row>
    <row r="3125" spans="2:7">
      <c r="B3125" s="118" t="s">
        <v>2203</v>
      </c>
      <c r="C3125" s="119">
        <v>2740</v>
      </c>
      <c r="E3125" s="96" t="s">
        <v>307</v>
      </c>
      <c r="F3125" s="96" t="s">
        <v>183</v>
      </c>
      <c r="G3125" s="100">
        <v>1266</v>
      </c>
    </row>
    <row r="3126" spans="2:7">
      <c r="B3126" s="118" t="s">
        <v>2457</v>
      </c>
      <c r="C3126" s="119">
        <v>2742</v>
      </c>
      <c r="E3126" s="96" t="s">
        <v>308</v>
      </c>
      <c r="F3126" s="96" t="s">
        <v>183</v>
      </c>
      <c r="G3126" s="100">
        <v>1042</v>
      </c>
    </row>
    <row r="3127" spans="2:7">
      <c r="B3127" s="118" t="s">
        <v>2248</v>
      </c>
      <c r="C3127" s="119">
        <v>2710</v>
      </c>
      <c r="E3127" s="96" t="s">
        <v>309</v>
      </c>
      <c r="F3127" s="96" t="s">
        <v>183</v>
      </c>
      <c r="G3127" s="100">
        <v>1446</v>
      </c>
    </row>
    <row r="3128" spans="2:7">
      <c r="B3128" s="118" t="s">
        <v>2296</v>
      </c>
      <c r="C3128" s="119">
        <v>2732</v>
      </c>
      <c r="E3128" s="96" t="s">
        <v>310</v>
      </c>
      <c r="F3128" s="96" t="s">
        <v>183</v>
      </c>
      <c r="G3128" s="100">
        <v>1845</v>
      </c>
    </row>
    <row r="3129" spans="2:7">
      <c r="B3129" s="118" t="s">
        <v>2203</v>
      </c>
      <c r="C3129" s="119">
        <v>2740</v>
      </c>
      <c r="E3129" s="96" t="s">
        <v>311</v>
      </c>
      <c r="F3129" s="96" t="s">
        <v>183</v>
      </c>
      <c r="G3129" s="100">
        <v>1853</v>
      </c>
    </row>
    <row r="3130" spans="2:7">
      <c r="B3130" s="118" t="s">
        <v>2979</v>
      </c>
      <c r="C3130" s="119">
        <v>2762</v>
      </c>
      <c r="E3130" s="96" t="s">
        <v>312</v>
      </c>
      <c r="F3130" s="96" t="s">
        <v>183</v>
      </c>
      <c r="G3130" s="100">
        <v>1188</v>
      </c>
    </row>
    <row r="3131" spans="2:7">
      <c r="B3131" s="118" t="s">
        <v>2980</v>
      </c>
      <c r="C3131" s="119">
        <v>2712</v>
      </c>
      <c r="E3131" s="96" t="s">
        <v>313</v>
      </c>
      <c r="F3131" s="96" t="s">
        <v>183</v>
      </c>
      <c r="G3131" s="100">
        <v>1424</v>
      </c>
    </row>
    <row r="3132" spans="2:7">
      <c r="B3132" s="118" t="s">
        <v>2981</v>
      </c>
      <c r="C3132" s="119">
        <v>2713</v>
      </c>
      <c r="E3132" s="96" t="s">
        <v>314</v>
      </c>
      <c r="F3132" s="96" t="s">
        <v>183</v>
      </c>
      <c r="G3132" s="100">
        <v>1267</v>
      </c>
    </row>
    <row r="3133" spans="2:7">
      <c r="B3133" s="118" t="s">
        <v>2228</v>
      </c>
      <c r="C3133" s="119">
        <v>2720</v>
      </c>
      <c r="E3133" s="96" t="s">
        <v>315</v>
      </c>
      <c r="F3133" s="96" t="s">
        <v>183</v>
      </c>
      <c r="G3133" s="100">
        <v>1175</v>
      </c>
    </row>
    <row r="3134" spans="2:7">
      <c r="B3134" s="118" t="s">
        <v>2421</v>
      </c>
      <c r="C3134" s="119">
        <v>2732</v>
      </c>
      <c r="E3134" s="96" t="s">
        <v>316</v>
      </c>
      <c r="F3134" s="96" t="s">
        <v>183</v>
      </c>
      <c r="G3134" s="100">
        <v>1036</v>
      </c>
    </row>
    <row r="3135" spans="2:7">
      <c r="B3135" s="118" t="s">
        <v>2982</v>
      </c>
      <c r="C3135" s="119">
        <v>2732</v>
      </c>
      <c r="E3135" s="96" t="s">
        <v>317</v>
      </c>
      <c r="F3135" s="96" t="s">
        <v>183</v>
      </c>
      <c r="G3135" s="100">
        <v>1418</v>
      </c>
    </row>
    <row r="3136" spans="2:7">
      <c r="B3136" s="118" t="s">
        <v>2600</v>
      </c>
      <c r="C3136" s="119">
        <v>2827</v>
      </c>
      <c r="E3136" s="96" t="s">
        <v>318</v>
      </c>
      <c r="F3136" s="96" t="s">
        <v>183</v>
      </c>
      <c r="G3136" s="100">
        <v>1148</v>
      </c>
    </row>
    <row r="3137" spans="2:7">
      <c r="B3137" s="118" t="s">
        <v>2601</v>
      </c>
      <c r="C3137" s="119">
        <v>2747</v>
      </c>
      <c r="E3137" s="96" t="s">
        <v>319</v>
      </c>
      <c r="F3137" s="96" t="s">
        <v>183</v>
      </c>
      <c r="G3137" s="100">
        <v>1306</v>
      </c>
    </row>
    <row r="3138" spans="2:7">
      <c r="B3138" s="118" t="s">
        <v>2603</v>
      </c>
      <c r="C3138" s="119">
        <v>2736</v>
      </c>
      <c r="E3138" s="96" t="s">
        <v>320</v>
      </c>
      <c r="F3138" s="96" t="s">
        <v>183</v>
      </c>
      <c r="G3138" s="100">
        <v>1271</v>
      </c>
    </row>
    <row r="3139" spans="2:7">
      <c r="B3139" s="118" t="s">
        <v>2248</v>
      </c>
      <c r="C3139" s="119">
        <v>2710</v>
      </c>
      <c r="E3139" s="96" t="s">
        <v>321</v>
      </c>
      <c r="F3139" s="96" t="s">
        <v>183</v>
      </c>
      <c r="G3139" s="100">
        <v>1147</v>
      </c>
    </row>
    <row r="3140" spans="2:7">
      <c r="B3140" s="118" t="s">
        <v>2892</v>
      </c>
      <c r="C3140" s="119">
        <v>2720</v>
      </c>
      <c r="E3140" s="96" t="s">
        <v>322</v>
      </c>
      <c r="F3140" s="96" t="s">
        <v>183</v>
      </c>
      <c r="G3140" s="100">
        <v>1034</v>
      </c>
    </row>
    <row r="3141" spans="2:7">
      <c r="B3141" s="118" t="s">
        <v>2590</v>
      </c>
      <c r="C3141" s="119">
        <v>2717</v>
      </c>
      <c r="E3141" s="96" t="s">
        <v>323</v>
      </c>
      <c r="F3141" s="96" t="s">
        <v>183</v>
      </c>
      <c r="G3141" s="100">
        <v>1417</v>
      </c>
    </row>
    <row r="3142" spans="2:7">
      <c r="B3142" s="118" t="s">
        <v>2980</v>
      </c>
      <c r="C3142" s="119">
        <v>2712</v>
      </c>
      <c r="E3142" s="96" t="s">
        <v>324</v>
      </c>
      <c r="F3142" s="96" t="s">
        <v>183</v>
      </c>
      <c r="G3142" s="100">
        <v>1426</v>
      </c>
    </row>
    <row r="3143" spans="2:7">
      <c r="B3143" s="118" t="s">
        <v>2983</v>
      </c>
      <c r="C3143" s="119">
        <v>2715</v>
      </c>
      <c r="E3143" s="96" t="s">
        <v>325</v>
      </c>
      <c r="F3143" s="96" t="s">
        <v>183</v>
      </c>
      <c r="G3143" s="100">
        <v>1290</v>
      </c>
    </row>
    <row r="3144" spans="2:7">
      <c r="B3144" s="118" t="s">
        <v>2984</v>
      </c>
      <c r="C3144" s="119">
        <v>2715</v>
      </c>
      <c r="E3144" s="96" t="s">
        <v>326</v>
      </c>
      <c r="F3144" s="96" t="s">
        <v>183</v>
      </c>
      <c r="G3144" s="100">
        <v>1029</v>
      </c>
    </row>
    <row r="3145" spans="2:7">
      <c r="B3145" s="118" t="s">
        <v>2985</v>
      </c>
      <c r="C3145" s="119">
        <v>2716</v>
      </c>
      <c r="E3145" s="96" t="s">
        <v>327</v>
      </c>
      <c r="F3145" s="96" t="s">
        <v>183</v>
      </c>
      <c r="G3145" s="100">
        <v>1372</v>
      </c>
    </row>
    <row r="3146" spans="2:7">
      <c r="B3146" s="118" t="s">
        <v>2986</v>
      </c>
      <c r="C3146" s="119">
        <v>2717</v>
      </c>
      <c r="E3146" s="96" t="s">
        <v>328</v>
      </c>
      <c r="F3146" s="96" t="s">
        <v>183</v>
      </c>
      <c r="G3146" s="100">
        <v>1892</v>
      </c>
    </row>
    <row r="3147" spans="2:7">
      <c r="B3147" s="118" t="s">
        <v>2987</v>
      </c>
      <c r="C3147" s="119">
        <v>2748</v>
      </c>
      <c r="E3147" s="96" t="s">
        <v>329</v>
      </c>
      <c r="F3147" s="96" t="s">
        <v>183</v>
      </c>
      <c r="G3147" s="100">
        <v>1124</v>
      </c>
    </row>
    <row r="3148" spans="2:7">
      <c r="B3148" s="118" t="s">
        <v>2988</v>
      </c>
      <c r="C3148" s="119">
        <v>2748</v>
      </c>
      <c r="E3148" s="96" t="s">
        <v>330</v>
      </c>
      <c r="F3148" s="96" t="s">
        <v>183</v>
      </c>
      <c r="G3148" s="100">
        <v>1279</v>
      </c>
    </row>
    <row r="3149" spans="2:7">
      <c r="B3149" s="118" t="s">
        <v>2978</v>
      </c>
      <c r="C3149" s="119">
        <v>2733</v>
      </c>
      <c r="E3149" s="96" t="s">
        <v>331</v>
      </c>
      <c r="F3149" s="96" t="s">
        <v>183</v>
      </c>
      <c r="G3149" s="100">
        <v>1173</v>
      </c>
    </row>
    <row r="3150" spans="2:7">
      <c r="B3150" s="118" t="s">
        <v>2989</v>
      </c>
      <c r="C3150" s="119">
        <v>2735</v>
      </c>
      <c r="E3150" s="96" t="s">
        <v>332</v>
      </c>
      <c r="F3150" s="96" t="s">
        <v>183</v>
      </c>
      <c r="G3150" s="100">
        <v>1595</v>
      </c>
    </row>
    <row r="3151" spans="2:7">
      <c r="B3151" s="118" t="s">
        <v>2908</v>
      </c>
      <c r="C3151" s="119">
        <v>2735</v>
      </c>
      <c r="E3151" s="96" t="s">
        <v>333</v>
      </c>
      <c r="F3151" s="96" t="s">
        <v>183</v>
      </c>
      <c r="G3151" s="100">
        <v>1659</v>
      </c>
    </row>
    <row r="3152" spans="2:7">
      <c r="B3152" s="118" t="s">
        <v>2434</v>
      </c>
      <c r="C3152" s="119">
        <v>2514</v>
      </c>
      <c r="E3152" s="96" t="s">
        <v>334</v>
      </c>
      <c r="F3152" s="96" t="s">
        <v>183</v>
      </c>
      <c r="G3152" s="100">
        <v>1543</v>
      </c>
    </row>
    <row r="3153" spans="2:7">
      <c r="B3153" s="118" t="s">
        <v>2247</v>
      </c>
      <c r="C3153" s="119">
        <v>2520</v>
      </c>
      <c r="E3153" s="96" t="s">
        <v>335</v>
      </c>
      <c r="F3153" s="96" t="s">
        <v>183</v>
      </c>
      <c r="G3153" s="100">
        <v>1134</v>
      </c>
    </row>
    <row r="3154" spans="2:7">
      <c r="B3154" s="118" t="s">
        <v>1365</v>
      </c>
      <c r="C3154" s="119">
        <v>2523</v>
      </c>
      <c r="E3154" s="96" t="s">
        <v>336</v>
      </c>
      <c r="F3154" s="96" t="s">
        <v>183</v>
      </c>
      <c r="G3154" s="100">
        <v>1345</v>
      </c>
    </row>
    <row r="3155" spans="2:7">
      <c r="B3155" s="118" t="s">
        <v>2406</v>
      </c>
      <c r="C3155" s="119">
        <v>2518</v>
      </c>
      <c r="E3155" s="96" t="s">
        <v>337</v>
      </c>
      <c r="F3155" s="96" t="s">
        <v>183</v>
      </c>
      <c r="G3155" s="100">
        <v>1820</v>
      </c>
    </row>
    <row r="3156" spans="2:7">
      <c r="B3156" s="118" t="s">
        <v>1365</v>
      </c>
      <c r="C3156" s="119">
        <v>2523</v>
      </c>
      <c r="E3156" s="96" t="s">
        <v>338</v>
      </c>
      <c r="F3156" s="96" t="s">
        <v>183</v>
      </c>
      <c r="G3156" s="100">
        <v>1318</v>
      </c>
    </row>
    <row r="3157" spans="2:7">
      <c r="B3157" s="118" t="s">
        <v>2890</v>
      </c>
      <c r="C3157" s="119">
        <v>2534</v>
      </c>
      <c r="E3157" s="96" t="s">
        <v>339</v>
      </c>
      <c r="F3157" s="96" t="s">
        <v>183</v>
      </c>
      <c r="G3157" s="100">
        <v>1041</v>
      </c>
    </row>
    <row r="3158" spans="2:7">
      <c r="B3158" s="118" t="s">
        <v>2990</v>
      </c>
      <c r="C3158" s="119">
        <v>2515</v>
      </c>
      <c r="E3158" s="96" t="s">
        <v>340</v>
      </c>
      <c r="F3158" s="96" t="s">
        <v>183</v>
      </c>
      <c r="G3158" s="100">
        <v>1423</v>
      </c>
    </row>
    <row r="3159" spans="2:7">
      <c r="B3159" s="118" t="s">
        <v>2991</v>
      </c>
      <c r="C3159" s="119">
        <v>2516</v>
      </c>
      <c r="E3159" s="96" t="s">
        <v>341</v>
      </c>
      <c r="F3159" s="96" t="s">
        <v>183</v>
      </c>
      <c r="G3159" s="100">
        <v>1847</v>
      </c>
    </row>
    <row r="3160" spans="2:7">
      <c r="B3160" s="118" t="s">
        <v>2992</v>
      </c>
      <c r="C3160" s="119">
        <v>2517</v>
      </c>
      <c r="E3160" s="96" t="s">
        <v>342</v>
      </c>
      <c r="F3160" s="96" t="s">
        <v>183</v>
      </c>
      <c r="G3160" s="100">
        <v>1053</v>
      </c>
    </row>
    <row r="3161" spans="2:7">
      <c r="B3161" s="118" t="s">
        <v>2307</v>
      </c>
      <c r="C3161" s="119">
        <v>2558</v>
      </c>
      <c r="E3161" s="96" t="s">
        <v>343</v>
      </c>
      <c r="F3161" s="96" t="s">
        <v>183</v>
      </c>
      <c r="G3161" s="100">
        <v>1407</v>
      </c>
    </row>
    <row r="3162" spans="2:7">
      <c r="B3162" s="118" t="s">
        <v>2249</v>
      </c>
      <c r="C3162" s="119">
        <v>2562</v>
      </c>
      <c r="E3162" s="96" t="s">
        <v>344</v>
      </c>
      <c r="F3162" s="96" t="s">
        <v>183</v>
      </c>
      <c r="G3162" s="100">
        <v>1132</v>
      </c>
    </row>
    <row r="3163" spans="2:7">
      <c r="B3163" s="118" t="s">
        <v>2244</v>
      </c>
      <c r="C3163" s="119">
        <v>2563</v>
      </c>
      <c r="E3163" s="96" t="s">
        <v>345</v>
      </c>
      <c r="F3163" s="96" t="s">
        <v>183</v>
      </c>
      <c r="G3163" s="100">
        <v>1405</v>
      </c>
    </row>
    <row r="3164" spans="2:7">
      <c r="B3164" s="118" t="s">
        <v>2320</v>
      </c>
      <c r="C3164" s="119">
        <v>2564</v>
      </c>
      <c r="E3164" s="96" t="s">
        <v>346</v>
      </c>
      <c r="F3164" s="96" t="s">
        <v>183</v>
      </c>
      <c r="G3164" s="100">
        <v>1135</v>
      </c>
    </row>
    <row r="3165" spans="2:7">
      <c r="B3165" s="118" t="s">
        <v>2545</v>
      </c>
      <c r="C3165" s="119">
        <v>2503</v>
      </c>
      <c r="E3165" s="96" t="s">
        <v>347</v>
      </c>
      <c r="F3165" s="96" t="s">
        <v>183</v>
      </c>
      <c r="G3165" s="100">
        <v>1040</v>
      </c>
    </row>
    <row r="3166" spans="2:7">
      <c r="B3166" s="118" t="s">
        <v>2545</v>
      </c>
      <c r="C3166" s="119">
        <v>2504</v>
      </c>
      <c r="E3166" s="96" t="s">
        <v>348</v>
      </c>
      <c r="F3166" s="96" t="s">
        <v>183</v>
      </c>
      <c r="G3166" s="100">
        <v>1183</v>
      </c>
    </row>
    <row r="3167" spans="2:7">
      <c r="B3167" s="118" t="s">
        <v>2273</v>
      </c>
      <c r="C3167" s="119">
        <v>2552</v>
      </c>
      <c r="E3167" s="96" t="s">
        <v>349</v>
      </c>
      <c r="F3167" s="96" t="s">
        <v>183</v>
      </c>
      <c r="G3167" s="100">
        <v>1031</v>
      </c>
    </row>
    <row r="3168" spans="2:7">
      <c r="B3168" s="118" t="s">
        <v>2993</v>
      </c>
      <c r="C3168" s="119">
        <v>2555</v>
      </c>
      <c r="E3168" s="96" t="s">
        <v>350</v>
      </c>
      <c r="F3168" s="96" t="s">
        <v>183</v>
      </c>
      <c r="G3168" s="100">
        <v>1442</v>
      </c>
    </row>
    <row r="3169" spans="2:7">
      <c r="B3169" s="118" t="s">
        <v>2994</v>
      </c>
      <c r="C3169" s="119">
        <v>3274</v>
      </c>
      <c r="E3169" s="96" t="s">
        <v>351</v>
      </c>
      <c r="F3169" s="96" t="s">
        <v>183</v>
      </c>
      <c r="G3169" s="100">
        <v>1441</v>
      </c>
    </row>
    <row r="3170" spans="2:7">
      <c r="B3170" s="118" t="s">
        <v>2552</v>
      </c>
      <c r="C3170" s="119">
        <v>3272</v>
      </c>
      <c r="E3170" s="96" t="s">
        <v>352</v>
      </c>
      <c r="F3170" s="96" t="s">
        <v>183</v>
      </c>
      <c r="G3170" s="100">
        <v>1400</v>
      </c>
    </row>
    <row r="3171" spans="2:7">
      <c r="B3171" s="118" t="s">
        <v>2272</v>
      </c>
      <c r="C3171" s="119">
        <v>2575</v>
      </c>
      <c r="E3171" s="96" t="s">
        <v>353</v>
      </c>
      <c r="F3171" s="96" t="s">
        <v>183</v>
      </c>
      <c r="G3171" s="100">
        <v>1044</v>
      </c>
    </row>
    <row r="3172" spans="2:7">
      <c r="B3172" s="118" t="s">
        <v>2566</v>
      </c>
      <c r="C3172" s="119">
        <v>2575</v>
      </c>
      <c r="E3172" s="96" t="s">
        <v>354</v>
      </c>
      <c r="F3172" s="96" t="s">
        <v>183</v>
      </c>
      <c r="G3172" s="100">
        <v>1186</v>
      </c>
    </row>
    <row r="3173" spans="2:7">
      <c r="B3173" s="118" t="s">
        <v>2569</v>
      </c>
      <c r="C3173" s="119">
        <v>3274</v>
      </c>
      <c r="E3173" s="96" t="s">
        <v>355</v>
      </c>
      <c r="F3173" s="96" t="s">
        <v>183</v>
      </c>
      <c r="G3173" s="100">
        <v>1176</v>
      </c>
    </row>
    <row r="3174" spans="2:7">
      <c r="B3174" s="118" t="s">
        <v>2415</v>
      </c>
      <c r="C3174" s="119">
        <v>2565</v>
      </c>
      <c r="E3174" s="96" t="s">
        <v>356</v>
      </c>
      <c r="F3174" s="96" t="s">
        <v>183</v>
      </c>
      <c r="G3174" s="100">
        <v>1443</v>
      </c>
    </row>
    <row r="3175" spans="2:7">
      <c r="B3175" s="118" t="s">
        <v>2244</v>
      </c>
      <c r="C3175" s="119">
        <v>2563</v>
      </c>
      <c r="E3175" s="96" t="s">
        <v>357</v>
      </c>
      <c r="F3175" s="96" t="s">
        <v>183</v>
      </c>
      <c r="G3175" s="100">
        <v>1167</v>
      </c>
    </row>
    <row r="3176" spans="2:7">
      <c r="B3176" s="118" t="s">
        <v>2995</v>
      </c>
      <c r="C3176" s="119">
        <v>2513</v>
      </c>
      <c r="E3176" s="96" t="s">
        <v>358</v>
      </c>
      <c r="F3176" s="96" t="s">
        <v>183</v>
      </c>
      <c r="G3176" s="100">
        <v>1081</v>
      </c>
    </row>
    <row r="3177" spans="2:7">
      <c r="B3177" s="118" t="s">
        <v>2434</v>
      </c>
      <c r="C3177" s="119">
        <v>2514</v>
      </c>
      <c r="E3177" s="96" t="s">
        <v>359</v>
      </c>
      <c r="F3177" s="96" t="s">
        <v>183</v>
      </c>
      <c r="G3177" s="100">
        <v>1453</v>
      </c>
    </row>
    <row r="3178" spans="2:7">
      <c r="B3178" s="118" t="s">
        <v>2581</v>
      </c>
      <c r="C3178" s="119">
        <v>3274</v>
      </c>
      <c r="E3178" s="96" t="s">
        <v>360</v>
      </c>
      <c r="F3178" s="96" t="s">
        <v>183</v>
      </c>
      <c r="G3178" s="100">
        <v>1321</v>
      </c>
    </row>
    <row r="3179" spans="2:7">
      <c r="B3179" s="118" t="s">
        <v>2390</v>
      </c>
      <c r="C3179" s="119">
        <v>2572</v>
      </c>
      <c r="E3179" s="96" t="s">
        <v>361</v>
      </c>
      <c r="F3179" s="96" t="s">
        <v>183</v>
      </c>
      <c r="G3179" s="100">
        <v>1164</v>
      </c>
    </row>
    <row r="3180" spans="2:7">
      <c r="B3180" s="118" t="s">
        <v>2545</v>
      </c>
      <c r="C3180" s="119">
        <v>2503</v>
      </c>
      <c r="E3180" s="96" t="s">
        <v>362</v>
      </c>
      <c r="F3180" s="96" t="s">
        <v>183</v>
      </c>
      <c r="G3180" s="100">
        <v>1195</v>
      </c>
    </row>
    <row r="3181" spans="2:7">
      <c r="B3181" s="118" t="s">
        <v>2207</v>
      </c>
      <c r="C3181" s="119">
        <v>2560</v>
      </c>
      <c r="E3181" s="96" t="s">
        <v>363</v>
      </c>
      <c r="F3181" s="96" t="s">
        <v>183</v>
      </c>
      <c r="G3181" s="100">
        <v>1358</v>
      </c>
    </row>
    <row r="3182" spans="2:7">
      <c r="B3182" s="118" t="s">
        <v>2545</v>
      </c>
      <c r="C3182" s="119">
        <v>2504</v>
      </c>
      <c r="E3182" s="96" t="s">
        <v>364</v>
      </c>
      <c r="F3182" s="96" t="s">
        <v>183</v>
      </c>
      <c r="G3182" s="100">
        <v>1438</v>
      </c>
    </row>
    <row r="3183" spans="2:7">
      <c r="B3183" s="118" t="s">
        <v>2273</v>
      </c>
      <c r="C3183" s="119">
        <v>2552</v>
      </c>
      <c r="E3183" s="96" t="s">
        <v>365</v>
      </c>
      <c r="F3183" s="96" t="s">
        <v>183</v>
      </c>
      <c r="G3183" s="100">
        <v>1168</v>
      </c>
    </row>
    <row r="3184" spans="2:7">
      <c r="B3184" s="118" t="s">
        <v>2207</v>
      </c>
      <c r="C3184" s="119">
        <v>2560</v>
      </c>
      <c r="E3184" s="96" t="s">
        <v>366</v>
      </c>
      <c r="F3184" s="96" t="s">
        <v>183</v>
      </c>
      <c r="G3184" s="100">
        <v>1184</v>
      </c>
    </row>
    <row r="3185" spans="2:7">
      <c r="B3185" s="118" t="s">
        <v>2249</v>
      </c>
      <c r="C3185" s="119">
        <v>2562</v>
      </c>
      <c r="E3185" s="96" t="s">
        <v>367</v>
      </c>
      <c r="F3185" s="96" t="s">
        <v>183</v>
      </c>
      <c r="G3185" s="100">
        <v>1433</v>
      </c>
    </row>
    <row r="3186" spans="2:7">
      <c r="B3186" s="118" t="s">
        <v>2311</v>
      </c>
      <c r="C3186" s="119">
        <v>2553</v>
      </c>
      <c r="E3186" s="96" t="s">
        <v>368</v>
      </c>
      <c r="F3186" s="96" t="s">
        <v>183</v>
      </c>
      <c r="G3186" s="100">
        <v>1445</v>
      </c>
    </row>
    <row r="3187" spans="2:7">
      <c r="B3187" s="118" t="s">
        <v>2459</v>
      </c>
      <c r="C3187" s="119">
        <v>2556</v>
      </c>
      <c r="E3187" s="96" t="s">
        <v>369</v>
      </c>
      <c r="F3187" s="96" t="s">
        <v>183</v>
      </c>
      <c r="G3187" s="100">
        <v>1509</v>
      </c>
    </row>
    <row r="3188" spans="2:7">
      <c r="B3188" s="118" t="s">
        <v>2414</v>
      </c>
      <c r="C3188" s="119">
        <v>2556</v>
      </c>
      <c r="E3188" s="96" t="s">
        <v>370</v>
      </c>
      <c r="F3188" s="96" t="s">
        <v>183</v>
      </c>
      <c r="G3188" s="100">
        <v>1377</v>
      </c>
    </row>
    <row r="3189" spans="2:7">
      <c r="B3189" s="118" t="s">
        <v>2821</v>
      </c>
      <c r="C3189" s="119">
        <v>2557</v>
      </c>
      <c r="E3189" s="96" t="s">
        <v>371</v>
      </c>
      <c r="F3189" s="96" t="s">
        <v>183</v>
      </c>
      <c r="G3189" s="100">
        <v>1042</v>
      </c>
    </row>
    <row r="3190" spans="2:7">
      <c r="B3190" s="118" t="s">
        <v>2996</v>
      </c>
      <c r="C3190" s="119">
        <v>2572</v>
      </c>
      <c r="E3190" s="96" t="s">
        <v>372</v>
      </c>
      <c r="F3190" s="96" t="s">
        <v>183</v>
      </c>
      <c r="G3190" s="100">
        <v>1274</v>
      </c>
    </row>
    <row r="3191" spans="2:7">
      <c r="B3191" s="118" t="s">
        <v>2272</v>
      </c>
      <c r="C3191" s="119">
        <v>2575</v>
      </c>
      <c r="E3191" s="96" t="s">
        <v>373</v>
      </c>
      <c r="F3191" s="96" t="s">
        <v>183</v>
      </c>
      <c r="G3191" s="100">
        <v>1323</v>
      </c>
    </row>
    <row r="3192" spans="2:7">
      <c r="B3192" s="118" t="s">
        <v>2997</v>
      </c>
      <c r="C3192" s="119">
        <v>2575</v>
      </c>
      <c r="E3192" s="96" t="s">
        <v>374</v>
      </c>
      <c r="F3192" s="96" t="s">
        <v>183</v>
      </c>
      <c r="G3192" s="100">
        <v>1121</v>
      </c>
    </row>
    <row r="3193" spans="2:7">
      <c r="B3193" s="118" t="s">
        <v>2566</v>
      </c>
      <c r="C3193" s="119">
        <v>2575</v>
      </c>
      <c r="E3193" s="96" t="s">
        <v>375</v>
      </c>
      <c r="F3193" s="96" t="s">
        <v>183</v>
      </c>
      <c r="G3193" s="100">
        <v>1123</v>
      </c>
    </row>
    <row r="3194" spans="2:7">
      <c r="B3194" s="118" t="s">
        <v>2375</v>
      </c>
      <c r="C3194" s="119">
        <v>3272</v>
      </c>
      <c r="E3194" s="96" t="s">
        <v>376</v>
      </c>
      <c r="F3194" s="96" t="s">
        <v>183</v>
      </c>
      <c r="G3194" s="100">
        <v>1658</v>
      </c>
    </row>
    <row r="3195" spans="2:7">
      <c r="B3195" s="118" t="s">
        <v>2299</v>
      </c>
      <c r="C3195" s="119">
        <v>3252</v>
      </c>
      <c r="E3195" s="96" t="s">
        <v>377</v>
      </c>
      <c r="F3195" s="96" t="s">
        <v>183</v>
      </c>
      <c r="G3195" s="100">
        <v>1413</v>
      </c>
    </row>
    <row r="3196" spans="2:7">
      <c r="B3196" s="118" t="s">
        <v>2545</v>
      </c>
      <c r="C3196" s="119">
        <v>2505</v>
      </c>
      <c r="E3196" s="96" t="s">
        <v>378</v>
      </c>
      <c r="F3196" s="96" t="s">
        <v>183</v>
      </c>
      <c r="G3196" s="100">
        <v>1436</v>
      </c>
    </row>
    <row r="3197" spans="2:7">
      <c r="B3197" s="118" t="s">
        <v>2998</v>
      </c>
      <c r="C3197" s="119">
        <v>2512</v>
      </c>
      <c r="E3197" s="96" t="s">
        <v>379</v>
      </c>
      <c r="F3197" s="96" t="s">
        <v>183</v>
      </c>
      <c r="G3197" s="100">
        <v>1174</v>
      </c>
    </row>
    <row r="3198" spans="2:7">
      <c r="B3198" s="118" t="s">
        <v>2995</v>
      </c>
      <c r="C3198" s="119">
        <v>2513</v>
      </c>
      <c r="E3198" s="96" t="s">
        <v>380</v>
      </c>
      <c r="F3198" s="96" t="s">
        <v>183</v>
      </c>
      <c r="G3198" s="100">
        <v>1144</v>
      </c>
    </row>
    <row r="3199" spans="2:7">
      <c r="B3199" s="118" t="s">
        <v>2991</v>
      </c>
      <c r="C3199" s="119">
        <v>2516</v>
      </c>
      <c r="E3199" s="96" t="s">
        <v>381</v>
      </c>
      <c r="F3199" s="96" t="s">
        <v>183</v>
      </c>
      <c r="G3199" s="100">
        <v>1085</v>
      </c>
    </row>
    <row r="3200" spans="2:7">
      <c r="B3200" s="118" t="s">
        <v>2335</v>
      </c>
      <c r="C3200" s="119">
        <v>3235</v>
      </c>
      <c r="E3200" s="96" t="s">
        <v>382</v>
      </c>
      <c r="F3200" s="96" t="s">
        <v>183</v>
      </c>
      <c r="G3200" s="100">
        <v>1304</v>
      </c>
    </row>
    <row r="3201" spans="2:7">
      <c r="B3201" s="118" t="s">
        <v>2392</v>
      </c>
      <c r="C3201" s="119">
        <v>3763</v>
      </c>
      <c r="E3201" s="96" t="s">
        <v>383</v>
      </c>
      <c r="F3201" s="96" t="s">
        <v>183</v>
      </c>
      <c r="G3201" s="100">
        <v>1115</v>
      </c>
    </row>
    <row r="3202" spans="2:7">
      <c r="B3202" s="118" t="s">
        <v>2999</v>
      </c>
      <c r="C3202" s="119">
        <v>3764</v>
      </c>
      <c r="E3202" s="96" t="s">
        <v>384</v>
      </c>
      <c r="F3202" s="96" t="s">
        <v>183</v>
      </c>
      <c r="G3202" s="100">
        <v>1427</v>
      </c>
    </row>
    <row r="3203" spans="2:7">
      <c r="B3203" s="118" t="s">
        <v>3000</v>
      </c>
      <c r="C3203" s="119">
        <v>3753</v>
      </c>
      <c r="E3203" s="96" t="s">
        <v>385</v>
      </c>
      <c r="F3203" s="96" t="s">
        <v>183</v>
      </c>
      <c r="G3203" s="100">
        <v>1043</v>
      </c>
    </row>
    <row r="3204" spans="2:7">
      <c r="B3204" s="118" t="s">
        <v>2301</v>
      </c>
      <c r="C3204" s="119">
        <v>3754</v>
      </c>
      <c r="E3204" s="96" t="s">
        <v>386</v>
      </c>
      <c r="F3204" s="96" t="s">
        <v>183</v>
      </c>
      <c r="G3204" s="100">
        <v>1195</v>
      </c>
    </row>
    <row r="3205" spans="2:7">
      <c r="B3205" s="118" t="s">
        <v>3001</v>
      </c>
      <c r="C3205" s="119">
        <v>3755</v>
      </c>
      <c r="E3205" s="96" t="s">
        <v>387</v>
      </c>
      <c r="F3205" s="96" t="s">
        <v>183</v>
      </c>
      <c r="G3205" s="100">
        <v>1325</v>
      </c>
    </row>
    <row r="3206" spans="2:7">
      <c r="B3206" s="118" t="s">
        <v>3002</v>
      </c>
      <c r="C3206" s="119">
        <v>3756</v>
      </c>
      <c r="E3206" s="96" t="s">
        <v>388</v>
      </c>
      <c r="F3206" s="96" t="s">
        <v>183</v>
      </c>
      <c r="G3206" s="100">
        <v>1439</v>
      </c>
    </row>
    <row r="3207" spans="2:7">
      <c r="B3207" s="118" t="s">
        <v>3003</v>
      </c>
      <c r="C3207" s="119">
        <v>3757</v>
      </c>
      <c r="E3207" s="96" t="s">
        <v>389</v>
      </c>
      <c r="F3207" s="96" t="s">
        <v>183</v>
      </c>
      <c r="G3207" s="100">
        <v>1267</v>
      </c>
    </row>
    <row r="3208" spans="2:7">
      <c r="B3208" s="118" t="s">
        <v>2301</v>
      </c>
      <c r="C3208" s="119">
        <v>3754</v>
      </c>
      <c r="E3208" s="96" t="s">
        <v>390</v>
      </c>
      <c r="F3208" s="96" t="s">
        <v>183</v>
      </c>
      <c r="G3208" s="100">
        <v>1354</v>
      </c>
    </row>
    <row r="3209" spans="2:7">
      <c r="B3209" s="118" t="s">
        <v>3004</v>
      </c>
      <c r="C3209" s="119">
        <v>3758</v>
      </c>
      <c r="E3209" s="96" t="s">
        <v>391</v>
      </c>
      <c r="F3209" s="96" t="s">
        <v>183</v>
      </c>
      <c r="G3209" s="100">
        <v>1172</v>
      </c>
    </row>
    <row r="3210" spans="2:7">
      <c r="B3210" s="118" t="s">
        <v>2316</v>
      </c>
      <c r="C3210" s="119">
        <v>3762</v>
      </c>
      <c r="E3210" s="96" t="s">
        <v>392</v>
      </c>
      <c r="F3210" s="96" t="s">
        <v>183</v>
      </c>
      <c r="G3210" s="100">
        <v>1148</v>
      </c>
    </row>
    <row r="3211" spans="2:7">
      <c r="B3211" s="118" t="s">
        <v>2999</v>
      </c>
      <c r="C3211" s="119">
        <v>3764</v>
      </c>
      <c r="E3211" s="96" t="s">
        <v>393</v>
      </c>
      <c r="F3211" s="96" t="s">
        <v>183</v>
      </c>
      <c r="G3211" s="100">
        <v>1116</v>
      </c>
    </row>
    <row r="3212" spans="2:7">
      <c r="B3212" s="118" t="s">
        <v>2402</v>
      </c>
      <c r="C3212" s="119">
        <v>3765</v>
      </c>
      <c r="E3212" s="96" t="s">
        <v>394</v>
      </c>
      <c r="F3212" s="96" t="s">
        <v>183</v>
      </c>
      <c r="G3212" s="100">
        <v>1421</v>
      </c>
    </row>
    <row r="3213" spans="2:7">
      <c r="B3213" s="118" t="s">
        <v>2348</v>
      </c>
      <c r="C3213" s="119">
        <v>3766</v>
      </c>
      <c r="E3213" s="96" t="s">
        <v>395</v>
      </c>
      <c r="F3213" s="96" t="s">
        <v>183</v>
      </c>
      <c r="G3213" s="100">
        <v>1613</v>
      </c>
    </row>
    <row r="3214" spans="2:7">
      <c r="B3214" s="118" t="s">
        <v>3005</v>
      </c>
      <c r="C3214" s="119">
        <v>3645</v>
      </c>
      <c r="E3214" s="96" t="s">
        <v>396</v>
      </c>
      <c r="F3214" s="96" t="s">
        <v>183</v>
      </c>
      <c r="G3214" s="100">
        <v>1261</v>
      </c>
    </row>
    <row r="3215" spans="2:7">
      <c r="B3215" s="118" t="s">
        <v>2380</v>
      </c>
      <c r="C3215" s="119">
        <v>3647</v>
      </c>
      <c r="E3215" s="96" t="s">
        <v>397</v>
      </c>
      <c r="F3215" s="96" t="s">
        <v>183</v>
      </c>
      <c r="G3215" s="100">
        <v>1122</v>
      </c>
    </row>
    <row r="3216" spans="2:7">
      <c r="B3216" s="118" t="s">
        <v>3006</v>
      </c>
      <c r="C3216" s="119">
        <v>3645</v>
      </c>
      <c r="E3216" s="96" t="s">
        <v>398</v>
      </c>
      <c r="F3216" s="96" t="s">
        <v>183</v>
      </c>
      <c r="G3216" s="100">
        <v>1545</v>
      </c>
    </row>
    <row r="3217" spans="2:7">
      <c r="B3217" s="118" t="s">
        <v>3007</v>
      </c>
      <c r="C3217" s="119">
        <v>3646</v>
      </c>
      <c r="E3217" s="96" t="s">
        <v>399</v>
      </c>
      <c r="F3217" s="96" t="s">
        <v>183</v>
      </c>
      <c r="G3217" s="100">
        <v>1307</v>
      </c>
    </row>
    <row r="3218" spans="2:7">
      <c r="B3218" s="118" t="s">
        <v>2194</v>
      </c>
      <c r="C3218" s="119">
        <v>3700</v>
      </c>
      <c r="E3218" s="96" t="s">
        <v>400</v>
      </c>
      <c r="F3218" s="96" t="s">
        <v>183</v>
      </c>
      <c r="G3218" s="100">
        <v>1083</v>
      </c>
    </row>
    <row r="3219" spans="2:7">
      <c r="B3219" s="118" t="s">
        <v>2926</v>
      </c>
      <c r="C3219" s="119">
        <v>3702</v>
      </c>
      <c r="E3219" s="96" t="s">
        <v>401</v>
      </c>
      <c r="F3219" s="96" t="s">
        <v>183</v>
      </c>
      <c r="G3219" s="100">
        <v>1088</v>
      </c>
    </row>
    <row r="3220" spans="2:7">
      <c r="B3220" s="118" t="s">
        <v>2364</v>
      </c>
      <c r="C3220" s="119">
        <v>3704</v>
      </c>
      <c r="E3220" s="96" t="s">
        <v>402</v>
      </c>
      <c r="F3220" s="96" t="s">
        <v>183</v>
      </c>
      <c r="G3220" s="100">
        <v>1261</v>
      </c>
    </row>
    <row r="3221" spans="2:7">
      <c r="B3221" s="118" t="s">
        <v>2933</v>
      </c>
      <c r="C3221" s="119">
        <v>3705</v>
      </c>
      <c r="E3221" s="96" t="s">
        <v>403</v>
      </c>
      <c r="F3221" s="96" t="s">
        <v>183</v>
      </c>
      <c r="G3221" s="100">
        <v>1436</v>
      </c>
    </row>
    <row r="3222" spans="2:7">
      <c r="B3222" s="118" t="s">
        <v>2929</v>
      </c>
      <c r="C3222" s="119">
        <v>3711</v>
      </c>
      <c r="E3222" s="96" t="s">
        <v>404</v>
      </c>
      <c r="F3222" s="96" t="s">
        <v>183</v>
      </c>
      <c r="G3222" s="100">
        <v>1165</v>
      </c>
    </row>
    <row r="3223" spans="2:7">
      <c r="B3223" s="118" t="s">
        <v>2287</v>
      </c>
      <c r="C3223" s="119">
        <v>3752</v>
      </c>
      <c r="E3223" s="96" t="s">
        <v>405</v>
      </c>
      <c r="F3223" s="96" t="s">
        <v>183</v>
      </c>
      <c r="G3223" s="100">
        <v>1856</v>
      </c>
    </row>
    <row r="3224" spans="2:7">
      <c r="B3224" s="118" t="s">
        <v>3008</v>
      </c>
      <c r="C3224" s="119">
        <v>3631</v>
      </c>
      <c r="E3224" s="96" t="s">
        <v>406</v>
      </c>
      <c r="F3224" s="96" t="s">
        <v>183</v>
      </c>
      <c r="G3224" s="100">
        <v>1420</v>
      </c>
    </row>
    <row r="3225" spans="2:7">
      <c r="B3225" s="118" t="s">
        <v>3009</v>
      </c>
      <c r="C3225" s="119">
        <v>3632</v>
      </c>
      <c r="E3225" s="96" t="s">
        <v>407</v>
      </c>
      <c r="F3225" s="96" t="s">
        <v>183</v>
      </c>
      <c r="G3225" s="100">
        <v>1189</v>
      </c>
    </row>
    <row r="3226" spans="2:7">
      <c r="B3226" s="118" t="s">
        <v>3010</v>
      </c>
      <c r="C3226" s="119">
        <v>3632</v>
      </c>
      <c r="E3226" s="96" t="s">
        <v>408</v>
      </c>
      <c r="F3226" s="96" t="s">
        <v>183</v>
      </c>
      <c r="G3226" s="100">
        <v>1308</v>
      </c>
    </row>
    <row r="3227" spans="2:7">
      <c r="B3227" s="118" t="s">
        <v>2564</v>
      </c>
      <c r="C3227" s="119">
        <v>3864</v>
      </c>
      <c r="E3227" s="96" t="s">
        <v>409</v>
      </c>
      <c r="F3227" s="96" t="s">
        <v>183</v>
      </c>
      <c r="G3227" s="100">
        <v>1429</v>
      </c>
    </row>
    <row r="3228" spans="2:7">
      <c r="B3228" s="118" t="s">
        <v>3011</v>
      </c>
      <c r="C3228" s="119">
        <v>6083</v>
      </c>
      <c r="E3228" s="96" t="s">
        <v>410</v>
      </c>
      <c r="F3228" s="96" t="s">
        <v>183</v>
      </c>
      <c r="G3228" s="100">
        <v>1148</v>
      </c>
    </row>
    <row r="3229" spans="2:7">
      <c r="B3229" s="118" t="s">
        <v>3012</v>
      </c>
      <c r="C3229" s="119">
        <v>6084</v>
      </c>
      <c r="E3229" s="96" t="s">
        <v>411</v>
      </c>
      <c r="F3229" s="96" t="s">
        <v>183</v>
      </c>
      <c r="G3229" s="100">
        <v>1375</v>
      </c>
    </row>
    <row r="3230" spans="2:7">
      <c r="B3230" s="118" t="s">
        <v>3013</v>
      </c>
      <c r="C3230" s="119">
        <v>6085</v>
      </c>
      <c r="E3230" s="96" t="s">
        <v>412</v>
      </c>
      <c r="F3230" s="96" t="s">
        <v>183</v>
      </c>
      <c r="G3230" s="100">
        <v>1035</v>
      </c>
    </row>
    <row r="3231" spans="2:7">
      <c r="B3231" s="118" t="s">
        <v>3014</v>
      </c>
      <c r="C3231" s="119">
        <v>6086</v>
      </c>
      <c r="E3231" s="96" t="s">
        <v>413</v>
      </c>
      <c r="F3231" s="96" t="s">
        <v>183</v>
      </c>
      <c r="G3231" s="100">
        <v>1357</v>
      </c>
    </row>
    <row r="3232" spans="2:7">
      <c r="B3232" s="118" t="s">
        <v>2371</v>
      </c>
      <c r="C3232" s="119">
        <v>3862</v>
      </c>
      <c r="E3232" s="96" t="s">
        <v>414</v>
      </c>
      <c r="F3232" s="96" t="s">
        <v>183</v>
      </c>
      <c r="G3232" s="100">
        <v>1551</v>
      </c>
    </row>
    <row r="3233" spans="2:7">
      <c r="B3233" s="118" t="s">
        <v>3015</v>
      </c>
      <c r="C3233" s="119">
        <v>3863</v>
      </c>
      <c r="E3233" s="96" t="s">
        <v>415</v>
      </c>
      <c r="F3233" s="96" t="s">
        <v>183</v>
      </c>
      <c r="G3233" s="100">
        <v>1117</v>
      </c>
    </row>
    <row r="3234" spans="2:7">
      <c r="B3234" s="118" t="s">
        <v>2449</v>
      </c>
      <c r="C3234" s="119">
        <v>3856</v>
      </c>
      <c r="E3234" s="96" t="s">
        <v>416</v>
      </c>
      <c r="F3234" s="96" t="s">
        <v>183</v>
      </c>
      <c r="G3234" s="100">
        <v>1846</v>
      </c>
    </row>
    <row r="3235" spans="2:7">
      <c r="B3235" s="118" t="s">
        <v>3016</v>
      </c>
      <c r="C3235" s="119">
        <v>3857</v>
      </c>
      <c r="E3235" s="96" t="s">
        <v>417</v>
      </c>
      <c r="F3235" s="96" t="s">
        <v>183</v>
      </c>
      <c r="G3235" s="100">
        <v>1071</v>
      </c>
    </row>
    <row r="3236" spans="2:7">
      <c r="B3236" s="118" t="s">
        <v>2227</v>
      </c>
      <c r="C3236" s="119">
        <v>3860</v>
      </c>
      <c r="E3236" s="96" t="s">
        <v>418</v>
      </c>
      <c r="F3236" s="96" t="s">
        <v>183</v>
      </c>
      <c r="G3236" s="100">
        <v>1428</v>
      </c>
    </row>
    <row r="3237" spans="2:7">
      <c r="B3237" s="118" t="s">
        <v>3017</v>
      </c>
      <c r="C3237" s="119">
        <v>3860</v>
      </c>
      <c r="E3237" s="96" t="s">
        <v>419</v>
      </c>
      <c r="F3237" s="96" t="s">
        <v>183</v>
      </c>
      <c r="G3237" s="100">
        <v>1128</v>
      </c>
    </row>
    <row r="3238" spans="2:7">
      <c r="B3238" s="118" t="s">
        <v>3018</v>
      </c>
      <c r="C3238" s="119">
        <v>3860</v>
      </c>
      <c r="E3238" s="96" t="s">
        <v>420</v>
      </c>
      <c r="F3238" s="96" t="s">
        <v>183</v>
      </c>
      <c r="G3238" s="100">
        <v>1274</v>
      </c>
    </row>
    <row r="3239" spans="2:7">
      <c r="B3239" s="118" t="s">
        <v>2437</v>
      </c>
      <c r="C3239" s="119">
        <v>3860</v>
      </c>
      <c r="E3239" s="96" t="s">
        <v>421</v>
      </c>
      <c r="F3239" s="96" t="s">
        <v>183</v>
      </c>
      <c r="G3239" s="100">
        <v>1406</v>
      </c>
    </row>
    <row r="3240" spans="2:7">
      <c r="B3240" s="118" t="s">
        <v>3019</v>
      </c>
      <c r="C3240" s="119">
        <v>1657</v>
      </c>
      <c r="E3240" s="96" t="s">
        <v>422</v>
      </c>
      <c r="F3240" s="96" t="s">
        <v>183</v>
      </c>
      <c r="G3240" s="100">
        <v>1322</v>
      </c>
    </row>
    <row r="3241" spans="2:7">
      <c r="B3241" s="118" t="s">
        <v>2348</v>
      </c>
      <c r="C3241" s="119">
        <v>3766</v>
      </c>
      <c r="E3241" s="96" t="s">
        <v>423</v>
      </c>
      <c r="F3241" s="96" t="s">
        <v>183</v>
      </c>
      <c r="G3241" s="100">
        <v>1513</v>
      </c>
    </row>
    <row r="3242" spans="2:7">
      <c r="B3242" s="118" t="s">
        <v>2266</v>
      </c>
      <c r="C3242" s="119">
        <v>3770</v>
      </c>
      <c r="E3242" s="96" t="s">
        <v>424</v>
      </c>
      <c r="F3242" s="96" t="s">
        <v>183</v>
      </c>
      <c r="G3242" s="100">
        <v>1432</v>
      </c>
    </row>
    <row r="3243" spans="2:7">
      <c r="B3243" s="118" t="s">
        <v>3020</v>
      </c>
      <c r="C3243" s="119">
        <v>3773</v>
      </c>
      <c r="E3243" s="96" t="s">
        <v>425</v>
      </c>
      <c r="F3243" s="96" t="s">
        <v>183</v>
      </c>
      <c r="G3243" s="100">
        <v>1063</v>
      </c>
    </row>
    <row r="3244" spans="2:7">
      <c r="B3244" s="118" t="s">
        <v>3021</v>
      </c>
      <c r="C3244" s="119">
        <v>3775</v>
      </c>
      <c r="E3244" s="96" t="s">
        <v>426</v>
      </c>
      <c r="F3244" s="96" t="s">
        <v>183</v>
      </c>
      <c r="G3244" s="100">
        <v>1426</v>
      </c>
    </row>
    <row r="3245" spans="2:7">
      <c r="B3245" s="118" t="s">
        <v>2344</v>
      </c>
      <c r="C3245" s="119">
        <v>3772</v>
      </c>
      <c r="E3245" s="96" t="s">
        <v>427</v>
      </c>
      <c r="F3245" s="96" t="s">
        <v>183</v>
      </c>
      <c r="G3245" s="100">
        <v>1136</v>
      </c>
    </row>
    <row r="3246" spans="2:7">
      <c r="B3246" s="118" t="s">
        <v>3020</v>
      </c>
      <c r="C3246" s="119">
        <v>3773</v>
      </c>
      <c r="E3246" s="96" t="s">
        <v>428</v>
      </c>
      <c r="F3246" s="96" t="s">
        <v>183</v>
      </c>
      <c r="G3246" s="100">
        <v>1184</v>
      </c>
    </row>
    <row r="3247" spans="2:7">
      <c r="B3247" s="118" t="s">
        <v>2266</v>
      </c>
      <c r="C3247" s="119">
        <v>3770</v>
      </c>
      <c r="E3247" s="96" t="s">
        <v>429</v>
      </c>
      <c r="F3247" s="96" t="s">
        <v>183</v>
      </c>
      <c r="G3247" s="100">
        <v>1187</v>
      </c>
    </row>
    <row r="3248" spans="2:7">
      <c r="B3248" s="118" t="s">
        <v>3022</v>
      </c>
      <c r="C3248" s="119">
        <v>3771</v>
      </c>
      <c r="E3248" s="96" t="s">
        <v>430</v>
      </c>
      <c r="F3248" s="96" t="s">
        <v>183</v>
      </c>
      <c r="G3248" s="100">
        <v>1434</v>
      </c>
    </row>
    <row r="3249" spans="2:7">
      <c r="B3249" s="118" t="s">
        <v>3023</v>
      </c>
      <c r="C3249" s="119">
        <v>3776</v>
      </c>
      <c r="E3249" s="96" t="s">
        <v>431</v>
      </c>
      <c r="F3249" s="96" t="s">
        <v>183</v>
      </c>
      <c r="G3249" s="100">
        <v>1525</v>
      </c>
    </row>
    <row r="3250" spans="2:7">
      <c r="B3250" s="118" t="s">
        <v>3024</v>
      </c>
      <c r="C3250" s="119">
        <v>3777</v>
      </c>
      <c r="E3250" s="96" t="s">
        <v>432</v>
      </c>
      <c r="F3250" s="96" t="s">
        <v>183</v>
      </c>
      <c r="G3250" s="100">
        <v>1268</v>
      </c>
    </row>
    <row r="3251" spans="2:7">
      <c r="B3251" s="118" t="s">
        <v>3025</v>
      </c>
      <c r="C3251" s="119">
        <v>3784</v>
      </c>
      <c r="E3251" s="96" t="s">
        <v>433</v>
      </c>
      <c r="F3251" s="96" t="s">
        <v>183</v>
      </c>
      <c r="G3251" s="100">
        <v>1317</v>
      </c>
    </row>
    <row r="3252" spans="2:7">
      <c r="B3252" s="118" t="s">
        <v>3026</v>
      </c>
      <c r="C3252" s="119">
        <v>3785</v>
      </c>
      <c r="E3252" s="96" t="s">
        <v>434</v>
      </c>
      <c r="F3252" s="96" t="s">
        <v>183</v>
      </c>
      <c r="G3252" s="100">
        <v>1071</v>
      </c>
    </row>
    <row r="3253" spans="2:7">
      <c r="B3253" s="118" t="s">
        <v>3027</v>
      </c>
      <c r="C3253" s="119">
        <v>3782</v>
      </c>
      <c r="E3253" s="96" t="s">
        <v>435</v>
      </c>
      <c r="F3253" s="96" t="s">
        <v>183</v>
      </c>
      <c r="G3253" s="100">
        <v>1565</v>
      </c>
    </row>
    <row r="3254" spans="2:7">
      <c r="B3254" s="118" t="s">
        <v>3019</v>
      </c>
      <c r="C3254" s="119">
        <v>1657</v>
      </c>
      <c r="E3254" s="96" t="s">
        <v>436</v>
      </c>
      <c r="F3254" s="96" t="s">
        <v>183</v>
      </c>
      <c r="G3254" s="100">
        <v>1078</v>
      </c>
    </row>
    <row r="3255" spans="2:7">
      <c r="B3255" s="118" t="s">
        <v>3024</v>
      </c>
      <c r="C3255" s="119">
        <v>3777</v>
      </c>
      <c r="E3255" s="96" t="s">
        <v>437</v>
      </c>
      <c r="F3255" s="96" t="s">
        <v>183</v>
      </c>
      <c r="G3255" s="100">
        <v>1134</v>
      </c>
    </row>
    <row r="3256" spans="2:7">
      <c r="B3256" s="118" t="s">
        <v>3028</v>
      </c>
      <c r="C3256" s="119">
        <v>3778</v>
      </c>
      <c r="E3256" s="96" t="s">
        <v>438</v>
      </c>
      <c r="F3256" s="96" t="s">
        <v>183</v>
      </c>
      <c r="G3256" s="100">
        <v>1430</v>
      </c>
    </row>
    <row r="3257" spans="2:7">
      <c r="B3257" s="118" t="s">
        <v>3029</v>
      </c>
      <c r="C3257" s="119">
        <v>3780</v>
      </c>
      <c r="E3257" s="96" t="s">
        <v>439</v>
      </c>
      <c r="F3257" s="96" t="s">
        <v>183</v>
      </c>
      <c r="G3257" s="100">
        <v>1313</v>
      </c>
    </row>
    <row r="3258" spans="2:7">
      <c r="B3258" s="118" t="s">
        <v>3030</v>
      </c>
      <c r="C3258" s="119">
        <v>3781</v>
      </c>
      <c r="E3258" s="96" t="s">
        <v>440</v>
      </c>
      <c r="F3258" s="96" t="s">
        <v>183</v>
      </c>
      <c r="G3258" s="100">
        <v>1521</v>
      </c>
    </row>
    <row r="3259" spans="2:7">
      <c r="B3259" s="118" t="s">
        <v>3031</v>
      </c>
      <c r="C3259" s="119">
        <v>3783</v>
      </c>
      <c r="E3259" s="96" t="s">
        <v>441</v>
      </c>
      <c r="F3259" s="96" t="s">
        <v>183</v>
      </c>
      <c r="G3259" s="100">
        <v>1352</v>
      </c>
    </row>
    <row r="3260" spans="2:7">
      <c r="B3260" s="118" t="s">
        <v>2206</v>
      </c>
      <c r="C3260" s="119">
        <v>3792</v>
      </c>
      <c r="E3260" s="96" t="s">
        <v>442</v>
      </c>
      <c r="F3260" s="96" t="s">
        <v>183</v>
      </c>
      <c r="G3260" s="100">
        <v>1148</v>
      </c>
    </row>
    <row r="3261" spans="2:7">
      <c r="B3261" s="118" t="s">
        <v>3032</v>
      </c>
      <c r="C3261" s="119">
        <v>1738</v>
      </c>
      <c r="E3261" s="96" t="s">
        <v>443</v>
      </c>
      <c r="F3261" s="96" t="s">
        <v>183</v>
      </c>
      <c r="G3261" s="100">
        <v>1326</v>
      </c>
    </row>
    <row r="3262" spans="2:7">
      <c r="B3262" s="118" t="s">
        <v>2208</v>
      </c>
      <c r="C3262" s="119">
        <v>3150</v>
      </c>
      <c r="E3262" s="96" t="s">
        <v>444</v>
      </c>
      <c r="F3262" s="96" t="s">
        <v>183</v>
      </c>
      <c r="G3262" s="100">
        <v>1045</v>
      </c>
    </row>
    <row r="3263" spans="2:7">
      <c r="B3263" s="118" t="s">
        <v>3033</v>
      </c>
      <c r="C3263" s="119">
        <v>3156</v>
      </c>
      <c r="E3263" s="96" t="s">
        <v>445</v>
      </c>
      <c r="F3263" s="96" t="s">
        <v>183</v>
      </c>
      <c r="G3263" s="100">
        <v>1149</v>
      </c>
    </row>
    <row r="3264" spans="2:7">
      <c r="B3264" s="118" t="s">
        <v>3034</v>
      </c>
      <c r="C3264" s="119">
        <v>3157</v>
      </c>
      <c r="E3264" s="96" t="s">
        <v>446</v>
      </c>
      <c r="F3264" s="96" t="s">
        <v>183</v>
      </c>
      <c r="G3264" s="100">
        <v>1146</v>
      </c>
    </row>
    <row r="3265" spans="2:7">
      <c r="B3265" s="118" t="s">
        <v>2328</v>
      </c>
      <c r="C3265" s="119">
        <v>3158</v>
      </c>
      <c r="E3265" s="96" t="s">
        <v>447</v>
      </c>
      <c r="F3265" s="96" t="s">
        <v>183</v>
      </c>
      <c r="G3265" s="100">
        <v>1464</v>
      </c>
    </row>
    <row r="3266" spans="2:7">
      <c r="B3266" s="118" t="s">
        <v>3035</v>
      </c>
      <c r="C3266" s="119">
        <v>3159</v>
      </c>
      <c r="E3266" s="96" t="s">
        <v>448</v>
      </c>
      <c r="F3266" s="96" t="s">
        <v>183</v>
      </c>
      <c r="G3266" s="100">
        <v>1316</v>
      </c>
    </row>
    <row r="3267" spans="2:7">
      <c r="B3267" s="118" t="s">
        <v>3032</v>
      </c>
      <c r="C3267" s="119">
        <v>1738</v>
      </c>
      <c r="E3267" s="96" t="s">
        <v>449</v>
      </c>
      <c r="F3267" s="96" t="s">
        <v>183</v>
      </c>
      <c r="G3267" s="100">
        <v>1552</v>
      </c>
    </row>
    <row r="3268" spans="2:7">
      <c r="B3268" s="118" t="s">
        <v>3036</v>
      </c>
      <c r="C3268" s="119">
        <v>3099</v>
      </c>
      <c r="E3268" s="96" t="s">
        <v>450</v>
      </c>
      <c r="F3268" s="96" t="s">
        <v>183</v>
      </c>
      <c r="G3268" s="100">
        <v>1329</v>
      </c>
    </row>
    <row r="3269" spans="2:7">
      <c r="B3269" s="118" t="s">
        <v>3037</v>
      </c>
      <c r="C3269" s="119">
        <v>3152</v>
      </c>
      <c r="E3269" s="96" t="s">
        <v>451</v>
      </c>
      <c r="F3269" s="96" t="s">
        <v>183</v>
      </c>
      <c r="G3269" s="100">
        <v>1682</v>
      </c>
    </row>
    <row r="3270" spans="2:7">
      <c r="B3270" s="118" t="s">
        <v>3038</v>
      </c>
      <c r="C3270" s="119">
        <v>3153</v>
      </c>
      <c r="E3270" s="96" t="s">
        <v>452</v>
      </c>
      <c r="F3270" s="96" t="s">
        <v>183</v>
      </c>
      <c r="G3270" s="100">
        <v>1046</v>
      </c>
    </row>
    <row r="3271" spans="2:7">
      <c r="B3271" s="118" t="s">
        <v>3039</v>
      </c>
      <c r="C3271" s="119">
        <v>3154</v>
      </c>
      <c r="E3271" s="96" t="s">
        <v>453</v>
      </c>
      <c r="F3271" s="96" t="s">
        <v>183</v>
      </c>
      <c r="G3271" s="100">
        <v>1404</v>
      </c>
    </row>
    <row r="3272" spans="2:7">
      <c r="B3272" s="118" t="s">
        <v>3033</v>
      </c>
      <c r="C3272" s="119">
        <v>3156</v>
      </c>
      <c r="E3272" s="96" t="s">
        <v>454</v>
      </c>
      <c r="F3272" s="96" t="s">
        <v>183</v>
      </c>
      <c r="G3272" s="100">
        <v>1412</v>
      </c>
    </row>
    <row r="3273" spans="2:7">
      <c r="B3273" s="118" t="s">
        <v>3034</v>
      </c>
      <c r="C3273" s="119">
        <v>3157</v>
      </c>
      <c r="E3273" s="96" t="s">
        <v>455</v>
      </c>
      <c r="F3273" s="96" t="s">
        <v>183</v>
      </c>
      <c r="G3273" s="100">
        <v>1355</v>
      </c>
    </row>
    <row r="3274" spans="2:7">
      <c r="B3274" s="118" t="s">
        <v>3040</v>
      </c>
      <c r="C3274" s="119">
        <v>3148</v>
      </c>
      <c r="E3274" s="96" t="s">
        <v>456</v>
      </c>
      <c r="F3274" s="96" t="s">
        <v>183</v>
      </c>
      <c r="G3274" s="100">
        <v>1183</v>
      </c>
    </row>
    <row r="3275" spans="2:7">
      <c r="B3275" s="118" t="s">
        <v>2208</v>
      </c>
      <c r="C3275" s="119">
        <v>3150</v>
      </c>
      <c r="E3275" s="96" t="s">
        <v>457</v>
      </c>
      <c r="F3275" s="96" t="s">
        <v>183</v>
      </c>
      <c r="G3275" s="100">
        <v>1141</v>
      </c>
    </row>
    <row r="3276" spans="2:7">
      <c r="B3276" s="118" t="s">
        <v>3037</v>
      </c>
      <c r="C3276" s="119">
        <v>3152</v>
      </c>
      <c r="E3276" s="96" t="s">
        <v>458</v>
      </c>
      <c r="F3276" s="96" t="s">
        <v>183</v>
      </c>
      <c r="G3276" s="100">
        <v>1415</v>
      </c>
    </row>
    <row r="3277" spans="2:7">
      <c r="B3277" s="118" t="s">
        <v>3039</v>
      </c>
      <c r="C3277" s="119">
        <v>3154</v>
      </c>
      <c r="E3277" s="96" t="s">
        <v>459</v>
      </c>
      <c r="F3277" s="96" t="s">
        <v>183</v>
      </c>
      <c r="G3277" s="100">
        <v>1304</v>
      </c>
    </row>
    <row r="3278" spans="2:7">
      <c r="B3278" s="118" t="s">
        <v>3034</v>
      </c>
      <c r="C3278" s="119">
        <v>3157</v>
      </c>
      <c r="E3278" s="96" t="s">
        <v>460</v>
      </c>
      <c r="F3278" s="96" t="s">
        <v>183</v>
      </c>
      <c r="G3278" s="100">
        <v>1421</v>
      </c>
    </row>
    <row r="3279" spans="2:7">
      <c r="B3279" s="118" t="s">
        <v>3041</v>
      </c>
      <c r="C3279" s="119">
        <v>3183</v>
      </c>
      <c r="E3279" s="96" t="s">
        <v>461</v>
      </c>
      <c r="F3279" s="96" t="s">
        <v>183</v>
      </c>
      <c r="G3279" s="100">
        <v>1407</v>
      </c>
    </row>
    <row r="3280" spans="2:7">
      <c r="B3280" s="118" t="s">
        <v>2860</v>
      </c>
      <c r="C3280" s="119">
        <v>3086</v>
      </c>
      <c r="E3280" s="96" t="s">
        <v>462</v>
      </c>
      <c r="F3280" s="96" t="s">
        <v>183</v>
      </c>
      <c r="G3280" s="100">
        <v>1277</v>
      </c>
    </row>
    <row r="3281" spans="2:7">
      <c r="B3281" s="118" t="s">
        <v>2357</v>
      </c>
      <c r="C3281" s="119">
        <v>3115</v>
      </c>
      <c r="E3281" s="96" t="s">
        <v>463</v>
      </c>
      <c r="F3281" s="96" t="s">
        <v>183</v>
      </c>
      <c r="G3281" s="100">
        <v>1512</v>
      </c>
    </row>
    <row r="3282" spans="2:7">
      <c r="B3282" s="118" t="s">
        <v>2235</v>
      </c>
      <c r="C3282" s="119">
        <v>3122</v>
      </c>
      <c r="E3282" s="96" t="s">
        <v>464</v>
      </c>
      <c r="F3282" s="96" t="s">
        <v>183</v>
      </c>
      <c r="G3282" s="100">
        <v>1412</v>
      </c>
    </row>
    <row r="3283" spans="2:7">
      <c r="B3283" s="118" t="s">
        <v>2196</v>
      </c>
      <c r="C3283" s="119">
        <v>3123</v>
      </c>
      <c r="E3283" s="96" t="s">
        <v>465</v>
      </c>
      <c r="F3283" s="96" t="s">
        <v>183</v>
      </c>
      <c r="G3283" s="100">
        <v>1324</v>
      </c>
    </row>
    <row r="3284" spans="2:7">
      <c r="B3284" s="118" t="s">
        <v>3042</v>
      </c>
      <c r="C3284" s="119">
        <v>3124</v>
      </c>
      <c r="E3284" s="96" t="s">
        <v>466</v>
      </c>
      <c r="F3284" s="96" t="s">
        <v>183</v>
      </c>
      <c r="G3284" s="100">
        <v>1421</v>
      </c>
    </row>
    <row r="3285" spans="2:7">
      <c r="B3285" s="118" t="s">
        <v>2280</v>
      </c>
      <c r="C3285" s="119">
        <v>3125</v>
      </c>
      <c r="E3285" s="96" t="s">
        <v>467</v>
      </c>
      <c r="F3285" s="96" t="s">
        <v>183</v>
      </c>
      <c r="G3285" s="100">
        <v>1514</v>
      </c>
    </row>
    <row r="3286" spans="2:7">
      <c r="B3286" s="118" t="s">
        <v>2367</v>
      </c>
      <c r="C3286" s="119">
        <v>3664</v>
      </c>
      <c r="E3286" s="96" t="s">
        <v>468</v>
      </c>
      <c r="F3286" s="96" t="s">
        <v>183</v>
      </c>
      <c r="G3286" s="100">
        <v>1437</v>
      </c>
    </row>
    <row r="3287" spans="2:7">
      <c r="B3287" s="118" t="s">
        <v>2271</v>
      </c>
      <c r="C3287" s="119">
        <v>3665</v>
      </c>
      <c r="E3287" s="96" t="s">
        <v>469</v>
      </c>
      <c r="F3287" s="96" t="s">
        <v>183</v>
      </c>
      <c r="G3287" s="100">
        <v>1126</v>
      </c>
    </row>
    <row r="3288" spans="2:7">
      <c r="B3288" s="118" t="s">
        <v>2357</v>
      </c>
      <c r="C3288" s="119">
        <v>3115</v>
      </c>
      <c r="E3288" s="96" t="s">
        <v>470</v>
      </c>
      <c r="F3288" s="96" t="s">
        <v>183</v>
      </c>
      <c r="G3288" s="100">
        <v>1047</v>
      </c>
    </row>
    <row r="3289" spans="2:7">
      <c r="B3289" s="118" t="s">
        <v>2397</v>
      </c>
      <c r="C3289" s="119">
        <v>3663</v>
      </c>
      <c r="E3289" s="96" t="s">
        <v>471</v>
      </c>
      <c r="F3289" s="96" t="s">
        <v>183</v>
      </c>
      <c r="G3289" s="100">
        <v>1413</v>
      </c>
    </row>
    <row r="3290" spans="2:7">
      <c r="B3290" s="118" t="s">
        <v>2367</v>
      </c>
      <c r="C3290" s="119">
        <v>3664</v>
      </c>
      <c r="E3290" s="96" t="s">
        <v>472</v>
      </c>
      <c r="F3290" s="96" t="s">
        <v>183</v>
      </c>
      <c r="G3290" s="100">
        <v>1353</v>
      </c>
    </row>
    <row r="3291" spans="2:7">
      <c r="B3291" s="118" t="s">
        <v>2574</v>
      </c>
      <c r="C3291" s="119">
        <v>3629</v>
      </c>
      <c r="E3291" s="96" t="s">
        <v>473</v>
      </c>
      <c r="F3291" s="96" t="s">
        <v>183</v>
      </c>
      <c r="G3291" s="100">
        <v>1127</v>
      </c>
    </row>
    <row r="3292" spans="2:7">
      <c r="B3292" s="118" t="s">
        <v>2369</v>
      </c>
      <c r="C3292" s="119">
        <v>3126</v>
      </c>
      <c r="E3292" s="96" t="s">
        <v>474</v>
      </c>
      <c r="F3292" s="96" t="s">
        <v>183</v>
      </c>
      <c r="G3292" s="100">
        <v>1463</v>
      </c>
    </row>
    <row r="3293" spans="2:7">
      <c r="B3293" s="118" t="s">
        <v>2235</v>
      </c>
      <c r="C3293" s="119">
        <v>3122</v>
      </c>
      <c r="E3293" s="96" t="s">
        <v>475</v>
      </c>
      <c r="F3293" s="96" t="s">
        <v>183</v>
      </c>
      <c r="G3293" s="100">
        <v>1356</v>
      </c>
    </row>
    <row r="3294" spans="2:7">
      <c r="B3294" s="118" t="s">
        <v>2196</v>
      </c>
      <c r="C3294" s="119">
        <v>3123</v>
      </c>
      <c r="E3294" s="96" t="s">
        <v>476</v>
      </c>
      <c r="F3294" s="96" t="s">
        <v>183</v>
      </c>
      <c r="G3294" s="100">
        <v>1428</v>
      </c>
    </row>
    <row r="3295" spans="2:7">
      <c r="B3295" s="118" t="s">
        <v>2357</v>
      </c>
      <c r="C3295" s="119">
        <v>3115</v>
      </c>
      <c r="E3295" s="96" t="s">
        <v>477</v>
      </c>
      <c r="F3295" s="96" t="s">
        <v>183</v>
      </c>
      <c r="G3295" s="100">
        <v>1148</v>
      </c>
    </row>
    <row r="3296" spans="2:7">
      <c r="B3296" s="118" t="s">
        <v>3043</v>
      </c>
      <c r="C3296" s="119">
        <v>3116</v>
      </c>
      <c r="E3296" s="96" t="s">
        <v>478</v>
      </c>
      <c r="F3296" s="96" t="s">
        <v>183</v>
      </c>
      <c r="G3296" s="100">
        <v>1682</v>
      </c>
    </row>
    <row r="3297" spans="2:7">
      <c r="B3297" s="118" t="s">
        <v>3044</v>
      </c>
      <c r="C3297" s="119">
        <v>3116</v>
      </c>
      <c r="E3297" s="96" t="s">
        <v>479</v>
      </c>
      <c r="F3297" s="96" t="s">
        <v>183</v>
      </c>
      <c r="G3297" s="100">
        <v>1510</v>
      </c>
    </row>
    <row r="3298" spans="2:7">
      <c r="B3298" s="118" t="s">
        <v>3045</v>
      </c>
      <c r="C3298" s="119">
        <v>3116</v>
      </c>
      <c r="E3298" s="96" t="s">
        <v>480</v>
      </c>
      <c r="F3298" s="96" t="s">
        <v>183</v>
      </c>
      <c r="G3298" s="100">
        <v>1415</v>
      </c>
    </row>
    <row r="3299" spans="2:7">
      <c r="B3299" s="118" t="s">
        <v>2280</v>
      </c>
      <c r="C3299" s="119">
        <v>3125</v>
      </c>
      <c r="E3299" s="96" t="s">
        <v>481</v>
      </c>
      <c r="F3299" s="96" t="s">
        <v>183</v>
      </c>
      <c r="G3299" s="100">
        <v>1515</v>
      </c>
    </row>
    <row r="3300" spans="2:7">
      <c r="B3300" s="118" t="s">
        <v>3046</v>
      </c>
      <c r="C3300" s="119">
        <v>3126</v>
      </c>
      <c r="E3300" s="96" t="s">
        <v>482</v>
      </c>
      <c r="F3300" s="96" t="s">
        <v>183</v>
      </c>
      <c r="G3300" s="100">
        <v>1128</v>
      </c>
    </row>
    <row r="3301" spans="2:7">
      <c r="B3301" s="118" t="s">
        <v>2378</v>
      </c>
      <c r="C3301" s="119">
        <v>3629</v>
      </c>
      <c r="E3301" s="96" t="s">
        <v>483</v>
      </c>
      <c r="F3301" s="96" t="s">
        <v>183</v>
      </c>
      <c r="G3301" s="100">
        <v>1682</v>
      </c>
    </row>
    <row r="3302" spans="2:7">
      <c r="B3302" s="118" t="s">
        <v>2860</v>
      </c>
      <c r="C3302" s="119">
        <v>3086</v>
      </c>
      <c r="E3302" s="96" t="s">
        <v>484</v>
      </c>
      <c r="F3302" s="96" t="s">
        <v>183</v>
      </c>
      <c r="G3302" s="100">
        <v>1464</v>
      </c>
    </row>
    <row r="3303" spans="2:7">
      <c r="B3303" s="118" t="s">
        <v>2448</v>
      </c>
      <c r="C3303" s="119">
        <v>3087</v>
      </c>
      <c r="E3303" s="96" t="s">
        <v>485</v>
      </c>
      <c r="F3303" s="96" t="s">
        <v>183</v>
      </c>
      <c r="G3303" s="100">
        <v>1355</v>
      </c>
    </row>
    <row r="3304" spans="2:7">
      <c r="B3304" s="118" t="s">
        <v>3036</v>
      </c>
      <c r="C3304" s="119">
        <v>3099</v>
      </c>
      <c r="E3304" s="96" t="s">
        <v>486</v>
      </c>
      <c r="F3304" s="96" t="s">
        <v>183</v>
      </c>
      <c r="G3304" s="100">
        <v>1537</v>
      </c>
    </row>
    <row r="3305" spans="2:7">
      <c r="B3305" s="118" t="s">
        <v>2464</v>
      </c>
      <c r="C3305" s="119">
        <v>3128</v>
      </c>
      <c r="E3305" s="96" t="s">
        <v>487</v>
      </c>
      <c r="F3305" s="96" t="s">
        <v>183</v>
      </c>
      <c r="G3305" s="100">
        <v>1431</v>
      </c>
    </row>
    <row r="3306" spans="2:7">
      <c r="B3306" s="118" t="s">
        <v>2285</v>
      </c>
      <c r="C3306" s="119">
        <v>3132</v>
      </c>
      <c r="E3306" s="96" t="s">
        <v>488</v>
      </c>
      <c r="F3306" s="96" t="s">
        <v>183</v>
      </c>
      <c r="G3306" s="100">
        <v>1538</v>
      </c>
    </row>
    <row r="3307" spans="2:7">
      <c r="B3307" s="118" t="s">
        <v>2367</v>
      </c>
      <c r="C3307" s="119">
        <v>3664</v>
      </c>
      <c r="E3307" s="96" t="s">
        <v>489</v>
      </c>
      <c r="F3307" s="96" t="s">
        <v>183</v>
      </c>
      <c r="G3307" s="100">
        <v>1453</v>
      </c>
    </row>
    <row r="3308" spans="2:7">
      <c r="B3308" s="118" t="s">
        <v>2448</v>
      </c>
      <c r="C3308" s="119">
        <v>3087</v>
      </c>
      <c r="E3308" s="96" t="s">
        <v>490</v>
      </c>
      <c r="F3308" s="96" t="s">
        <v>183</v>
      </c>
      <c r="G3308" s="100">
        <v>1404</v>
      </c>
    </row>
    <row r="3309" spans="2:7">
      <c r="B3309" s="118" t="s">
        <v>2314</v>
      </c>
      <c r="C3309" s="119">
        <v>3088</v>
      </c>
      <c r="E3309" s="96" t="s">
        <v>491</v>
      </c>
      <c r="F3309" s="96" t="s">
        <v>183</v>
      </c>
      <c r="G3309" s="100">
        <v>1431</v>
      </c>
    </row>
    <row r="3310" spans="2:7">
      <c r="B3310" s="118" t="s">
        <v>3047</v>
      </c>
      <c r="C3310" s="119">
        <v>3088</v>
      </c>
      <c r="E3310" s="96" t="s">
        <v>492</v>
      </c>
      <c r="F3310" s="96" t="s">
        <v>183</v>
      </c>
      <c r="G3310" s="100">
        <v>1414</v>
      </c>
    </row>
    <row r="3311" spans="2:7">
      <c r="B3311" s="118" t="s">
        <v>3048</v>
      </c>
      <c r="C3311" s="119">
        <v>3089</v>
      </c>
      <c r="E3311" s="96" t="s">
        <v>493</v>
      </c>
      <c r="F3311" s="96" t="s">
        <v>183</v>
      </c>
      <c r="G3311" s="100">
        <v>1148</v>
      </c>
    </row>
    <row r="3312" spans="2:7">
      <c r="B3312" s="118" t="s">
        <v>3036</v>
      </c>
      <c r="C3312" s="119">
        <v>3099</v>
      </c>
      <c r="E3312" s="96" t="s">
        <v>494</v>
      </c>
      <c r="F3312" s="96" t="s">
        <v>171</v>
      </c>
      <c r="G3312" s="100">
        <v>4313</v>
      </c>
    </row>
    <row r="3313" spans="2:7">
      <c r="B3313" s="118" t="s">
        <v>2285</v>
      </c>
      <c r="C3313" s="119">
        <v>3132</v>
      </c>
      <c r="E3313" s="96" t="s">
        <v>495</v>
      </c>
      <c r="F3313" s="96" t="s">
        <v>171</v>
      </c>
      <c r="G3313" s="100">
        <v>5600</v>
      </c>
    </row>
    <row r="3314" spans="2:7">
      <c r="B3314" s="118" t="s">
        <v>3039</v>
      </c>
      <c r="C3314" s="119">
        <v>3154</v>
      </c>
      <c r="E3314" s="96" t="s">
        <v>496</v>
      </c>
      <c r="F3314" s="96" t="s">
        <v>171</v>
      </c>
      <c r="G3314" s="100">
        <v>5034</v>
      </c>
    </row>
    <row r="3315" spans="2:7">
      <c r="B3315" s="118" t="s">
        <v>3049</v>
      </c>
      <c r="C3315" s="119">
        <v>3155</v>
      </c>
      <c r="E3315" s="96" t="s">
        <v>497</v>
      </c>
      <c r="F3315" s="96" t="s">
        <v>171</v>
      </c>
      <c r="G3315" s="100">
        <v>4852</v>
      </c>
    </row>
    <row r="3316" spans="2:7">
      <c r="B3316" s="118" t="s">
        <v>2302</v>
      </c>
      <c r="C3316" s="119">
        <v>3662</v>
      </c>
      <c r="E3316" s="96" t="s">
        <v>498</v>
      </c>
      <c r="F3316" s="96" t="s">
        <v>171</v>
      </c>
      <c r="G3316" s="100">
        <v>5432</v>
      </c>
    </row>
    <row r="3317" spans="2:7">
      <c r="B3317" s="118" t="s">
        <v>2196</v>
      </c>
      <c r="C3317" s="119">
        <v>3123</v>
      </c>
      <c r="E3317" s="96" t="s">
        <v>499</v>
      </c>
      <c r="F3317" s="96" t="s">
        <v>171</v>
      </c>
      <c r="G3317" s="100">
        <v>5415</v>
      </c>
    </row>
    <row r="3318" spans="2:7">
      <c r="B3318" s="118" t="s">
        <v>2280</v>
      </c>
      <c r="C3318" s="119">
        <v>3125</v>
      </c>
      <c r="E3318" s="96" t="s">
        <v>500</v>
      </c>
      <c r="F3318" s="96" t="s">
        <v>171</v>
      </c>
      <c r="G3318" s="100">
        <v>5734</v>
      </c>
    </row>
    <row r="3319" spans="2:7">
      <c r="B3319" s="118" t="s">
        <v>2607</v>
      </c>
      <c r="C3319" s="119">
        <v>3628</v>
      </c>
      <c r="E3319" s="96" t="s">
        <v>501</v>
      </c>
      <c r="F3319" s="96" t="s">
        <v>171</v>
      </c>
      <c r="G3319" s="100">
        <v>5036</v>
      </c>
    </row>
    <row r="3320" spans="2:7">
      <c r="B3320" s="118" t="s">
        <v>2367</v>
      </c>
      <c r="C3320" s="119">
        <v>3664</v>
      </c>
      <c r="E3320" s="96" t="s">
        <v>502</v>
      </c>
      <c r="F3320" s="96" t="s">
        <v>171</v>
      </c>
      <c r="G3320" s="100">
        <v>4663</v>
      </c>
    </row>
    <row r="3321" spans="2:7">
      <c r="B3321" s="118" t="s">
        <v>2271</v>
      </c>
      <c r="C3321" s="119">
        <v>3665</v>
      </c>
      <c r="E3321" s="96" t="s">
        <v>503</v>
      </c>
      <c r="F3321" s="96" t="s">
        <v>171</v>
      </c>
      <c r="G3321" s="100">
        <v>5033</v>
      </c>
    </row>
    <row r="3322" spans="2:7">
      <c r="B3322" s="118" t="s">
        <v>2860</v>
      </c>
      <c r="C3322" s="119">
        <v>3086</v>
      </c>
      <c r="E3322" s="96" t="s">
        <v>504</v>
      </c>
      <c r="F3322" s="96" t="s">
        <v>171</v>
      </c>
      <c r="G3322" s="100">
        <v>5630</v>
      </c>
    </row>
    <row r="3323" spans="2:7">
      <c r="B3323" s="118" t="s">
        <v>3050</v>
      </c>
      <c r="C3323" s="119">
        <v>3086</v>
      </c>
      <c r="E3323" s="96" t="s">
        <v>505</v>
      </c>
      <c r="F3323" s="96" t="s">
        <v>171</v>
      </c>
      <c r="G3323" s="100">
        <v>5620</v>
      </c>
    </row>
    <row r="3324" spans="2:7">
      <c r="B3324" s="118" t="s">
        <v>2448</v>
      </c>
      <c r="C3324" s="119">
        <v>3087</v>
      </c>
      <c r="E3324" s="96" t="s">
        <v>506</v>
      </c>
      <c r="F3324" s="96" t="s">
        <v>171</v>
      </c>
      <c r="G3324" s="100">
        <v>5722</v>
      </c>
    </row>
    <row r="3325" spans="2:7">
      <c r="B3325" s="118" t="s">
        <v>2391</v>
      </c>
      <c r="C3325" s="119">
        <v>3096</v>
      </c>
      <c r="E3325" s="96" t="s">
        <v>507</v>
      </c>
      <c r="F3325" s="96" t="s">
        <v>171</v>
      </c>
      <c r="G3325" s="100">
        <v>5210</v>
      </c>
    </row>
    <row r="3326" spans="2:7">
      <c r="B3326" s="118" t="s">
        <v>2341</v>
      </c>
      <c r="C3326" s="119">
        <v>3127</v>
      </c>
      <c r="E3326" s="96" t="s">
        <v>508</v>
      </c>
      <c r="F3326" s="96" t="s">
        <v>171</v>
      </c>
      <c r="G3326" s="100">
        <v>5612</v>
      </c>
    </row>
    <row r="3327" spans="2:7">
      <c r="B3327" s="118" t="s">
        <v>3051</v>
      </c>
      <c r="C3327" s="119">
        <v>3127</v>
      </c>
      <c r="E3327" s="96" t="s">
        <v>509</v>
      </c>
      <c r="F3327" s="96" t="s">
        <v>171</v>
      </c>
      <c r="G3327" s="100">
        <v>5417</v>
      </c>
    </row>
    <row r="3328" spans="2:7">
      <c r="B3328" s="118" t="s">
        <v>3052</v>
      </c>
      <c r="C3328" s="119">
        <v>3128</v>
      </c>
      <c r="E3328" s="96" t="s">
        <v>510</v>
      </c>
      <c r="F3328" s="96" t="s">
        <v>171</v>
      </c>
      <c r="G3328" s="100">
        <v>5436</v>
      </c>
    </row>
    <row r="3329" spans="2:7">
      <c r="B3329" s="118" t="s">
        <v>3053</v>
      </c>
      <c r="C3329" s="119">
        <v>3536</v>
      </c>
      <c r="E3329" s="96" t="s">
        <v>511</v>
      </c>
      <c r="F3329" s="96" t="s">
        <v>171</v>
      </c>
      <c r="G3329" s="100">
        <v>5737</v>
      </c>
    </row>
    <row r="3330" spans="2:7">
      <c r="B3330" s="118" t="s">
        <v>2286</v>
      </c>
      <c r="C3330" s="119">
        <v>3537</v>
      </c>
      <c r="E3330" s="96" t="s">
        <v>512</v>
      </c>
      <c r="F3330" s="96" t="s">
        <v>171</v>
      </c>
      <c r="G3330" s="100">
        <v>5024</v>
      </c>
    </row>
    <row r="3331" spans="2:7">
      <c r="B3331" s="118" t="s">
        <v>2201</v>
      </c>
      <c r="C3331" s="119">
        <v>3550</v>
      </c>
      <c r="E3331" s="96" t="s">
        <v>513</v>
      </c>
      <c r="F3331" s="96" t="s">
        <v>171</v>
      </c>
      <c r="G3331" s="100">
        <v>4303</v>
      </c>
    </row>
    <row r="3332" spans="2:7">
      <c r="B3332" s="118" t="s">
        <v>3054</v>
      </c>
      <c r="C3332" s="119">
        <v>3618</v>
      </c>
      <c r="E3332" s="96" t="s">
        <v>514</v>
      </c>
      <c r="F3332" s="96" t="s">
        <v>171</v>
      </c>
      <c r="G3332" s="100">
        <v>5070</v>
      </c>
    </row>
    <row r="3333" spans="2:7">
      <c r="B3333" s="118" t="s">
        <v>2389</v>
      </c>
      <c r="C3333" s="119">
        <v>6197</v>
      </c>
      <c r="E3333" s="96" t="s">
        <v>515</v>
      </c>
      <c r="F3333" s="96" t="s">
        <v>171</v>
      </c>
      <c r="G3333" s="100">
        <v>5442</v>
      </c>
    </row>
    <row r="3334" spans="2:7">
      <c r="B3334" s="118" t="s">
        <v>3055</v>
      </c>
      <c r="C3334" s="119">
        <v>3535</v>
      </c>
      <c r="E3334" s="96" t="s">
        <v>516</v>
      </c>
      <c r="F3334" s="96" t="s">
        <v>171</v>
      </c>
      <c r="G3334" s="100">
        <v>5507</v>
      </c>
    </row>
    <row r="3335" spans="2:7">
      <c r="B3335" s="118" t="s">
        <v>3056</v>
      </c>
      <c r="C3335" s="119">
        <v>3543</v>
      </c>
      <c r="E3335" s="96" t="s">
        <v>517</v>
      </c>
      <c r="F3335" s="96" t="s">
        <v>171</v>
      </c>
      <c r="G3335" s="100">
        <v>5102</v>
      </c>
    </row>
    <row r="3336" spans="2:7">
      <c r="B3336" s="118" t="s">
        <v>2201</v>
      </c>
      <c r="C3336" s="119">
        <v>3550</v>
      </c>
      <c r="E3336" s="96" t="s">
        <v>518</v>
      </c>
      <c r="F3336" s="96" t="s">
        <v>171</v>
      </c>
      <c r="G3336" s="100">
        <v>5412</v>
      </c>
    </row>
    <row r="3337" spans="2:7">
      <c r="B3337" s="118" t="s">
        <v>3057</v>
      </c>
      <c r="C3337" s="119">
        <v>3551</v>
      </c>
      <c r="E3337" s="96" t="s">
        <v>519</v>
      </c>
      <c r="F3337" s="96" t="s">
        <v>171</v>
      </c>
      <c r="G3337" s="100">
        <v>5703</v>
      </c>
    </row>
    <row r="3338" spans="2:7">
      <c r="B3338" s="118" t="s">
        <v>3058</v>
      </c>
      <c r="C3338" s="119">
        <v>3552</v>
      </c>
      <c r="E3338" s="96" t="s">
        <v>520</v>
      </c>
      <c r="F3338" s="96" t="s">
        <v>171</v>
      </c>
      <c r="G3338" s="100">
        <v>5420</v>
      </c>
    </row>
    <row r="3339" spans="2:7">
      <c r="B3339" s="118" t="s">
        <v>3059</v>
      </c>
      <c r="C3339" s="119">
        <v>3553</v>
      </c>
      <c r="E3339" s="96" t="s">
        <v>521</v>
      </c>
      <c r="F3339" s="96" t="s">
        <v>171</v>
      </c>
      <c r="G3339" s="100">
        <v>4802</v>
      </c>
    </row>
    <row r="3340" spans="2:7">
      <c r="B3340" s="118" t="s">
        <v>2333</v>
      </c>
      <c r="C3340" s="119">
        <v>3555</v>
      </c>
      <c r="E3340" s="96" t="s">
        <v>522</v>
      </c>
      <c r="F3340" s="96" t="s">
        <v>171</v>
      </c>
      <c r="G3340" s="100">
        <v>5702</v>
      </c>
    </row>
    <row r="3341" spans="2:7">
      <c r="B3341" s="118" t="s">
        <v>2420</v>
      </c>
      <c r="C3341" s="119">
        <v>3434</v>
      </c>
      <c r="E3341" s="96" t="s">
        <v>523</v>
      </c>
      <c r="F3341" s="96" t="s">
        <v>171</v>
      </c>
      <c r="G3341" s="100">
        <v>8965</v>
      </c>
    </row>
    <row r="3342" spans="2:7">
      <c r="B3342" s="118" t="s">
        <v>3060</v>
      </c>
      <c r="C3342" s="119">
        <v>3436</v>
      </c>
      <c r="E3342" s="96" t="s">
        <v>524</v>
      </c>
      <c r="F3342" s="96" t="s">
        <v>171</v>
      </c>
      <c r="G3342" s="100">
        <v>5303</v>
      </c>
    </row>
    <row r="3343" spans="2:7">
      <c r="B3343" s="118" t="s">
        <v>2279</v>
      </c>
      <c r="C3343" s="119">
        <v>3438</v>
      </c>
      <c r="E3343" s="96" t="s">
        <v>525</v>
      </c>
      <c r="F3343" s="96" t="s">
        <v>171</v>
      </c>
      <c r="G3343" s="100">
        <v>5242</v>
      </c>
    </row>
    <row r="3344" spans="2:7">
      <c r="B3344" s="118" t="s">
        <v>3056</v>
      </c>
      <c r="C3344" s="119">
        <v>3543</v>
      </c>
      <c r="E3344" s="96" t="s">
        <v>526</v>
      </c>
      <c r="F3344" s="96" t="s">
        <v>171</v>
      </c>
      <c r="G3344" s="100">
        <v>8964</v>
      </c>
    </row>
    <row r="3345" spans="2:7">
      <c r="B3345" s="118" t="s">
        <v>2201</v>
      </c>
      <c r="C3345" s="119">
        <v>3550</v>
      </c>
      <c r="E3345" s="96" t="s">
        <v>527</v>
      </c>
      <c r="F3345" s="96" t="s">
        <v>171</v>
      </c>
      <c r="G3345" s="100">
        <v>5621</v>
      </c>
    </row>
    <row r="3346" spans="2:7">
      <c r="B3346" s="118" t="s">
        <v>3057</v>
      </c>
      <c r="C3346" s="119">
        <v>3551</v>
      </c>
      <c r="E3346" s="96" t="s">
        <v>528</v>
      </c>
      <c r="F3346" s="96" t="s">
        <v>171</v>
      </c>
      <c r="G3346" s="100">
        <v>5103</v>
      </c>
    </row>
    <row r="3347" spans="2:7">
      <c r="B3347" s="118" t="s">
        <v>2342</v>
      </c>
      <c r="C3347" s="119">
        <v>3533</v>
      </c>
      <c r="E3347" s="96" t="s">
        <v>529</v>
      </c>
      <c r="F3347" s="96" t="s">
        <v>171</v>
      </c>
      <c r="G3347" s="100">
        <v>5742</v>
      </c>
    </row>
    <row r="3348" spans="2:7">
      <c r="B3348" s="118" t="s">
        <v>2286</v>
      </c>
      <c r="C3348" s="119">
        <v>3537</v>
      </c>
      <c r="E3348" s="96" t="s">
        <v>530</v>
      </c>
      <c r="F3348" s="96" t="s">
        <v>171</v>
      </c>
      <c r="G3348" s="100">
        <v>5643</v>
      </c>
    </row>
    <row r="3349" spans="2:7">
      <c r="B3349" s="118" t="s">
        <v>2358</v>
      </c>
      <c r="C3349" s="119">
        <v>3538</v>
      </c>
      <c r="E3349" s="96" t="s">
        <v>531</v>
      </c>
      <c r="F3349" s="96" t="s">
        <v>171</v>
      </c>
      <c r="G3349" s="100">
        <v>5040</v>
      </c>
    </row>
    <row r="3350" spans="2:7">
      <c r="B3350" s="118" t="s">
        <v>2961</v>
      </c>
      <c r="C3350" s="119">
        <v>3615</v>
      </c>
      <c r="E3350" s="96" t="s">
        <v>532</v>
      </c>
      <c r="F3350" s="96" t="s">
        <v>171</v>
      </c>
      <c r="G3350" s="100">
        <v>5330</v>
      </c>
    </row>
    <row r="3351" spans="2:7">
      <c r="B3351" s="118" t="s">
        <v>3054</v>
      </c>
      <c r="C3351" s="119">
        <v>3618</v>
      </c>
      <c r="E3351" s="96" t="s">
        <v>533</v>
      </c>
      <c r="F3351" s="96" t="s">
        <v>171</v>
      </c>
      <c r="G3351" s="100">
        <v>5015</v>
      </c>
    </row>
    <row r="3352" spans="2:7">
      <c r="B3352" s="118" t="s">
        <v>2879</v>
      </c>
      <c r="C3352" s="119">
        <v>3432</v>
      </c>
      <c r="E3352" s="96" t="s">
        <v>534</v>
      </c>
      <c r="F3352" s="96" t="s">
        <v>171</v>
      </c>
      <c r="G3352" s="100">
        <v>5452</v>
      </c>
    </row>
    <row r="3353" spans="2:7">
      <c r="B3353" s="118" t="s">
        <v>2880</v>
      </c>
      <c r="C3353" s="119">
        <v>3433</v>
      </c>
      <c r="E3353" s="96" t="s">
        <v>535</v>
      </c>
      <c r="F3353" s="96" t="s">
        <v>171</v>
      </c>
      <c r="G3353" s="100">
        <v>5035</v>
      </c>
    </row>
    <row r="3354" spans="2:7">
      <c r="B3354" s="118" t="s">
        <v>3060</v>
      </c>
      <c r="C3354" s="119">
        <v>3436</v>
      </c>
      <c r="E3354" s="96" t="s">
        <v>536</v>
      </c>
      <c r="F3354" s="96" t="s">
        <v>171</v>
      </c>
      <c r="G3354" s="100">
        <v>5502</v>
      </c>
    </row>
    <row r="3355" spans="2:7">
      <c r="B3355" s="118" t="s">
        <v>2291</v>
      </c>
      <c r="C3355" s="119">
        <v>3437</v>
      </c>
      <c r="E3355" s="96" t="s">
        <v>537</v>
      </c>
      <c r="F3355" s="96" t="s">
        <v>171</v>
      </c>
      <c r="G3355" s="100">
        <v>5443</v>
      </c>
    </row>
    <row r="3356" spans="2:7">
      <c r="B3356" s="118" t="s">
        <v>2279</v>
      </c>
      <c r="C3356" s="119">
        <v>3438</v>
      </c>
      <c r="E3356" s="96" t="s">
        <v>538</v>
      </c>
      <c r="F3356" s="96" t="s">
        <v>171</v>
      </c>
      <c r="G3356" s="100">
        <v>5315</v>
      </c>
    </row>
    <row r="3357" spans="2:7">
      <c r="B3357" s="118" t="s">
        <v>3061</v>
      </c>
      <c r="C3357" s="119">
        <v>3439</v>
      </c>
      <c r="E3357" s="96" t="s">
        <v>539</v>
      </c>
      <c r="F3357" s="96" t="s">
        <v>171</v>
      </c>
      <c r="G3357" s="100">
        <v>5707</v>
      </c>
    </row>
    <row r="3358" spans="2:7">
      <c r="B3358" s="118" t="s">
        <v>3062</v>
      </c>
      <c r="C3358" s="119">
        <v>3453</v>
      </c>
      <c r="E3358" s="96" t="s">
        <v>540</v>
      </c>
      <c r="F3358" s="96" t="s">
        <v>171</v>
      </c>
      <c r="G3358" s="100">
        <v>4312</v>
      </c>
    </row>
    <row r="3359" spans="2:7">
      <c r="B3359" s="118" t="s">
        <v>2389</v>
      </c>
      <c r="C3359" s="119">
        <v>6197</v>
      </c>
      <c r="E3359" s="96" t="s">
        <v>541</v>
      </c>
      <c r="F3359" s="96" t="s">
        <v>171</v>
      </c>
      <c r="G3359" s="100">
        <v>4805</v>
      </c>
    </row>
    <row r="3360" spans="2:7">
      <c r="B3360" s="118" t="s">
        <v>2274</v>
      </c>
      <c r="C3360" s="119">
        <v>3534</v>
      </c>
      <c r="E3360" s="96" t="s">
        <v>542</v>
      </c>
      <c r="F3360" s="96" t="s">
        <v>171</v>
      </c>
      <c r="G3360" s="100">
        <v>5312</v>
      </c>
    </row>
    <row r="3361" spans="2:7">
      <c r="B3361" s="118" t="s">
        <v>3055</v>
      </c>
      <c r="C3361" s="119">
        <v>3535</v>
      </c>
      <c r="E3361" s="96" t="s">
        <v>543</v>
      </c>
      <c r="F3361" s="96" t="s">
        <v>171</v>
      </c>
      <c r="G3361" s="100">
        <v>5605</v>
      </c>
    </row>
    <row r="3362" spans="2:7">
      <c r="B3362" s="118" t="s">
        <v>3056</v>
      </c>
      <c r="C3362" s="119">
        <v>3543</v>
      </c>
      <c r="E3362" s="96" t="s">
        <v>544</v>
      </c>
      <c r="F3362" s="96" t="s">
        <v>171</v>
      </c>
      <c r="G3362" s="100">
        <v>5037</v>
      </c>
    </row>
    <row r="3363" spans="2:7">
      <c r="B3363" s="118" t="s">
        <v>2286</v>
      </c>
      <c r="C3363" s="119">
        <v>3537</v>
      </c>
      <c r="E3363" s="96" t="s">
        <v>545</v>
      </c>
      <c r="F3363" s="96" t="s">
        <v>171</v>
      </c>
      <c r="G3363" s="100">
        <v>5745</v>
      </c>
    </row>
    <row r="3364" spans="2:7">
      <c r="B3364" s="118" t="s">
        <v>3058</v>
      </c>
      <c r="C3364" s="119">
        <v>3552</v>
      </c>
      <c r="E3364" s="96" t="s">
        <v>546</v>
      </c>
      <c r="F3364" s="96" t="s">
        <v>171</v>
      </c>
      <c r="G3364" s="100">
        <v>8967</v>
      </c>
    </row>
    <row r="3365" spans="2:7">
      <c r="B3365" s="118" t="s">
        <v>2333</v>
      </c>
      <c r="C3365" s="119">
        <v>3555</v>
      </c>
      <c r="E3365" s="96" t="s">
        <v>547</v>
      </c>
      <c r="F3365" s="96" t="s">
        <v>171</v>
      </c>
      <c r="G3365" s="100">
        <v>5080</v>
      </c>
    </row>
    <row r="3366" spans="2:7">
      <c r="B3366" s="118" t="s">
        <v>2343</v>
      </c>
      <c r="C3366" s="119">
        <v>3556</v>
      </c>
      <c r="E3366" s="96" t="s">
        <v>548</v>
      </c>
      <c r="F3366" s="96" t="s">
        <v>171</v>
      </c>
      <c r="G3366" s="100">
        <v>5212</v>
      </c>
    </row>
    <row r="3367" spans="2:7">
      <c r="B3367" s="118" t="s">
        <v>3063</v>
      </c>
      <c r="C3367" s="119">
        <v>3557</v>
      </c>
      <c r="E3367" s="96" t="s">
        <v>549</v>
      </c>
      <c r="F3367" s="96" t="s">
        <v>171</v>
      </c>
      <c r="G3367" s="100">
        <v>5634</v>
      </c>
    </row>
    <row r="3368" spans="2:7">
      <c r="B3368" s="118" t="s">
        <v>2286</v>
      </c>
      <c r="C3368" s="119">
        <v>3537</v>
      </c>
      <c r="E3368" s="96" t="s">
        <v>550</v>
      </c>
      <c r="F3368" s="96" t="s">
        <v>171</v>
      </c>
      <c r="G3368" s="100">
        <v>5073</v>
      </c>
    </row>
    <row r="3369" spans="2:7">
      <c r="B3369" s="118" t="s">
        <v>2333</v>
      </c>
      <c r="C3369" s="119">
        <v>3555</v>
      </c>
      <c r="E3369" s="96" t="s">
        <v>551</v>
      </c>
      <c r="F3369" s="96" t="s">
        <v>171</v>
      </c>
      <c r="G3369" s="100">
        <v>5408</v>
      </c>
    </row>
    <row r="3370" spans="2:7">
      <c r="B3370" s="118" t="s">
        <v>2343</v>
      </c>
      <c r="C3370" s="119">
        <v>3556</v>
      </c>
      <c r="E3370" s="96" t="s">
        <v>552</v>
      </c>
      <c r="F3370" s="96" t="s">
        <v>171</v>
      </c>
      <c r="G3370" s="100">
        <v>5313</v>
      </c>
    </row>
    <row r="3371" spans="2:7">
      <c r="B3371" s="118" t="s">
        <v>2399</v>
      </c>
      <c r="C3371" s="119">
        <v>3633</v>
      </c>
      <c r="E3371" s="96" t="s">
        <v>553</v>
      </c>
      <c r="F3371" s="96" t="s">
        <v>171</v>
      </c>
      <c r="G3371" s="100">
        <v>5603</v>
      </c>
    </row>
    <row r="3372" spans="2:7">
      <c r="B3372" s="118" t="s">
        <v>2354</v>
      </c>
      <c r="C3372" s="119">
        <v>3638</v>
      </c>
      <c r="E3372" s="96" t="s">
        <v>554</v>
      </c>
      <c r="F3372" s="96" t="s">
        <v>171</v>
      </c>
      <c r="G3372" s="100">
        <v>4332</v>
      </c>
    </row>
    <row r="3373" spans="2:7">
      <c r="B3373" s="118" t="s">
        <v>2379</v>
      </c>
      <c r="C3373" s="119">
        <v>3614</v>
      </c>
      <c r="E3373" s="96" t="s">
        <v>555</v>
      </c>
      <c r="F3373" s="96" t="s">
        <v>171</v>
      </c>
      <c r="G3373" s="100">
        <v>5712</v>
      </c>
    </row>
    <row r="3374" spans="2:7">
      <c r="B3374" s="118" t="s">
        <v>2961</v>
      </c>
      <c r="C3374" s="119">
        <v>3615</v>
      </c>
      <c r="E3374" s="96" t="s">
        <v>556</v>
      </c>
      <c r="F3374" s="96" t="s">
        <v>171</v>
      </c>
      <c r="G3374" s="100">
        <v>5726</v>
      </c>
    </row>
    <row r="3375" spans="2:7">
      <c r="B3375" s="118" t="s">
        <v>3054</v>
      </c>
      <c r="C3375" s="119">
        <v>3618</v>
      </c>
      <c r="E3375" s="96" t="s">
        <v>557</v>
      </c>
      <c r="F3375" s="96" t="s">
        <v>171</v>
      </c>
      <c r="G3375" s="100">
        <v>5242</v>
      </c>
    </row>
    <row r="3376" spans="2:7">
      <c r="B3376" s="118" t="s">
        <v>2965</v>
      </c>
      <c r="C3376" s="119">
        <v>3674</v>
      </c>
      <c r="E3376" s="96" t="s">
        <v>558</v>
      </c>
      <c r="F3376" s="96" t="s">
        <v>171</v>
      </c>
      <c r="G3376" s="100">
        <v>5503</v>
      </c>
    </row>
    <row r="3377" spans="2:7">
      <c r="B3377" s="118" t="s">
        <v>3064</v>
      </c>
      <c r="C3377" s="119">
        <v>3616</v>
      </c>
      <c r="E3377" s="96" t="s">
        <v>559</v>
      </c>
      <c r="F3377" s="96" t="s">
        <v>171</v>
      </c>
      <c r="G3377" s="100">
        <v>5413</v>
      </c>
    </row>
    <row r="3378" spans="2:7">
      <c r="B3378" s="118" t="s">
        <v>2450</v>
      </c>
      <c r="C3378" s="119">
        <v>3619</v>
      </c>
      <c r="E3378" s="96" t="s">
        <v>560</v>
      </c>
      <c r="F3378" s="96" t="s">
        <v>171</v>
      </c>
      <c r="G3378" s="100">
        <v>5300</v>
      </c>
    </row>
    <row r="3379" spans="2:7">
      <c r="B3379" s="118" t="s">
        <v>2389</v>
      </c>
      <c r="C3379" s="119">
        <v>6197</v>
      </c>
      <c r="E3379" s="96" t="s">
        <v>561</v>
      </c>
      <c r="F3379" s="96" t="s">
        <v>171</v>
      </c>
      <c r="G3379" s="100">
        <v>5616</v>
      </c>
    </row>
    <row r="3380" spans="2:7">
      <c r="B3380" s="118" t="s">
        <v>2191</v>
      </c>
      <c r="C3380" s="119">
        <v>3612</v>
      </c>
      <c r="E3380" s="96" t="s">
        <v>562</v>
      </c>
      <c r="F3380" s="96" t="s">
        <v>171</v>
      </c>
      <c r="G3380" s="100">
        <v>4853</v>
      </c>
    </row>
    <row r="3381" spans="2:7">
      <c r="B3381" s="118" t="s">
        <v>3065</v>
      </c>
      <c r="C3381" s="119">
        <v>3617</v>
      </c>
      <c r="E3381" s="96" t="s">
        <v>563</v>
      </c>
      <c r="F3381" s="96" t="s">
        <v>171</v>
      </c>
      <c r="G3381" s="100">
        <v>5622</v>
      </c>
    </row>
    <row r="3382" spans="2:7">
      <c r="B3382" s="118" t="s">
        <v>2412</v>
      </c>
      <c r="C3382" s="119">
        <v>3625</v>
      </c>
      <c r="E3382" s="96" t="s">
        <v>564</v>
      </c>
      <c r="F3382" s="96" t="s">
        <v>171</v>
      </c>
      <c r="G3382" s="100">
        <v>5614</v>
      </c>
    </row>
    <row r="3383" spans="2:7">
      <c r="B3383" s="118" t="s">
        <v>2191</v>
      </c>
      <c r="C3383" s="119">
        <v>3613</v>
      </c>
      <c r="E3383" s="96" t="s">
        <v>565</v>
      </c>
      <c r="F3383" s="96" t="s">
        <v>171</v>
      </c>
      <c r="G3383" s="100">
        <v>5524</v>
      </c>
    </row>
    <row r="3384" spans="2:7">
      <c r="B3384" s="118" t="s">
        <v>2209</v>
      </c>
      <c r="C3384" s="119">
        <v>3627</v>
      </c>
      <c r="E3384" s="96" t="s">
        <v>566</v>
      </c>
      <c r="F3384" s="96" t="s">
        <v>171</v>
      </c>
      <c r="G3384" s="100">
        <v>8962</v>
      </c>
    </row>
    <row r="3385" spans="2:7">
      <c r="B3385" s="118" t="s">
        <v>2451</v>
      </c>
      <c r="C3385" s="119">
        <v>3671</v>
      </c>
      <c r="E3385" s="96" t="s">
        <v>567</v>
      </c>
      <c r="F3385" s="96" t="s">
        <v>171</v>
      </c>
      <c r="G3385" s="100">
        <v>5504</v>
      </c>
    </row>
    <row r="3386" spans="2:7">
      <c r="B3386" s="118" t="s">
        <v>2187</v>
      </c>
      <c r="C3386" s="119">
        <v>3600</v>
      </c>
      <c r="E3386" s="96" t="s">
        <v>568</v>
      </c>
      <c r="F3386" s="96" t="s">
        <v>171</v>
      </c>
      <c r="G3386" s="100">
        <v>5623</v>
      </c>
    </row>
    <row r="3387" spans="2:7">
      <c r="B3387" s="118" t="s">
        <v>2412</v>
      </c>
      <c r="C3387" s="119">
        <v>3625</v>
      </c>
      <c r="E3387" s="96" t="s">
        <v>569</v>
      </c>
      <c r="F3387" s="96" t="s">
        <v>171</v>
      </c>
      <c r="G3387" s="100">
        <v>5426</v>
      </c>
    </row>
    <row r="3388" spans="2:7">
      <c r="B3388" s="118" t="s">
        <v>3066</v>
      </c>
      <c r="C3388" s="119">
        <v>3626</v>
      </c>
      <c r="E3388" s="96" t="s">
        <v>570</v>
      </c>
      <c r="F3388" s="96" t="s">
        <v>171</v>
      </c>
      <c r="G3388" s="100">
        <v>5727</v>
      </c>
    </row>
    <row r="3389" spans="2:7">
      <c r="B3389" s="118" t="s">
        <v>2240</v>
      </c>
      <c r="C3389" s="119">
        <v>3652</v>
      </c>
      <c r="E3389" s="96" t="s">
        <v>571</v>
      </c>
      <c r="F3389" s="96" t="s">
        <v>171</v>
      </c>
      <c r="G3389" s="100">
        <v>5082</v>
      </c>
    </row>
    <row r="3390" spans="2:7">
      <c r="B3390" s="118" t="s">
        <v>3067</v>
      </c>
      <c r="C3390" s="119">
        <v>3622</v>
      </c>
      <c r="E3390" s="96" t="s">
        <v>572</v>
      </c>
      <c r="F3390" s="96" t="s">
        <v>171</v>
      </c>
      <c r="G3390" s="100">
        <v>5304</v>
      </c>
    </row>
    <row r="3391" spans="2:7">
      <c r="B3391" s="118" t="s">
        <v>2450</v>
      </c>
      <c r="C3391" s="119">
        <v>3619</v>
      </c>
      <c r="E3391" s="96" t="s">
        <v>573</v>
      </c>
      <c r="F3391" s="96" t="s">
        <v>171</v>
      </c>
      <c r="G3391" s="100">
        <v>5607</v>
      </c>
    </row>
    <row r="3392" spans="2:7">
      <c r="B3392" s="118" t="s">
        <v>3068</v>
      </c>
      <c r="C3392" s="119">
        <v>3623</v>
      </c>
      <c r="E3392" s="96" t="s">
        <v>574</v>
      </c>
      <c r="F3392" s="96" t="s">
        <v>171</v>
      </c>
      <c r="G3392" s="100">
        <v>8966</v>
      </c>
    </row>
    <row r="3393" spans="2:7">
      <c r="B3393" s="118" t="s">
        <v>3069</v>
      </c>
      <c r="C3393" s="119">
        <v>3623</v>
      </c>
      <c r="E3393" s="96" t="s">
        <v>575</v>
      </c>
      <c r="F3393" s="96" t="s">
        <v>171</v>
      </c>
      <c r="G3393" s="100">
        <v>4314</v>
      </c>
    </row>
    <row r="3394" spans="2:7">
      <c r="B3394" s="118" t="s">
        <v>2240</v>
      </c>
      <c r="C3394" s="119">
        <v>3652</v>
      </c>
      <c r="E3394" s="96" t="s">
        <v>576</v>
      </c>
      <c r="F3394" s="96" t="s">
        <v>171</v>
      </c>
      <c r="G3394" s="100">
        <v>5074</v>
      </c>
    </row>
    <row r="3395" spans="2:7">
      <c r="B3395" s="118" t="s">
        <v>2288</v>
      </c>
      <c r="C3395" s="119">
        <v>3653</v>
      </c>
      <c r="E3395" s="96" t="s">
        <v>577</v>
      </c>
      <c r="F3395" s="96" t="s">
        <v>171</v>
      </c>
      <c r="G3395" s="100">
        <v>5608</v>
      </c>
    </row>
    <row r="3396" spans="2:7">
      <c r="B3396" s="118" t="s">
        <v>3070</v>
      </c>
      <c r="C3396" s="119">
        <v>3654</v>
      </c>
      <c r="E3396" s="96" t="s">
        <v>578</v>
      </c>
      <c r="F3396" s="96" t="s">
        <v>171</v>
      </c>
      <c r="G3396" s="100">
        <v>5107</v>
      </c>
    </row>
    <row r="3397" spans="2:7">
      <c r="B3397" s="118" t="s">
        <v>3064</v>
      </c>
      <c r="C3397" s="119">
        <v>3616</v>
      </c>
      <c r="E3397" s="96" t="s">
        <v>579</v>
      </c>
      <c r="F3397" s="96" t="s">
        <v>171</v>
      </c>
      <c r="G3397" s="100">
        <v>5606</v>
      </c>
    </row>
    <row r="3398" spans="2:7">
      <c r="B3398" s="118" t="s">
        <v>3054</v>
      </c>
      <c r="C3398" s="119">
        <v>3618</v>
      </c>
      <c r="E3398" s="96" t="s">
        <v>580</v>
      </c>
      <c r="F3398" s="96" t="s">
        <v>171</v>
      </c>
      <c r="G3398" s="100">
        <v>5316</v>
      </c>
    </row>
    <row r="3399" spans="2:7">
      <c r="B3399" s="118" t="s">
        <v>2589</v>
      </c>
      <c r="C3399" s="119">
        <v>3638</v>
      </c>
      <c r="E3399" s="96" t="s">
        <v>581</v>
      </c>
      <c r="F3399" s="96" t="s">
        <v>171</v>
      </c>
      <c r="G3399" s="100">
        <v>5728</v>
      </c>
    </row>
    <row r="3400" spans="2:7">
      <c r="B3400" s="118" t="s">
        <v>2450</v>
      </c>
      <c r="C3400" s="119">
        <v>3619</v>
      </c>
      <c r="E3400" s="96" t="s">
        <v>582</v>
      </c>
      <c r="F3400" s="96" t="s">
        <v>171</v>
      </c>
      <c r="G3400" s="100">
        <v>5506</v>
      </c>
    </row>
    <row r="3401" spans="2:7">
      <c r="B3401" s="118" t="s">
        <v>3071</v>
      </c>
      <c r="C3401" s="119">
        <v>3623</v>
      </c>
      <c r="E3401" s="96" t="s">
        <v>583</v>
      </c>
      <c r="F3401" s="96" t="s">
        <v>171</v>
      </c>
      <c r="G3401" s="100">
        <v>5644</v>
      </c>
    </row>
    <row r="3402" spans="2:7">
      <c r="B3402" s="118" t="s">
        <v>3070</v>
      </c>
      <c r="C3402" s="119">
        <v>3654</v>
      </c>
      <c r="E3402" s="96" t="s">
        <v>584</v>
      </c>
      <c r="F3402" s="96" t="s">
        <v>171</v>
      </c>
      <c r="G3402" s="100">
        <v>5234</v>
      </c>
    </row>
    <row r="3403" spans="2:7">
      <c r="B3403" s="118" t="s">
        <v>2225</v>
      </c>
      <c r="C3403" s="119">
        <v>3655</v>
      </c>
      <c r="E3403" s="96" t="s">
        <v>585</v>
      </c>
      <c r="F3403" s="96" t="s">
        <v>171</v>
      </c>
      <c r="G3403" s="100">
        <v>5453</v>
      </c>
    </row>
    <row r="3404" spans="2:7">
      <c r="B3404" s="118" t="s">
        <v>3072</v>
      </c>
      <c r="C3404" s="119">
        <v>3656</v>
      </c>
      <c r="E3404" s="96" t="s">
        <v>586</v>
      </c>
      <c r="F3404" s="96" t="s">
        <v>171</v>
      </c>
      <c r="G3404" s="100">
        <v>8956</v>
      </c>
    </row>
    <row r="3405" spans="2:7">
      <c r="B3405" s="118" t="s">
        <v>3073</v>
      </c>
      <c r="C3405" s="119">
        <v>3656</v>
      </c>
      <c r="E3405" s="96" t="s">
        <v>587</v>
      </c>
      <c r="F3405" s="96" t="s">
        <v>171</v>
      </c>
      <c r="G3405" s="100">
        <v>8916</v>
      </c>
    </row>
    <row r="3406" spans="2:7">
      <c r="B3406" s="118" t="s">
        <v>3074</v>
      </c>
      <c r="C3406" s="119">
        <v>3656</v>
      </c>
      <c r="E3406" s="96" t="s">
        <v>588</v>
      </c>
      <c r="F3406" s="96" t="s">
        <v>171</v>
      </c>
      <c r="G3406" s="100">
        <v>5615</v>
      </c>
    </row>
    <row r="3407" spans="2:7">
      <c r="B3407" s="118" t="s">
        <v>3075</v>
      </c>
      <c r="C3407" s="119">
        <v>3657</v>
      </c>
      <c r="E3407" s="96" t="s">
        <v>589</v>
      </c>
      <c r="F3407" s="96" t="s">
        <v>171</v>
      </c>
      <c r="G3407" s="100">
        <v>8917</v>
      </c>
    </row>
    <row r="3408" spans="2:7">
      <c r="B3408" s="118" t="s">
        <v>3076</v>
      </c>
      <c r="C3408" s="119">
        <v>3658</v>
      </c>
      <c r="E3408" s="96" t="s">
        <v>590</v>
      </c>
      <c r="F3408" s="96" t="s">
        <v>171</v>
      </c>
      <c r="G3408" s="100">
        <v>5273</v>
      </c>
    </row>
    <row r="3409" spans="2:7">
      <c r="B3409" s="118" t="s">
        <v>2191</v>
      </c>
      <c r="C3409" s="119">
        <v>3612</v>
      </c>
      <c r="E3409" s="96" t="s">
        <v>591</v>
      </c>
      <c r="F3409" s="96" t="s">
        <v>171</v>
      </c>
      <c r="G3409" s="100">
        <v>4323</v>
      </c>
    </row>
    <row r="3410" spans="2:7">
      <c r="B3410" s="118" t="s">
        <v>2191</v>
      </c>
      <c r="C3410" s="119">
        <v>3613</v>
      </c>
      <c r="E3410" s="96" t="s">
        <v>592</v>
      </c>
      <c r="F3410" s="96" t="s">
        <v>171</v>
      </c>
      <c r="G3410" s="100">
        <v>4803</v>
      </c>
    </row>
    <row r="3411" spans="2:7">
      <c r="B3411" s="118" t="s">
        <v>3065</v>
      </c>
      <c r="C3411" s="119">
        <v>3617</v>
      </c>
      <c r="E3411" s="96" t="s">
        <v>593</v>
      </c>
      <c r="F3411" s="96" t="s">
        <v>171</v>
      </c>
      <c r="G3411" s="100">
        <v>8905</v>
      </c>
    </row>
    <row r="3412" spans="2:7">
      <c r="B3412" s="118" t="s">
        <v>3077</v>
      </c>
      <c r="C3412" s="119">
        <v>3624</v>
      </c>
      <c r="E3412" s="96" t="s">
        <v>594</v>
      </c>
      <c r="F3412" s="96" t="s">
        <v>171</v>
      </c>
      <c r="G3412" s="100">
        <v>5444</v>
      </c>
    </row>
    <row r="3413" spans="2:7">
      <c r="B3413" s="118" t="s">
        <v>2209</v>
      </c>
      <c r="C3413" s="119">
        <v>3627</v>
      </c>
      <c r="E3413" s="96" t="s">
        <v>595</v>
      </c>
      <c r="F3413" s="96" t="s">
        <v>171</v>
      </c>
      <c r="G3413" s="100">
        <v>5322</v>
      </c>
    </row>
    <row r="3414" spans="2:7">
      <c r="B3414" s="118" t="s">
        <v>3071</v>
      </c>
      <c r="C3414" s="119">
        <v>3623</v>
      </c>
      <c r="E3414" s="96" t="s">
        <v>596</v>
      </c>
      <c r="F3414" s="96" t="s">
        <v>171</v>
      </c>
      <c r="G3414" s="100">
        <v>5213</v>
      </c>
    </row>
    <row r="3415" spans="2:7">
      <c r="B3415" s="118" t="s">
        <v>2399</v>
      </c>
      <c r="C3415" s="119">
        <v>3633</v>
      </c>
      <c r="E3415" s="96" t="s">
        <v>597</v>
      </c>
      <c r="F3415" s="96" t="s">
        <v>171</v>
      </c>
      <c r="G3415" s="100">
        <v>5525</v>
      </c>
    </row>
    <row r="3416" spans="2:7">
      <c r="B3416" s="118" t="s">
        <v>2289</v>
      </c>
      <c r="C3416" s="119">
        <v>3634</v>
      </c>
      <c r="E3416" s="96" t="s">
        <v>598</v>
      </c>
      <c r="F3416" s="96" t="s">
        <v>171</v>
      </c>
      <c r="G3416" s="100">
        <v>5723</v>
      </c>
    </row>
    <row r="3417" spans="2:7">
      <c r="B3417" s="118" t="s">
        <v>2411</v>
      </c>
      <c r="C3417" s="119">
        <v>3635</v>
      </c>
      <c r="E3417" s="96" t="s">
        <v>599</v>
      </c>
      <c r="F3417" s="96" t="s">
        <v>171</v>
      </c>
      <c r="G3417" s="100">
        <v>4334</v>
      </c>
    </row>
    <row r="3418" spans="2:7">
      <c r="B3418" s="118" t="s">
        <v>3078</v>
      </c>
      <c r="C3418" s="119">
        <v>3636</v>
      </c>
      <c r="E3418" s="96" t="s">
        <v>600</v>
      </c>
      <c r="F3418" s="96" t="s">
        <v>171</v>
      </c>
      <c r="G3418" s="100">
        <v>5023</v>
      </c>
    </row>
    <row r="3419" spans="2:7">
      <c r="B3419" s="118" t="s">
        <v>2187</v>
      </c>
      <c r="C3419" s="119">
        <v>3600</v>
      </c>
      <c r="E3419" s="96" t="s">
        <v>601</v>
      </c>
      <c r="F3419" s="96" t="s">
        <v>171</v>
      </c>
      <c r="G3419" s="100">
        <v>5042</v>
      </c>
    </row>
    <row r="3420" spans="2:7">
      <c r="B3420" s="118" t="s">
        <v>2187</v>
      </c>
      <c r="C3420" s="119">
        <v>3603</v>
      </c>
      <c r="E3420" s="96" t="s">
        <v>602</v>
      </c>
      <c r="F3420" s="96" t="s">
        <v>171</v>
      </c>
      <c r="G3420" s="100">
        <v>5647</v>
      </c>
    </row>
    <row r="3421" spans="2:7">
      <c r="B3421" s="118" t="s">
        <v>2187</v>
      </c>
      <c r="C3421" s="119">
        <v>3604</v>
      </c>
      <c r="E3421" s="96" t="s">
        <v>603</v>
      </c>
      <c r="F3421" s="96" t="s">
        <v>171</v>
      </c>
      <c r="G3421" s="100">
        <v>5105</v>
      </c>
    </row>
    <row r="3422" spans="2:7">
      <c r="B3422" s="118" t="s">
        <v>2187</v>
      </c>
      <c r="C3422" s="119">
        <v>3608</v>
      </c>
      <c r="E3422" s="96" t="s">
        <v>604</v>
      </c>
      <c r="F3422" s="96" t="s">
        <v>171</v>
      </c>
      <c r="G3422" s="100">
        <v>5225</v>
      </c>
    </row>
    <row r="3423" spans="2:7">
      <c r="B3423" s="118" t="s">
        <v>2191</v>
      </c>
      <c r="C3423" s="119">
        <v>3612</v>
      </c>
      <c r="E3423" s="96" t="s">
        <v>605</v>
      </c>
      <c r="F3423" s="96" t="s">
        <v>171</v>
      </c>
      <c r="G3423" s="100">
        <v>5057</v>
      </c>
    </row>
    <row r="3424" spans="2:7">
      <c r="B3424" s="118" t="s">
        <v>1587</v>
      </c>
      <c r="C3424" s="119">
        <v>3624</v>
      </c>
      <c r="E3424" s="96" t="s">
        <v>606</v>
      </c>
      <c r="F3424" s="96" t="s">
        <v>171</v>
      </c>
      <c r="G3424" s="100">
        <v>5512</v>
      </c>
    </row>
    <row r="3425" spans="2:7">
      <c r="B3425" s="118" t="s">
        <v>3066</v>
      </c>
      <c r="C3425" s="119">
        <v>3626</v>
      </c>
      <c r="E3425" s="96" t="s">
        <v>607</v>
      </c>
      <c r="F3425" s="96" t="s">
        <v>171</v>
      </c>
      <c r="G3425" s="100">
        <v>5454</v>
      </c>
    </row>
    <row r="3426" spans="2:7">
      <c r="B3426" s="118" t="s">
        <v>3006</v>
      </c>
      <c r="C3426" s="119">
        <v>3645</v>
      </c>
      <c r="E3426" s="96" t="s">
        <v>608</v>
      </c>
      <c r="F3426" s="96" t="s">
        <v>171</v>
      </c>
      <c r="G3426" s="100">
        <v>5522</v>
      </c>
    </row>
    <row r="3427" spans="2:7">
      <c r="B3427" s="118" t="s">
        <v>3008</v>
      </c>
      <c r="C3427" s="119">
        <v>3631</v>
      </c>
      <c r="E3427" s="96" t="s">
        <v>609</v>
      </c>
      <c r="F3427" s="96" t="s">
        <v>171</v>
      </c>
      <c r="G3427" s="100">
        <v>5027</v>
      </c>
    </row>
    <row r="3428" spans="2:7">
      <c r="B3428" s="118" t="s">
        <v>2411</v>
      </c>
      <c r="C3428" s="119">
        <v>3635</v>
      </c>
      <c r="E3428" s="96" t="s">
        <v>610</v>
      </c>
      <c r="F3428" s="96" t="s">
        <v>171</v>
      </c>
      <c r="G3428" s="100">
        <v>5223</v>
      </c>
    </row>
    <row r="3429" spans="2:7">
      <c r="B3429" s="118" t="s">
        <v>2212</v>
      </c>
      <c r="C3429" s="119">
        <v>3661</v>
      </c>
      <c r="E3429" s="96" t="s">
        <v>611</v>
      </c>
      <c r="F3429" s="96" t="s">
        <v>171</v>
      </c>
      <c r="G3429" s="100">
        <v>5628</v>
      </c>
    </row>
    <row r="3430" spans="2:7">
      <c r="B3430" s="118" t="s">
        <v>2379</v>
      </c>
      <c r="C3430" s="119">
        <v>3614</v>
      </c>
      <c r="E3430" s="96" t="s">
        <v>612</v>
      </c>
      <c r="F3430" s="96" t="s">
        <v>171</v>
      </c>
      <c r="G3430" s="100">
        <v>5106</v>
      </c>
    </row>
    <row r="3431" spans="2:7">
      <c r="B3431" s="118" t="s">
        <v>3064</v>
      </c>
      <c r="C3431" s="119">
        <v>3616</v>
      </c>
      <c r="E3431" s="96" t="s">
        <v>613</v>
      </c>
      <c r="F3431" s="96" t="s">
        <v>171</v>
      </c>
      <c r="G3431" s="100">
        <v>4322</v>
      </c>
    </row>
    <row r="3432" spans="2:7">
      <c r="B3432" s="118" t="s">
        <v>3054</v>
      </c>
      <c r="C3432" s="119">
        <v>3618</v>
      </c>
      <c r="E3432" s="96" t="s">
        <v>614</v>
      </c>
      <c r="F3432" s="96" t="s">
        <v>171</v>
      </c>
      <c r="G3432" s="100">
        <v>5704</v>
      </c>
    </row>
    <row r="3433" spans="2:7">
      <c r="B3433" s="118" t="s">
        <v>3078</v>
      </c>
      <c r="C3433" s="119">
        <v>3636</v>
      </c>
      <c r="E3433" s="96" t="s">
        <v>615</v>
      </c>
      <c r="F3433" s="96" t="s">
        <v>171</v>
      </c>
      <c r="G3433" s="100">
        <v>5706</v>
      </c>
    </row>
    <row r="3434" spans="2:7">
      <c r="B3434" s="118" t="s">
        <v>3079</v>
      </c>
      <c r="C3434" s="119">
        <v>3636</v>
      </c>
      <c r="E3434" s="96" t="s">
        <v>616</v>
      </c>
      <c r="F3434" s="96" t="s">
        <v>171</v>
      </c>
      <c r="G3434" s="100">
        <v>5425</v>
      </c>
    </row>
    <row r="3435" spans="2:7">
      <c r="B3435" s="118" t="s">
        <v>2397</v>
      </c>
      <c r="C3435" s="119">
        <v>3663</v>
      </c>
      <c r="E3435" s="96" t="s">
        <v>617</v>
      </c>
      <c r="F3435" s="96" t="s">
        <v>171</v>
      </c>
      <c r="G3435" s="100">
        <v>8918</v>
      </c>
    </row>
    <row r="3436" spans="2:7">
      <c r="B3436" s="118" t="s">
        <v>2271</v>
      </c>
      <c r="C3436" s="119">
        <v>3665</v>
      </c>
      <c r="E3436" s="96" t="s">
        <v>618</v>
      </c>
      <c r="F3436" s="96" t="s">
        <v>171</v>
      </c>
      <c r="G3436" s="100">
        <v>4813</v>
      </c>
    </row>
    <row r="3437" spans="2:7">
      <c r="B3437" s="118" t="s">
        <v>2875</v>
      </c>
      <c r="C3437" s="119">
        <v>3413</v>
      </c>
      <c r="E3437" s="96" t="s">
        <v>619</v>
      </c>
      <c r="F3437" s="96" t="s">
        <v>171</v>
      </c>
      <c r="G3437" s="100">
        <v>5043</v>
      </c>
    </row>
    <row r="3438" spans="2:7">
      <c r="B3438" s="118" t="s">
        <v>2363</v>
      </c>
      <c r="C3438" s="119">
        <v>3416</v>
      </c>
      <c r="E3438" s="96" t="s">
        <v>620</v>
      </c>
      <c r="F3438" s="96" t="s">
        <v>171</v>
      </c>
      <c r="G3438" s="100">
        <v>5064</v>
      </c>
    </row>
    <row r="3439" spans="2:7">
      <c r="B3439" s="118" t="s">
        <v>2882</v>
      </c>
      <c r="C3439" s="119">
        <v>3418</v>
      </c>
      <c r="E3439" s="96" t="s">
        <v>621</v>
      </c>
      <c r="F3439" s="96" t="s">
        <v>171</v>
      </c>
      <c r="G3439" s="100">
        <v>6042</v>
      </c>
    </row>
    <row r="3440" spans="2:7">
      <c r="B3440" s="118" t="s">
        <v>3080</v>
      </c>
      <c r="C3440" s="119">
        <v>3462</v>
      </c>
      <c r="E3440" s="96" t="s">
        <v>622</v>
      </c>
      <c r="F3440" s="96" t="s">
        <v>171</v>
      </c>
      <c r="G3440" s="100">
        <v>5732</v>
      </c>
    </row>
    <row r="3441" spans="2:7">
      <c r="B3441" s="118" t="s">
        <v>3081</v>
      </c>
      <c r="C3441" s="119">
        <v>3463</v>
      </c>
      <c r="E3441" s="96" t="s">
        <v>623</v>
      </c>
      <c r="F3441" s="96" t="s">
        <v>171</v>
      </c>
      <c r="G3441" s="100">
        <v>5116</v>
      </c>
    </row>
    <row r="3442" spans="2:7">
      <c r="B3442" s="118" t="s">
        <v>2888</v>
      </c>
      <c r="C3442" s="119">
        <v>3464</v>
      </c>
      <c r="E3442" s="96" t="s">
        <v>624</v>
      </c>
      <c r="F3442" s="96" t="s">
        <v>171</v>
      </c>
      <c r="G3442" s="100">
        <v>5325</v>
      </c>
    </row>
    <row r="3443" spans="2:7">
      <c r="B3443" s="118" t="s">
        <v>3081</v>
      </c>
      <c r="C3443" s="119">
        <v>3463</v>
      </c>
      <c r="E3443" s="96" t="s">
        <v>625</v>
      </c>
      <c r="F3443" s="96" t="s">
        <v>171</v>
      </c>
      <c r="G3443" s="100">
        <v>5724</v>
      </c>
    </row>
    <row r="3444" spans="2:7">
      <c r="B3444" s="118" t="s">
        <v>2888</v>
      </c>
      <c r="C3444" s="119">
        <v>3464</v>
      </c>
      <c r="E3444" s="96" t="s">
        <v>626</v>
      </c>
      <c r="F3444" s="96" t="s">
        <v>171</v>
      </c>
      <c r="G3444" s="100">
        <v>5053</v>
      </c>
    </row>
    <row r="3445" spans="2:7">
      <c r="B3445" s="118" t="s">
        <v>2373</v>
      </c>
      <c r="C3445" s="119">
        <v>3465</v>
      </c>
      <c r="E3445" s="96" t="s">
        <v>627</v>
      </c>
      <c r="F3445" s="96" t="s">
        <v>171</v>
      </c>
      <c r="G3445" s="100">
        <v>5604</v>
      </c>
    </row>
    <row r="3446" spans="2:7">
      <c r="B3446" s="118" t="s">
        <v>2843</v>
      </c>
      <c r="C3446" s="119">
        <v>4942</v>
      </c>
      <c r="E3446" s="96" t="s">
        <v>628</v>
      </c>
      <c r="F3446" s="96" t="s">
        <v>171</v>
      </c>
      <c r="G3446" s="100">
        <v>5632</v>
      </c>
    </row>
    <row r="3447" spans="2:7">
      <c r="B3447" s="118" t="s">
        <v>2224</v>
      </c>
      <c r="C3447" s="119">
        <v>4950</v>
      </c>
      <c r="E3447" s="96" t="s">
        <v>629</v>
      </c>
      <c r="F3447" s="96" t="s">
        <v>171</v>
      </c>
      <c r="G3447" s="100">
        <v>5113</v>
      </c>
    </row>
    <row r="3448" spans="2:7">
      <c r="B3448" s="118" t="s">
        <v>2337</v>
      </c>
      <c r="C3448" s="119">
        <v>4952</v>
      </c>
      <c r="E3448" s="96" t="s">
        <v>630</v>
      </c>
      <c r="F3448" s="96" t="s">
        <v>171</v>
      </c>
      <c r="G3448" s="100">
        <v>5306</v>
      </c>
    </row>
    <row r="3449" spans="2:7">
      <c r="B3449" s="118" t="s">
        <v>2593</v>
      </c>
      <c r="C3449" s="119">
        <v>4938</v>
      </c>
      <c r="E3449" s="96" t="s">
        <v>631</v>
      </c>
      <c r="F3449" s="96" t="s">
        <v>171</v>
      </c>
      <c r="G3449" s="100">
        <v>5708</v>
      </c>
    </row>
    <row r="3450" spans="2:7">
      <c r="B3450" s="118" t="s">
        <v>2224</v>
      </c>
      <c r="C3450" s="119">
        <v>4950</v>
      </c>
      <c r="E3450" s="96" t="s">
        <v>632</v>
      </c>
      <c r="F3450" s="96" t="s">
        <v>171</v>
      </c>
      <c r="G3450" s="100">
        <v>5642</v>
      </c>
    </row>
    <row r="3451" spans="2:7">
      <c r="B3451" s="118" t="s">
        <v>2337</v>
      </c>
      <c r="C3451" s="119">
        <v>4952</v>
      </c>
      <c r="E3451" s="96" t="s">
        <v>633</v>
      </c>
      <c r="F3451" s="96" t="s">
        <v>171</v>
      </c>
      <c r="G3451" s="100">
        <v>5079</v>
      </c>
    </row>
    <row r="3452" spans="2:7">
      <c r="B3452" s="118" t="s">
        <v>3082</v>
      </c>
      <c r="C3452" s="119">
        <v>4953</v>
      </c>
      <c r="E3452" s="96" t="s">
        <v>634</v>
      </c>
      <c r="F3452" s="96" t="s">
        <v>171</v>
      </c>
      <c r="G3452" s="100">
        <v>5046</v>
      </c>
    </row>
    <row r="3453" spans="2:7">
      <c r="B3453" s="118" t="s">
        <v>2270</v>
      </c>
      <c r="C3453" s="119">
        <v>3414</v>
      </c>
      <c r="E3453" s="96" t="s">
        <v>635</v>
      </c>
      <c r="F3453" s="96" t="s">
        <v>171</v>
      </c>
      <c r="G3453" s="100">
        <v>5637</v>
      </c>
    </row>
    <row r="3454" spans="2:7">
      <c r="B3454" s="118" t="s">
        <v>2881</v>
      </c>
      <c r="C3454" s="119">
        <v>3415</v>
      </c>
      <c r="E3454" s="96" t="s">
        <v>636</v>
      </c>
      <c r="F3454" s="96" t="s">
        <v>171</v>
      </c>
      <c r="G3454" s="100">
        <v>5624</v>
      </c>
    </row>
    <row r="3455" spans="2:7">
      <c r="B3455" s="118" t="s">
        <v>2882</v>
      </c>
      <c r="C3455" s="119">
        <v>3418</v>
      </c>
      <c r="E3455" s="96" t="s">
        <v>637</v>
      </c>
      <c r="F3455" s="96" t="s">
        <v>171</v>
      </c>
      <c r="G3455" s="100">
        <v>5243</v>
      </c>
    </row>
    <row r="3456" spans="2:7">
      <c r="B3456" s="118" t="s">
        <v>1589</v>
      </c>
      <c r="C3456" s="119">
        <v>3419</v>
      </c>
      <c r="E3456" s="96" t="s">
        <v>638</v>
      </c>
      <c r="F3456" s="96" t="s">
        <v>171</v>
      </c>
      <c r="G3456" s="100">
        <v>4317</v>
      </c>
    </row>
    <row r="3457" spans="2:7">
      <c r="B3457" s="118" t="s">
        <v>2879</v>
      </c>
      <c r="C3457" s="119">
        <v>3432</v>
      </c>
      <c r="E3457" s="96" t="s">
        <v>639</v>
      </c>
      <c r="F3457" s="96" t="s">
        <v>171</v>
      </c>
      <c r="G3457" s="100">
        <v>5236</v>
      </c>
    </row>
    <row r="3458" spans="2:7">
      <c r="B3458" s="118" t="s">
        <v>2880</v>
      </c>
      <c r="C3458" s="119">
        <v>3433</v>
      </c>
      <c r="E3458" s="96" t="s">
        <v>640</v>
      </c>
      <c r="F3458" s="96" t="s">
        <v>171</v>
      </c>
      <c r="G3458" s="100">
        <v>4324</v>
      </c>
    </row>
    <row r="3459" spans="2:7">
      <c r="B3459" s="118" t="s">
        <v>2960</v>
      </c>
      <c r="C3459" s="119">
        <v>3434</v>
      </c>
      <c r="E3459" s="96" t="s">
        <v>641</v>
      </c>
      <c r="F3459" s="96" t="s">
        <v>171</v>
      </c>
      <c r="G3459" s="100">
        <v>5063</v>
      </c>
    </row>
    <row r="3460" spans="2:7">
      <c r="B3460" s="118" t="s">
        <v>3083</v>
      </c>
      <c r="C3460" s="119">
        <v>3435</v>
      </c>
      <c r="E3460" s="96" t="s">
        <v>642</v>
      </c>
      <c r="F3460" s="96" t="s">
        <v>171</v>
      </c>
      <c r="G3460" s="100">
        <v>5423</v>
      </c>
    </row>
    <row r="3461" spans="2:7">
      <c r="B3461" s="118" t="s">
        <v>3061</v>
      </c>
      <c r="C3461" s="119">
        <v>3439</v>
      </c>
      <c r="E3461" s="96" t="s">
        <v>643</v>
      </c>
      <c r="F3461" s="96" t="s">
        <v>171</v>
      </c>
      <c r="G3461" s="100">
        <v>5272</v>
      </c>
    </row>
    <row r="3462" spans="2:7">
      <c r="B3462" s="118" t="s">
        <v>3084</v>
      </c>
      <c r="C3462" s="119">
        <v>3452</v>
      </c>
      <c r="E3462" s="96" t="s">
        <v>644</v>
      </c>
      <c r="F3462" s="96" t="s">
        <v>171</v>
      </c>
      <c r="G3462" s="100">
        <v>5736</v>
      </c>
    </row>
    <row r="3463" spans="2:7">
      <c r="B3463" s="118" t="s">
        <v>3062</v>
      </c>
      <c r="C3463" s="119">
        <v>3453</v>
      </c>
      <c r="E3463" s="96" t="s">
        <v>645</v>
      </c>
      <c r="F3463" s="96" t="s">
        <v>171</v>
      </c>
      <c r="G3463" s="100">
        <v>5072</v>
      </c>
    </row>
    <row r="3464" spans="2:7">
      <c r="B3464" s="118" t="s">
        <v>2222</v>
      </c>
      <c r="C3464" s="119">
        <v>3454</v>
      </c>
      <c r="E3464" s="96" t="s">
        <v>646</v>
      </c>
      <c r="F3464" s="96" t="s">
        <v>171</v>
      </c>
      <c r="G3464" s="100">
        <v>5445</v>
      </c>
    </row>
    <row r="3465" spans="2:7">
      <c r="B3465" s="118" t="s">
        <v>2383</v>
      </c>
      <c r="C3465" s="119">
        <v>3456</v>
      </c>
      <c r="E3465" s="96" t="s">
        <v>647</v>
      </c>
      <c r="F3465" s="96" t="s">
        <v>171</v>
      </c>
      <c r="G3465" s="100">
        <v>5619</v>
      </c>
    </row>
    <row r="3466" spans="2:7">
      <c r="B3466" s="118" t="s">
        <v>2881</v>
      </c>
      <c r="C3466" s="119">
        <v>3415</v>
      </c>
      <c r="E3466" s="96" t="s">
        <v>648</v>
      </c>
      <c r="F3466" s="96" t="s">
        <v>171</v>
      </c>
      <c r="G3466" s="100">
        <v>5646</v>
      </c>
    </row>
    <row r="3467" spans="2:7">
      <c r="B3467" s="118" t="s">
        <v>2363</v>
      </c>
      <c r="C3467" s="119">
        <v>3416</v>
      </c>
      <c r="E3467" s="96" t="s">
        <v>649</v>
      </c>
      <c r="F3467" s="96" t="s">
        <v>171</v>
      </c>
      <c r="G3467" s="100">
        <v>5332</v>
      </c>
    </row>
    <row r="3468" spans="2:7">
      <c r="B3468" s="118" t="s">
        <v>2259</v>
      </c>
      <c r="C3468" s="119">
        <v>3417</v>
      </c>
      <c r="E3468" s="96" t="s">
        <v>650</v>
      </c>
      <c r="F3468" s="96" t="s">
        <v>171</v>
      </c>
      <c r="G3468" s="100">
        <v>5075</v>
      </c>
    </row>
    <row r="3469" spans="2:7">
      <c r="B3469" s="118" t="s">
        <v>2882</v>
      </c>
      <c r="C3469" s="119">
        <v>3418</v>
      </c>
      <c r="E3469" s="96" t="s">
        <v>651</v>
      </c>
      <c r="F3469" s="96" t="s">
        <v>171</v>
      </c>
      <c r="G3469" s="100">
        <v>4333</v>
      </c>
    </row>
    <row r="3470" spans="2:7">
      <c r="B3470" s="118" t="s">
        <v>2222</v>
      </c>
      <c r="C3470" s="119">
        <v>3454</v>
      </c>
      <c r="E3470" s="96" t="s">
        <v>652</v>
      </c>
      <c r="F3470" s="96" t="s">
        <v>171</v>
      </c>
      <c r="G3470" s="100">
        <v>5054</v>
      </c>
    </row>
    <row r="3471" spans="2:7">
      <c r="B3471" s="118" t="s">
        <v>2363</v>
      </c>
      <c r="C3471" s="119">
        <v>3416</v>
      </c>
      <c r="E3471" s="96" t="s">
        <v>653</v>
      </c>
      <c r="F3471" s="96" t="s">
        <v>171</v>
      </c>
      <c r="G3471" s="100">
        <v>5028</v>
      </c>
    </row>
    <row r="3472" spans="2:7">
      <c r="B3472" s="118" t="s">
        <v>2222</v>
      </c>
      <c r="C3472" s="119">
        <v>3454</v>
      </c>
      <c r="E3472" s="96" t="s">
        <v>654</v>
      </c>
      <c r="F3472" s="96" t="s">
        <v>171</v>
      </c>
      <c r="G3472" s="100">
        <v>4315</v>
      </c>
    </row>
    <row r="3473" spans="2:7">
      <c r="B3473" s="118" t="s">
        <v>3085</v>
      </c>
      <c r="C3473" s="119">
        <v>3455</v>
      </c>
      <c r="E3473" s="96" t="s">
        <v>655</v>
      </c>
      <c r="F3473" s="96" t="s">
        <v>171</v>
      </c>
      <c r="G3473" s="100">
        <v>5324</v>
      </c>
    </row>
    <row r="3474" spans="2:7">
      <c r="B3474" s="118" t="s">
        <v>3086</v>
      </c>
      <c r="C3474" s="119">
        <v>3457</v>
      </c>
      <c r="E3474" s="96" t="s">
        <v>656</v>
      </c>
      <c r="F3474" s="96" t="s">
        <v>171</v>
      </c>
      <c r="G3474" s="100">
        <v>5705</v>
      </c>
    </row>
    <row r="3475" spans="2:7">
      <c r="B3475" s="118" t="s">
        <v>3080</v>
      </c>
      <c r="C3475" s="119">
        <v>3462</v>
      </c>
      <c r="E3475" s="96" t="s">
        <v>657</v>
      </c>
      <c r="F3475" s="96" t="s">
        <v>171</v>
      </c>
      <c r="G3475" s="100">
        <v>5235</v>
      </c>
    </row>
    <row r="3476" spans="2:7">
      <c r="B3476" s="118" t="s">
        <v>2337</v>
      </c>
      <c r="C3476" s="119">
        <v>4952</v>
      </c>
      <c r="E3476" s="96" t="s">
        <v>658</v>
      </c>
      <c r="F3476" s="96" t="s">
        <v>171</v>
      </c>
      <c r="G3476" s="100">
        <v>5054</v>
      </c>
    </row>
    <row r="3477" spans="2:7">
      <c r="B3477" s="118" t="s">
        <v>2361</v>
      </c>
      <c r="C3477" s="119">
        <v>4954</v>
      </c>
      <c r="E3477" s="96" t="s">
        <v>659</v>
      </c>
      <c r="F3477" s="96" t="s">
        <v>171</v>
      </c>
      <c r="G3477" s="100">
        <v>5044</v>
      </c>
    </row>
    <row r="3478" spans="2:7">
      <c r="B3478" s="118" t="s">
        <v>3062</v>
      </c>
      <c r="C3478" s="119">
        <v>3453</v>
      </c>
      <c r="E3478" s="96" t="s">
        <v>660</v>
      </c>
      <c r="F3478" s="96" t="s">
        <v>171</v>
      </c>
      <c r="G3478" s="100">
        <v>5112</v>
      </c>
    </row>
    <row r="3479" spans="2:7">
      <c r="B3479" s="118" t="s">
        <v>2383</v>
      </c>
      <c r="C3479" s="119">
        <v>3456</v>
      </c>
      <c r="E3479" s="96" t="s">
        <v>661</v>
      </c>
      <c r="F3479" s="96" t="s">
        <v>171</v>
      </c>
      <c r="G3479" s="100">
        <v>4325</v>
      </c>
    </row>
    <row r="3480" spans="2:7">
      <c r="B3480" s="118" t="s">
        <v>3057</v>
      </c>
      <c r="C3480" s="119">
        <v>3551</v>
      </c>
      <c r="E3480" s="96" t="s">
        <v>662</v>
      </c>
      <c r="F3480" s="96" t="s">
        <v>171</v>
      </c>
      <c r="G3480" s="100">
        <v>8919</v>
      </c>
    </row>
    <row r="3481" spans="2:7">
      <c r="B3481" s="118" t="s">
        <v>3081</v>
      </c>
      <c r="C3481" s="119">
        <v>3463</v>
      </c>
      <c r="E3481" s="96" t="s">
        <v>663</v>
      </c>
      <c r="F3481" s="96" t="s">
        <v>171</v>
      </c>
      <c r="G3481" s="100">
        <v>5505</v>
      </c>
    </row>
    <row r="3482" spans="2:7">
      <c r="B3482" s="118" t="s">
        <v>2888</v>
      </c>
      <c r="C3482" s="119">
        <v>3464</v>
      </c>
      <c r="E3482" s="96" t="s">
        <v>664</v>
      </c>
      <c r="F3482" s="96" t="s">
        <v>171</v>
      </c>
      <c r="G3482" s="100">
        <v>4814</v>
      </c>
    </row>
    <row r="3483" spans="2:7">
      <c r="B3483" s="118" t="s">
        <v>2593</v>
      </c>
      <c r="C3483" s="119">
        <v>4938</v>
      </c>
      <c r="E3483" s="96" t="s">
        <v>665</v>
      </c>
      <c r="F3483" s="96" t="s">
        <v>171</v>
      </c>
      <c r="G3483" s="100">
        <v>4316</v>
      </c>
    </row>
    <row r="3484" spans="2:7">
      <c r="B3484" s="118" t="s">
        <v>2843</v>
      </c>
      <c r="C3484" s="119">
        <v>4942</v>
      </c>
      <c r="E3484" s="96" t="s">
        <v>666</v>
      </c>
      <c r="F3484" s="96" t="s">
        <v>171</v>
      </c>
      <c r="G3484" s="100">
        <v>5725</v>
      </c>
    </row>
    <row r="3485" spans="2:7">
      <c r="B3485" s="118" t="s">
        <v>2586</v>
      </c>
      <c r="C3485" s="119">
        <v>4943</v>
      </c>
      <c r="E3485" s="96" t="s">
        <v>667</v>
      </c>
      <c r="F3485" s="96" t="s">
        <v>171</v>
      </c>
      <c r="G3485" s="100">
        <v>5323</v>
      </c>
    </row>
    <row r="3486" spans="2:7">
      <c r="B3486" s="118" t="s">
        <v>3086</v>
      </c>
      <c r="C3486" s="119">
        <v>3457</v>
      </c>
      <c r="E3486" s="96" t="s">
        <v>668</v>
      </c>
      <c r="F3486" s="96" t="s">
        <v>171</v>
      </c>
      <c r="G3486" s="100">
        <v>5076</v>
      </c>
    </row>
    <row r="3487" spans="2:7">
      <c r="B3487" s="118" t="s">
        <v>3082</v>
      </c>
      <c r="C3487" s="119">
        <v>4953</v>
      </c>
      <c r="E3487" s="96" t="s">
        <v>669</v>
      </c>
      <c r="F3487" s="96" t="s">
        <v>171</v>
      </c>
      <c r="G3487" s="100">
        <v>5026</v>
      </c>
    </row>
    <row r="3488" spans="2:7">
      <c r="B3488" s="118" t="s">
        <v>2361</v>
      </c>
      <c r="C3488" s="119">
        <v>4954</v>
      </c>
      <c r="E3488" s="96" t="s">
        <v>670</v>
      </c>
      <c r="F3488" s="96" t="s">
        <v>171</v>
      </c>
      <c r="G3488" s="100">
        <v>5244</v>
      </c>
    </row>
    <row r="3489" spans="2:7">
      <c r="B3489" s="118" t="s">
        <v>2332</v>
      </c>
      <c r="C3489" s="119">
        <v>4536</v>
      </c>
      <c r="E3489" s="96" t="s">
        <v>671</v>
      </c>
      <c r="F3489" s="96" t="s">
        <v>171</v>
      </c>
      <c r="G3489" s="100">
        <v>5600</v>
      </c>
    </row>
    <row r="3490" spans="2:7">
      <c r="B3490" s="118" t="s">
        <v>2544</v>
      </c>
      <c r="C3490" s="119">
        <v>3376</v>
      </c>
      <c r="E3490" s="96" t="s">
        <v>672</v>
      </c>
      <c r="F3490" s="96" t="s">
        <v>171</v>
      </c>
      <c r="G3490" s="100">
        <v>5326</v>
      </c>
    </row>
    <row r="3491" spans="2:7">
      <c r="B3491" s="118" t="s">
        <v>2418</v>
      </c>
      <c r="C3491" s="119">
        <v>3366</v>
      </c>
      <c r="E3491" s="96" t="s">
        <v>673</v>
      </c>
      <c r="F3491" s="96" t="s">
        <v>171</v>
      </c>
      <c r="G3491" s="100">
        <v>5462</v>
      </c>
    </row>
    <row r="3492" spans="2:7">
      <c r="B3492" s="118" t="s">
        <v>3087</v>
      </c>
      <c r="C3492" s="119">
        <v>3366</v>
      </c>
      <c r="E3492" s="96" t="s">
        <v>674</v>
      </c>
      <c r="F3492" s="96" t="s">
        <v>171</v>
      </c>
      <c r="G3492" s="100">
        <v>5627</v>
      </c>
    </row>
    <row r="3493" spans="2:7">
      <c r="B3493" s="118" t="s">
        <v>2554</v>
      </c>
      <c r="C3493" s="119">
        <v>4539</v>
      </c>
      <c r="E3493" s="96" t="s">
        <v>675</v>
      </c>
      <c r="F3493" s="96" t="s">
        <v>171</v>
      </c>
      <c r="G3493" s="100">
        <v>5618</v>
      </c>
    </row>
    <row r="3494" spans="2:7">
      <c r="B3494" s="118" t="s">
        <v>2559</v>
      </c>
      <c r="C3494" s="119">
        <v>3376</v>
      </c>
      <c r="E3494" s="96" t="s">
        <v>676</v>
      </c>
      <c r="F3494" s="96" t="s">
        <v>171</v>
      </c>
      <c r="G3494" s="100">
        <v>8905</v>
      </c>
    </row>
    <row r="3495" spans="2:7">
      <c r="B3495" s="118" t="s">
        <v>3088</v>
      </c>
      <c r="C3495" s="119">
        <v>3372</v>
      </c>
      <c r="E3495" s="96" t="s">
        <v>677</v>
      </c>
      <c r="F3495" s="96" t="s">
        <v>171</v>
      </c>
      <c r="G3495" s="100">
        <v>5062</v>
      </c>
    </row>
    <row r="3496" spans="2:7">
      <c r="B3496" s="118" t="s">
        <v>3089</v>
      </c>
      <c r="C3496" s="119">
        <v>3373</v>
      </c>
      <c r="E3496" s="96" t="s">
        <v>678</v>
      </c>
      <c r="F3496" s="96" t="s">
        <v>171</v>
      </c>
      <c r="G3496" s="100">
        <v>5078</v>
      </c>
    </row>
    <row r="3497" spans="2:7">
      <c r="B3497" s="118" t="s">
        <v>2366</v>
      </c>
      <c r="C3497" s="119">
        <v>3373</v>
      </c>
      <c r="E3497" s="96" t="s">
        <v>679</v>
      </c>
      <c r="F3497" s="96" t="s">
        <v>171</v>
      </c>
      <c r="G3497" s="100">
        <v>5467</v>
      </c>
    </row>
    <row r="3498" spans="2:7">
      <c r="B3498" s="118" t="s">
        <v>2204</v>
      </c>
      <c r="C3498" s="119">
        <v>3360</v>
      </c>
      <c r="E3498" s="96" t="s">
        <v>680</v>
      </c>
      <c r="F3498" s="96" t="s">
        <v>171</v>
      </c>
      <c r="G3498" s="100">
        <v>5619</v>
      </c>
    </row>
    <row r="3499" spans="2:7">
      <c r="B3499" s="118" t="s">
        <v>3090</v>
      </c>
      <c r="C3499" s="119">
        <v>3363</v>
      </c>
      <c r="E3499" s="96" t="s">
        <v>681</v>
      </c>
      <c r="F3499" s="96" t="s">
        <v>171</v>
      </c>
      <c r="G3499" s="100">
        <v>5733</v>
      </c>
    </row>
    <row r="3500" spans="2:7">
      <c r="B3500" s="118" t="s">
        <v>2424</v>
      </c>
      <c r="C3500" s="119">
        <v>3375</v>
      </c>
      <c r="E3500" s="96" t="s">
        <v>682</v>
      </c>
      <c r="F3500" s="96" t="s">
        <v>171</v>
      </c>
      <c r="G3500" s="100">
        <v>5245</v>
      </c>
    </row>
    <row r="3501" spans="2:7">
      <c r="B3501" s="118" t="s">
        <v>2226</v>
      </c>
      <c r="C3501" s="119">
        <v>4704</v>
      </c>
      <c r="E3501" s="96" t="s">
        <v>683</v>
      </c>
      <c r="F3501" s="96" t="s">
        <v>171</v>
      </c>
      <c r="G3501" s="100">
        <v>5466</v>
      </c>
    </row>
    <row r="3502" spans="2:7">
      <c r="B3502" s="118" t="s">
        <v>3091</v>
      </c>
      <c r="C3502" s="119">
        <v>4704</v>
      </c>
      <c r="E3502" s="96" t="s">
        <v>684</v>
      </c>
      <c r="F3502" s="96" t="s">
        <v>171</v>
      </c>
      <c r="G3502" s="100">
        <v>5237</v>
      </c>
    </row>
    <row r="3503" spans="2:7">
      <c r="B3503" s="118" t="s">
        <v>2318</v>
      </c>
      <c r="C3503" s="119">
        <v>3362</v>
      </c>
      <c r="E3503" s="96" t="s">
        <v>685</v>
      </c>
      <c r="F3503" s="96" t="s">
        <v>171</v>
      </c>
      <c r="G3503" s="100">
        <v>5625</v>
      </c>
    </row>
    <row r="3504" spans="2:7">
      <c r="B3504" s="118" t="s">
        <v>3092</v>
      </c>
      <c r="C3504" s="119">
        <v>4556</v>
      </c>
      <c r="E3504" s="96" t="s">
        <v>686</v>
      </c>
      <c r="F3504" s="96" t="s">
        <v>171</v>
      </c>
      <c r="G3504" s="100">
        <v>4305</v>
      </c>
    </row>
    <row r="3505" spans="2:7">
      <c r="B3505" s="118" t="s">
        <v>2317</v>
      </c>
      <c r="C3505" s="119">
        <v>4538</v>
      </c>
      <c r="E3505" s="96" t="s">
        <v>687</v>
      </c>
      <c r="F3505" s="96" t="s">
        <v>171</v>
      </c>
      <c r="G3505" s="100">
        <v>5463</v>
      </c>
    </row>
    <row r="3506" spans="2:7">
      <c r="B3506" s="118" t="s">
        <v>2436</v>
      </c>
      <c r="C3506" s="119">
        <v>3367</v>
      </c>
      <c r="E3506" s="96" t="s">
        <v>688</v>
      </c>
      <c r="F3506" s="96" t="s">
        <v>171</v>
      </c>
      <c r="G3506" s="100">
        <v>5318</v>
      </c>
    </row>
    <row r="3507" spans="2:7">
      <c r="B3507" s="118" t="s">
        <v>3093</v>
      </c>
      <c r="C3507" s="119">
        <v>3476</v>
      </c>
      <c r="E3507" s="96" t="s">
        <v>689</v>
      </c>
      <c r="F3507" s="96" t="s">
        <v>171</v>
      </c>
      <c r="G3507" s="100">
        <v>5464</v>
      </c>
    </row>
    <row r="3508" spans="2:7">
      <c r="B3508" s="118" t="s">
        <v>2452</v>
      </c>
      <c r="C3508" s="119">
        <v>4539</v>
      </c>
      <c r="E3508" s="96" t="s">
        <v>690</v>
      </c>
      <c r="F3508" s="96" t="s">
        <v>171</v>
      </c>
      <c r="G3508" s="100">
        <v>5077</v>
      </c>
    </row>
    <row r="3509" spans="2:7">
      <c r="B3509" s="118" t="s">
        <v>2554</v>
      </c>
      <c r="C3509" s="119">
        <v>4539</v>
      </c>
      <c r="E3509" s="96" t="s">
        <v>691</v>
      </c>
      <c r="F3509" s="96" t="s">
        <v>171</v>
      </c>
      <c r="G3509" s="100">
        <v>5333</v>
      </c>
    </row>
    <row r="3510" spans="2:7">
      <c r="B3510" s="118" t="s">
        <v>3094</v>
      </c>
      <c r="C3510" s="119">
        <v>3365</v>
      </c>
      <c r="E3510" s="96" t="s">
        <v>692</v>
      </c>
      <c r="F3510" s="96" t="s">
        <v>171</v>
      </c>
      <c r="G3510" s="100">
        <v>5465</v>
      </c>
    </row>
    <row r="3511" spans="2:7">
      <c r="B3511" s="118" t="s">
        <v>2327</v>
      </c>
      <c r="C3511" s="119">
        <v>3365</v>
      </c>
      <c r="E3511" s="96" t="s">
        <v>693</v>
      </c>
      <c r="F3511" s="96" t="s">
        <v>171</v>
      </c>
      <c r="G3511" s="100">
        <v>5637</v>
      </c>
    </row>
    <row r="3512" spans="2:7">
      <c r="B3512" s="118" t="s">
        <v>2889</v>
      </c>
      <c r="C3512" s="119">
        <v>3474</v>
      </c>
      <c r="E3512" s="96" t="s">
        <v>694</v>
      </c>
      <c r="F3512" s="96" t="s">
        <v>171</v>
      </c>
      <c r="G3512" s="100">
        <v>5334</v>
      </c>
    </row>
    <row r="3513" spans="2:7">
      <c r="B3513" s="118" t="s">
        <v>3095</v>
      </c>
      <c r="C3513" s="119">
        <v>3475</v>
      </c>
      <c r="E3513" s="96" t="s">
        <v>695</v>
      </c>
      <c r="F3513" s="96" t="s">
        <v>171</v>
      </c>
      <c r="G3513" s="100">
        <v>5058</v>
      </c>
    </row>
    <row r="3514" spans="2:7">
      <c r="B3514" s="118" t="s">
        <v>3096</v>
      </c>
      <c r="C3514" s="119">
        <v>3475</v>
      </c>
      <c r="E3514" s="96" t="s">
        <v>696</v>
      </c>
      <c r="F3514" s="96" t="s">
        <v>176</v>
      </c>
      <c r="G3514" s="100">
        <v>7000</v>
      </c>
    </row>
    <row r="3515" spans="2:7">
      <c r="B3515" s="118" t="s">
        <v>3093</v>
      </c>
      <c r="C3515" s="119">
        <v>3476</v>
      </c>
      <c r="E3515" s="96" t="s">
        <v>697</v>
      </c>
      <c r="F3515" s="96" t="s">
        <v>176</v>
      </c>
      <c r="G3515" s="100">
        <v>7270</v>
      </c>
    </row>
    <row r="3516" spans="2:7">
      <c r="B3516" s="118" t="s">
        <v>2586</v>
      </c>
      <c r="C3516" s="119">
        <v>4943</v>
      </c>
      <c r="E3516" s="96" t="s">
        <v>698</v>
      </c>
      <c r="F3516" s="96" t="s">
        <v>176</v>
      </c>
      <c r="G3516" s="100">
        <v>7302</v>
      </c>
    </row>
    <row r="3517" spans="2:7">
      <c r="B3517" s="118" t="s">
        <v>2204</v>
      </c>
      <c r="C3517" s="119">
        <v>3360</v>
      </c>
      <c r="E3517" s="96" t="s">
        <v>699</v>
      </c>
      <c r="F3517" s="96" t="s">
        <v>176</v>
      </c>
      <c r="G3517" s="100">
        <v>7013</v>
      </c>
    </row>
    <row r="3518" spans="2:7">
      <c r="B3518" s="118" t="s">
        <v>2365</v>
      </c>
      <c r="C3518" s="119">
        <v>3367</v>
      </c>
      <c r="E3518" s="96" t="s">
        <v>700</v>
      </c>
      <c r="F3518" s="96" t="s">
        <v>176</v>
      </c>
      <c r="G3518" s="100">
        <v>7013</v>
      </c>
    </row>
    <row r="3519" spans="2:7">
      <c r="B3519" s="118" t="s">
        <v>3093</v>
      </c>
      <c r="C3519" s="119">
        <v>3476</v>
      </c>
      <c r="E3519" s="96" t="s">
        <v>701</v>
      </c>
      <c r="F3519" s="96" t="s">
        <v>176</v>
      </c>
      <c r="G3519" s="100">
        <v>7500</v>
      </c>
    </row>
    <row r="3520" spans="2:7">
      <c r="B3520" s="118" t="s">
        <v>3097</v>
      </c>
      <c r="C3520" s="119">
        <v>3380</v>
      </c>
      <c r="E3520" s="96" t="s">
        <v>702</v>
      </c>
      <c r="F3520" s="96" t="s">
        <v>176</v>
      </c>
      <c r="G3520" s="100">
        <v>7130</v>
      </c>
    </row>
    <row r="3521" spans="2:7">
      <c r="B3521" s="118" t="s">
        <v>3098</v>
      </c>
      <c r="C3521" s="119">
        <v>3377</v>
      </c>
      <c r="E3521" s="96" t="s">
        <v>703</v>
      </c>
      <c r="F3521" s="96" t="s">
        <v>176</v>
      </c>
      <c r="G3521" s="100">
        <v>1823</v>
      </c>
    </row>
    <row r="3522" spans="2:7">
      <c r="B3522" s="118" t="s">
        <v>2465</v>
      </c>
      <c r="C3522" s="119">
        <v>3374</v>
      </c>
      <c r="E3522" s="96" t="s">
        <v>704</v>
      </c>
      <c r="F3522" s="96" t="s">
        <v>176</v>
      </c>
      <c r="G3522" s="100">
        <v>7550</v>
      </c>
    </row>
    <row r="3523" spans="2:7">
      <c r="B3523" s="118" t="s">
        <v>2297</v>
      </c>
      <c r="C3523" s="119">
        <v>3380</v>
      </c>
      <c r="E3523" s="96" t="s">
        <v>705</v>
      </c>
      <c r="F3523" s="96" t="s">
        <v>176</v>
      </c>
      <c r="G3523" s="100">
        <v>7250</v>
      </c>
    </row>
    <row r="3524" spans="2:7">
      <c r="B3524" s="118" t="s">
        <v>2332</v>
      </c>
      <c r="C3524" s="119">
        <v>4536</v>
      </c>
      <c r="E3524" s="96" t="s">
        <v>706</v>
      </c>
      <c r="F3524" s="96" t="s">
        <v>176</v>
      </c>
      <c r="G3524" s="100">
        <v>7742</v>
      </c>
    </row>
    <row r="3525" spans="2:7">
      <c r="B3525" s="118" t="s">
        <v>2297</v>
      </c>
      <c r="C3525" s="119">
        <v>3380</v>
      </c>
      <c r="E3525" s="96" t="s">
        <v>707</v>
      </c>
      <c r="F3525" s="96" t="s">
        <v>176</v>
      </c>
      <c r="G3525" s="100">
        <v>7205</v>
      </c>
    </row>
    <row r="3526" spans="2:7">
      <c r="B3526" s="118" t="s">
        <v>2295</v>
      </c>
      <c r="C3526" s="119">
        <v>4537</v>
      </c>
      <c r="E3526" s="96" t="s">
        <v>708</v>
      </c>
      <c r="F3526" s="96" t="s">
        <v>176</v>
      </c>
      <c r="G3526" s="100">
        <v>7402</v>
      </c>
    </row>
    <row r="3527" spans="2:7">
      <c r="B3527" s="118" t="s">
        <v>2452</v>
      </c>
      <c r="C3527" s="119">
        <v>4539</v>
      </c>
      <c r="E3527" s="96" t="s">
        <v>709</v>
      </c>
      <c r="F3527" s="96" t="s">
        <v>176</v>
      </c>
      <c r="G3527" s="100">
        <v>7203</v>
      </c>
    </row>
    <row r="3528" spans="2:7">
      <c r="B3528" s="118" t="s">
        <v>1285</v>
      </c>
      <c r="C3528" s="119">
        <v>6110</v>
      </c>
      <c r="E3528" s="96" t="s">
        <v>710</v>
      </c>
      <c r="F3528" s="96" t="s">
        <v>176</v>
      </c>
      <c r="G3528" s="100">
        <v>7430</v>
      </c>
    </row>
    <row r="3529" spans="2:7">
      <c r="B3529" s="118" t="s">
        <v>1336</v>
      </c>
      <c r="C3529" s="119">
        <v>6112</v>
      </c>
      <c r="E3529" s="96" t="s">
        <v>711</v>
      </c>
      <c r="F3529" s="96" t="s">
        <v>176</v>
      </c>
      <c r="G3529" s="100">
        <v>7050</v>
      </c>
    </row>
    <row r="3530" spans="2:7">
      <c r="B3530" s="118" t="s">
        <v>3099</v>
      </c>
      <c r="C3530" s="119">
        <v>6105</v>
      </c>
      <c r="E3530" s="96" t="s">
        <v>712</v>
      </c>
      <c r="F3530" s="96" t="s">
        <v>176</v>
      </c>
      <c r="G3530" s="100">
        <v>7503</v>
      </c>
    </row>
    <row r="3531" spans="2:7">
      <c r="B3531" s="118" t="s">
        <v>1285</v>
      </c>
      <c r="C3531" s="119">
        <v>6110</v>
      </c>
      <c r="E3531" s="96" t="s">
        <v>713</v>
      </c>
      <c r="F3531" s="96" t="s">
        <v>176</v>
      </c>
      <c r="G3531" s="100">
        <v>7304</v>
      </c>
    </row>
    <row r="3532" spans="2:7">
      <c r="B3532" s="118" t="s">
        <v>1291</v>
      </c>
      <c r="C3532" s="119">
        <v>6162</v>
      </c>
      <c r="E3532" s="96" t="s">
        <v>714</v>
      </c>
      <c r="F3532" s="96" t="s">
        <v>176</v>
      </c>
      <c r="G3532" s="100">
        <v>7017</v>
      </c>
    </row>
    <row r="3533" spans="2:7">
      <c r="B3533" s="118" t="s">
        <v>3100</v>
      </c>
      <c r="C3533" s="119">
        <v>6162</v>
      </c>
      <c r="E3533" s="96" t="s">
        <v>715</v>
      </c>
      <c r="F3533" s="96" t="s">
        <v>176</v>
      </c>
      <c r="G3533" s="100">
        <v>7084</v>
      </c>
    </row>
    <row r="3534" spans="2:7">
      <c r="B3534" s="118" t="s">
        <v>3101</v>
      </c>
      <c r="C3534" s="119">
        <v>6162</v>
      </c>
      <c r="E3534" s="96" t="s">
        <v>716</v>
      </c>
      <c r="F3534" s="96" t="s">
        <v>176</v>
      </c>
      <c r="G3534" s="100">
        <v>7082</v>
      </c>
    </row>
    <row r="3535" spans="2:7">
      <c r="B3535" s="118" t="s">
        <v>3102</v>
      </c>
      <c r="C3535" s="119">
        <v>6163</v>
      </c>
      <c r="E3535" s="96" t="s">
        <v>717</v>
      </c>
      <c r="F3535" s="96" t="s">
        <v>176</v>
      </c>
      <c r="G3535" s="100">
        <v>7220</v>
      </c>
    </row>
    <row r="3536" spans="2:7">
      <c r="B3536" s="118" t="s">
        <v>3103</v>
      </c>
      <c r="C3536" s="119">
        <v>6166</v>
      </c>
      <c r="E3536" s="96" t="s">
        <v>718</v>
      </c>
      <c r="F3536" s="96" t="s">
        <v>176</v>
      </c>
      <c r="G3536" s="100">
        <v>7012</v>
      </c>
    </row>
    <row r="3537" spans="2:7">
      <c r="B3537" s="118" t="s">
        <v>1287</v>
      </c>
      <c r="C3537" s="119">
        <v>6170</v>
      </c>
      <c r="E3537" s="96" t="s">
        <v>719</v>
      </c>
      <c r="F3537" s="96" t="s">
        <v>176</v>
      </c>
      <c r="G3537" s="100">
        <v>7204</v>
      </c>
    </row>
    <row r="3538" spans="2:7">
      <c r="B3538" s="118" t="s">
        <v>1287</v>
      </c>
      <c r="C3538" s="119">
        <v>6170</v>
      </c>
      <c r="E3538" s="96" t="s">
        <v>720</v>
      </c>
      <c r="F3538" s="96" t="s">
        <v>176</v>
      </c>
      <c r="G3538" s="100">
        <v>6535</v>
      </c>
    </row>
    <row r="3539" spans="2:7">
      <c r="B3539" s="118" t="s">
        <v>3104</v>
      </c>
      <c r="C3539" s="119">
        <v>6173</v>
      </c>
      <c r="E3539" s="96" t="s">
        <v>721</v>
      </c>
      <c r="F3539" s="96" t="s">
        <v>176</v>
      </c>
      <c r="G3539" s="100">
        <v>7457</v>
      </c>
    </row>
    <row r="3540" spans="2:7">
      <c r="B3540" s="118" t="s">
        <v>3105</v>
      </c>
      <c r="C3540" s="119">
        <v>6174</v>
      </c>
      <c r="E3540" s="96" t="s">
        <v>722</v>
      </c>
      <c r="F3540" s="96" t="s">
        <v>176</v>
      </c>
      <c r="G3540" s="100">
        <v>7208</v>
      </c>
    </row>
    <row r="3541" spans="2:7">
      <c r="B3541" s="118" t="s">
        <v>3106</v>
      </c>
      <c r="C3541" s="119">
        <v>6192</v>
      </c>
      <c r="E3541" s="96" t="s">
        <v>723</v>
      </c>
      <c r="F3541" s="96" t="s">
        <v>176</v>
      </c>
      <c r="G3541" s="100">
        <v>7504</v>
      </c>
    </row>
    <row r="3542" spans="2:7">
      <c r="B3542" s="118" t="s">
        <v>2389</v>
      </c>
      <c r="C3542" s="119">
        <v>6197</v>
      </c>
      <c r="E3542" s="96" t="s">
        <v>724</v>
      </c>
      <c r="F3542" s="96" t="s">
        <v>176</v>
      </c>
      <c r="G3542" s="100">
        <v>7408</v>
      </c>
    </row>
    <row r="3543" spans="2:7">
      <c r="B3543" s="118" t="s">
        <v>1291</v>
      </c>
      <c r="C3543" s="119">
        <v>6162</v>
      </c>
      <c r="E3543" s="96" t="s">
        <v>725</v>
      </c>
      <c r="F3543" s="96" t="s">
        <v>176</v>
      </c>
      <c r="G3543" s="100">
        <v>7187</v>
      </c>
    </row>
    <row r="3544" spans="2:7">
      <c r="B3544" s="118" t="s">
        <v>3101</v>
      </c>
      <c r="C3544" s="119">
        <v>6162</v>
      </c>
      <c r="E3544" s="96" t="s">
        <v>726</v>
      </c>
      <c r="F3544" s="96" t="s">
        <v>176</v>
      </c>
      <c r="G3544" s="100">
        <v>7180</v>
      </c>
    </row>
    <row r="3545" spans="2:7">
      <c r="B3545" s="118" t="s">
        <v>3103</v>
      </c>
      <c r="C3545" s="119">
        <v>6166</v>
      </c>
      <c r="E3545" s="96" t="s">
        <v>727</v>
      </c>
      <c r="F3545" s="96" t="s">
        <v>176</v>
      </c>
      <c r="G3545" s="100">
        <v>7214</v>
      </c>
    </row>
    <row r="3546" spans="2:7">
      <c r="B3546" s="118" t="s">
        <v>1287</v>
      </c>
      <c r="C3546" s="119">
        <v>6170</v>
      </c>
      <c r="E3546" s="96" t="s">
        <v>728</v>
      </c>
      <c r="F3546" s="96" t="s">
        <v>176</v>
      </c>
      <c r="G3546" s="100">
        <v>7148</v>
      </c>
    </row>
    <row r="3547" spans="2:7">
      <c r="B3547" s="118" t="s">
        <v>3107</v>
      </c>
      <c r="C3547" s="119">
        <v>6110</v>
      </c>
      <c r="E3547" s="96" t="s">
        <v>729</v>
      </c>
      <c r="F3547" s="96" t="s">
        <v>176</v>
      </c>
      <c r="G3547" s="100">
        <v>7075</v>
      </c>
    </row>
    <row r="3548" spans="2:7">
      <c r="B3548" s="118" t="s">
        <v>1339</v>
      </c>
      <c r="C3548" s="119">
        <v>6113</v>
      </c>
      <c r="E3548" s="96" t="s">
        <v>730</v>
      </c>
      <c r="F3548" s="96" t="s">
        <v>176</v>
      </c>
      <c r="G3548" s="100">
        <v>7435</v>
      </c>
    </row>
    <row r="3549" spans="2:7">
      <c r="B3549" s="118" t="s">
        <v>3103</v>
      </c>
      <c r="C3549" s="119">
        <v>6166</v>
      </c>
      <c r="E3549" s="96" t="s">
        <v>731</v>
      </c>
      <c r="F3549" s="96" t="s">
        <v>176</v>
      </c>
      <c r="G3549" s="100">
        <v>7165</v>
      </c>
    </row>
    <row r="3550" spans="2:7">
      <c r="B3550" s="118" t="s">
        <v>3108</v>
      </c>
      <c r="C3550" s="119">
        <v>6167</v>
      </c>
      <c r="E3550" s="96" t="s">
        <v>732</v>
      </c>
      <c r="F3550" s="96" t="s">
        <v>176</v>
      </c>
      <c r="G3550" s="100">
        <v>7165</v>
      </c>
    </row>
    <row r="3551" spans="2:7">
      <c r="B3551" s="118" t="s">
        <v>1287</v>
      </c>
      <c r="C3551" s="119">
        <v>6170</v>
      </c>
      <c r="E3551" s="96" t="s">
        <v>733</v>
      </c>
      <c r="F3551" s="96" t="s">
        <v>176</v>
      </c>
      <c r="G3551" s="100">
        <v>7031</v>
      </c>
    </row>
    <row r="3552" spans="2:7">
      <c r="B3552" s="118" t="s">
        <v>1287</v>
      </c>
      <c r="C3552" s="119">
        <v>6170</v>
      </c>
      <c r="E3552" s="96" t="s">
        <v>734</v>
      </c>
      <c r="F3552" s="96" t="s">
        <v>176</v>
      </c>
      <c r="G3552" s="100">
        <v>7242</v>
      </c>
    </row>
    <row r="3553" spans="2:7">
      <c r="B3553" s="118" t="s">
        <v>3099</v>
      </c>
      <c r="C3553" s="119">
        <v>6105</v>
      </c>
      <c r="E3553" s="96" t="s">
        <v>735</v>
      </c>
      <c r="F3553" s="96" t="s">
        <v>176</v>
      </c>
      <c r="G3553" s="100">
        <v>7530</v>
      </c>
    </row>
    <row r="3554" spans="2:7">
      <c r="B3554" s="118" t="s">
        <v>1310</v>
      </c>
      <c r="C3554" s="119">
        <v>6106</v>
      </c>
      <c r="E3554" s="96" t="s">
        <v>736</v>
      </c>
      <c r="F3554" s="96" t="s">
        <v>176</v>
      </c>
      <c r="G3554" s="100">
        <v>7606</v>
      </c>
    </row>
    <row r="3555" spans="2:7">
      <c r="B3555" s="118" t="s">
        <v>1285</v>
      </c>
      <c r="C3555" s="119">
        <v>6110</v>
      </c>
      <c r="E3555" s="96" t="s">
        <v>737</v>
      </c>
      <c r="F3555" s="96" t="s">
        <v>176</v>
      </c>
      <c r="G3555" s="100">
        <v>7536</v>
      </c>
    </row>
    <row r="3556" spans="2:7">
      <c r="B3556" s="118" t="s">
        <v>2333</v>
      </c>
      <c r="C3556" s="119">
        <v>3555</v>
      </c>
      <c r="E3556" s="96" t="s">
        <v>738</v>
      </c>
      <c r="F3556" s="96" t="s">
        <v>176</v>
      </c>
      <c r="G3556" s="100">
        <v>7505</v>
      </c>
    </row>
    <row r="3557" spans="2:7">
      <c r="B3557" s="118" t="s">
        <v>1287</v>
      </c>
      <c r="C3557" s="119">
        <v>6170</v>
      </c>
      <c r="E3557" s="96" t="s">
        <v>739</v>
      </c>
      <c r="F3557" s="96" t="s">
        <v>176</v>
      </c>
      <c r="G3557" s="100">
        <v>7505</v>
      </c>
    </row>
    <row r="3558" spans="2:7">
      <c r="B3558" s="118" t="s">
        <v>3104</v>
      </c>
      <c r="C3558" s="119">
        <v>6173</v>
      </c>
      <c r="E3558" s="96" t="s">
        <v>740</v>
      </c>
      <c r="F3558" s="96" t="s">
        <v>176</v>
      </c>
      <c r="G3558" s="100">
        <v>7403</v>
      </c>
    </row>
    <row r="3559" spans="2:7">
      <c r="B3559" s="118" t="s">
        <v>3109</v>
      </c>
      <c r="C3559" s="119">
        <v>6182</v>
      </c>
      <c r="E3559" s="96" t="s">
        <v>741</v>
      </c>
      <c r="F3559" s="96" t="s">
        <v>176</v>
      </c>
      <c r="G3559" s="100">
        <v>7014</v>
      </c>
    </row>
    <row r="3560" spans="2:7">
      <c r="B3560" s="118" t="s">
        <v>3106</v>
      </c>
      <c r="C3560" s="119">
        <v>6192</v>
      </c>
      <c r="E3560" s="96" t="s">
        <v>742</v>
      </c>
      <c r="F3560" s="96" t="s">
        <v>176</v>
      </c>
      <c r="G3560" s="100">
        <v>7212</v>
      </c>
    </row>
    <row r="3561" spans="2:7">
      <c r="B3561" s="118" t="s">
        <v>3110</v>
      </c>
      <c r="C3561" s="119">
        <v>6196</v>
      </c>
      <c r="E3561" s="96" t="s">
        <v>743</v>
      </c>
      <c r="F3561" s="96" t="s">
        <v>176</v>
      </c>
      <c r="G3561" s="100">
        <v>6563</v>
      </c>
    </row>
    <row r="3562" spans="2:7">
      <c r="B3562" s="118" t="s">
        <v>2389</v>
      </c>
      <c r="C3562" s="119">
        <v>6197</v>
      </c>
      <c r="E3562" s="96" t="s">
        <v>744</v>
      </c>
      <c r="F3562" s="96" t="s">
        <v>176</v>
      </c>
      <c r="G3562" s="100">
        <v>6537</v>
      </c>
    </row>
    <row r="3563" spans="2:7">
      <c r="B3563" s="118" t="s">
        <v>3111</v>
      </c>
      <c r="C3563" s="119">
        <v>6287</v>
      </c>
      <c r="E3563" s="96" t="s">
        <v>745</v>
      </c>
      <c r="F3563" s="96" t="s">
        <v>176</v>
      </c>
      <c r="G3563" s="100">
        <v>7450</v>
      </c>
    </row>
    <row r="3564" spans="2:7">
      <c r="B3564" s="118" t="s">
        <v>1303</v>
      </c>
      <c r="C3564" s="119">
        <v>6034</v>
      </c>
      <c r="E3564" s="96" t="s">
        <v>746</v>
      </c>
      <c r="F3564" s="96" t="s">
        <v>176</v>
      </c>
      <c r="G3564" s="100">
        <v>7473</v>
      </c>
    </row>
    <row r="3565" spans="2:7">
      <c r="B3565" s="118" t="s">
        <v>3112</v>
      </c>
      <c r="C3565" s="119">
        <v>6274</v>
      </c>
      <c r="E3565" s="96" t="s">
        <v>747</v>
      </c>
      <c r="F3565" s="96" t="s">
        <v>176</v>
      </c>
      <c r="G3565" s="100">
        <v>7189</v>
      </c>
    </row>
    <row r="3566" spans="2:7">
      <c r="B3566" s="118" t="s">
        <v>1298</v>
      </c>
      <c r="C3566" s="119">
        <v>6275</v>
      </c>
      <c r="E3566" s="96" t="s">
        <v>748</v>
      </c>
      <c r="F3566" s="96" t="s">
        <v>176</v>
      </c>
      <c r="G3566" s="100">
        <v>7015</v>
      </c>
    </row>
    <row r="3567" spans="2:7">
      <c r="B3567" s="118" t="s">
        <v>1593</v>
      </c>
      <c r="C3567" s="119">
        <v>6020</v>
      </c>
      <c r="E3567" s="96" t="s">
        <v>749</v>
      </c>
      <c r="F3567" s="96" t="s">
        <v>176</v>
      </c>
      <c r="G3567" s="100">
        <v>7524</v>
      </c>
    </row>
    <row r="3568" spans="2:7">
      <c r="B3568" s="118" t="s">
        <v>1269</v>
      </c>
      <c r="C3568" s="119">
        <v>6023</v>
      </c>
      <c r="E3568" s="96" t="s">
        <v>750</v>
      </c>
      <c r="F3568" s="96" t="s">
        <v>176</v>
      </c>
      <c r="G3568" s="100">
        <v>7175</v>
      </c>
    </row>
    <row r="3569" spans="2:7">
      <c r="B3569" s="118" t="s">
        <v>1262</v>
      </c>
      <c r="C3569" s="119">
        <v>6032</v>
      </c>
      <c r="E3569" s="96" t="s">
        <v>751</v>
      </c>
      <c r="F3569" s="96" t="s">
        <v>176</v>
      </c>
      <c r="G3569" s="100">
        <v>7166</v>
      </c>
    </row>
    <row r="3570" spans="2:7">
      <c r="B3570" s="118" t="s">
        <v>1272</v>
      </c>
      <c r="C3570" s="119">
        <v>6206</v>
      </c>
      <c r="E3570" s="96" t="s">
        <v>752</v>
      </c>
      <c r="F3570" s="96" t="s">
        <v>176</v>
      </c>
      <c r="G3570" s="100">
        <v>7233</v>
      </c>
    </row>
    <row r="3571" spans="2:7">
      <c r="B3571" s="118" t="s">
        <v>1332</v>
      </c>
      <c r="C3571" s="119">
        <v>6294</v>
      </c>
      <c r="E3571" s="96" t="s">
        <v>753</v>
      </c>
      <c r="F3571" s="96" t="s">
        <v>176</v>
      </c>
      <c r="G3571" s="100">
        <v>7134</v>
      </c>
    </row>
    <row r="3572" spans="2:7">
      <c r="B3572" s="118" t="s">
        <v>1299</v>
      </c>
      <c r="C3572" s="119">
        <v>6026</v>
      </c>
      <c r="E3572" s="96" t="s">
        <v>754</v>
      </c>
      <c r="F3572" s="96" t="s">
        <v>176</v>
      </c>
      <c r="G3572" s="100">
        <v>7743</v>
      </c>
    </row>
    <row r="3573" spans="2:7">
      <c r="B3573" s="118" t="s">
        <v>1303</v>
      </c>
      <c r="C3573" s="119">
        <v>6034</v>
      </c>
      <c r="E3573" s="96" t="s">
        <v>755</v>
      </c>
      <c r="F3573" s="96" t="s">
        <v>176</v>
      </c>
      <c r="G3573" s="100">
        <v>7513</v>
      </c>
    </row>
    <row r="3574" spans="2:7">
      <c r="B3574" s="118" t="s">
        <v>3112</v>
      </c>
      <c r="C3574" s="119">
        <v>6274</v>
      </c>
      <c r="E3574" s="96" t="s">
        <v>756</v>
      </c>
      <c r="F3574" s="96" t="s">
        <v>176</v>
      </c>
      <c r="G3574" s="100">
        <v>7132</v>
      </c>
    </row>
    <row r="3575" spans="2:7">
      <c r="B3575" s="118" t="s">
        <v>3113</v>
      </c>
      <c r="C3575" s="119">
        <v>6284</v>
      </c>
      <c r="E3575" s="96" t="s">
        <v>757</v>
      </c>
      <c r="F3575" s="96" t="s">
        <v>176</v>
      </c>
      <c r="G3575" s="100">
        <v>7023</v>
      </c>
    </row>
    <row r="3576" spans="2:7">
      <c r="B3576" s="118" t="s">
        <v>3114</v>
      </c>
      <c r="C3576" s="119">
        <v>6284</v>
      </c>
      <c r="E3576" s="96" t="s">
        <v>758</v>
      </c>
      <c r="F3576" s="96" t="s">
        <v>176</v>
      </c>
      <c r="G3576" s="100">
        <v>7440</v>
      </c>
    </row>
    <row r="3577" spans="2:7">
      <c r="B3577" s="118" t="s">
        <v>1279</v>
      </c>
      <c r="C3577" s="119">
        <v>6285</v>
      </c>
      <c r="E3577" s="96" t="s">
        <v>759</v>
      </c>
      <c r="F3577" s="96" t="s">
        <v>176</v>
      </c>
      <c r="G3577" s="100">
        <v>7411</v>
      </c>
    </row>
    <row r="3578" spans="2:7">
      <c r="B3578" s="118" t="s">
        <v>3115</v>
      </c>
      <c r="C3578" s="119">
        <v>6285</v>
      </c>
      <c r="E3578" s="96" t="s">
        <v>760</v>
      </c>
      <c r="F3578" s="96" t="s">
        <v>176</v>
      </c>
      <c r="G3578" s="100">
        <v>7482</v>
      </c>
    </row>
    <row r="3579" spans="2:7">
      <c r="B3579" s="118" t="s">
        <v>1341</v>
      </c>
      <c r="C3579" s="119">
        <v>6286</v>
      </c>
      <c r="E3579" s="96" t="s">
        <v>761</v>
      </c>
      <c r="F3579" s="96" t="s">
        <v>176</v>
      </c>
      <c r="G3579" s="100">
        <v>7107</v>
      </c>
    </row>
    <row r="3580" spans="2:7">
      <c r="B3580" s="118" t="s">
        <v>1330</v>
      </c>
      <c r="C3580" s="119">
        <v>6288</v>
      </c>
      <c r="E3580" s="96" t="s">
        <v>762</v>
      </c>
      <c r="F3580" s="96" t="s">
        <v>176</v>
      </c>
      <c r="G3580" s="100">
        <v>7307</v>
      </c>
    </row>
    <row r="3581" spans="2:7">
      <c r="B3581" s="118" t="s">
        <v>3116</v>
      </c>
      <c r="C3581" s="119">
        <v>6289</v>
      </c>
      <c r="E3581" s="96" t="s">
        <v>763</v>
      </c>
      <c r="F3581" s="96" t="s">
        <v>176</v>
      </c>
      <c r="G3581" s="100">
        <v>7556</v>
      </c>
    </row>
    <row r="3582" spans="2:7">
      <c r="B3582" s="118" t="s">
        <v>3117</v>
      </c>
      <c r="C3582" s="119">
        <v>6289</v>
      </c>
      <c r="E3582" s="96" t="s">
        <v>764</v>
      </c>
      <c r="F3582" s="96" t="s">
        <v>176</v>
      </c>
      <c r="G3582" s="100">
        <v>7240</v>
      </c>
    </row>
    <row r="3583" spans="2:7">
      <c r="B3583" s="118" t="s">
        <v>3117</v>
      </c>
      <c r="C3583" s="119">
        <v>6289</v>
      </c>
      <c r="E3583" s="96" t="s">
        <v>765</v>
      </c>
      <c r="F3583" s="96" t="s">
        <v>176</v>
      </c>
      <c r="G3583" s="100">
        <v>6534</v>
      </c>
    </row>
    <row r="3584" spans="2:7">
      <c r="B3584" s="118" t="s">
        <v>3118</v>
      </c>
      <c r="C3584" s="119">
        <v>6295</v>
      </c>
      <c r="E3584" s="96" t="s">
        <v>766</v>
      </c>
      <c r="F3584" s="96" t="s">
        <v>176</v>
      </c>
      <c r="G3584" s="100">
        <v>7412</v>
      </c>
    </row>
    <row r="3585" spans="2:7">
      <c r="B3585" s="118" t="s">
        <v>3112</v>
      </c>
      <c r="C3585" s="119">
        <v>6274</v>
      </c>
      <c r="E3585" s="96" t="s">
        <v>767</v>
      </c>
      <c r="F3585" s="96" t="s">
        <v>176</v>
      </c>
      <c r="G3585" s="100">
        <v>7306</v>
      </c>
    </row>
    <row r="3586" spans="2:7">
      <c r="B3586" s="118" t="s">
        <v>1298</v>
      </c>
      <c r="C3586" s="119">
        <v>6275</v>
      </c>
      <c r="E3586" s="96" t="s">
        <v>768</v>
      </c>
      <c r="F3586" s="96" t="s">
        <v>176</v>
      </c>
      <c r="G3586" s="100">
        <v>7563</v>
      </c>
    </row>
    <row r="3587" spans="2:7">
      <c r="B3587" s="118" t="s">
        <v>1267</v>
      </c>
      <c r="C3587" s="119">
        <v>6280</v>
      </c>
      <c r="E3587" s="96" t="s">
        <v>769</v>
      </c>
      <c r="F3587" s="96" t="s">
        <v>176</v>
      </c>
      <c r="G3587" s="100">
        <v>6558</v>
      </c>
    </row>
    <row r="3588" spans="2:7">
      <c r="B3588" s="118" t="s">
        <v>3119</v>
      </c>
      <c r="C3588" s="119">
        <v>6280</v>
      </c>
      <c r="E3588" s="96" t="s">
        <v>770</v>
      </c>
      <c r="F3588" s="96" t="s">
        <v>176</v>
      </c>
      <c r="G3588" s="100">
        <v>7522</v>
      </c>
    </row>
    <row r="3589" spans="2:7">
      <c r="B3589" s="118" t="s">
        <v>3120</v>
      </c>
      <c r="C3589" s="119">
        <v>6283</v>
      </c>
      <c r="E3589" s="96" t="s">
        <v>771</v>
      </c>
      <c r="F3589" s="96" t="s">
        <v>176</v>
      </c>
      <c r="G3589" s="100">
        <v>7514</v>
      </c>
    </row>
    <row r="3590" spans="2:7">
      <c r="B3590" s="118" t="s">
        <v>1298</v>
      </c>
      <c r="C3590" s="119">
        <v>6275</v>
      </c>
      <c r="E3590" s="96" t="s">
        <v>772</v>
      </c>
      <c r="F3590" s="96" t="s">
        <v>176</v>
      </c>
      <c r="G3590" s="100">
        <v>7514</v>
      </c>
    </row>
    <row r="3591" spans="2:7">
      <c r="B3591" s="118" t="s">
        <v>1304</v>
      </c>
      <c r="C3591" s="119">
        <v>6276</v>
      </c>
      <c r="E3591" s="96" t="s">
        <v>773</v>
      </c>
      <c r="F3591" s="96" t="s">
        <v>176</v>
      </c>
      <c r="G3591" s="100">
        <v>7152</v>
      </c>
    </row>
    <row r="3592" spans="2:7">
      <c r="B3592" s="118" t="s">
        <v>3121</v>
      </c>
      <c r="C3592" s="119">
        <v>6277</v>
      </c>
      <c r="E3592" s="96" t="s">
        <v>774</v>
      </c>
      <c r="F3592" s="96" t="s">
        <v>176</v>
      </c>
      <c r="G3592" s="100">
        <v>7525</v>
      </c>
    </row>
    <row r="3593" spans="2:7">
      <c r="B3593" s="118" t="s">
        <v>3122</v>
      </c>
      <c r="C3593" s="119">
        <v>6277</v>
      </c>
      <c r="E3593" s="96" t="s">
        <v>775</v>
      </c>
      <c r="F3593" s="96" t="s">
        <v>176</v>
      </c>
      <c r="G3593" s="100">
        <v>7438</v>
      </c>
    </row>
    <row r="3594" spans="2:7">
      <c r="B3594" s="118" t="s">
        <v>1267</v>
      </c>
      <c r="C3594" s="119">
        <v>6280</v>
      </c>
      <c r="E3594" s="96" t="s">
        <v>776</v>
      </c>
      <c r="F3594" s="96" t="s">
        <v>176</v>
      </c>
      <c r="G3594" s="100">
        <v>7151</v>
      </c>
    </row>
    <row r="3595" spans="2:7">
      <c r="B3595" s="118" t="s">
        <v>3120</v>
      </c>
      <c r="C3595" s="119">
        <v>6283</v>
      </c>
      <c r="E3595" s="96" t="s">
        <v>777</v>
      </c>
      <c r="F3595" s="96" t="s">
        <v>176</v>
      </c>
      <c r="G3595" s="100">
        <v>7153</v>
      </c>
    </row>
    <row r="3596" spans="2:7">
      <c r="B3596" s="118" t="s">
        <v>1303</v>
      </c>
      <c r="C3596" s="119">
        <v>6034</v>
      </c>
      <c r="E3596" s="96" t="s">
        <v>778</v>
      </c>
      <c r="F3596" s="96" t="s">
        <v>176</v>
      </c>
      <c r="G3596" s="100">
        <v>7235</v>
      </c>
    </row>
    <row r="3597" spans="2:7">
      <c r="B3597" s="118" t="s">
        <v>1325</v>
      </c>
      <c r="C3597" s="119">
        <v>6038</v>
      </c>
      <c r="E3597" s="96" t="s">
        <v>779</v>
      </c>
      <c r="F3597" s="96" t="s">
        <v>176</v>
      </c>
      <c r="G3597" s="100">
        <v>7502</v>
      </c>
    </row>
    <row r="3598" spans="2:7">
      <c r="B3598" s="118" t="s">
        <v>1299</v>
      </c>
      <c r="C3598" s="119">
        <v>6026</v>
      </c>
      <c r="E3598" s="96" t="s">
        <v>780</v>
      </c>
      <c r="F3598" s="96" t="s">
        <v>176</v>
      </c>
      <c r="G3598" s="100">
        <v>6557</v>
      </c>
    </row>
    <row r="3599" spans="2:7">
      <c r="B3599" s="118" t="s">
        <v>1299</v>
      </c>
      <c r="C3599" s="119">
        <v>6026</v>
      </c>
      <c r="E3599" s="96" t="s">
        <v>781</v>
      </c>
      <c r="F3599" s="96" t="s">
        <v>176</v>
      </c>
      <c r="G3599" s="100">
        <v>7083</v>
      </c>
    </row>
    <row r="3600" spans="2:7">
      <c r="B3600" s="118" t="s">
        <v>3123</v>
      </c>
      <c r="C3600" s="119">
        <v>6027</v>
      </c>
      <c r="E3600" s="96" t="s">
        <v>782</v>
      </c>
      <c r="F3600" s="96" t="s">
        <v>176</v>
      </c>
      <c r="G3600" s="100">
        <v>7082</v>
      </c>
    </row>
    <row r="3601" spans="2:7">
      <c r="B3601" s="118" t="s">
        <v>3124</v>
      </c>
      <c r="C3601" s="119">
        <v>6028</v>
      </c>
      <c r="E3601" s="96" t="s">
        <v>783</v>
      </c>
      <c r="F3601" s="96" t="s">
        <v>176</v>
      </c>
      <c r="G3601" s="100">
        <v>7026</v>
      </c>
    </row>
    <row r="3602" spans="2:7">
      <c r="B3602" s="118" t="s">
        <v>1267</v>
      </c>
      <c r="C3602" s="119">
        <v>6280</v>
      </c>
      <c r="E3602" s="96" t="s">
        <v>784</v>
      </c>
      <c r="F3602" s="96" t="s">
        <v>176</v>
      </c>
      <c r="G3602" s="100">
        <v>7425</v>
      </c>
    </row>
    <row r="3603" spans="2:7">
      <c r="B3603" s="118" t="s">
        <v>3119</v>
      </c>
      <c r="C3603" s="119">
        <v>6280</v>
      </c>
      <c r="E3603" s="96" t="s">
        <v>785</v>
      </c>
      <c r="F3603" s="96" t="s">
        <v>176</v>
      </c>
      <c r="G3603" s="100">
        <v>7432</v>
      </c>
    </row>
    <row r="3604" spans="2:7">
      <c r="B3604" s="118" t="s">
        <v>3120</v>
      </c>
      <c r="C3604" s="119">
        <v>6283</v>
      </c>
      <c r="E3604" s="96" t="s">
        <v>786</v>
      </c>
      <c r="F3604" s="96" t="s">
        <v>176</v>
      </c>
      <c r="G3604" s="100">
        <v>7182</v>
      </c>
    </row>
    <row r="3605" spans="2:7">
      <c r="B3605" s="118" t="s">
        <v>1269</v>
      </c>
      <c r="C3605" s="119">
        <v>6023</v>
      </c>
      <c r="E3605" s="96" t="s">
        <v>787</v>
      </c>
      <c r="F3605" s="96" t="s">
        <v>176</v>
      </c>
      <c r="G3605" s="100">
        <v>7413</v>
      </c>
    </row>
    <row r="3606" spans="2:7">
      <c r="B3606" s="118" t="s">
        <v>1299</v>
      </c>
      <c r="C3606" s="119">
        <v>6026</v>
      </c>
      <c r="E3606" s="96" t="s">
        <v>788</v>
      </c>
      <c r="F3606" s="96" t="s">
        <v>176</v>
      </c>
      <c r="G3606" s="100">
        <v>6562</v>
      </c>
    </row>
    <row r="3607" spans="2:7">
      <c r="B3607" s="118" t="s">
        <v>1272</v>
      </c>
      <c r="C3607" s="119">
        <v>6206</v>
      </c>
      <c r="E3607" s="96" t="s">
        <v>789</v>
      </c>
      <c r="F3607" s="96" t="s">
        <v>176</v>
      </c>
      <c r="G3607" s="100">
        <v>7063</v>
      </c>
    </row>
    <row r="3608" spans="2:7">
      <c r="B3608" s="118" t="s">
        <v>3111</v>
      </c>
      <c r="C3608" s="119">
        <v>6287</v>
      </c>
      <c r="E3608" s="96" t="s">
        <v>790</v>
      </c>
      <c r="F3608" s="96" t="s">
        <v>176</v>
      </c>
      <c r="G3608" s="100">
        <v>7405</v>
      </c>
    </row>
    <row r="3609" spans="2:7">
      <c r="B3609" s="118" t="s">
        <v>1330</v>
      </c>
      <c r="C3609" s="119">
        <v>6288</v>
      </c>
      <c r="E3609" s="96" t="s">
        <v>791</v>
      </c>
      <c r="F3609" s="96" t="s">
        <v>176</v>
      </c>
      <c r="G3609" s="100">
        <v>6540</v>
      </c>
    </row>
    <row r="3610" spans="2:7">
      <c r="B3610" s="118" t="s">
        <v>1265</v>
      </c>
      <c r="C3610" s="119">
        <v>6030</v>
      </c>
      <c r="E3610" s="96" t="s">
        <v>792</v>
      </c>
      <c r="F3610" s="96" t="s">
        <v>176</v>
      </c>
      <c r="G3610" s="100">
        <v>7426</v>
      </c>
    </row>
    <row r="3611" spans="2:7">
      <c r="B3611" s="118" t="s">
        <v>1278</v>
      </c>
      <c r="C3611" s="119">
        <v>6043</v>
      </c>
      <c r="E3611" s="96" t="s">
        <v>793</v>
      </c>
      <c r="F3611" s="96" t="s">
        <v>176</v>
      </c>
      <c r="G3611" s="100">
        <v>7493</v>
      </c>
    </row>
    <row r="3612" spans="2:7">
      <c r="B3612" s="118" t="s">
        <v>1265</v>
      </c>
      <c r="C3612" s="119">
        <v>6030</v>
      </c>
      <c r="E3612" s="96" t="s">
        <v>794</v>
      </c>
      <c r="F3612" s="96" t="s">
        <v>176</v>
      </c>
      <c r="G3612" s="100">
        <v>7241</v>
      </c>
    </row>
    <row r="3613" spans="2:7">
      <c r="B3613" s="118" t="s">
        <v>1276</v>
      </c>
      <c r="C3613" s="119">
        <v>6033</v>
      </c>
      <c r="E3613" s="96" t="s">
        <v>795</v>
      </c>
      <c r="F3613" s="96" t="s">
        <v>176</v>
      </c>
      <c r="G3613" s="100">
        <v>7232</v>
      </c>
    </row>
    <row r="3614" spans="2:7">
      <c r="B3614" s="118" t="s">
        <v>3125</v>
      </c>
      <c r="C3614" s="119">
        <v>6035</v>
      </c>
      <c r="E3614" s="96" t="s">
        <v>796</v>
      </c>
      <c r="F3614" s="96" t="s">
        <v>176</v>
      </c>
      <c r="G3614" s="100">
        <v>7433</v>
      </c>
    </row>
    <row r="3615" spans="2:7">
      <c r="B3615" s="118" t="s">
        <v>1320</v>
      </c>
      <c r="C3615" s="119">
        <v>6036</v>
      </c>
      <c r="E3615" s="96" t="s">
        <v>797</v>
      </c>
      <c r="F3615" s="96" t="s">
        <v>176</v>
      </c>
      <c r="G3615" s="100">
        <v>7523</v>
      </c>
    </row>
    <row r="3616" spans="2:7">
      <c r="B3616" s="118" t="s">
        <v>1280</v>
      </c>
      <c r="C3616" s="119">
        <v>6037</v>
      </c>
      <c r="E3616" s="96" t="s">
        <v>798</v>
      </c>
      <c r="F3616" s="96" t="s">
        <v>176</v>
      </c>
      <c r="G3616" s="100">
        <v>6543</v>
      </c>
    </row>
    <row r="3617" spans="2:7">
      <c r="B3617" s="118" t="s">
        <v>165</v>
      </c>
      <c r="C3617" s="119">
        <v>6004</v>
      </c>
      <c r="E3617" s="96" t="s">
        <v>799</v>
      </c>
      <c r="F3617" s="96" t="s">
        <v>176</v>
      </c>
      <c r="G3617" s="100">
        <v>7447</v>
      </c>
    </row>
    <row r="3618" spans="2:7">
      <c r="B3618" s="118" t="s">
        <v>165</v>
      </c>
      <c r="C3618" s="119">
        <v>6006</v>
      </c>
      <c r="E3618" s="96" t="s">
        <v>800</v>
      </c>
      <c r="F3618" s="96" t="s">
        <v>176</v>
      </c>
      <c r="G3618" s="100">
        <v>6548</v>
      </c>
    </row>
    <row r="3619" spans="2:7">
      <c r="B3619" s="118" t="s">
        <v>1593</v>
      </c>
      <c r="C3619" s="119">
        <v>6020</v>
      </c>
      <c r="E3619" s="96" t="s">
        <v>801</v>
      </c>
      <c r="F3619" s="96" t="s">
        <v>176</v>
      </c>
      <c r="G3619" s="100">
        <v>7427</v>
      </c>
    </row>
    <row r="3620" spans="2:7">
      <c r="B3620" s="118" t="s">
        <v>1265</v>
      </c>
      <c r="C3620" s="119">
        <v>6030</v>
      </c>
      <c r="E3620" s="96" t="s">
        <v>802</v>
      </c>
      <c r="F3620" s="96" t="s">
        <v>176</v>
      </c>
      <c r="G3620" s="100">
        <v>7434</v>
      </c>
    </row>
    <row r="3621" spans="2:7">
      <c r="B3621" s="118" t="s">
        <v>1262</v>
      </c>
      <c r="C3621" s="119">
        <v>6032</v>
      </c>
      <c r="E3621" s="96" t="s">
        <v>803</v>
      </c>
      <c r="F3621" s="96" t="s">
        <v>176</v>
      </c>
      <c r="G3621" s="100">
        <v>7428</v>
      </c>
    </row>
    <row r="3622" spans="2:7">
      <c r="B3622" s="118" t="s">
        <v>1325</v>
      </c>
      <c r="C3622" s="119">
        <v>6038</v>
      </c>
      <c r="E3622" s="96" t="s">
        <v>804</v>
      </c>
      <c r="F3622" s="96" t="s">
        <v>176</v>
      </c>
      <c r="G3622" s="100">
        <v>6541</v>
      </c>
    </row>
    <row r="3623" spans="2:7">
      <c r="B3623" s="118" t="s">
        <v>1283</v>
      </c>
      <c r="C3623" s="119">
        <v>6353</v>
      </c>
      <c r="E3623" s="96" t="s">
        <v>805</v>
      </c>
      <c r="F3623" s="96" t="s">
        <v>176</v>
      </c>
      <c r="G3623" s="100">
        <v>6542</v>
      </c>
    </row>
    <row r="3624" spans="2:7">
      <c r="B3624" s="118" t="s">
        <v>1329</v>
      </c>
      <c r="C3624" s="119">
        <v>6404</v>
      </c>
      <c r="E3624" s="96" t="s">
        <v>806</v>
      </c>
      <c r="F3624" s="96" t="s">
        <v>176</v>
      </c>
      <c r="G3624" s="100">
        <v>7444</v>
      </c>
    </row>
    <row r="3625" spans="2:7">
      <c r="B3625" s="118" t="s">
        <v>1325</v>
      </c>
      <c r="C3625" s="119">
        <v>6038</v>
      </c>
      <c r="E3625" s="96" t="s">
        <v>807</v>
      </c>
      <c r="F3625" s="96" t="s">
        <v>176</v>
      </c>
      <c r="G3625" s="100">
        <v>7433</v>
      </c>
    </row>
    <row r="3626" spans="2:7">
      <c r="B3626" s="118" t="s">
        <v>1342</v>
      </c>
      <c r="C3626" s="119">
        <v>6038</v>
      </c>
      <c r="E3626" s="96" t="s">
        <v>808</v>
      </c>
      <c r="F3626" s="96" t="s">
        <v>176</v>
      </c>
      <c r="G3626" s="100">
        <v>7430</v>
      </c>
    </row>
    <row r="3627" spans="2:7">
      <c r="B3627" s="118" t="s">
        <v>165</v>
      </c>
      <c r="C3627" s="119">
        <v>6005</v>
      </c>
      <c r="E3627" s="96" t="s">
        <v>809</v>
      </c>
      <c r="F3627" s="96" t="s">
        <v>176</v>
      </c>
      <c r="G3627" s="100">
        <v>7433</v>
      </c>
    </row>
    <row r="3628" spans="2:7">
      <c r="B3628" s="118" t="s">
        <v>1596</v>
      </c>
      <c r="C3628" s="119">
        <v>6005</v>
      </c>
      <c r="E3628" s="96" t="s">
        <v>810</v>
      </c>
      <c r="F3628" s="96" t="s">
        <v>176</v>
      </c>
      <c r="G3628" s="100">
        <v>7433</v>
      </c>
    </row>
    <row r="3629" spans="2:7">
      <c r="B3629" s="118" t="s">
        <v>1595</v>
      </c>
      <c r="C3629" s="119">
        <v>6047</v>
      </c>
      <c r="E3629" s="96" t="s">
        <v>163</v>
      </c>
      <c r="F3629" s="96" t="s">
        <v>163</v>
      </c>
      <c r="G3629" s="100">
        <v>1200</v>
      </c>
    </row>
    <row r="3630" spans="2:7">
      <c r="B3630" s="118" t="s">
        <v>1264</v>
      </c>
      <c r="C3630" s="119">
        <v>6048</v>
      </c>
      <c r="E3630" s="96" t="s">
        <v>811</v>
      </c>
      <c r="F3630" s="96" t="s">
        <v>163</v>
      </c>
      <c r="G3630" s="100">
        <v>1214</v>
      </c>
    </row>
    <row r="3631" spans="2:7">
      <c r="B3631" s="118" t="s">
        <v>3126</v>
      </c>
      <c r="C3631" s="119">
        <v>6052</v>
      </c>
      <c r="E3631" s="96" t="s">
        <v>812</v>
      </c>
      <c r="F3631" s="96" t="s">
        <v>163</v>
      </c>
      <c r="G3631" s="100">
        <v>1212</v>
      </c>
    </row>
    <row r="3632" spans="2:7">
      <c r="B3632" s="118" t="s">
        <v>165</v>
      </c>
      <c r="C3632" s="119">
        <v>6005</v>
      </c>
      <c r="E3632" s="96" t="s">
        <v>813</v>
      </c>
      <c r="F3632" s="96" t="s">
        <v>163</v>
      </c>
      <c r="G3632" s="100">
        <v>1217</v>
      </c>
    </row>
    <row r="3633" spans="2:7">
      <c r="B3633" s="118" t="s">
        <v>1263</v>
      </c>
      <c r="C3633" s="119">
        <v>6010</v>
      </c>
      <c r="E3633" s="96" t="s">
        <v>814</v>
      </c>
      <c r="F3633" s="96" t="s">
        <v>163</v>
      </c>
      <c r="G3633" s="100">
        <v>1227</v>
      </c>
    </row>
    <row r="3634" spans="2:7">
      <c r="B3634" s="118" t="s">
        <v>1594</v>
      </c>
      <c r="C3634" s="119">
        <v>6012</v>
      </c>
      <c r="E3634" s="96" t="s">
        <v>815</v>
      </c>
      <c r="F3634" s="96" t="s">
        <v>163</v>
      </c>
      <c r="G3634" s="100">
        <v>1213</v>
      </c>
    </row>
    <row r="3635" spans="2:7">
      <c r="B3635" s="118" t="s">
        <v>3127</v>
      </c>
      <c r="C3635" s="119">
        <v>6013</v>
      </c>
      <c r="E3635" s="96" t="s">
        <v>816</v>
      </c>
      <c r="F3635" s="96" t="s">
        <v>163</v>
      </c>
      <c r="G3635" s="100">
        <v>1226</v>
      </c>
    </row>
    <row r="3636" spans="2:7">
      <c r="B3636" s="118" t="s">
        <v>1264</v>
      </c>
      <c r="C3636" s="119">
        <v>6048</v>
      </c>
      <c r="E3636" s="96" t="s">
        <v>817</v>
      </c>
      <c r="F3636" s="96" t="s">
        <v>163</v>
      </c>
      <c r="G3636" s="100">
        <v>1290</v>
      </c>
    </row>
    <row r="3637" spans="2:7">
      <c r="B3637" s="118" t="s">
        <v>165</v>
      </c>
      <c r="C3637" s="119">
        <v>6003</v>
      </c>
      <c r="E3637" s="96" t="s">
        <v>818</v>
      </c>
      <c r="F3637" s="96" t="s">
        <v>163</v>
      </c>
      <c r="G3637" s="100">
        <v>1218</v>
      </c>
    </row>
    <row r="3638" spans="2:7">
      <c r="B3638" s="118" t="s">
        <v>165</v>
      </c>
      <c r="C3638" s="119">
        <v>6004</v>
      </c>
      <c r="E3638" s="96" t="s">
        <v>819</v>
      </c>
      <c r="F3638" s="96" t="s">
        <v>163</v>
      </c>
      <c r="G3638" s="100">
        <v>1224</v>
      </c>
    </row>
    <row r="3639" spans="2:7">
      <c r="B3639" s="118" t="s">
        <v>165</v>
      </c>
      <c r="C3639" s="119">
        <v>6005</v>
      </c>
      <c r="E3639" s="96" t="s">
        <v>820</v>
      </c>
      <c r="F3639" s="96" t="s">
        <v>163</v>
      </c>
      <c r="G3639" s="100">
        <v>1255</v>
      </c>
    </row>
    <row r="3640" spans="2:7">
      <c r="B3640" s="118" t="s">
        <v>165</v>
      </c>
      <c r="C3640" s="119">
        <v>6006</v>
      </c>
      <c r="E3640" s="96" t="s">
        <v>821</v>
      </c>
      <c r="F3640" s="96" t="s">
        <v>163</v>
      </c>
      <c r="G3640" s="100">
        <v>1228</v>
      </c>
    </row>
    <row r="3641" spans="2:7">
      <c r="B3641" s="118" t="s">
        <v>165</v>
      </c>
      <c r="C3641" s="119">
        <v>6014</v>
      </c>
      <c r="E3641" s="96" t="s">
        <v>822</v>
      </c>
      <c r="F3641" s="96" t="s">
        <v>163</v>
      </c>
      <c r="G3641" s="100">
        <v>1233</v>
      </c>
    </row>
    <row r="3642" spans="2:7">
      <c r="B3642" s="118" t="s">
        <v>165</v>
      </c>
      <c r="C3642" s="119">
        <v>6015</v>
      </c>
      <c r="E3642" s="96" t="s">
        <v>823</v>
      </c>
      <c r="F3642" s="96" t="s">
        <v>163</v>
      </c>
      <c r="G3642" s="100">
        <v>1225</v>
      </c>
    </row>
    <row r="3643" spans="2:7">
      <c r="B3643" s="118" t="s">
        <v>3128</v>
      </c>
      <c r="C3643" s="119">
        <v>6016</v>
      </c>
      <c r="E3643" s="96" t="s">
        <v>824</v>
      </c>
      <c r="F3643" s="96" t="s">
        <v>163</v>
      </c>
      <c r="G3643" s="100">
        <v>1245</v>
      </c>
    </row>
    <row r="3644" spans="2:7">
      <c r="B3644" s="118" t="s">
        <v>1593</v>
      </c>
      <c r="C3644" s="119">
        <v>6020</v>
      </c>
      <c r="E3644" s="96" t="s">
        <v>825</v>
      </c>
      <c r="F3644" s="96" t="s">
        <v>163</v>
      </c>
      <c r="G3644" s="100">
        <v>1223</v>
      </c>
    </row>
    <row r="3645" spans="2:7">
      <c r="B3645" s="118" t="s">
        <v>3129</v>
      </c>
      <c r="C3645" s="119">
        <v>6365</v>
      </c>
      <c r="E3645" s="96" t="s">
        <v>826</v>
      </c>
      <c r="F3645" s="96" t="s">
        <v>163</v>
      </c>
      <c r="G3645" s="100">
        <v>1232</v>
      </c>
    </row>
    <row r="3646" spans="2:7">
      <c r="B3646" s="118" t="s">
        <v>165</v>
      </c>
      <c r="C3646" s="119">
        <v>6014</v>
      </c>
      <c r="E3646" s="96" t="s">
        <v>827</v>
      </c>
      <c r="F3646" s="96" t="s">
        <v>163</v>
      </c>
      <c r="G3646" s="100">
        <v>1242</v>
      </c>
    </row>
    <row r="3647" spans="2:7">
      <c r="B3647" s="118" t="s">
        <v>3128</v>
      </c>
      <c r="C3647" s="119">
        <v>6016</v>
      </c>
      <c r="E3647" s="96" t="s">
        <v>828</v>
      </c>
      <c r="F3647" s="96" t="s">
        <v>163</v>
      </c>
      <c r="G3647" s="100">
        <v>1292</v>
      </c>
    </row>
    <row r="3648" spans="2:7">
      <c r="B3648" s="118" t="s">
        <v>3130</v>
      </c>
      <c r="C3648" s="119">
        <v>6019</v>
      </c>
      <c r="E3648" s="96" t="s">
        <v>829</v>
      </c>
      <c r="F3648" s="96" t="s">
        <v>163</v>
      </c>
      <c r="G3648" s="100">
        <v>1293</v>
      </c>
    </row>
    <row r="3649" spans="2:7">
      <c r="B3649" s="118" t="s">
        <v>1270</v>
      </c>
      <c r="C3649" s="119">
        <v>6102</v>
      </c>
      <c r="E3649" s="96" t="s">
        <v>830</v>
      </c>
      <c r="F3649" s="96" t="s">
        <v>163</v>
      </c>
      <c r="G3649" s="100">
        <v>1258</v>
      </c>
    </row>
    <row r="3650" spans="2:7">
      <c r="B3650" s="118" t="s">
        <v>165</v>
      </c>
      <c r="C3650" s="119">
        <v>6006</v>
      </c>
      <c r="E3650" s="96" t="s">
        <v>831</v>
      </c>
      <c r="F3650" s="96" t="s">
        <v>163</v>
      </c>
      <c r="G3650" s="100">
        <v>1294</v>
      </c>
    </row>
    <row r="3651" spans="2:7">
      <c r="B3651" s="118" t="s">
        <v>1271</v>
      </c>
      <c r="C3651" s="119">
        <v>6045</v>
      </c>
      <c r="E3651" s="96" t="s">
        <v>832</v>
      </c>
      <c r="F3651" s="96" t="s">
        <v>163</v>
      </c>
      <c r="G3651" s="100">
        <v>1253</v>
      </c>
    </row>
    <row r="3652" spans="2:7">
      <c r="B3652" s="118" t="s">
        <v>1324</v>
      </c>
      <c r="C3652" s="119">
        <v>6344</v>
      </c>
      <c r="E3652" s="96" t="s">
        <v>833</v>
      </c>
      <c r="F3652" s="96" t="s">
        <v>163</v>
      </c>
      <c r="G3652" s="100">
        <v>1247</v>
      </c>
    </row>
    <row r="3653" spans="2:7">
      <c r="B3653" s="118" t="s">
        <v>3125</v>
      </c>
      <c r="C3653" s="119">
        <v>6035</v>
      </c>
      <c r="E3653" s="96" t="s">
        <v>834</v>
      </c>
      <c r="F3653" s="96" t="s">
        <v>163</v>
      </c>
      <c r="G3653" s="100">
        <v>1241</v>
      </c>
    </row>
    <row r="3654" spans="2:7">
      <c r="B3654" s="118" t="s">
        <v>1280</v>
      </c>
      <c r="C3654" s="119">
        <v>6037</v>
      </c>
      <c r="E3654" s="96" t="s">
        <v>835</v>
      </c>
      <c r="F3654" s="96" t="s">
        <v>163</v>
      </c>
      <c r="G3654" s="100">
        <v>1256</v>
      </c>
    </row>
    <row r="3655" spans="2:7">
      <c r="B3655" s="118" t="s">
        <v>1325</v>
      </c>
      <c r="C3655" s="119">
        <v>6038</v>
      </c>
      <c r="E3655" s="96" t="s">
        <v>836</v>
      </c>
      <c r="F3655" s="96" t="s">
        <v>163</v>
      </c>
      <c r="G3655" s="100">
        <v>1257</v>
      </c>
    </row>
    <row r="3656" spans="2:7">
      <c r="B3656" s="118" t="s">
        <v>3131</v>
      </c>
      <c r="C3656" s="119">
        <v>6039</v>
      </c>
      <c r="E3656" s="96" t="s">
        <v>837</v>
      </c>
      <c r="F3656" s="96" t="s">
        <v>163</v>
      </c>
      <c r="G3656" s="100">
        <v>1252</v>
      </c>
    </row>
    <row r="3657" spans="2:7">
      <c r="B3657" s="118" t="s">
        <v>1306</v>
      </c>
      <c r="C3657" s="119">
        <v>6044</v>
      </c>
      <c r="E3657" s="96" t="s">
        <v>838</v>
      </c>
      <c r="F3657" s="96" t="s">
        <v>163</v>
      </c>
      <c r="G3657" s="100">
        <v>1246</v>
      </c>
    </row>
    <row r="3658" spans="2:7">
      <c r="B3658" s="118" t="s">
        <v>3127</v>
      </c>
      <c r="C3658" s="119">
        <v>6013</v>
      </c>
      <c r="E3658" s="96" t="s">
        <v>839</v>
      </c>
      <c r="F3658" s="96" t="s">
        <v>163</v>
      </c>
      <c r="G3658" s="100">
        <v>1283</v>
      </c>
    </row>
    <row r="3659" spans="2:7">
      <c r="B3659" s="118" t="s">
        <v>3132</v>
      </c>
      <c r="C3659" s="119">
        <v>6103</v>
      </c>
      <c r="E3659" s="96" t="s">
        <v>840</v>
      </c>
      <c r="F3659" s="96" t="s">
        <v>163</v>
      </c>
      <c r="G3659" s="100">
        <v>1237</v>
      </c>
    </row>
    <row r="3660" spans="2:7">
      <c r="B3660" s="118" t="s">
        <v>1306</v>
      </c>
      <c r="C3660" s="119">
        <v>6044</v>
      </c>
      <c r="E3660" s="96" t="s">
        <v>841</v>
      </c>
      <c r="F3660" s="96" t="s">
        <v>163</v>
      </c>
      <c r="G3660" s="100">
        <v>1284</v>
      </c>
    </row>
    <row r="3661" spans="2:7">
      <c r="B3661" s="118" t="s">
        <v>1323</v>
      </c>
      <c r="C3661" s="119">
        <v>6354</v>
      </c>
      <c r="E3661" s="96" t="s">
        <v>842</v>
      </c>
      <c r="F3661" s="96" t="s">
        <v>163</v>
      </c>
      <c r="G3661" s="100">
        <v>1239</v>
      </c>
    </row>
    <row r="3662" spans="2:7">
      <c r="B3662" s="118" t="s">
        <v>3133</v>
      </c>
      <c r="C3662" s="119">
        <v>6356</v>
      </c>
      <c r="E3662" s="96" t="s">
        <v>843</v>
      </c>
      <c r="F3662" s="96" t="s">
        <v>163</v>
      </c>
      <c r="G3662" s="100">
        <v>1285</v>
      </c>
    </row>
    <row r="3663" spans="2:7">
      <c r="B3663" s="118" t="s">
        <v>1283</v>
      </c>
      <c r="C3663" s="119">
        <v>6353</v>
      </c>
      <c r="E3663" s="96" t="s">
        <v>844</v>
      </c>
      <c r="F3663" s="96" t="s">
        <v>163</v>
      </c>
      <c r="G3663" s="100">
        <v>1254</v>
      </c>
    </row>
    <row r="3664" spans="2:7">
      <c r="B3664" s="118" t="s">
        <v>1323</v>
      </c>
      <c r="C3664" s="119">
        <v>6354</v>
      </c>
      <c r="E3664" s="96" t="s">
        <v>845</v>
      </c>
      <c r="F3664" s="96" t="s">
        <v>163</v>
      </c>
      <c r="G3664" s="100">
        <v>1288</v>
      </c>
    </row>
    <row r="3665" spans="2:7">
      <c r="B3665" s="118" t="s">
        <v>3133</v>
      </c>
      <c r="C3665" s="119">
        <v>6356</v>
      </c>
      <c r="E3665" s="96" t="s">
        <v>846</v>
      </c>
      <c r="F3665" s="96" t="s">
        <v>163</v>
      </c>
      <c r="G3665" s="100">
        <v>1244</v>
      </c>
    </row>
    <row r="3666" spans="2:7">
      <c r="B3666" s="118" t="s">
        <v>3134</v>
      </c>
      <c r="C3666" s="119">
        <v>6025</v>
      </c>
      <c r="E3666" s="96" t="s">
        <v>847</v>
      </c>
      <c r="F3666" s="96" t="s">
        <v>163</v>
      </c>
      <c r="G3666" s="100">
        <v>1248</v>
      </c>
    </row>
    <row r="3667" spans="2:7">
      <c r="B3667" s="118" t="s">
        <v>3124</v>
      </c>
      <c r="C3667" s="119">
        <v>6028</v>
      </c>
      <c r="E3667" s="96" t="s">
        <v>848</v>
      </c>
      <c r="F3667" s="96" t="s">
        <v>163</v>
      </c>
      <c r="G3667" s="100">
        <v>1236</v>
      </c>
    </row>
    <row r="3668" spans="2:7">
      <c r="B3668" s="118" t="s">
        <v>1275</v>
      </c>
      <c r="C3668" s="119">
        <v>6215</v>
      </c>
      <c r="E3668" s="96" t="s">
        <v>849</v>
      </c>
      <c r="F3668" s="96" t="s">
        <v>163</v>
      </c>
      <c r="G3668" s="100">
        <v>1286</v>
      </c>
    </row>
    <row r="3669" spans="2:7">
      <c r="B3669" s="118" t="s">
        <v>3135</v>
      </c>
      <c r="C3669" s="119">
        <v>6215</v>
      </c>
      <c r="E3669" s="96" t="s">
        <v>850</v>
      </c>
      <c r="F3669" s="96" t="s">
        <v>163</v>
      </c>
      <c r="G3669" s="100">
        <v>1298</v>
      </c>
    </row>
    <row r="3670" spans="2:7">
      <c r="B3670" s="118" t="s">
        <v>3136</v>
      </c>
      <c r="C3670" s="119">
        <v>6221</v>
      </c>
      <c r="E3670" s="96" t="s">
        <v>851</v>
      </c>
      <c r="F3670" s="96" t="s">
        <v>163</v>
      </c>
      <c r="G3670" s="100">
        <v>1243</v>
      </c>
    </row>
    <row r="3671" spans="2:7">
      <c r="B3671" s="118" t="s">
        <v>3137</v>
      </c>
      <c r="C3671" s="119">
        <v>6222</v>
      </c>
      <c r="E3671" s="96" t="s">
        <v>852</v>
      </c>
      <c r="F3671" s="96" t="s">
        <v>163</v>
      </c>
      <c r="G3671" s="100">
        <v>1287</v>
      </c>
    </row>
    <row r="3672" spans="2:7">
      <c r="B3672" s="118" t="s">
        <v>1305</v>
      </c>
      <c r="C3672" s="119">
        <v>6233</v>
      </c>
      <c r="E3672" s="96" t="s">
        <v>853</v>
      </c>
      <c r="F3672" s="96" t="s">
        <v>163</v>
      </c>
      <c r="G3672" s="100">
        <v>1281</v>
      </c>
    </row>
    <row r="3673" spans="2:7">
      <c r="B3673" s="118" t="s">
        <v>1292</v>
      </c>
      <c r="C3673" s="119">
        <v>6018</v>
      </c>
      <c r="E3673" s="96" t="s">
        <v>854</v>
      </c>
      <c r="F3673" s="96" t="s">
        <v>163</v>
      </c>
      <c r="G3673" s="100">
        <v>1251</v>
      </c>
    </row>
    <row r="3674" spans="2:7">
      <c r="B3674" s="118" t="s">
        <v>1293</v>
      </c>
      <c r="C3674" s="119">
        <v>6022</v>
      </c>
      <c r="E3674" s="96" t="s">
        <v>855</v>
      </c>
      <c r="F3674" s="96" t="s">
        <v>173</v>
      </c>
      <c r="G3674" s="100">
        <v>1950</v>
      </c>
    </row>
    <row r="3675" spans="2:7">
      <c r="B3675" s="118" t="s">
        <v>1317</v>
      </c>
      <c r="C3675" s="119">
        <v>6205</v>
      </c>
      <c r="E3675" s="96" t="s">
        <v>856</v>
      </c>
      <c r="F3675" s="96" t="s">
        <v>173</v>
      </c>
      <c r="G3675" s="100">
        <v>1920</v>
      </c>
    </row>
    <row r="3676" spans="2:7">
      <c r="B3676" s="118" t="s">
        <v>1297</v>
      </c>
      <c r="C3676" s="119">
        <v>6214</v>
      </c>
      <c r="E3676" s="96" t="s">
        <v>857</v>
      </c>
      <c r="F3676" s="96" t="s">
        <v>173</v>
      </c>
      <c r="G3676" s="100">
        <v>1870</v>
      </c>
    </row>
    <row r="3677" spans="2:7">
      <c r="B3677" s="118" t="s">
        <v>1295</v>
      </c>
      <c r="C3677" s="119">
        <v>6232</v>
      </c>
      <c r="E3677" s="96" t="s">
        <v>858</v>
      </c>
      <c r="F3677" s="96" t="s">
        <v>173</v>
      </c>
      <c r="G3677" s="100">
        <v>3960</v>
      </c>
    </row>
    <row r="3678" spans="2:7">
      <c r="B3678" s="118" t="s">
        <v>1293</v>
      </c>
      <c r="C3678" s="119">
        <v>6022</v>
      </c>
      <c r="E3678" s="96" t="s">
        <v>859</v>
      </c>
      <c r="F3678" s="96" t="s">
        <v>173</v>
      </c>
      <c r="G3678" s="100">
        <v>3902</v>
      </c>
    </row>
    <row r="3679" spans="2:7">
      <c r="B3679" s="118" t="s">
        <v>1307</v>
      </c>
      <c r="C3679" s="119">
        <v>6024</v>
      </c>
      <c r="E3679" s="96" t="s">
        <v>860</v>
      </c>
      <c r="F3679" s="96" t="s">
        <v>173</v>
      </c>
      <c r="G3679" s="100">
        <v>3963</v>
      </c>
    </row>
    <row r="3680" spans="2:7">
      <c r="B3680" s="118" t="s">
        <v>3138</v>
      </c>
      <c r="C3680" s="119">
        <v>6212</v>
      </c>
      <c r="E3680" s="96" t="s">
        <v>861</v>
      </c>
      <c r="F3680" s="96" t="s">
        <v>173</v>
      </c>
      <c r="G3680" s="100">
        <v>3904</v>
      </c>
    </row>
    <row r="3681" spans="2:7">
      <c r="B3681" s="118" t="s">
        <v>1308</v>
      </c>
      <c r="C3681" s="119">
        <v>6213</v>
      </c>
      <c r="E3681" s="96" t="s">
        <v>862</v>
      </c>
      <c r="F3681" s="96" t="s">
        <v>173</v>
      </c>
      <c r="G3681" s="100">
        <v>1893</v>
      </c>
    </row>
    <row r="3682" spans="2:7">
      <c r="B3682" s="118" t="s">
        <v>1266</v>
      </c>
      <c r="C3682" s="119">
        <v>6210</v>
      </c>
      <c r="E3682" s="96" t="s">
        <v>863</v>
      </c>
      <c r="F3682" s="96" t="s">
        <v>173</v>
      </c>
      <c r="G3682" s="100">
        <v>1926</v>
      </c>
    </row>
    <row r="3683" spans="2:7">
      <c r="B3683" s="118" t="s">
        <v>3139</v>
      </c>
      <c r="C3683" s="119">
        <v>6212</v>
      </c>
      <c r="E3683" s="96" t="s">
        <v>864</v>
      </c>
      <c r="F3683" s="96" t="s">
        <v>173</v>
      </c>
      <c r="G3683" s="100">
        <v>1964</v>
      </c>
    </row>
    <row r="3684" spans="2:7">
      <c r="B3684" s="118" t="s">
        <v>1321</v>
      </c>
      <c r="C3684" s="119">
        <v>6216</v>
      </c>
      <c r="E3684" s="96" t="s">
        <v>865</v>
      </c>
      <c r="F3684" s="96" t="s">
        <v>173</v>
      </c>
      <c r="G3684" s="100">
        <v>1934</v>
      </c>
    </row>
    <row r="3685" spans="2:7">
      <c r="B3685" s="118" t="s">
        <v>1309</v>
      </c>
      <c r="C3685" s="119">
        <v>6242</v>
      </c>
      <c r="E3685" s="96" t="s">
        <v>866</v>
      </c>
      <c r="F3685" s="96" t="s">
        <v>173</v>
      </c>
      <c r="G3685" s="100">
        <v>3930</v>
      </c>
    </row>
    <row r="3686" spans="2:7">
      <c r="B3686" s="118" t="s">
        <v>3128</v>
      </c>
      <c r="C3686" s="119">
        <v>6016</v>
      </c>
      <c r="E3686" s="96" t="s">
        <v>867</v>
      </c>
      <c r="F3686" s="96" t="s">
        <v>173</v>
      </c>
      <c r="G3686" s="100">
        <v>1965</v>
      </c>
    </row>
    <row r="3687" spans="2:7">
      <c r="B3687" s="118" t="s">
        <v>1269</v>
      </c>
      <c r="C3687" s="119">
        <v>6023</v>
      </c>
      <c r="E3687" s="96" t="s">
        <v>868</v>
      </c>
      <c r="F3687" s="96" t="s">
        <v>173</v>
      </c>
      <c r="G3687" s="100">
        <v>1997</v>
      </c>
    </row>
    <row r="3688" spans="2:7">
      <c r="B3688" s="118" t="s">
        <v>1307</v>
      </c>
      <c r="C3688" s="119">
        <v>6024</v>
      </c>
      <c r="E3688" s="96" t="s">
        <v>869</v>
      </c>
      <c r="F3688" s="96" t="s">
        <v>173</v>
      </c>
      <c r="G3688" s="100">
        <v>1963</v>
      </c>
    </row>
    <row r="3689" spans="2:7">
      <c r="B3689" s="118" t="s">
        <v>3140</v>
      </c>
      <c r="C3689" s="119">
        <v>6203</v>
      </c>
      <c r="E3689" s="96" t="s">
        <v>870</v>
      </c>
      <c r="F3689" s="96" t="s">
        <v>173</v>
      </c>
      <c r="G3689" s="100">
        <v>1907</v>
      </c>
    </row>
    <row r="3690" spans="2:7">
      <c r="B3690" s="118" t="s">
        <v>1288</v>
      </c>
      <c r="C3690" s="119">
        <v>6204</v>
      </c>
      <c r="E3690" s="96" t="s">
        <v>871</v>
      </c>
      <c r="F3690" s="96" t="s">
        <v>173</v>
      </c>
      <c r="G3690" s="100">
        <v>3920</v>
      </c>
    </row>
    <row r="3691" spans="2:7">
      <c r="B3691" s="118" t="s">
        <v>1272</v>
      </c>
      <c r="C3691" s="119">
        <v>6206</v>
      </c>
      <c r="E3691" s="96" t="s">
        <v>872</v>
      </c>
      <c r="F3691" s="96" t="s">
        <v>173</v>
      </c>
      <c r="G3691" s="100">
        <v>1872</v>
      </c>
    </row>
    <row r="3692" spans="2:7">
      <c r="B3692" s="118" t="s">
        <v>1289</v>
      </c>
      <c r="C3692" s="119">
        <v>6207</v>
      </c>
      <c r="E3692" s="96" t="s">
        <v>873</v>
      </c>
      <c r="F3692" s="96" t="s">
        <v>173</v>
      </c>
      <c r="G3692" s="100">
        <v>1890</v>
      </c>
    </row>
    <row r="3693" spans="2:7">
      <c r="B3693" s="118" t="s">
        <v>1289</v>
      </c>
      <c r="C3693" s="119">
        <v>6207</v>
      </c>
      <c r="E3693" s="96" t="s">
        <v>874</v>
      </c>
      <c r="F3693" s="96" t="s">
        <v>173</v>
      </c>
      <c r="G3693" s="100">
        <v>1978</v>
      </c>
    </row>
    <row r="3694" spans="2:7">
      <c r="B3694" s="118" t="s">
        <v>1292</v>
      </c>
      <c r="C3694" s="119">
        <v>6018</v>
      </c>
      <c r="E3694" s="96" t="s">
        <v>875</v>
      </c>
      <c r="F3694" s="96" t="s">
        <v>173</v>
      </c>
      <c r="G3694" s="100">
        <v>1896</v>
      </c>
    </row>
    <row r="3695" spans="2:7">
      <c r="B3695" s="118" t="s">
        <v>1289</v>
      </c>
      <c r="C3695" s="119">
        <v>6207</v>
      </c>
      <c r="E3695" s="96" t="s">
        <v>876</v>
      </c>
      <c r="F3695" s="96" t="s">
        <v>173</v>
      </c>
      <c r="G3695" s="100">
        <v>1897</v>
      </c>
    </row>
    <row r="3696" spans="2:7">
      <c r="B3696" s="118" t="s">
        <v>3141</v>
      </c>
      <c r="C3696" s="119">
        <v>6208</v>
      </c>
      <c r="E3696" s="96" t="s">
        <v>877</v>
      </c>
      <c r="F3696" s="96" t="s">
        <v>173</v>
      </c>
      <c r="G3696" s="100">
        <v>1966</v>
      </c>
    </row>
    <row r="3697" spans="2:7">
      <c r="B3697" s="118" t="s">
        <v>1266</v>
      </c>
      <c r="C3697" s="119">
        <v>6210</v>
      </c>
      <c r="E3697" s="96" t="s">
        <v>878</v>
      </c>
      <c r="F3697" s="96" t="s">
        <v>173</v>
      </c>
      <c r="G3697" s="100">
        <v>3952</v>
      </c>
    </row>
    <row r="3698" spans="2:7">
      <c r="B3698" s="118" t="s">
        <v>1321</v>
      </c>
      <c r="C3698" s="119">
        <v>6216</v>
      </c>
      <c r="E3698" s="96" t="s">
        <v>879</v>
      </c>
      <c r="F3698" s="96" t="s">
        <v>173</v>
      </c>
      <c r="G3698" s="100">
        <v>1955</v>
      </c>
    </row>
    <row r="3699" spans="2:7">
      <c r="B3699" s="118" t="s">
        <v>3142</v>
      </c>
      <c r="C3699" s="119">
        <v>5735</v>
      </c>
      <c r="E3699" s="96" t="s">
        <v>880</v>
      </c>
      <c r="F3699" s="96" t="s">
        <v>173</v>
      </c>
      <c r="G3699" s="100">
        <v>3966</v>
      </c>
    </row>
    <row r="3700" spans="2:7">
      <c r="B3700" s="118" t="s">
        <v>3136</v>
      </c>
      <c r="C3700" s="119">
        <v>6221</v>
      </c>
      <c r="E3700" s="96" t="s">
        <v>881</v>
      </c>
      <c r="F3700" s="96" t="s">
        <v>173</v>
      </c>
      <c r="G3700" s="100">
        <v>1971</v>
      </c>
    </row>
    <row r="3701" spans="2:7">
      <c r="B3701" s="118" t="s">
        <v>3128</v>
      </c>
      <c r="C3701" s="119">
        <v>6016</v>
      </c>
      <c r="E3701" s="96" t="s">
        <v>882</v>
      </c>
      <c r="F3701" s="96" t="s">
        <v>173</v>
      </c>
      <c r="G3701" s="100">
        <v>1937</v>
      </c>
    </row>
    <row r="3702" spans="2:7">
      <c r="B3702" s="118" t="s">
        <v>1274</v>
      </c>
      <c r="C3702" s="119">
        <v>6017</v>
      </c>
      <c r="E3702" s="96" t="s">
        <v>883</v>
      </c>
      <c r="F3702" s="96" t="s">
        <v>173</v>
      </c>
      <c r="G3702" s="100">
        <v>1912</v>
      </c>
    </row>
    <row r="3703" spans="2:7">
      <c r="B3703" s="118" t="s">
        <v>1292</v>
      </c>
      <c r="C3703" s="119">
        <v>6018</v>
      </c>
      <c r="E3703" s="96" t="s">
        <v>884</v>
      </c>
      <c r="F3703" s="96" t="s">
        <v>173</v>
      </c>
      <c r="G3703" s="100">
        <v>1957</v>
      </c>
    </row>
    <row r="3704" spans="2:7">
      <c r="B3704" s="118" t="s">
        <v>3130</v>
      </c>
      <c r="C3704" s="119">
        <v>6019</v>
      </c>
      <c r="E3704" s="96" t="s">
        <v>885</v>
      </c>
      <c r="F3704" s="96" t="s">
        <v>173</v>
      </c>
      <c r="G3704" s="100">
        <v>1908</v>
      </c>
    </row>
    <row r="3705" spans="2:7">
      <c r="B3705" s="118" t="s">
        <v>3099</v>
      </c>
      <c r="C3705" s="119">
        <v>6105</v>
      </c>
      <c r="E3705" s="96" t="s">
        <v>886</v>
      </c>
      <c r="F3705" s="96" t="s">
        <v>173</v>
      </c>
      <c r="G3705" s="100">
        <v>3961</v>
      </c>
    </row>
    <row r="3706" spans="2:7">
      <c r="B3706" s="118" t="s">
        <v>1310</v>
      </c>
      <c r="C3706" s="119">
        <v>6106</v>
      </c>
      <c r="E3706" s="96" t="s">
        <v>887</v>
      </c>
      <c r="F3706" s="96" t="s">
        <v>173</v>
      </c>
      <c r="G3706" s="100">
        <v>1895</v>
      </c>
    </row>
    <row r="3707" spans="2:7">
      <c r="B3707" s="118" t="s">
        <v>1285</v>
      </c>
      <c r="C3707" s="119">
        <v>6110</v>
      </c>
      <c r="E3707" s="96" t="s">
        <v>888</v>
      </c>
      <c r="F3707" s="96" t="s">
        <v>173</v>
      </c>
      <c r="G3707" s="100">
        <v>1913</v>
      </c>
    </row>
    <row r="3708" spans="2:7">
      <c r="B3708" s="118" t="s">
        <v>1272</v>
      </c>
      <c r="C3708" s="119">
        <v>6206</v>
      </c>
      <c r="E3708" s="96" t="s">
        <v>889</v>
      </c>
      <c r="F3708" s="96" t="s">
        <v>173</v>
      </c>
      <c r="G3708" s="100">
        <v>3979</v>
      </c>
    </row>
    <row r="3709" spans="2:7">
      <c r="B3709" s="118" t="s">
        <v>1289</v>
      </c>
      <c r="C3709" s="119">
        <v>6207</v>
      </c>
      <c r="E3709" s="96" t="s">
        <v>890</v>
      </c>
      <c r="F3709" s="96" t="s">
        <v>173</v>
      </c>
      <c r="G3709" s="100">
        <v>1958</v>
      </c>
    </row>
    <row r="3710" spans="2:7">
      <c r="B3710" s="118" t="s">
        <v>1266</v>
      </c>
      <c r="C3710" s="119">
        <v>6210</v>
      </c>
      <c r="E3710" s="96" t="s">
        <v>891</v>
      </c>
      <c r="F3710" s="96" t="s">
        <v>173</v>
      </c>
      <c r="G3710" s="100">
        <v>1921</v>
      </c>
    </row>
    <row r="3711" spans="2:7">
      <c r="B3711" s="118" t="s">
        <v>1297</v>
      </c>
      <c r="C3711" s="119">
        <v>6214</v>
      </c>
      <c r="E3711" s="96" t="s">
        <v>892</v>
      </c>
      <c r="F3711" s="96" t="s">
        <v>173</v>
      </c>
      <c r="G3711" s="100">
        <v>3924</v>
      </c>
    </row>
    <row r="3712" spans="2:7">
      <c r="B3712" s="118" t="s">
        <v>3137</v>
      </c>
      <c r="C3712" s="119">
        <v>6222</v>
      </c>
      <c r="E3712" s="96" t="s">
        <v>893</v>
      </c>
      <c r="F3712" s="96" t="s">
        <v>173</v>
      </c>
      <c r="G3712" s="100">
        <v>3911</v>
      </c>
    </row>
    <row r="3713" spans="2:7">
      <c r="B3713" s="118" t="s">
        <v>1334</v>
      </c>
      <c r="C3713" s="119">
        <v>6231</v>
      </c>
      <c r="E3713" s="96" t="s">
        <v>894</v>
      </c>
      <c r="F3713" s="96" t="s">
        <v>173</v>
      </c>
      <c r="G3713" s="100">
        <v>1941</v>
      </c>
    </row>
    <row r="3714" spans="2:7">
      <c r="B3714" s="118" t="s">
        <v>1307</v>
      </c>
      <c r="C3714" s="119">
        <v>6024</v>
      </c>
      <c r="E3714" s="96" t="s">
        <v>895</v>
      </c>
      <c r="F3714" s="96" t="s">
        <v>173</v>
      </c>
      <c r="G3714" s="100">
        <v>3945</v>
      </c>
    </row>
    <row r="3715" spans="2:7">
      <c r="B3715" s="118" t="s">
        <v>1288</v>
      </c>
      <c r="C3715" s="119">
        <v>6204</v>
      </c>
      <c r="E3715" s="96" t="s">
        <v>896</v>
      </c>
      <c r="F3715" s="96" t="s">
        <v>173</v>
      </c>
      <c r="G3715" s="100">
        <v>3942</v>
      </c>
    </row>
    <row r="3716" spans="2:7">
      <c r="B3716" s="118" t="s">
        <v>1266</v>
      </c>
      <c r="C3716" s="119">
        <v>6210</v>
      </c>
      <c r="E3716" s="96" t="s">
        <v>897</v>
      </c>
      <c r="F3716" s="96" t="s">
        <v>173</v>
      </c>
      <c r="G3716" s="100">
        <v>1873</v>
      </c>
    </row>
    <row r="3717" spans="2:7">
      <c r="B3717" s="118" t="s">
        <v>1308</v>
      </c>
      <c r="C3717" s="119">
        <v>6213</v>
      </c>
      <c r="E3717" s="96" t="s">
        <v>898</v>
      </c>
      <c r="F3717" s="96" t="s">
        <v>173</v>
      </c>
      <c r="G3717" s="100">
        <v>1904</v>
      </c>
    </row>
    <row r="3718" spans="2:7">
      <c r="B3718" s="118" t="s">
        <v>1282</v>
      </c>
      <c r="C3718" s="119">
        <v>6234</v>
      </c>
      <c r="E3718" s="96" t="s">
        <v>899</v>
      </c>
      <c r="F3718" s="96" t="s">
        <v>173</v>
      </c>
      <c r="G3718" s="100">
        <v>3968</v>
      </c>
    </row>
    <row r="3719" spans="2:7">
      <c r="B3719" s="118" t="s">
        <v>3143</v>
      </c>
      <c r="C3719" s="119">
        <v>6234</v>
      </c>
      <c r="E3719" s="96" t="s">
        <v>900</v>
      </c>
      <c r="F3719" s="96" t="s">
        <v>173</v>
      </c>
      <c r="G3719" s="100">
        <v>1981</v>
      </c>
    </row>
    <row r="3720" spans="2:7">
      <c r="B3720" s="118" t="s">
        <v>3144</v>
      </c>
      <c r="C3720" s="119">
        <v>6235</v>
      </c>
      <c r="E3720" s="96" t="s">
        <v>901</v>
      </c>
      <c r="F3720" s="96" t="s">
        <v>173</v>
      </c>
      <c r="G3720" s="100">
        <v>1869</v>
      </c>
    </row>
    <row r="3721" spans="2:7">
      <c r="B3721" s="118" t="s">
        <v>3145</v>
      </c>
      <c r="C3721" s="119">
        <v>6236</v>
      </c>
      <c r="E3721" s="96" t="s">
        <v>902</v>
      </c>
      <c r="F3721" s="96" t="s">
        <v>173</v>
      </c>
      <c r="G3721" s="100">
        <v>1906</v>
      </c>
    </row>
    <row r="3722" spans="2:7">
      <c r="B3722" s="118" t="s">
        <v>1285</v>
      </c>
      <c r="C3722" s="119">
        <v>6110</v>
      </c>
      <c r="E3722" s="96" t="s">
        <v>903</v>
      </c>
      <c r="F3722" s="96" t="s">
        <v>173</v>
      </c>
      <c r="G3722" s="100">
        <v>1983</v>
      </c>
    </row>
    <row r="3723" spans="2:7">
      <c r="B3723" s="118" t="s">
        <v>3146</v>
      </c>
      <c r="C3723" s="119">
        <v>6114</v>
      </c>
      <c r="E3723" s="96" t="s">
        <v>904</v>
      </c>
      <c r="F3723" s="96" t="s">
        <v>173</v>
      </c>
      <c r="G3723" s="100">
        <v>3906</v>
      </c>
    </row>
    <row r="3724" spans="2:7">
      <c r="B3724" s="118" t="s">
        <v>1296</v>
      </c>
      <c r="C3724" s="119">
        <v>6122</v>
      </c>
      <c r="E3724" s="96" t="s">
        <v>905</v>
      </c>
      <c r="F3724" s="96" t="s">
        <v>173</v>
      </c>
      <c r="G3724" s="100">
        <v>3965</v>
      </c>
    </row>
    <row r="3725" spans="2:7">
      <c r="B3725" s="118" t="s">
        <v>1340</v>
      </c>
      <c r="C3725" s="119">
        <v>6248</v>
      </c>
      <c r="E3725" s="96" t="s">
        <v>906</v>
      </c>
      <c r="F3725" s="96" t="s">
        <v>173</v>
      </c>
      <c r="G3725" s="100">
        <v>3940</v>
      </c>
    </row>
    <row r="3726" spans="2:7">
      <c r="B3726" s="118" t="s">
        <v>1331</v>
      </c>
      <c r="C3726" s="119">
        <v>6147</v>
      </c>
      <c r="E3726" s="96" t="s">
        <v>907</v>
      </c>
      <c r="F3726" s="96" t="s">
        <v>173</v>
      </c>
      <c r="G3726" s="100">
        <v>3970</v>
      </c>
    </row>
    <row r="3727" spans="2:7">
      <c r="B3727" s="118" t="s">
        <v>3147</v>
      </c>
      <c r="C3727" s="119">
        <v>6144</v>
      </c>
      <c r="E3727" s="96" t="s">
        <v>908</v>
      </c>
      <c r="F3727" s="96" t="s">
        <v>173</v>
      </c>
      <c r="G3727" s="100">
        <v>3954</v>
      </c>
    </row>
    <row r="3728" spans="2:7">
      <c r="B3728" s="118" t="s">
        <v>1302</v>
      </c>
      <c r="C3728" s="119">
        <v>6244</v>
      </c>
      <c r="E3728" s="96" t="s">
        <v>909</v>
      </c>
      <c r="F3728" s="96" t="s">
        <v>173</v>
      </c>
      <c r="G3728" s="100">
        <v>1987</v>
      </c>
    </row>
    <row r="3729" spans="2:7">
      <c r="B3729" s="118" t="s">
        <v>1343</v>
      </c>
      <c r="C3729" s="119">
        <v>6245</v>
      </c>
      <c r="E3729" s="96" t="s">
        <v>910</v>
      </c>
      <c r="F3729" s="96" t="s">
        <v>173</v>
      </c>
      <c r="G3729" s="100">
        <v>1922</v>
      </c>
    </row>
    <row r="3730" spans="2:7">
      <c r="B3730" s="118" t="s">
        <v>1318</v>
      </c>
      <c r="C3730" s="119">
        <v>6246</v>
      </c>
      <c r="E3730" s="96" t="s">
        <v>911</v>
      </c>
      <c r="F3730" s="96" t="s">
        <v>173</v>
      </c>
      <c r="G3730" s="100">
        <v>3932</v>
      </c>
    </row>
    <row r="3731" spans="2:7">
      <c r="B3731" s="118" t="s">
        <v>1284</v>
      </c>
      <c r="C3731" s="119">
        <v>6247</v>
      </c>
      <c r="E3731" s="96" t="s">
        <v>912</v>
      </c>
      <c r="F3731" s="96" t="s">
        <v>173</v>
      </c>
      <c r="G3731" s="100">
        <v>3972</v>
      </c>
    </row>
    <row r="3732" spans="2:7">
      <c r="B3732" s="118" t="s">
        <v>3148</v>
      </c>
      <c r="C3732" s="119">
        <v>6263</v>
      </c>
      <c r="E3732" s="96" t="s">
        <v>913</v>
      </c>
      <c r="F3732" s="96" t="s">
        <v>173</v>
      </c>
      <c r="G3732" s="100">
        <v>1874</v>
      </c>
    </row>
    <row r="3733" spans="2:7">
      <c r="B3733" s="118" t="s">
        <v>3149</v>
      </c>
      <c r="C3733" s="119">
        <v>6211</v>
      </c>
      <c r="E3733" s="96" t="s">
        <v>914</v>
      </c>
      <c r="F3733" s="96" t="s">
        <v>173</v>
      </c>
      <c r="G3733" s="100">
        <v>3937</v>
      </c>
    </row>
    <row r="3734" spans="2:7">
      <c r="B3734" s="118" t="s">
        <v>3144</v>
      </c>
      <c r="C3734" s="119">
        <v>6235</v>
      </c>
      <c r="E3734" s="96" t="s">
        <v>915</v>
      </c>
      <c r="F3734" s="96" t="s">
        <v>173</v>
      </c>
      <c r="G3734" s="100">
        <v>3929</v>
      </c>
    </row>
    <row r="3735" spans="2:7">
      <c r="B3735" s="118" t="s">
        <v>1318</v>
      </c>
      <c r="C3735" s="119">
        <v>6246</v>
      </c>
      <c r="E3735" s="96" t="s">
        <v>916</v>
      </c>
      <c r="F3735" s="96" t="s">
        <v>173</v>
      </c>
      <c r="G3735" s="100">
        <v>3925</v>
      </c>
    </row>
    <row r="3736" spans="2:7">
      <c r="B3736" s="118" t="s">
        <v>1277</v>
      </c>
      <c r="C3736" s="119">
        <v>6252</v>
      </c>
      <c r="E3736" s="96" t="s">
        <v>917</v>
      </c>
      <c r="F3736" s="96" t="s">
        <v>173</v>
      </c>
      <c r="G3736" s="100">
        <v>3973</v>
      </c>
    </row>
    <row r="3737" spans="2:7">
      <c r="B3737" s="118" t="s">
        <v>3150</v>
      </c>
      <c r="C3737" s="119">
        <v>6253</v>
      </c>
      <c r="E3737" s="96" t="s">
        <v>918</v>
      </c>
      <c r="F3737" s="96" t="s">
        <v>173</v>
      </c>
      <c r="G3737" s="100">
        <v>1902</v>
      </c>
    </row>
    <row r="3738" spans="2:7">
      <c r="B3738" s="118" t="s">
        <v>3151</v>
      </c>
      <c r="C3738" s="119">
        <v>6260</v>
      </c>
      <c r="E3738" s="96" t="s">
        <v>919</v>
      </c>
      <c r="F3738" s="96" t="s">
        <v>173</v>
      </c>
      <c r="G3738" s="100">
        <v>1974</v>
      </c>
    </row>
    <row r="3739" spans="2:7">
      <c r="B3739" s="118" t="s">
        <v>1322</v>
      </c>
      <c r="C3739" s="119">
        <v>6243</v>
      </c>
      <c r="E3739" s="96" t="s">
        <v>920</v>
      </c>
      <c r="F3739" s="96" t="s">
        <v>173</v>
      </c>
      <c r="G3739" s="100">
        <v>3989</v>
      </c>
    </row>
    <row r="3740" spans="2:7">
      <c r="B3740" s="118" t="s">
        <v>1302</v>
      </c>
      <c r="C3740" s="119">
        <v>6244</v>
      </c>
      <c r="E3740" s="96" t="s">
        <v>921</v>
      </c>
      <c r="F3740" s="96" t="s">
        <v>173</v>
      </c>
      <c r="G3740" s="100">
        <v>3946</v>
      </c>
    </row>
    <row r="3741" spans="2:7">
      <c r="B3741" s="118" t="s">
        <v>1293</v>
      </c>
      <c r="C3741" s="119">
        <v>6022</v>
      </c>
      <c r="E3741" s="96" t="s">
        <v>922</v>
      </c>
      <c r="F3741" s="96" t="s">
        <v>173</v>
      </c>
      <c r="G3741" s="100">
        <v>3922</v>
      </c>
    </row>
    <row r="3742" spans="2:7">
      <c r="B3742" s="118" t="s">
        <v>3152</v>
      </c>
      <c r="C3742" s="119">
        <v>6217</v>
      </c>
      <c r="E3742" s="96" t="s">
        <v>923</v>
      </c>
      <c r="F3742" s="96" t="s">
        <v>173</v>
      </c>
      <c r="G3742" s="100">
        <v>1969</v>
      </c>
    </row>
    <row r="3743" spans="2:7">
      <c r="B3743" s="118" t="s">
        <v>1300</v>
      </c>
      <c r="C3743" s="119">
        <v>6218</v>
      </c>
      <c r="E3743" s="96" t="s">
        <v>924</v>
      </c>
      <c r="F3743" s="96" t="s">
        <v>173</v>
      </c>
      <c r="G3743" s="100">
        <v>1933</v>
      </c>
    </row>
    <row r="3744" spans="2:7">
      <c r="B3744" s="118" t="s">
        <v>1340</v>
      </c>
      <c r="C3744" s="119">
        <v>6248</v>
      </c>
      <c r="E3744" s="96" t="s">
        <v>925</v>
      </c>
      <c r="F3744" s="96" t="s">
        <v>173</v>
      </c>
      <c r="G3744" s="100">
        <v>3910</v>
      </c>
    </row>
    <row r="3745" spans="2:7">
      <c r="B3745" s="118" t="s">
        <v>3153</v>
      </c>
      <c r="C3745" s="119">
        <v>6145</v>
      </c>
      <c r="E3745" s="96" t="s">
        <v>926</v>
      </c>
      <c r="F3745" s="96" t="s">
        <v>173</v>
      </c>
      <c r="G3745" s="100">
        <v>3982</v>
      </c>
    </row>
    <row r="3746" spans="2:7">
      <c r="B3746" s="118" t="s">
        <v>3154</v>
      </c>
      <c r="C3746" s="119">
        <v>6152</v>
      </c>
      <c r="E3746" s="96" t="s">
        <v>927</v>
      </c>
      <c r="F3746" s="96" t="s">
        <v>173</v>
      </c>
      <c r="G3746" s="100">
        <v>1898</v>
      </c>
    </row>
    <row r="3747" spans="2:7">
      <c r="B3747" s="118" t="s">
        <v>1333</v>
      </c>
      <c r="C3747" s="119">
        <v>6153</v>
      </c>
      <c r="E3747" s="96" t="s">
        <v>928</v>
      </c>
      <c r="F3747" s="96" t="s">
        <v>173</v>
      </c>
      <c r="G3747" s="100">
        <v>1905</v>
      </c>
    </row>
    <row r="3748" spans="2:7">
      <c r="B3748" s="118" t="s">
        <v>3153</v>
      </c>
      <c r="C3748" s="119">
        <v>6145</v>
      </c>
      <c r="E3748" s="96" t="s">
        <v>929</v>
      </c>
      <c r="F3748" s="96" t="s">
        <v>173</v>
      </c>
      <c r="G3748" s="100">
        <v>3984</v>
      </c>
    </row>
    <row r="3749" spans="2:7">
      <c r="B3749" s="118" t="s">
        <v>1335</v>
      </c>
      <c r="C3749" s="119">
        <v>6146</v>
      </c>
      <c r="E3749" s="96" t="s">
        <v>930</v>
      </c>
      <c r="F3749" s="96" t="s">
        <v>173</v>
      </c>
      <c r="G3749" s="100">
        <v>3912</v>
      </c>
    </row>
    <row r="3750" spans="2:7">
      <c r="B3750" s="118" t="s">
        <v>1331</v>
      </c>
      <c r="C3750" s="119">
        <v>6147</v>
      </c>
      <c r="E3750" s="96" t="s">
        <v>931</v>
      </c>
      <c r="F3750" s="96" t="s">
        <v>173</v>
      </c>
      <c r="G3750" s="100">
        <v>1932</v>
      </c>
    </row>
    <row r="3751" spans="2:7">
      <c r="B3751" s="118" t="s">
        <v>1343</v>
      </c>
      <c r="C3751" s="119">
        <v>6245</v>
      </c>
      <c r="E3751" s="96" t="s">
        <v>932</v>
      </c>
      <c r="F3751" s="96" t="s">
        <v>173</v>
      </c>
      <c r="G3751" s="100">
        <v>1969</v>
      </c>
    </row>
    <row r="3752" spans="2:7">
      <c r="B3752" s="118" t="s">
        <v>3155</v>
      </c>
      <c r="C3752" s="119">
        <v>6125</v>
      </c>
      <c r="E3752" s="96" t="s">
        <v>933</v>
      </c>
      <c r="F3752" s="96" t="s">
        <v>173</v>
      </c>
      <c r="G3752" s="100">
        <v>1914</v>
      </c>
    </row>
    <row r="3753" spans="2:7">
      <c r="B3753" s="118" t="s">
        <v>1268</v>
      </c>
      <c r="C3753" s="119">
        <v>6130</v>
      </c>
      <c r="E3753" s="96" t="s">
        <v>934</v>
      </c>
      <c r="F3753" s="96" t="s">
        <v>173</v>
      </c>
      <c r="G3753" s="100">
        <v>1903</v>
      </c>
    </row>
    <row r="3754" spans="2:7">
      <c r="B3754" s="118" t="s">
        <v>3156</v>
      </c>
      <c r="C3754" s="119">
        <v>6132</v>
      </c>
      <c r="E3754" s="96" t="s">
        <v>935</v>
      </c>
      <c r="F3754" s="96" t="s">
        <v>173</v>
      </c>
      <c r="G3754" s="100">
        <v>1945</v>
      </c>
    </row>
    <row r="3755" spans="2:7">
      <c r="B3755" s="118" t="s">
        <v>1313</v>
      </c>
      <c r="C3755" s="119">
        <v>6133</v>
      </c>
      <c r="E3755" s="96" t="s">
        <v>936</v>
      </c>
      <c r="F3755" s="96" t="s">
        <v>173</v>
      </c>
      <c r="G3755" s="100">
        <v>3951</v>
      </c>
    </row>
    <row r="3756" spans="2:7">
      <c r="B3756" s="118" t="s">
        <v>1326</v>
      </c>
      <c r="C3756" s="119">
        <v>6156</v>
      </c>
      <c r="E3756" s="96" t="s">
        <v>937</v>
      </c>
      <c r="F3756" s="96" t="s">
        <v>173</v>
      </c>
      <c r="G3756" s="100">
        <v>1891</v>
      </c>
    </row>
    <row r="3757" spans="2:7">
      <c r="B3757" s="118" t="s">
        <v>2337</v>
      </c>
      <c r="C3757" s="119">
        <v>4952</v>
      </c>
      <c r="E3757" s="96" t="s">
        <v>938</v>
      </c>
      <c r="F3757" s="96" t="s">
        <v>173</v>
      </c>
      <c r="G3757" s="100">
        <v>3935</v>
      </c>
    </row>
    <row r="3758" spans="2:7">
      <c r="B3758" s="118" t="s">
        <v>1333</v>
      </c>
      <c r="C3758" s="119">
        <v>6153</v>
      </c>
      <c r="E3758" s="96" t="s">
        <v>939</v>
      </c>
      <c r="F3758" s="96" t="s">
        <v>173</v>
      </c>
      <c r="G3758" s="100">
        <v>3942</v>
      </c>
    </row>
    <row r="3759" spans="2:7">
      <c r="B3759" s="118" t="s">
        <v>3157</v>
      </c>
      <c r="C3759" s="119">
        <v>6154</v>
      </c>
      <c r="E3759" s="96" t="s">
        <v>940</v>
      </c>
      <c r="F3759" s="96" t="s">
        <v>173</v>
      </c>
      <c r="G3759" s="100">
        <v>3983</v>
      </c>
    </row>
    <row r="3760" spans="2:7">
      <c r="B3760" s="118" t="s">
        <v>1326</v>
      </c>
      <c r="C3760" s="119">
        <v>6156</v>
      </c>
      <c r="E3760" s="96" t="s">
        <v>941</v>
      </c>
      <c r="F3760" s="96" t="s">
        <v>173</v>
      </c>
      <c r="G3760" s="100">
        <v>3931</v>
      </c>
    </row>
    <row r="3761" spans="2:7">
      <c r="B3761" s="118" t="s">
        <v>3158</v>
      </c>
      <c r="C3761" s="119">
        <v>6156</v>
      </c>
      <c r="E3761" s="96" t="s">
        <v>942</v>
      </c>
      <c r="F3761" s="96" t="s">
        <v>173</v>
      </c>
      <c r="G3761" s="100">
        <v>3988</v>
      </c>
    </row>
    <row r="3762" spans="2:7">
      <c r="B3762" s="118" t="s">
        <v>1285</v>
      </c>
      <c r="C3762" s="119">
        <v>6110</v>
      </c>
      <c r="E3762" s="96" t="s">
        <v>943</v>
      </c>
      <c r="F3762" s="96" t="s">
        <v>173</v>
      </c>
      <c r="G3762" s="100">
        <v>3953</v>
      </c>
    </row>
    <row r="3763" spans="2:7">
      <c r="B3763" s="118" t="s">
        <v>1296</v>
      </c>
      <c r="C3763" s="119">
        <v>6122</v>
      </c>
      <c r="E3763" s="96" t="s">
        <v>944</v>
      </c>
      <c r="F3763" s="96" t="s">
        <v>173</v>
      </c>
      <c r="G3763" s="100">
        <v>3938</v>
      </c>
    </row>
    <row r="3764" spans="2:7">
      <c r="B3764" s="118" t="s">
        <v>3159</v>
      </c>
      <c r="C3764" s="119">
        <v>6123</v>
      </c>
      <c r="E3764" s="96" t="s">
        <v>945</v>
      </c>
      <c r="F3764" s="96" t="s">
        <v>173</v>
      </c>
      <c r="G3764" s="100">
        <v>1993</v>
      </c>
    </row>
    <row r="3765" spans="2:7">
      <c r="B3765" s="118" t="s">
        <v>3155</v>
      </c>
      <c r="C3765" s="119">
        <v>6125</v>
      </c>
      <c r="E3765" s="96" t="s">
        <v>946</v>
      </c>
      <c r="F3765" s="96" t="s">
        <v>173</v>
      </c>
      <c r="G3765" s="100">
        <v>3918</v>
      </c>
    </row>
    <row r="3766" spans="2:7">
      <c r="B3766" s="118" t="s">
        <v>1268</v>
      </c>
      <c r="C3766" s="119">
        <v>6130</v>
      </c>
      <c r="E3766" s="96" t="s">
        <v>947</v>
      </c>
      <c r="F3766" s="96" t="s">
        <v>173</v>
      </c>
      <c r="G3766" s="100">
        <v>1977</v>
      </c>
    </row>
    <row r="3767" spans="2:7">
      <c r="B3767" s="118" t="s">
        <v>1302</v>
      </c>
      <c r="C3767" s="119">
        <v>6244</v>
      </c>
      <c r="E3767" s="96" t="s">
        <v>948</v>
      </c>
      <c r="F3767" s="96" t="s">
        <v>173</v>
      </c>
      <c r="G3767" s="100">
        <v>3933</v>
      </c>
    </row>
    <row r="3768" spans="2:7">
      <c r="B3768" s="118" t="s">
        <v>3160</v>
      </c>
      <c r="C3768" s="119">
        <v>4915</v>
      </c>
      <c r="E3768" s="96" t="s">
        <v>949</v>
      </c>
      <c r="F3768" s="96" t="s">
        <v>173</v>
      </c>
      <c r="G3768" s="100">
        <v>3995</v>
      </c>
    </row>
    <row r="3769" spans="2:7">
      <c r="B3769" s="118" t="s">
        <v>1331</v>
      </c>
      <c r="C3769" s="119">
        <v>6147</v>
      </c>
      <c r="E3769" s="96" t="s">
        <v>950</v>
      </c>
      <c r="F3769" s="96" t="s">
        <v>173</v>
      </c>
      <c r="G3769" s="100">
        <v>3987</v>
      </c>
    </row>
    <row r="3770" spans="2:7">
      <c r="B3770" s="118" t="s">
        <v>1301</v>
      </c>
      <c r="C3770" s="119">
        <v>6264</v>
      </c>
      <c r="E3770" s="96" t="s">
        <v>951</v>
      </c>
      <c r="F3770" s="96" t="s">
        <v>173</v>
      </c>
      <c r="G3770" s="100">
        <v>3923</v>
      </c>
    </row>
    <row r="3771" spans="2:7">
      <c r="B3771" s="118" t="s">
        <v>1338</v>
      </c>
      <c r="C3771" s="119">
        <v>6265</v>
      </c>
      <c r="E3771" s="96" t="s">
        <v>952</v>
      </c>
      <c r="F3771" s="96" t="s">
        <v>173</v>
      </c>
      <c r="G3771" s="100">
        <v>3992</v>
      </c>
    </row>
    <row r="3772" spans="2:7">
      <c r="B3772" s="118" t="s">
        <v>1277</v>
      </c>
      <c r="C3772" s="119">
        <v>6252</v>
      </c>
      <c r="E3772" s="96" t="s">
        <v>953</v>
      </c>
      <c r="F3772" s="96" t="s">
        <v>173</v>
      </c>
      <c r="G3772" s="100">
        <v>3928</v>
      </c>
    </row>
    <row r="3773" spans="2:7">
      <c r="B3773" s="118" t="s">
        <v>1273</v>
      </c>
      <c r="C3773" s="119">
        <v>6260</v>
      </c>
      <c r="E3773" s="96" t="s">
        <v>954</v>
      </c>
      <c r="F3773" s="96" t="s">
        <v>173</v>
      </c>
      <c r="G3773" s="100">
        <v>3943</v>
      </c>
    </row>
    <row r="3774" spans="2:7">
      <c r="B3774" s="118" t="s">
        <v>3151</v>
      </c>
      <c r="C3774" s="119">
        <v>6260</v>
      </c>
      <c r="E3774" s="96" t="s">
        <v>955</v>
      </c>
      <c r="F3774" s="96" t="s">
        <v>173</v>
      </c>
      <c r="G3774" s="100">
        <v>3993</v>
      </c>
    </row>
    <row r="3775" spans="2:7">
      <c r="B3775" s="118" t="s">
        <v>3161</v>
      </c>
      <c r="C3775" s="119">
        <v>6260</v>
      </c>
      <c r="E3775" s="96" t="s">
        <v>956</v>
      </c>
      <c r="F3775" s="96" t="s">
        <v>173</v>
      </c>
      <c r="G3775" s="100">
        <v>3944</v>
      </c>
    </row>
    <row r="3776" spans="2:7">
      <c r="B3776" s="118" t="s">
        <v>3162</v>
      </c>
      <c r="C3776" s="119">
        <v>6260</v>
      </c>
      <c r="E3776" s="96" t="s">
        <v>957</v>
      </c>
      <c r="F3776" s="96" t="s">
        <v>173</v>
      </c>
      <c r="G3776" s="100">
        <v>3956</v>
      </c>
    </row>
    <row r="3777" spans="2:7">
      <c r="B3777" s="118" t="s">
        <v>3163</v>
      </c>
      <c r="C3777" s="119">
        <v>6262</v>
      </c>
      <c r="E3777" s="96" t="s">
        <v>958</v>
      </c>
      <c r="F3777" s="96" t="s">
        <v>173</v>
      </c>
      <c r="G3777" s="100">
        <v>3997</v>
      </c>
    </row>
    <row r="3778" spans="2:7">
      <c r="B3778" s="118" t="s">
        <v>3148</v>
      </c>
      <c r="C3778" s="119">
        <v>6263</v>
      </c>
      <c r="E3778" s="96" t="s">
        <v>959</v>
      </c>
      <c r="F3778" s="96" t="s">
        <v>173</v>
      </c>
      <c r="G3778" s="100">
        <v>1925</v>
      </c>
    </row>
    <row r="3779" spans="2:7">
      <c r="B3779" s="118" t="s">
        <v>1338</v>
      </c>
      <c r="C3779" s="119">
        <v>6265</v>
      </c>
      <c r="E3779" s="96" t="s">
        <v>960</v>
      </c>
      <c r="F3779" s="96" t="s">
        <v>173</v>
      </c>
      <c r="G3779" s="100">
        <v>3905</v>
      </c>
    </row>
    <row r="3780" spans="2:7">
      <c r="B3780" s="118" t="s">
        <v>3164</v>
      </c>
      <c r="C3780" s="119">
        <v>6143</v>
      </c>
      <c r="E3780" s="96" t="s">
        <v>961</v>
      </c>
      <c r="F3780" s="96" t="s">
        <v>173</v>
      </c>
      <c r="G3780" s="100">
        <v>3908</v>
      </c>
    </row>
    <row r="3781" spans="2:7">
      <c r="B3781" s="118" t="s">
        <v>1284</v>
      </c>
      <c r="C3781" s="119">
        <v>6247</v>
      </c>
      <c r="E3781" s="96" t="s">
        <v>962</v>
      </c>
      <c r="F3781" s="96" t="s">
        <v>173</v>
      </c>
      <c r="G3781" s="100">
        <v>3939</v>
      </c>
    </row>
    <row r="3782" spans="2:7">
      <c r="B3782" s="118" t="s">
        <v>2337</v>
      </c>
      <c r="C3782" s="119">
        <v>4952</v>
      </c>
      <c r="E3782" s="96" t="s">
        <v>963</v>
      </c>
      <c r="F3782" s="96" t="s">
        <v>173</v>
      </c>
      <c r="G3782" s="100">
        <v>3984</v>
      </c>
    </row>
    <row r="3783" spans="2:7">
      <c r="B3783" s="118" t="s">
        <v>2408</v>
      </c>
      <c r="C3783" s="119">
        <v>4955</v>
      </c>
      <c r="E3783" s="96" t="s">
        <v>964</v>
      </c>
      <c r="F3783" s="96" t="s">
        <v>173</v>
      </c>
      <c r="G3783" s="100">
        <v>3917</v>
      </c>
    </row>
    <row r="3784" spans="2:7">
      <c r="B3784" s="118" t="s">
        <v>1333</v>
      </c>
      <c r="C3784" s="119">
        <v>6153</v>
      </c>
      <c r="E3784" s="96" t="s">
        <v>965</v>
      </c>
      <c r="F3784" s="96" t="s">
        <v>173</v>
      </c>
      <c r="G3784" s="100">
        <v>3994</v>
      </c>
    </row>
    <row r="3785" spans="2:7">
      <c r="B3785" s="118" t="s">
        <v>1309</v>
      </c>
      <c r="C3785" s="119">
        <v>6242</v>
      </c>
      <c r="E3785" s="96" t="s">
        <v>966</v>
      </c>
      <c r="F3785" s="96" t="s">
        <v>173</v>
      </c>
      <c r="G3785" s="100">
        <v>3907</v>
      </c>
    </row>
    <row r="3786" spans="2:7">
      <c r="B3786" s="118" t="s">
        <v>1319</v>
      </c>
      <c r="C3786" s="119">
        <v>4806</v>
      </c>
      <c r="E3786" s="96" t="s">
        <v>967</v>
      </c>
      <c r="F3786" s="96" t="s">
        <v>173</v>
      </c>
      <c r="G3786" s="100">
        <v>3926</v>
      </c>
    </row>
    <row r="3787" spans="2:7">
      <c r="B3787" s="118" t="s">
        <v>3151</v>
      </c>
      <c r="C3787" s="119">
        <v>6260</v>
      </c>
      <c r="E3787" s="96" t="s">
        <v>968</v>
      </c>
      <c r="F3787" s="96" t="s">
        <v>173</v>
      </c>
      <c r="G3787" s="100">
        <v>3919</v>
      </c>
    </row>
    <row r="3788" spans="2:7">
      <c r="B3788" s="118" t="s">
        <v>3161</v>
      </c>
      <c r="C3788" s="119">
        <v>6260</v>
      </c>
      <c r="E3788" s="96" t="s">
        <v>969</v>
      </c>
      <c r="F3788" s="96" t="s">
        <v>173</v>
      </c>
      <c r="G3788" s="100">
        <v>3934</v>
      </c>
    </row>
    <row r="3789" spans="2:7">
      <c r="B3789" s="118" t="s">
        <v>3147</v>
      </c>
      <c r="C3789" s="119">
        <v>6144</v>
      </c>
      <c r="E3789" s="96" t="s">
        <v>970</v>
      </c>
      <c r="F3789" s="96" t="s">
        <v>173</v>
      </c>
      <c r="G3789" s="100">
        <v>3916</v>
      </c>
    </row>
    <row r="3790" spans="2:7">
      <c r="B3790" s="118" t="s">
        <v>3154</v>
      </c>
      <c r="C3790" s="119">
        <v>6152</v>
      </c>
      <c r="E3790" s="96" t="s">
        <v>971</v>
      </c>
      <c r="F3790" s="96" t="s">
        <v>173</v>
      </c>
      <c r="G3790" s="100">
        <v>3955</v>
      </c>
    </row>
    <row r="3791" spans="2:7">
      <c r="B3791" s="118" t="s">
        <v>1333</v>
      </c>
      <c r="C3791" s="119">
        <v>6153</v>
      </c>
      <c r="E3791" s="96" t="s">
        <v>972</v>
      </c>
      <c r="F3791" s="96" t="s">
        <v>173</v>
      </c>
      <c r="G3791" s="100">
        <v>3932</v>
      </c>
    </row>
    <row r="3792" spans="2:7">
      <c r="B3792" s="118" t="s">
        <v>1296</v>
      </c>
      <c r="C3792" s="119">
        <v>6122</v>
      </c>
      <c r="E3792" s="96" t="s">
        <v>973</v>
      </c>
      <c r="F3792" s="96" t="s">
        <v>173</v>
      </c>
      <c r="G3792" s="100">
        <v>3947</v>
      </c>
    </row>
    <row r="3793" spans="2:7">
      <c r="B3793" s="118" t="s">
        <v>3155</v>
      </c>
      <c r="C3793" s="119">
        <v>6125</v>
      </c>
      <c r="E3793" s="96" t="s">
        <v>974</v>
      </c>
      <c r="F3793" s="96" t="s">
        <v>173</v>
      </c>
      <c r="G3793" s="100">
        <v>1929</v>
      </c>
    </row>
    <row r="3794" spans="2:7">
      <c r="B3794" s="118" t="s">
        <v>3165</v>
      </c>
      <c r="C3794" s="119">
        <v>6126</v>
      </c>
      <c r="E3794" s="96" t="s">
        <v>975</v>
      </c>
      <c r="F3794" s="96" t="s">
        <v>173</v>
      </c>
      <c r="G3794" s="100">
        <v>1946</v>
      </c>
    </row>
    <row r="3795" spans="2:7">
      <c r="B3795" s="118" t="s">
        <v>1268</v>
      </c>
      <c r="C3795" s="119">
        <v>6130</v>
      </c>
      <c r="E3795" s="96" t="s">
        <v>976</v>
      </c>
      <c r="F3795" s="96" t="s">
        <v>173</v>
      </c>
      <c r="G3795" s="100">
        <v>3996</v>
      </c>
    </row>
    <row r="3796" spans="2:7">
      <c r="B3796" s="118" t="s">
        <v>3156</v>
      </c>
      <c r="C3796" s="119">
        <v>6132</v>
      </c>
      <c r="E3796" s="96" t="s">
        <v>977</v>
      </c>
      <c r="F3796" s="96" t="s">
        <v>173</v>
      </c>
      <c r="G3796" s="100">
        <v>3948</v>
      </c>
    </row>
    <row r="3797" spans="2:7">
      <c r="B3797" s="118" t="s">
        <v>1313</v>
      </c>
      <c r="C3797" s="119">
        <v>6133</v>
      </c>
      <c r="E3797" s="96" t="s">
        <v>978</v>
      </c>
      <c r="F3797" s="96" t="s">
        <v>173</v>
      </c>
      <c r="G3797" s="100">
        <v>3953</v>
      </c>
    </row>
    <row r="3798" spans="2:7">
      <c r="B3798" s="118" t="s">
        <v>1328</v>
      </c>
      <c r="C3798" s="119">
        <v>6142</v>
      </c>
      <c r="E3798" s="96" t="s">
        <v>979</v>
      </c>
      <c r="F3798" s="96" t="s">
        <v>173</v>
      </c>
      <c r="G3798" s="100">
        <v>3907</v>
      </c>
    </row>
    <row r="3799" spans="2:7">
      <c r="B3799" s="118" t="s">
        <v>3164</v>
      </c>
      <c r="C3799" s="119">
        <v>6143</v>
      </c>
      <c r="E3799" s="96" t="s">
        <v>980</v>
      </c>
      <c r="F3799" s="96" t="s">
        <v>173</v>
      </c>
      <c r="G3799" s="100">
        <v>3983</v>
      </c>
    </row>
    <row r="3800" spans="2:7">
      <c r="B3800" s="118" t="s">
        <v>3147</v>
      </c>
      <c r="C3800" s="119">
        <v>6144</v>
      </c>
      <c r="E3800" s="96" t="s">
        <v>981</v>
      </c>
      <c r="F3800" s="96" t="s">
        <v>177</v>
      </c>
      <c r="G3800" s="100">
        <v>2800</v>
      </c>
    </row>
    <row r="3801" spans="2:7">
      <c r="B3801" s="118" t="s">
        <v>3157</v>
      </c>
      <c r="C3801" s="119">
        <v>6154</v>
      </c>
      <c r="E3801" s="96" t="s">
        <v>982</v>
      </c>
      <c r="F3801" s="96" t="s">
        <v>177</v>
      </c>
      <c r="G3801" s="100">
        <v>2863</v>
      </c>
    </row>
    <row r="3802" spans="2:7">
      <c r="B3802" s="118" t="s">
        <v>1326</v>
      </c>
      <c r="C3802" s="119">
        <v>6156</v>
      </c>
      <c r="E3802" s="96" t="s">
        <v>983</v>
      </c>
      <c r="F3802" s="96" t="s">
        <v>177</v>
      </c>
      <c r="G3802" s="100">
        <v>2900</v>
      </c>
    </row>
    <row r="3803" spans="2:7">
      <c r="B3803" s="118" t="s">
        <v>1340</v>
      </c>
      <c r="C3803" s="119">
        <v>6248</v>
      </c>
      <c r="E3803" s="96" t="s">
        <v>984</v>
      </c>
      <c r="F3803" s="96" t="s">
        <v>177</v>
      </c>
      <c r="G3803" s="100">
        <v>2830</v>
      </c>
    </row>
    <row r="3804" spans="2:7">
      <c r="B3804" s="118" t="s">
        <v>3166</v>
      </c>
      <c r="C3804" s="119">
        <v>6460</v>
      </c>
      <c r="E3804" s="96" t="s">
        <v>985</v>
      </c>
      <c r="F3804" s="96" t="s">
        <v>177</v>
      </c>
      <c r="G3804" s="100">
        <v>2822</v>
      </c>
    </row>
    <row r="3805" spans="2:7">
      <c r="B3805" s="118" t="s">
        <v>1993</v>
      </c>
      <c r="C3805" s="119">
        <v>6490</v>
      </c>
      <c r="E3805" s="96" t="s">
        <v>986</v>
      </c>
      <c r="F3805" s="96" t="s">
        <v>177</v>
      </c>
      <c r="G3805" s="100">
        <v>2824</v>
      </c>
    </row>
    <row r="3806" spans="2:7">
      <c r="B3806" s="118" t="s">
        <v>2021</v>
      </c>
      <c r="C3806" s="119">
        <v>6390</v>
      </c>
      <c r="E3806" s="96" t="s">
        <v>987</v>
      </c>
      <c r="F3806" s="96" t="s">
        <v>177</v>
      </c>
      <c r="G3806" s="100">
        <v>2852</v>
      </c>
    </row>
    <row r="3807" spans="2:7">
      <c r="B3807" s="118" t="s">
        <v>2619</v>
      </c>
      <c r="C3807" s="119">
        <v>6468</v>
      </c>
      <c r="E3807" s="96" t="s">
        <v>988</v>
      </c>
      <c r="F3807" s="96" t="s">
        <v>177</v>
      </c>
      <c r="G3807" s="100">
        <v>2350</v>
      </c>
    </row>
    <row r="3808" spans="2:7">
      <c r="B3808" s="118" t="s">
        <v>1413</v>
      </c>
      <c r="C3808" s="119">
        <v>6436</v>
      </c>
      <c r="E3808" s="96" t="s">
        <v>989</v>
      </c>
      <c r="F3808" s="96" t="s">
        <v>177</v>
      </c>
      <c r="G3808" s="100">
        <v>2950</v>
      </c>
    </row>
    <row r="3809" spans="2:7">
      <c r="B3809" s="118" t="s">
        <v>3167</v>
      </c>
      <c r="C3809" s="119">
        <v>6436</v>
      </c>
      <c r="E3809" s="96" t="s">
        <v>990</v>
      </c>
      <c r="F3809" s="96" t="s">
        <v>177</v>
      </c>
      <c r="G3809" s="100">
        <v>2340</v>
      </c>
    </row>
    <row r="3810" spans="2:7">
      <c r="B3810" s="118" t="s">
        <v>3166</v>
      </c>
      <c r="C3810" s="119">
        <v>6460</v>
      </c>
      <c r="E3810" s="96" t="s">
        <v>991</v>
      </c>
      <c r="F3810" s="96" t="s">
        <v>177</v>
      </c>
      <c r="G3810" s="100">
        <v>2942</v>
      </c>
    </row>
    <row r="3811" spans="2:7">
      <c r="B3811" s="118" t="s">
        <v>3168</v>
      </c>
      <c r="C3811" s="119">
        <v>6463</v>
      </c>
      <c r="E3811" s="96" t="s">
        <v>992</v>
      </c>
      <c r="F3811" s="96" t="s">
        <v>177</v>
      </c>
      <c r="G3811" s="100">
        <v>2902</v>
      </c>
    </row>
    <row r="3812" spans="2:7">
      <c r="B3812" s="118" t="s">
        <v>2624</v>
      </c>
      <c r="C3812" s="119">
        <v>6464</v>
      </c>
      <c r="E3812" s="96" t="s">
        <v>993</v>
      </c>
      <c r="F3812" s="96" t="s">
        <v>177</v>
      </c>
      <c r="G3812" s="100">
        <v>2345</v>
      </c>
    </row>
    <row r="3813" spans="2:7">
      <c r="B3813" s="118" t="s">
        <v>3169</v>
      </c>
      <c r="C3813" s="119">
        <v>6469</v>
      </c>
      <c r="E3813" s="96" t="s">
        <v>994</v>
      </c>
      <c r="F3813" s="96" t="s">
        <v>177</v>
      </c>
      <c r="G3813" s="100">
        <v>2802</v>
      </c>
    </row>
    <row r="3814" spans="2:7">
      <c r="B3814" s="118" t="s">
        <v>1988</v>
      </c>
      <c r="C3814" s="119">
        <v>6472</v>
      </c>
      <c r="E3814" s="96" t="s">
        <v>995</v>
      </c>
      <c r="F3814" s="96" t="s">
        <v>177</v>
      </c>
      <c r="G3814" s="100">
        <v>2882</v>
      </c>
    </row>
    <row r="3815" spans="2:7">
      <c r="B3815" s="118" t="s">
        <v>1990</v>
      </c>
      <c r="C3815" s="119">
        <v>6454</v>
      </c>
      <c r="E3815" s="96" t="s">
        <v>996</v>
      </c>
      <c r="F3815" s="96" t="s">
        <v>177</v>
      </c>
      <c r="G3815" s="100">
        <v>2336</v>
      </c>
    </row>
    <row r="3816" spans="2:7">
      <c r="B3816" s="118" t="s">
        <v>3166</v>
      </c>
      <c r="C3816" s="119">
        <v>6460</v>
      </c>
      <c r="E3816" s="96" t="s">
        <v>997</v>
      </c>
      <c r="F3816" s="96" t="s">
        <v>177</v>
      </c>
      <c r="G3816" s="100">
        <v>2930</v>
      </c>
    </row>
    <row r="3817" spans="2:7">
      <c r="B3817" s="118" t="s">
        <v>2622</v>
      </c>
      <c r="C3817" s="119">
        <v>6487</v>
      </c>
      <c r="E3817" s="96" t="s">
        <v>998</v>
      </c>
      <c r="F3817" s="96" t="s">
        <v>177</v>
      </c>
      <c r="G3817" s="100">
        <v>2926</v>
      </c>
    </row>
    <row r="3818" spans="2:7">
      <c r="B3818" s="118" t="s">
        <v>1989</v>
      </c>
      <c r="C3818" s="119">
        <v>6473</v>
      </c>
      <c r="E3818" s="96" t="s">
        <v>999</v>
      </c>
      <c r="F3818" s="96" t="s">
        <v>177</v>
      </c>
      <c r="G3818" s="100">
        <v>2944</v>
      </c>
    </row>
    <row r="3819" spans="2:7">
      <c r="B3819" s="118" t="s">
        <v>3170</v>
      </c>
      <c r="C3819" s="119">
        <v>6474</v>
      </c>
      <c r="E3819" s="96" t="s">
        <v>1000</v>
      </c>
      <c r="F3819" s="96" t="s">
        <v>177</v>
      </c>
      <c r="G3819" s="100">
        <v>2905</v>
      </c>
    </row>
    <row r="3820" spans="2:7">
      <c r="B3820" s="118" t="s">
        <v>3171</v>
      </c>
      <c r="C3820" s="119">
        <v>6476</v>
      </c>
      <c r="E3820" s="96" t="s">
        <v>1001</v>
      </c>
      <c r="F3820" s="96" t="s">
        <v>177</v>
      </c>
      <c r="G3820" s="100">
        <v>2952</v>
      </c>
    </row>
    <row r="3821" spans="2:7">
      <c r="B3821" s="118" t="s">
        <v>2621</v>
      </c>
      <c r="C3821" s="119">
        <v>6482</v>
      </c>
      <c r="E3821" s="96" t="s">
        <v>1002</v>
      </c>
      <c r="F3821" s="96" t="s">
        <v>177</v>
      </c>
      <c r="G3821" s="100">
        <v>2856</v>
      </c>
    </row>
    <row r="3822" spans="2:7">
      <c r="B3822" s="118" t="s">
        <v>2002</v>
      </c>
      <c r="C3822" s="119">
        <v>6493</v>
      </c>
      <c r="E3822" s="96" t="s">
        <v>1003</v>
      </c>
      <c r="F3822" s="96" t="s">
        <v>177</v>
      </c>
      <c r="G3822" s="100">
        <v>2905</v>
      </c>
    </row>
    <row r="3823" spans="2:7">
      <c r="B3823" s="118" t="s">
        <v>2623</v>
      </c>
      <c r="C3823" s="119">
        <v>6461</v>
      </c>
      <c r="E3823" s="96" t="s">
        <v>1004</v>
      </c>
      <c r="F3823" s="96" t="s">
        <v>177</v>
      </c>
      <c r="G3823" s="100">
        <v>2932</v>
      </c>
    </row>
    <row r="3824" spans="2:7">
      <c r="B3824" s="118" t="s">
        <v>2004</v>
      </c>
      <c r="C3824" s="119">
        <v>6491</v>
      </c>
      <c r="E3824" s="96" t="s">
        <v>1005</v>
      </c>
      <c r="F3824" s="96" t="s">
        <v>177</v>
      </c>
      <c r="G3824" s="100">
        <v>2718</v>
      </c>
    </row>
    <row r="3825" spans="2:7">
      <c r="B3825" s="118" t="s">
        <v>1986</v>
      </c>
      <c r="C3825" s="119">
        <v>6467</v>
      </c>
      <c r="E3825" s="96" t="s">
        <v>1006</v>
      </c>
      <c r="F3825" s="96" t="s">
        <v>177</v>
      </c>
      <c r="G3825" s="100">
        <v>2944</v>
      </c>
    </row>
    <row r="3826" spans="2:7">
      <c r="B3826" s="118" t="s">
        <v>3169</v>
      </c>
      <c r="C3826" s="119">
        <v>6469</v>
      </c>
      <c r="E3826" s="96" t="s">
        <v>1007</v>
      </c>
      <c r="F3826" s="96" t="s">
        <v>177</v>
      </c>
      <c r="G3826" s="100">
        <v>2915</v>
      </c>
    </row>
    <row r="3827" spans="2:7">
      <c r="B3827" s="118" t="s">
        <v>3172</v>
      </c>
      <c r="C3827" s="119">
        <v>6462</v>
      </c>
      <c r="E3827" s="96" t="s">
        <v>1008</v>
      </c>
      <c r="F3827" s="96" t="s">
        <v>177</v>
      </c>
      <c r="G3827" s="100">
        <v>2842</v>
      </c>
    </row>
    <row r="3828" spans="2:7">
      <c r="B3828" s="118" t="s">
        <v>2003</v>
      </c>
      <c r="C3828" s="119">
        <v>6466</v>
      </c>
      <c r="E3828" s="96" t="s">
        <v>1009</v>
      </c>
      <c r="F3828" s="96" t="s">
        <v>177</v>
      </c>
      <c r="G3828" s="100">
        <v>2875</v>
      </c>
    </row>
    <row r="3829" spans="2:7">
      <c r="B3829" s="118" t="s">
        <v>1996</v>
      </c>
      <c r="C3829" s="119">
        <v>6377</v>
      </c>
      <c r="E3829" s="96" t="s">
        <v>1010</v>
      </c>
      <c r="F3829" s="96" t="s">
        <v>177</v>
      </c>
      <c r="G3829" s="100">
        <v>2943</v>
      </c>
    </row>
    <row r="3830" spans="2:7">
      <c r="B3830" s="118" t="s">
        <v>3173</v>
      </c>
      <c r="C3830" s="119">
        <v>6441</v>
      </c>
      <c r="E3830" s="96" t="s">
        <v>1011</v>
      </c>
      <c r="F3830" s="96" t="s">
        <v>177</v>
      </c>
      <c r="G3830" s="100">
        <v>2714</v>
      </c>
    </row>
    <row r="3831" spans="2:7">
      <c r="B3831" s="118" t="s">
        <v>1988</v>
      </c>
      <c r="C3831" s="119">
        <v>6472</v>
      </c>
      <c r="E3831" s="96" t="s">
        <v>1012</v>
      </c>
      <c r="F3831" s="96" t="s">
        <v>177</v>
      </c>
      <c r="G3831" s="100">
        <v>2338</v>
      </c>
    </row>
    <row r="3832" spans="2:7">
      <c r="B3832" s="118" t="s">
        <v>1989</v>
      </c>
      <c r="C3832" s="119">
        <v>6473</v>
      </c>
      <c r="E3832" s="96" t="s">
        <v>1013</v>
      </c>
      <c r="F3832" s="96" t="s">
        <v>177</v>
      </c>
      <c r="G3832" s="100">
        <v>2827</v>
      </c>
    </row>
    <row r="3833" spans="2:7">
      <c r="B3833" s="118" t="s">
        <v>3170</v>
      </c>
      <c r="C3833" s="119">
        <v>6474</v>
      </c>
      <c r="E3833" s="96" t="s">
        <v>1014</v>
      </c>
      <c r="F3833" s="96" t="s">
        <v>177</v>
      </c>
      <c r="G3833" s="100">
        <v>2843</v>
      </c>
    </row>
    <row r="3834" spans="2:7">
      <c r="B3834" s="118" t="s">
        <v>3174</v>
      </c>
      <c r="C3834" s="119">
        <v>6475</v>
      </c>
      <c r="E3834" s="96" t="s">
        <v>1015</v>
      </c>
      <c r="F3834" s="96" t="s">
        <v>177</v>
      </c>
      <c r="G3834" s="100">
        <v>2805</v>
      </c>
    </row>
    <row r="3835" spans="2:7">
      <c r="B3835" s="118" t="s">
        <v>3171</v>
      </c>
      <c r="C3835" s="119">
        <v>6476</v>
      </c>
      <c r="E3835" s="96" t="s">
        <v>1016</v>
      </c>
      <c r="F3835" s="96" t="s">
        <v>177</v>
      </c>
      <c r="G3835" s="100">
        <v>2825</v>
      </c>
    </row>
    <row r="3836" spans="2:7">
      <c r="B3836" s="118" t="s">
        <v>2001</v>
      </c>
      <c r="C3836" s="119">
        <v>6452</v>
      </c>
      <c r="E3836" s="96" t="s">
        <v>1017</v>
      </c>
      <c r="F3836" s="96" t="s">
        <v>177</v>
      </c>
      <c r="G3836" s="100">
        <v>2812</v>
      </c>
    </row>
    <row r="3837" spans="2:7">
      <c r="B3837" s="118" t="s">
        <v>1428</v>
      </c>
      <c r="C3837" s="119">
        <v>6452</v>
      </c>
      <c r="E3837" s="96" t="s">
        <v>1018</v>
      </c>
      <c r="F3837" s="96" t="s">
        <v>177</v>
      </c>
      <c r="G3837" s="100">
        <v>2826</v>
      </c>
    </row>
    <row r="3838" spans="2:7">
      <c r="B3838" s="118" t="s">
        <v>2624</v>
      </c>
      <c r="C3838" s="119">
        <v>6464</v>
      </c>
      <c r="E3838" s="96" t="s">
        <v>1019</v>
      </c>
      <c r="F3838" s="96" t="s">
        <v>177</v>
      </c>
      <c r="G3838" s="100">
        <v>2916</v>
      </c>
    </row>
    <row r="3839" spans="2:7">
      <c r="B3839" s="118" t="s">
        <v>3175</v>
      </c>
      <c r="C3839" s="119">
        <v>8751</v>
      </c>
      <c r="E3839" s="96" t="s">
        <v>1020</v>
      </c>
      <c r="F3839" s="96" t="s">
        <v>177</v>
      </c>
      <c r="G3839" s="100">
        <v>2807</v>
      </c>
    </row>
    <row r="3840" spans="2:7">
      <c r="B3840" s="118" t="s">
        <v>3167</v>
      </c>
      <c r="C3840" s="119">
        <v>6436</v>
      </c>
      <c r="E3840" s="96" t="s">
        <v>1021</v>
      </c>
      <c r="F3840" s="96" t="s">
        <v>177</v>
      </c>
      <c r="G3840" s="100">
        <v>2360</v>
      </c>
    </row>
    <row r="3841" spans="2:7">
      <c r="B3841" s="118" t="s">
        <v>1995</v>
      </c>
      <c r="C3841" s="119">
        <v>6465</v>
      </c>
      <c r="E3841" s="96" t="s">
        <v>1022</v>
      </c>
      <c r="F3841" s="96" t="s">
        <v>177</v>
      </c>
      <c r="G3841" s="100">
        <v>2922</v>
      </c>
    </row>
    <row r="3842" spans="2:7">
      <c r="B3842" s="118" t="s">
        <v>3176</v>
      </c>
      <c r="C3842" s="119">
        <v>6484</v>
      </c>
      <c r="E3842" s="96" t="s">
        <v>1023</v>
      </c>
      <c r="F3842" s="96" t="s">
        <v>177</v>
      </c>
      <c r="G3842" s="100">
        <v>2873</v>
      </c>
    </row>
    <row r="3843" spans="2:7">
      <c r="B3843" s="118" t="s">
        <v>3177</v>
      </c>
      <c r="C3843" s="119">
        <v>6485</v>
      </c>
      <c r="E3843" s="96" t="s">
        <v>1024</v>
      </c>
      <c r="F3843" s="96" t="s">
        <v>177</v>
      </c>
      <c r="G3843" s="100">
        <v>2803</v>
      </c>
    </row>
    <row r="3844" spans="2:7">
      <c r="B3844" s="118" t="s">
        <v>3178</v>
      </c>
      <c r="C3844" s="119">
        <v>8836</v>
      </c>
      <c r="E3844" s="96" t="s">
        <v>1025</v>
      </c>
      <c r="F3844" s="96" t="s">
        <v>177</v>
      </c>
      <c r="G3844" s="100">
        <v>2364</v>
      </c>
    </row>
    <row r="3845" spans="2:7">
      <c r="B3845" s="118" t="s">
        <v>1401</v>
      </c>
      <c r="C3845" s="119">
        <v>8840</v>
      </c>
      <c r="E3845" s="96" t="s">
        <v>1026</v>
      </c>
      <c r="F3845" s="96" t="s">
        <v>177</v>
      </c>
      <c r="G3845" s="100">
        <v>2933</v>
      </c>
    </row>
    <row r="3846" spans="2:7">
      <c r="B3846" s="118" t="s">
        <v>3179</v>
      </c>
      <c r="C3846" s="119">
        <v>8840</v>
      </c>
      <c r="E3846" s="96" t="s">
        <v>1027</v>
      </c>
      <c r="F3846" s="96" t="s">
        <v>177</v>
      </c>
      <c r="G3846" s="100">
        <v>2933</v>
      </c>
    </row>
    <row r="3847" spans="2:7">
      <c r="B3847" s="118" t="s">
        <v>3180</v>
      </c>
      <c r="C3847" s="119">
        <v>8841</v>
      </c>
      <c r="E3847" s="96" t="s">
        <v>1028</v>
      </c>
      <c r="F3847" s="96" t="s">
        <v>177</v>
      </c>
      <c r="G3847" s="100">
        <v>2363</v>
      </c>
    </row>
    <row r="3848" spans="2:7">
      <c r="B3848" s="118" t="s">
        <v>3181</v>
      </c>
      <c r="C3848" s="119">
        <v>8844</v>
      </c>
      <c r="E3848" s="96" t="s">
        <v>1029</v>
      </c>
      <c r="F3848" s="96" t="s">
        <v>177</v>
      </c>
      <c r="G3848" s="100">
        <v>2887</v>
      </c>
    </row>
    <row r="3849" spans="2:7">
      <c r="B3849" s="118" t="s">
        <v>3182</v>
      </c>
      <c r="C3849" s="119">
        <v>8846</v>
      </c>
      <c r="E3849" s="96" t="s">
        <v>1030</v>
      </c>
      <c r="F3849" s="96" t="s">
        <v>177</v>
      </c>
      <c r="G3849" s="100">
        <v>2813</v>
      </c>
    </row>
    <row r="3850" spans="2:7">
      <c r="B3850" s="118" t="s">
        <v>3183</v>
      </c>
      <c r="C3850" s="119">
        <v>8847</v>
      </c>
      <c r="E3850" s="96" t="s">
        <v>1031</v>
      </c>
      <c r="F3850" s="96" t="s">
        <v>177</v>
      </c>
      <c r="G3850" s="100">
        <v>2935</v>
      </c>
    </row>
    <row r="3851" spans="2:7">
      <c r="B3851" s="118" t="s">
        <v>3184</v>
      </c>
      <c r="C3851" s="119">
        <v>6410</v>
      </c>
      <c r="E3851" s="96" t="s">
        <v>1032</v>
      </c>
      <c r="F3851" s="96" t="s">
        <v>177</v>
      </c>
      <c r="G3851" s="100">
        <v>2814</v>
      </c>
    </row>
    <row r="3852" spans="2:7">
      <c r="B3852" s="118" t="s">
        <v>1418</v>
      </c>
      <c r="C3852" s="119">
        <v>6442</v>
      </c>
      <c r="E3852" s="96" t="s">
        <v>1033</v>
      </c>
      <c r="F3852" s="96" t="s">
        <v>177</v>
      </c>
      <c r="G3852" s="100">
        <v>2345</v>
      </c>
    </row>
    <row r="3853" spans="2:7">
      <c r="B3853" s="118" t="s">
        <v>1407</v>
      </c>
      <c r="C3853" s="119">
        <v>8832</v>
      </c>
      <c r="E3853" s="96" t="s">
        <v>1034</v>
      </c>
      <c r="F3853" s="96" t="s">
        <v>1035</v>
      </c>
      <c r="G3853" s="100">
        <v>4123</v>
      </c>
    </row>
    <row r="3854" spans="2:7">
      <c r="B3854" s="118" t="s">
        <v>3185</v>
      </c>
      <c r="C3854" s="119">
        <v>8834</v>
      </c>
      <c r="E3854" s="96" t="s">
        <v>1036</v>
      </c>
      <c r="F3854" s="96" t="s">
        <v>1035</v>
      </c>
      <c r="G3854" s="100">
        <v>4153</v>
      </c>
    </row>
    <row r="3855" spans="2:7">
      <c r="B3855" s="118" t="s">
        <v>1409</v>
      </c>
      <c r="C3855" s="119">
        <v>8835</v>
      </c>
      <c r="E3855" s="96" t="s">
        <v>1037</v>
      </c>
      <c r="F3855" s="96" t="s">
        <v>1035</v>
      </c>
      <c r="G3855" s="100">
        <v>4132</v>
      </c>
    </row>
    <row r="3856" spans="2:7">
      <c r="B3856" s="118" t="s">
        <v>3178</v>
      </c>
      <c r="C3856" s="119">
        <v>8836</v>
      </c>
      <c r="E3856" s="96" t="s">
        <v>1038</v>
      </c>
      <c r="F3856" s="96" t="s">
        <v>1035</v>
      </c>
      <c r="G3856" s="100">
        <v>4133</v>
      </c>
    </row>
    <row r="3857" spans="2:7">
      <c r="B3857" s="118" t="s">
        <v>3183</v>
      </c>
      <c r="C3857" s="119">
        <v>8847</v>
      </c>
      <c r="E3857" s="96" t="s">
        <v>1039</v>
      </c>
      <c r="F3857" s="96" t="s">
        <v>1035</v>
      </c>
      <c r="G3857" s="100">
        <v>4102</v>
      </c>
    </row>
    <row r="3858" spans="2:7">
      <c r="B3858" s="118" t="s">
        <v>3186</v>
      </c>
      <c r="C3858" s="119">
        <v>8640</v>
      </c>
      <c r="E3858" s="96" t="s">
        <v>1040</v>
      </c>
      <c r="F3858" s="96" t="s">
        <v>1035</v>
      </c>
      <c r="G3858" s="100">
        <v>4410</v>
      </c>
    </row>
    <row r="3859" spans="2:7">
      <c r="B3859" s="118" t="s">
        <v>3187</v>
      </c>
      <c r="C3859" s="119">
        <v>8806</v>
      </c>
      <c r="E3859" s="96" t="s">
        <v>1041</v>
      </c>
      <c r="F3859" s="96" t="s">
        <v>1035</v>
      </c>
      <c r="G3859" s="100">
        <v>4142</v>
      </c>
    </row>
    <row r="3860" spans="2:7">
      <c r="B3860" s="118" t="s">
        <v>1400</v>
      </c>
      <c r="C3860" s="119">
        <v>8807</v>
      </c>
      <c r="E3860" s="96" t="s">
        <v>1042</v>
      </c>
      <c r="F3860" s="96" t="s">
        <v>1035</v>
      </c>
      <c r="G3860" s="100">
        <v>4104</v>
      </c>
    </row>
    <row r="3861" spans="2:7">
      <c r="B3861" s="118" t="s">
        <v>3188</v>
      </c>
      <c r="C3861" s="119">
        <v>8808</v>
      </c>
      <c r="E3861" s="96" t="s">
        <v>1043</v>
      </c>
      <c r="F3861" s="96" t="s">
        <v>1035</v>
      </c>
      <c r="G3861" s="100">
        <v>4127</v>
      </c>
    </row>
    <row r="3862" spans="2:7">
      <c r="B3862" s="118" t="s">
        <v>1407</v>
      </c>
      <c r="C3862" s="119">
        <v>8832</v>
      </c>
      <c r="E3862" s="96" t="s">
        <v>1044</v>
      </c>
      <c r="F3862" s="96" t="s">
        <v>1035</v>
      </c>
      <c r="G3862" s="100">
        <v>4147</v>
      </c>
    </row>
    <row r="3863" spans="2:7">
      <c r="B3863" s="118" t="s">
        <v>3189</v>
      </c>
      <c r="C3863" s="119">
        <v>8832</v>
      </c>
      <c r="E3863" s="96" t="s">
        <v>1045</v>
      </c>
      <c r="F3863" s="96" t="s">
        <v>1035</v>
      </c>
      <c r="G3863" s="100">
        <v>4106</v>
      </c>
    </row>
    <row r="3864" spans="2:7">
      <c r="B3864" s="118" t="s">
        <v>3187</v>
      </c>
      <c r="C3864" s="119">
        <v>8806</v>
      </c>
      <c r="E3864" s="96" t="s">
        <v>1046</v>
      </c>
      <c r="F3864" s="96" t="s">
        <v>1035</v>
      </c>
      <c r="G3864" s="100">
        <v>4144</v>
      </c>
    </row>
    <row r="3865" spans="2:7">
      <c r="B3865" s="118" t="s">
        <v>1407</v>
      </c>
      <c r="C3865" s="119">
        <v>8832</v>
      </c>
      <c r="E3865" s="96" t="s">
        <v>1047</v>
      </c>
      <c r="F3865" s="96" t="s">
        <v>1035</v>
      </c>
      <c r="G3865" s="100">
        <v>4450</v>
      </c>
    </row>
    <row r="3866" spans="2:7">
      <c r="B3866" s="118" t="s">
        <v>2491</v>
      </c>
      <c r="C3866" s="119">
        <v>8833</v>
      </c>
      <c r="E3866" s="96" t="s">
        <v>1048</v>
      </c>
      <c r="F3866" s="96" t="s">
        <v>1035</v>
      </c>
      <c r="G3866" s="100">
        <v>4103</v>
      </c>
    </row>
    <row r="3867" spans="2:7">
      <c r="B3867" s="118" t="s">
        <v>3185</v>
      </c>
      <c r="C3867" s="119">
        <v>8834</v>
      </c>
      <c r="E3867" s="96" t="s">
        <v>1049</v>
      </c>
      <c r="F3867" s="96" t="s">
        <v>1035</v>
      </c>
      <c r="G3867" s="100">
        <v>4402</v>
      </c>
    </row>
    <row r="3868" spans="2:7">
      <c r="B3868" s="118" t="s">
        <v>3190</v>
      </c>
      <c r="C3868" s="119">
        <v>6402</v>
      </c>
      <c r="E3868" s="96" t="s">
        <v>1050</v>
      </c>
      <c r="F3868" s="96" t="s">
        <v>1035</v>
      </c>
      <c r="G3868" s="100">
        <v>4460</v>
      </c>
    </row>
    <row r="3869" spans="2:7">
      <c r="B3869" s="118" t="s">
        <v>3191</v>
      </c>
      <c r="C3869" s="119">
        <v>6403</v>
      </c>
      <c r="E3869" s="96" t="s">
        <v>1051</v>
      </c>
      <c r="F3869" s="96" t="s">
        <v>1035</v>
      </c>
      <c r="G3869" s="100">
        <v>4242</v>
      </c>
    </row>
    <row r="3870" spans="2:7">
      <c r="B3870" s="118" t="s">
        <v>3192</v>
      </c>
      <c r="C3870" s="119">
        <v>6405</v>
      </c>
      <c r="E3870" s="96" t="s">
        <v>1052</v>
      </c>
      <c r="F3870" s="96" t="s">
        <v>1035</v>
      </c>
      <c r="G3870" s="100">
        <v>4107</v>
      </c>
    </row>
    <row r="3871" spans="2:7">
      <c r="B3871" s="118" t="s">
        <v>3182</v>
      </c>
      <c r="C3871" s="119">
        <v>8846</v>
      </c>
      <c r="E3871" s="96" t="s">
        <v>1053</v>
      </c>
      <c r="F3871" s="96" t="s">
        <v>1035</v>
      </c>
      <c r="G3871" s="100">
        <v>4415</v>
      </c>
    </row>
    <row r="3872" spans="2:7">
      <c r="B3872" s="118" t="s">
        <v>1408</v>
      </c>
      <c r="C3872" s="119">
        <v>8852</v>
      </c>
      <c r="E3872" s="96" t="s">
        <v>1054</v>
      </c>
      <c r="F3872" s="96" t="s">
        <v>1035</v>
      </c>
      <c r="G3872" s="100">
        <v>4414</v>
      </c>
    </row>
    <row r="3873" spans="2:7">
      <c r="B3873" s="118" t="s">
        <v>3193</v>
      </c>
      <c r="C3873" s="119">
        <v>8853</v>
      </c>
      <c r="E3873" s="96" t="s">
        <v>1055</v>
      </c>
      <c r="F3873" s="96" t="s">
        <v>1035</v>
      </c>
      <c r="G3873" s="100">
        <v>4416</v>
      </c>
    </row>
    <row r="3874" spans="2:7">
      <c r="B3874" s="118" t="s">
        <v>3194</v>
      </c>
      <c r="C3874" s="119">
        <v>8854</v>
      </c>
      <c r="E3874" s="96" t="s">
        <v>1056</v>
      </c>
      <c r="F3874" s="96" t="s">
        <v>1035</v>
      </c>
      <c r="G3874" s="100">
        <v>4105</v>
      </c>
    </row>
    <row r="3875" spans="2:7">
      <c r="B3875" s="118" t="s">
        <v>1410</v>
      </c>
      <c r="C3875" s="119">
        <v>8854</v>
      </c>
      <c r="E3875" s="96" t="s">
        <v>1057</v>
      </c>
      <c r="F3875" s="96" t="s">
        <v>1035</v>
      </c>
      <c r="G3875" s="100">
        <v>4455</v>
      </c>
    </row>
    <row r="3876" spans="2:7">
      <c r="B3876" s="118" t="s">
        <v>1427</v>
      </c>
      <c r="C3876" s="119">
        <v>8858</v>
      </c>
      <c r="E3876" s="96" t="s">
        <v>1058</v>
      </c>
      <c r="F3876" s="96" t="s">
        <v>1035</v>
      </c>
      <c r="G3876" s="100">
        <v>4434</v>
      </c>
    </row>
    <row r="3877" spans="2:7">
      <c r="B3877" s="118" t="s">
        <v>3193</v>
      </c>
      <c r="C3877" s="119">
        <v>8853</v>
      </c>
      <c r="E3877" s="96" t="s">
        <v>1059</v>
      </c>
      <c r="F3877" s="96" t="s">
        <v>1035</v>
      </c>
      <c r="G3877" s="100">
        <v>4436</v>
      </c>
    </row>
    <row r="3878" spans="2:7">
      <c r="B3878" s="118" t="s">
        <v>1412</v>
      </c>
      <c r="C3878" s="119">
        <v>8864</v>
      </c>
      <c r="E3878" s="96" t="s">
        <v>1060</v>
      </c>
      <c r="F3878" s="96" t="s">
        <v>1035</v>
      </c>
      <c r="G3878" s="100">
        <v>4148</v>
      </c>
    </row>
    <row r="3879" spans="2:7">
      <c r="B3879" s="118" t="s">
        <v>3194</v>
      </c>
      <c r="C3879" s="119">
        <v>8854</v>
      </c>
      <c r="E3879" s="96" t="s">
        <v>1061</v>
      </c>
      <c r="F3879" s="96" t="s">
        <v>1035</v>
      </c>
      <c r="G3879" s="100">
        <v>4222</v>
      </c>
    </row>
    <row r="3880" spans="2:7">
      <c r="B3880" s="118" t="s">
        <v>3195</v>
      </c>
      <c r="C3880" s="119">
        <v>8855</v>
      </c>
      <c r="E3880" s="96" t="s">
        <v>1062</v>
      </c>
      <c r="F3880" s="96" t="s">
        <v>1035</v>
      </c>
      <c r="G3880" s="100">
        <v>4466</v>
      </c>
    </row>
    <row r="3881" spans="2:7">
      <c r="B3881" s="118" t="s">
        <v>1404</v>
      </c>
      <c r="C3881" s="119">
        <v>8862</v>
      </c>
      <c r="E3881" s="96" t="s">
        <v>1063</v>
      </c>
      <c r="F3881" s="96" t="s">
        <v>1035</v>
      </c>
      <c r="G3881" s="100">
        <v>4452</v>
      </c>
    </row>
    <row r="3882" spans="2:7">
      <c r="B3882" s="118" t="s">
        <v>3196</v>
      </c>
      <c r="C3882" s="119">
        <v>8863</v>
      </c>
      <c r="E3882" s="96" t="s">
        <v>1064</v>
      </c>
      <c r="F3882" s="96" t="s">
        <v>1035</v>
      </c>
      <c r="G3882" s="100">
        <v>4225</v>
      </c>
    </row>
    <row r="3883" spans="2:7">
      <c r="B3883" s="118" t="s">
        <v>1825</v>
      </c>
      <c r="C3883" s="119">
        <v>8730</v>
      </c>
      <c r="E3883" s="96" t="s">
        <v>1065</v>
      </c>
      <c r="F3883" s="96" t="s">
        <v>1035</v>
      </c>
      <c r="G3883" s="100">
        <v>4203</v>
      </c>
    </row>
    <row r="3884" spans="2:7">
      <c r="B3884" s="118" t="s">
        <v>3195</v>
      </c>
      <c r="C3884" s="119">
        <v>8855</v>
      </c>
      <c r="E3884" s="96" t="s">
        <v>1066</v>
      </c>
      <c r="F3884" s="96" t="s">
        <v>1035</v>
      </c>
      <c r="G3884" s="100">
        <v>4435</v>
      </c>
    </row>
    <row r="3885" spans="2:7">
      <c r="B3885" s="118" t="s">
        <v>1415</v>
      </c>
      <c r="C3885" s="119">
        <v>8856</v>
      </c>
      <c r="E3885" s="96" t="s">
        <v>1067</v>
      </c>
      <c r="F3885" s="96" t="s">
        <v>1035</v>
      </c>
      <c r="G3885" s="100">
        <v>4457</v>
      </c>
    </row>
    <row r="3886" spans="2:7">
      <c r="B3886" s="118" t="s">
        <v>1422</v>
      </c>
      <c r="C3886" s="119">
        <v>8857</v>
      </c>
      <c r="E3886" s="96" t="s">
        <v>1068</v>
      </c>
      <c r="F3886" s="96" t="s">
        <v>1035</v>
      </c>
      <c r="G3886" s="100">
        <v>4225</v>
      </c>
    </row>
    <row r="3887" spans="2:7">
      <c r="B3887" s="118" t="s">
        <v>3193</v>
      </c>
      <c r="C3887" s="119">
        <v>8853</v>
      </c>
      <c r="E3887" s="96" t="s">
        <v>1069</v>
      </c>
      <c r="F3887" s="96" t="s">
        <v>1035</v>
      </c>
      <c r="G3887" s="100">
        <v>4422</v>
      </c>
    </row>
    <row r="3888" spans="2:7">
      <c r="B3888" s="118" t="s">
        <v>3194</v>
      </c>
      <c r="C3888" s="119">
        <v>8854</v>
      </c>
      <c r="E3888" s="96" t="s">
        <v>1070</v>
      </c>
      <c r="F3888" s="96" t="s">
        <v>1035</v>
      </c>
      <c r="G3888" s="100">
        <v>4418</v>
      </c>
    </row>
    <row r="3889" spans="2:7">
      <c r="B3889" s="118" t="s">
        <v>3195</v>
      </c>
      <c r="C3889" s="119">
        <v>8855</v>
      </c>
      <c r="E3889" s="96" t="s">
        <v>1071</v>
      </c>
      <c r="F3889" s="96" t="s">
        <v>1035</v>
      </c>
      <c r="G3889" s="100">
        <v>4417</v>
      </c>
    </row>
    <row r="3890" spans="2:7">
      <c r="B3890" s="118" t="s">
        <v>1426</v>
      </c>
      <c r="C3890" s="119">
        <v>8849</v>
      </c>
      <c r="E3890" s="96" t="s">
        <v>1072</v>
      </c>
      <c r="F3890" s="96" t="s">
        <v>1035</v>
      </c>
      <c r="G3890" s="100">
        <v>4202</v>
      </c>
    </row>
    <row r="3891" spans="2:7">
      <c r="B3891" s="118" t="s">
        <v>1556</v>
      </c>
      <c r="C3891" s="119">
        <v>6318</v>
      </c>
      <c r="E3891" s="96" t="s">
        <v>1073</v>
      </c>
      <c r="F3891" s="96" t="s">
        <v>1035</v>
      </c>
      <c r="G3891" s="100">
        <v>4419</v>
      </c>
    </row>
    <row r="3892" spans="2:7">
      <c r="B3892" s="118" t="s">
        <v>3133</v>
      </c>
      <c r="C3892" s="119">
        <v>6356</v>
      </c>
      <c r="E3892" s="96" t="s">
        <v>1074</v>
      </c>
      <c r="F3892" s="96" t="s">
        <v>1035</v>
      </c>
      <c r="G3892" s="100">
        <v>4246</v>
      </c>
    </row>
    <row r="3893" spans="2:7">
      <c r="B3893" s="118" t="s">
        <v>3197</v>
      </c>
      <c r="C3893" s="119">
        <v>6410</v>
      </c>
      <c r="E3893" s="96" t="s">
        <v>1075</v>
      </c>
      <c r="F3893" s="96" t="s">
        <v>1035</v>
      </c>
      <c r="G3893" s="100">
        <v>4441</v>
      </c>
    </row>
    <row r="3894" spans="2:7">
      <c r="B3894" s="118" t="s">
        <v>3198</v>
      </c>
      <c r="C3894" s="119">
        <v>6410</v>
      </c>
      <c r="E3894" s="96" t="s">
        <v>1076</v>
      </c>
      <c r="F3894" s="96" t="s">
        <v>1035</v>
      </c>
      <c r="G3894" s="100">
        <v>4124</v>
      </c>
    </row>
    <row r="3895" spans="2:7">
      <c r="B3895" s="118" t="s">
        <v>3199</v>
      </c>
      <c r="C3895" s="119">
        <v>6410</v>
      </c>
      <c r="E3895" s="96" t="s">
        <v>1077</v>
      </c>
      <c r="F3895" s="96" t="s">
        <v>1035</v>
      </c>
      <c r="G3895" s="100">
        <v>4448</v>
      </c>
    </row>
    <row r="3896" spans="2:7">
      <c r="B3896" s="118" t="s">
        <v>3200</v>
      </c>
      <c r="C3896" s="119">
        <v>6410</v>
      </c>
      <c r="E3896" s="96" t="s">
        <v>1078</v>
      </c>
      <c r="F3896" s="96" t="s">
        <v>1035</v>
      </c>
      <c r="G3896" s="100">
        <v>4411</v>
      </c>
    </row>
    <row r="3897" spans="2:7">
      <c r="B3897" s="118" t="s">
        <v>3201</v>
      </c>
      <c r="C3897" s="119">
        <v>6414</v>
      </c>
      <c r="E3897" s="96" t="s">
        <v>1079</v>
      </c>
      <c r="F3897" s="96" t="s">
        <v>1035</v>
      </c>
      <c r="G3897" s="100">
        <v>4254</v>
      </c>
    </row>
    <row r="3898" spans="2:7">
      <c r="B3898" s="118" t="s">
        <v>1403</v>
      </c>
      <c r="C3898" s="119">
        <v>6415</v>
      </c>
      <c r="E3898" s="96" t="s">
        <v>1080</v>
      </c>
      <c r="F3898" s="96" t="s">
        <v>1035</v>
      </c>
      <c r="G3898" s="100">
        <v>4437</v>
      </c>
    </row>
    <row r="3899" spans="2:7">
      <c r="B3899" s="118" t="s">
        <v>1423</v>
      </c>
      <c r="C3899" s="119">
        <v>6416</v>
      </c>
      <c r="E3899" s="96" t="s">
        <v>1081</v>
      </c>
      <c r="F3899" s="96" t="s">
        <v>1035</v>
      </c>
      <c r="G3899" s="100">
        <v>4463</v>
      </c>
    </row>
    <row r="3900" spans="2:7">
      <c r="B3900" s="118" t="s">
        <v>1425</v>
      </c>
      <c r="C3900" s="119">
        <v>6434</v>
      </c>
      <c r="E3900" s="96" t="s">
        <v>1082</v>
      </c>
      <c r="F3900" s="96" t="s">
        <v>1035</v>
      </c>
      <c r="G3900" s="100">
        <v>4304</v>
      </c>
    </row>
    <row r="3901" spans="2:7">
      <c r="B3901" s="118" t="s">
        <v>3202</v>
      </c>
      <c r="C3901" s="119">
        <v>6423</v>
      </c>
      <c r="E3901" s="96" t="s">
        <v>1083</v>
      </c>
      <c r="F3901" s="96" t="s">
        <v>1035</v>
      </c>
      <c r="G3901" s="100">
        <v>4302</v>
      </c>
    </row>
    <row r="3902" spans="2:7">
      <c r="B3902" s="118" t="s">
        <v>3203</v>
      </c>
      <c r="C3902" s="119">
        <v>6440</v>
      </c>
      <c r="E3902" s="96" t="s">
        <v>1084</v>
      </c>
      <c r="F3902" s="96" t="s">
        <v>1035</v>
      </c>
      <c r="G3902" s="100">
        <v>4438</v>
      </c>
    </row>
    <row r="3903" spans="2:7">
      <c r="B3903" s="118" t="s">
        <v>1421</v>
      </c>
      <c r="C3903" s="119">
        <v>6424</v>
      </c>
      <c r="E3903" s="96" t="s">
        <v>1085</v>
      </c>
      <c r="F3903" s="96" t="s">
        <v>1035</v>
      </c>
      <c r="G3903" s="100">
        <v>4464</v>
      </c>
    </row>
    <row r="3904" spans="2:7">
      <c r="B3904" s="118" t="s">
        <v>3204</v>
      </c>
      <c r="C3904" s="119">
        <v>6433</v>
      </c>
      <c r="E3904" s="96" t="s">
        <v>1086</v>
      </c>
      <c r="F3904" s="96" t="s">
        <v>1035</v>
      </c>
      <c r="G3904" s="100">
        <v>4456</v>
      </c>
    </row>
    <row r="3905" spans="2:7">
      <c r="B3905" s="118" t="s">
        <v>3203</v>
      </c>
      <c r="C3905" s="119">
        <v>6440</v>
      </c>
      <c r="E3905" s="96" t="s">
        <v>1087</v>
      </c>
      <c r="F3905" s="96" t="s">
        <v>1035</v>
      </c>
      <c r="G3905" s="100">
        <v>4492</v>
      </c>
    </row>
    <row r="3906" spans="2:7">
      <c r="B3906" s="118" t="s">
        <v>1420</v>
      </c>
      <c r="C3906" s="119">
        <v>6443</v>
      </c>
      <c r="E3906" s="96" t="s">
        <v>1088</v>
      </c>
      <c r="F3906" s="96" t="s">
        <v>1035</v>
      </c>
      <c r="G3906" s="100">
        <v>4461</v>
      </c>
    </row>
    <row r="3907" spans="2:7">
      <c r="B3907" s="118" t="s">
        <v>2001</v>
      </c>
      <c r="C3907" s="119">
        <v>6452</v>
      </c>
      <c r="E3907" s="96" t="s">
        <v>1089</v>
      </c>
      <c r="F3907" s="96" t="s">
        <v>1035</v>
      </c>
      <c r="G3907" s="100">
        <v>4467</v>
      </c>
    </row>
    <row r="3908" spans="2:7">
      <c r="B3908" s="118" t="s">
        <v>3204</v>
      </c>
      <c r="C3908" s="119">
        <v>6433</v>
      </c>
      <c r="E3908" s="96" t="s">
        <v>1090</v>
      </c>
      <c r="F3908" s="96" t="s">
        <v>1035</v>
      </c>
      <c r="G3908" s="100">
        <v>4207</v>
      </c>
    </row>
    <row r="3909" spans="2:7">
      <c r="B3909" s="118" t="s">
        <v>1413</v>
      </c>
      <c r="C3909" s="119">
        <v>6436</v>
      </c>
      <c r="E3909" s="96" t="s">
        <v>1091</v>
      </c>
      <c r="F3909" s="96" t="s">
        <v>1035</v>
      </c>
      <c r="G3909" s="100">
        <v>4497</v>
      </c>
    </row>
    <row r="3910" spans="2:7">
      <c r="B3910" s="118" t="s">
        <v>3167</v>
      </c>
      <c r="C3910" s="119">
        <v>6436</v>
      </c>
      <c r="E3910" s="96" t="s">
        <v>1092</v>
      </c>
      <c r="F3910" s="96" t="s">
        <v>1035</v>
      </c>
      <c r="G3910" s="100">
        <v>4433</v>
      </c>
    </row>
    <row r="3911" spans="2:7">
      <c r="B3911" s="118" t="s">
        <v>3205</v>
      </c>
      <c r="C3911" s="119">
        <v>6436</v>
      </c>
      <c r="E3911" s="96" t="s">
        <v>1093</v>
      </c>
      <c r="F3911" s="96" t="s">
        <v>1035</v>
      </c>
      <c r="G3911" s="100">
        <v>4442</v>
      </c>
    </row>
    <row r="3912" spans="2:7">
      <c r="B3912" s="118" t="s">
        <v>1577</v>
      </c>
      <c r="C3912" s="119">
        <v>8750</v>
      </c>
      <c r="E3912" s="96" t="s">
        <v>1094</v>
      </c>
      <c r="F3912" s="96" t="s">
        <v>1035</v>
      </c>
      <c r="G3912" s="100">
        <v>4243</v>
      </c>
    </row>
    <row r="3913" spans="2:7">
      <c r="B3913" s="118" t="s">
        <v>1416</v>
      </c>
      <c r="C3913" s="119">
        <v>8842</v>
      </c>
      <c r="E3913" s="96" t="s">
        <v>1095</v>
      </c>
      <c r="F3913" s="96" t="s">
        <v>1035</v>
      </c>
      <c r="G3913" s="100">
        <v>4493</v>
      </c>
    </row>
    <row r="3914" spans="2:7">
      <c r="B3914" s="118" t="s">
        <v>1424</v>
      </c>
      <c r="C3914" s="119">
        <v>8843</v>
      </c>
      <c r="E3914" s="96" t="s">
        <v>1096</v>
      </c>
      <c r="F3914" s="96" t="s">
        <v>1035</v>
      </c>
      <c r="G3914" s="100">
        <v>4446</v>
      </c>
    </row>
    <row r="3915" spans="2:7">
      <c r="B3915" s="118" t="s">
        <v>1428</v>
      </c>
      <c r="C3915" s="119">
        <v>6452</v>
      </c>
      <c r="E3915" s="96" t="s">
        <v>1097</v>
      </c>
      <c r="F3915" s="96" t="s">
        <v>1035</v>
      </c>
      <c r="G3915" s="100">
        <v>4223</v>
      </c>
    </row>
    <row r="3916" spans="2:7">
      <c r="B3916" s="118" t="s">
        <v>1417</v>
      </c>
      <c r="C3916" s="119">
        <v>6418</v>
      </c>
      <c r="E3916" s="96" t="s">
        <v>1098</v>
      </c>
      <c r="F3916" s="96" t="s">
        <v>1035</v>
      </c>
      <c r="G3916" s="100">
        <v>4431</v>
      </c>
    </row>
    <row r="3917" spans="2:7">
      <c r="B3917" s="118" t="s">
        <v>3206</v>
      </c>
      <c r="C3917" s="119">
        <v>6315</v>
      </c>
      <c r="E3917" s="96" t="s">
        <v>1099</v>
      </c>
      <c r="F3917" s="96" t="s">
        <v>1035</v>
      </c>
      <c r="G3917" s="100">
        <v>4451</v>
      </c>
    </row>
    <row r="3918" spans="2:7">
      <c r="B3918" s="118" t="s">
        <v>1419</v>
      </c>
      <c r="C3918" s="119">
        <v>6417</v>
      </c>
      <c r="E3918" s="96" t="s">
        <v>1100</v>
      </c>
      <c r="F3918" s="96" t="s">
        <v>1035</v>
      </c>
      <c r="G3918" s="100">
        <v>4462</v>
      </c>
    </row>
    <row r="3919" spans="2:7">
      <c r="B3919" s="118" t="s">
        <v>1417</v>
      </c>
      <c r="C3919" s="119">
        <v>6418</v>
      </c>
      <c r="E3919" s="96" t="s">
        <v>1101</v>
      </c>
      <c r="F3919" s="96" t="s">
        <v>1035</v>
      </c>
      <c r="G3919" s="100">
        <v>4469</v>
      </c>
    </row>
    <row r="3920" spans="2:7">
      <c r="B3920" s="118" t="s">
        <v>1414</v>
      </c>
      <c r="C3920" s="119">
        <v>6422</v>
      </c>
      <c r="E3920" s="96" t="s">
        <v>1102</v>
      </c>
      <c r="F3920" s="96" t="s">
        <v>1035</v>
      </c>
      <c r="G3920" s="100">
        <v>4424</v>
      </c>
    </row>
    <row r="3921" spans="2:7">
      <c r="B3921" s="118" t="s">
        <v>1419</v>
      </c>
      <c r="C3921" s="119">
        <v>6417</v>
      </c>
      <c r="E3921" s="96" t="s">
        <v>1103</v>
      </c>
      <c r="F3921" s="96" t="s">
        <v>1035</v>
      </c>
      <c r="G3921" s="100">
        <v>4458</v>
      </c>
    </row>
    <row r="3922" spans="2:7">
      <c r="B3922" s="118" t="s">
        <v>3202</v>
      </c>
      <c r="C3922" s="119">
        <v>6423</v>
      </c>
      <c r="E3922" s="96" t="s">
        <v>1104</v>
      </c>
      <c r="F3922" s="96" t="s">
        <v>1035</v>
      </c>
      <c r="G3922" s="100">
        <v>4447</v>
      </c>
    </row>
    <row r="3923" spans="2:7">
      <c r="B3923" s="118" t="s">
        <v>178</v>
      </c>
      <c r="C3923" s="119">
        <v>6430</v>
      </c>
      <c r="E3923" s="96" t="s">
        <v>1105</v>
      </c>
      <c r="F3923" s="96" t="s">
        <v>1035</v>
      </c>
      <c r="G3923" s="100">
        <v>4432</v>
      </c>
    </row>
    <row r="3924" spans="2:7">
      <c r="B3924" s="118" t="s">
        <v>3207</v>
      </c>
      <c r="C3924" s="119">
        <v>6432</v>
      </c>
      <c r="E3924" s="96" t="s">
        <v>1106</v>
      </c>
      <c r="F3924" s="96" t="s">
        <v>1035</v>
      </c>
      <c r="G3924" s="100">
        <v>4495</v>
      </c>
    </row>
    <row r="3925" spans="2:7">
      <c r="B3925" s="118" t="s">
        <v>3208</v>
      </c>
      <c r="C3925" s="119">
        <v>6438</v>
      </c>
      <c r="E3925" s="96" t="s">
        <v>1107</v>
      </c>
      <c r="F3925" s="96" t="s">
        <v>1035</v>
      </c>
      <c r="G3925" s="100">
        <v>4494</v>
      </c>
    </row>
    <row r="3926" spans="2:7">
      <c r="B3926" s="118" t="s">
        <v>1416</v>
      </c>
      <c r="C3926" s="119">
        <v>8842</v>
      </c>
      <c r="E3926" s="96" t="s">
        <v>1108</v>
      </c>
      <c r="F3926" s="96" t="s">
        <v>1035</v>
      </c>
      <c r="G3926" s="100">
        <v>4443</v>
      </c>
    </row>
    <row r="3927" spans="2:7">
      <c r="B3927" s="118" t="s">
        <v>1424</v>
      </c>
      <c r="C3927" s="119">
        <v>8843</v>
      </c>
      <c r="E3927" s="96" t="s">
        <v>1109</v>
      </c>
      <c r="F3927" s="96" t="s">
        <v>1035</v>
      </c>
      <c r="G3927" s="100">
        <v>4224</v>
      </c>
    </row>
    <row r="3928" spans="2:7">
      <c r="B3928" s="118" t="s">
        <v>1414</v>
      </c>
      <c r="C3928" s="119">
        <v>6422</v>
      </c>
      <c r="E3928" s="96" t="s">
        <v>1110</v>
      </c>
      <c r="F3928" s="96" t="s">
        <v>1035</v>
      </c>
      <c r="G3928" s="100">
        <v>4425</v>
      </c>
    </row>
    <row r="3929" spans="2:7">
      <c r="B3929" s="118" t="s">
        <v>1423</v>
      </c>
      <c r="C3929" s="119">
        <v>6416</v>
      </c>
      <c r="E3929" s="96" t="s">
        <v>1111</v>
      </c>
      <c r="F3929" s="96" t="s">
        <v>1035</v>
      </c>
      <c r="G3929" s="100">
        <v>4444</v>
      </c>
    </row>
    <row r="3930" spans="2:7">
      <c r="B3930" s="118" t="s">
        <v>1416</v>
      </c>
      <c r="C3930" s="119">
        <v>8842</v>
      </c>
      <c r="E3930" s="96" t="s">
        <v>1112</v>
      </c>
      <c r="F3930" s="96" t="s">
        <v>1035</v>
      </c>
      <c r="G3930" s="100">
        <v>4426</v>
      </c>
    </row>
    <row r="3931" spans="2:7">
      <c r="B3931" s="118" t="s">
        <v>3181</v>
      </c>
      <c r="C3931" s="119">
        <v>8844</v>
      </c>
      <c r="E3931" s="96" t="s">
        <v>1113</v>
      </c>
      <c r="F3931" s="96" t="s">
        <v>1035</v>
      </c>
      <c r="G3931" s="100">
        <v>4423</v>
      </c>
    </row>
    <row r="3932" spans="2:7">
      <c r="B3932" s="118" t="s">
        <v>3209</v>
      </c>
      <c r="C3932" s="119">
        <v>8845</v>
      </c>
      <c r="E3932" s="96" t="s">
        <v>1114</v>
      </c>
      <c r="F3932" s="96" t="s">
        <v>1035</v>
      </c>
      <c r="G3932" s="100">
        <v>4445</v>
      </c>
    </row>
    <row r="3933" spans="2:7">
      <c r="B3933" s="118" t="s">
        <v>3210</v>
      </c>
      <c r="C3933" s="119">
        <v>6010</v>
      </c>
      <c r="E3933" s="96" t="s">
        <v>1115</v>
      </c>
      <c r="F3933" s="96" t="s">
        <v>1035</v>
      </c>
      <c r="G3933" s="100">
        <v>2814</v>
      </c>
    </row>
    <row r="3934" spans="2:7">
      <c r="B3934" s="118" t="s">
        <v>3211</v>
      </c>
      <c r="C3934" s="119">
        <v>6053</v>
      </c>
      <c r="E3934" s="96" t="s">
        <v>1116</v>
      </c>
      <c r="F3934" s="96" t="s">
        <v>1035</v>
      </c>
      <c r="G3934" s="100">
        <v>4117</v>
      </c>
    </row>
    <row r="3935" spans="2:7">
      <c r="B3935" s="118" t="s">
        <v>3212</v>
      </c>
      <c r="C3935" s="119">
        <v>6055</v>
      </c>
      <c r="E3935" s="96" t="s">
        <v>1117</v>
      </c>
      <c r="F3935" s="96" t="s">
        <v>1035</v>
      </c>
      <c r="G3935" s="100">
        <v>4453</v>
      </c>
    </row>
    <row r="3936" spans="2:7">
      <c r="B3936" s="118" t="s">
        <v>2018</v>
      </c>
      <c r="C3936" s="119">
        <v>6064</v>
      </c>
      <c r="E3936" s="96" t="s">
        <v>1118</v>
      </c>
      <c r="F3936" s="96" t="s">
        <v>1035</v>
      </c>
      <c r="G3936" s="100">
        <v>4465</v>
      </c>
    </row>
    <row r="3937" spans="2:7">
      <c r="B3937" s="118" t="s">
        <v>3213</v>
      </c>
      <c r="C3937" s="119">
        <v>6388</v>
      </c>
      <c r="E3937" s="96" t="s">
        <v>1119</v>
      </c>
      <c r="F3937" s="96" t="s">
        <v>1035</v>
      </c>
      <c r="G3937" s="100">
        <v>4426</v>
      </c>
    </row>
    <row r="3938" spans="2:7">
      <c r="B3938" s="118" t="s">
        <v>2021</v>
      </c>
      <c r="C3938" s="119">
        <v>6390</v>
      </c>
      <c r="E3938" s="96" t="s">
        <v>1120</v>
      </c>
      <c r="F3938" s="96" t="s">
        <v>1035</v>
      </c>
      <c r="G3938" s="100">
        <v>4496</v>
      </c>
    </row>
    <row r="3939" spans="2:7">
      <c r="B3939" s="118" t="s">
        <v>2022</v>
      </c>
      <c r="C3939" s="119">
        <v>6074</v>
      </c>
      <c r="E3939" s="96" t="s">
        <v>1121</v>
      </c>
      <c r="F3939" s="96" t="s">
        <v>167</v>
      </c>
      <c r="G3939" s="100">
        <v>4051</v>
      </c>
    </row>
    <row r="3940" spans="2:7">
      <c r="B3940" s="118" t="s">
        <v>3105</v>
      </c>
      <c r="C3940" s="119">
        <v>6174</v>
      </c>
      <c r="E3940" s="96" t="s">
        <v>1122</v>
      </c>
      <c r="F3940" s="96" t="s">
        <v>167</v>
      </c>
      <c r="G3940" s="100">
        <v>4125</v>
      </c>
    </row>
    <row r="3941" spans="2:7">
      <c r="B3941" s="118" t="s">
        <v>2018</v>
      </c>
      <c r="C3941" s="119">
        <v>6064</v>
      </c>
      <c r="E3941" s="96" t="s">
        <v>1123</v>
      </c>
      <c r="F3941" s="96" t="s">
        <v>167</v>
      </c>
      <c r="G3941" s="100">
        <v>4126</v>
      </c>
    </row>
    <row r="3942" spans="2:7">
      <c r="B3942" s="118" t="s">
        <v>3214</v>
      </c>
      <c r="C3942" s="119">
        <v>6066</v>
      </c>
      <c r="E3942" s="96" t="s">
        <v>168</v>
      </c>
      <c r="F3942" s="96" t="s">
        <v>168</v>
      </c>
      <c r="G3942" s="100">
        <v>1700</v>
      </c>
    </row>
    <row r="3943" spans="2:7">
      <c r="B3943" s="118" t="s">
        <v>3215</v>
      </c>
      <c r="C3943" s="119">
        <v>6067</v>
      </c>
      <c r="E3943" s="96" t="s">
        <v>1124</v>
      </c>
      <c r="F3943" s="96" t="s">
        <v>168</v>
      </c>
      <c r="G3943" s="100">
        <v>1630</v>
      </c>
    </row>
    <row r="3944" spans="2:7">
      <c r="B3944" s="118" t="s">
        <v>3216</v>
      </c>
      <c r="C3944" s="119">
        <v>6068</v>
      </c>
      <c r="E3944" s="96" t="s">
        <v>1125</v>
      </c>
      <c r="F3944" s="96" t="s">
        <v>168</v>
      </c>
      <c r="G3944" s="100">
        <v>1752</v>
      </c>
    </row>
    <row r="3945" spans="2:7">
      <c r="B3945" s="118" t="s">
        <v>2023</v>
      </c>
      <c r="C3945" s="119">
        <v>6078</v>
      </c>
      <c r="E3945" s="96" t="s">
        <v>1126</v>
      </c>
      <c r="F3945" s="96" t="s">
        <v>168</v>
      </c>
      <c r="G3945" s="100">
        <v>1470</v>
      </c>
    </row>
    <row r="3946" spans="2:7">
      <c r="B3946" s="118" t="s">
        <v>3217</v>
      </c>
      <c r="C3946" s="119">
        <v>6078</v>
      </c>
      <c r="E3946" s="96" t="s">
        <v>1127</v>
      </c>
      <c r="F3946" s="96" t="s">
        <v>168</v>
      </c>
      <c r="G3946" s="100">
        <v>3280</v>
      </c>
    </row>
    <row r="3947" spans="2:7">
      <c r="B3947" s="118" t="s">
        <v>3215</v>
      </c>
      <c r="C3947" s="119">
        <v>6067</v>
      </c>
      <c r="E3947" s="96" t="s">
        <v>1128</v>
      </c>
      <c r="F3947" s="96" t="s">
        <v>168</v>
      </c>
      <c r="G3947" s="100">
        <v>1723</v>
      </c>
    </row>
    <row r="3948" spans="2:7">
      <c r="B3948" s="118" t="s">
        <v>2020</v>
      </c>
      <c r="C3948" s="119">
        <v>6072</v>
      </c>
      <c r="E3948" s="96" t="s">
        <v>1129</v>
      </c>
      <c r="F3948" s="96" t="s">
        <v>168</v>
      </c>
      <c r="G3948" s="100">
        <v>3186</v>
      </c>
    </row>
    <row r="3949" spans="2:7">
      <c r="B3949" s="118" t="s">
        <v>3218</v>
      </c>
      <c r="C3949" s="119">
        <v>6073</v>
      </c>
      <c r="E3949" s="96" t="s">
        <v>1130</v>
      </c>
      <c r="F3949" s="96" t="s">
        <v>168</v>
      </c>
      <c r="G3949" s="100">
        <v>1690</v>
      </c>
    </row>
    <row r="3950" spans="2:7">
      <c r="B3950" s="118" t="s">
        <v>2022</v>
      </c>
      <c r="C3950" s="119">
        <v>6074</v>
      </c>
      <c r="E3950" s="96" t="s">
        <v>1131</v>
      </c>
      <c r="F3950" s="96" t="s">
        <v>168</v>
      </c>
      <c r="G3950" s="100">
        <v>1618</v>
      </c>
    </row>
    <row r="3951" spans="2:7">
      <c r="B3951" s="118" t="s">
        <v>3219</v>
      </c>
      <c r="C3951" s="119">
        <v>6056</v>
      </c>
      <c r="E3951" s="96" t="s">
        <v>1132</v>
      </c>
      <c r="F3951" s="96" t="s">
        <v>168</v>
      </c>
      <c r="G3951" s="100">
        <v>3175</v>
      </c>
    </row>
    <row r="3952" spans="2:7">
      <c r="B3952" s="118" t="s">
        <v>2016</v>
      </c>
      <c r="C3952" s="119">
        <v>6060</v>
      </c>
      <c r="E3952" s="96" t="s">
        <v>1133</v>
      </c>
      <c r="F3952" s="96" t="s">
        <v>168</v>
      </c>
      <c r="G3952" s="100">
        <v>1773</v>
      </c>
    </row>
    <row r="3953" spans="2:7">
      <c r="B3953" s="118" t="s">
        <v>3220</v>
      </c>
      <c r="C3953" s="119">
        <v>6060</v>
      </c>
      <c r="E3953" s="96" t="s">
        <v>1134</v>
      </c>
      <c r="F3953" s="96" t="s">
        <v>168</v>
      </c>
      <c r="G3953" s="100">
        <v>1784</v>
      </c>
    </row>
    <row r="3954" spans="2:7">
      <c r="B3954" s="118" t="s">
        <v>3221</v>
      </c>
      <c r="C3954" s="119">
        <v>6062</v>
      </c>
      <c r="E3954" s="96" t="s">
        <v>1135</v>
      </c>
      <c r="F3954" s="96" t="s">
        <v>168</v>
      </c>
      <c r="G3954" s="100">
        <v>1680</v>
      </c>
    </row>
    <row r="3955" spans="2:7">
      <c r="B3955" s="118" t="s">
        <v>3222</v>
      </c>
      <c r="C3955" s="119">
        <v>6063</v>
      </c>
      <c r="E3955" s="96" t="s">
        <v>1136</v>
      </c>
      <c r="F3955" s="96" t="s">
        <v>168</v>
      </c>
      <c r="G3955" s="100">
        <v>3210</v>
      </c>
    </row>
    <row r="3956" spans="2:7">
      <c r="B3956" s="118" t="s">
        <v>2010</v>
      </c>
      <c r="C3956" s="119">
        <v>6375</v>
      </c>
      <c r="E3956" s="96" t="s">
        <v>1137</v>
      </c>
      <c r="F3956" s="96" t="s">
        <v>168</v>
      </c>
      <c r="G3956" s="100">
        <v>3215</v>
      </c>
    </row>
    <row r="3957" spans="2:7">
      <c r="B3957" s="118" t="s">
        <v>2015</v>
      </c>
      <c r="C3957" s="119">
        <v>6376</v>
      </c>
      <c r="E3957" s="96" t="s">
        <v>1138</v>
      </c>
      <c r="F3957" s="96" t="s">
        <v>168</v>
      </c>
      <c r="G3957" s="100">
        <v>3185</v>
      </c>
    </row>
    <row r="3958" spans="2:7">
      <c r="B3958" s="118" t="s">
        <v>2007</v>
      </c>
      <c r="C3958" s="119">
        <v>6374</v>
      </c>
      <c r="E3958" s="96" t="s">
        <v>1139</v>
      </c>
      <c r="F3958" s="96" t="s">
        <v>168</v>
      </c>
      <c r="G3958" s="100">
        <v>1763</v>
      </c>
    </row>
    <row r="3959" spans="2:7">
      <c r="B3959" s="118" t="s">
        <v>2014</v>
      </c>
      <c r="C3959" s="119">
        <v>6383</v>
      </c>
      <c r="E3959" s="96" t="s">
        <v>1140</v>
      </c>
      <c r="F3959" s="96" t="s">
        <v>168</v>
      </c>
      <c r="G3959" s="100">
        <v>1716</v>
      </c>
    </row>
    <row r="3960" spans="2:7">
      <c r="B3960" s="118" t="s">
        <v>3223</v>
      </c>
      <c r="C3960" s="119">
        <v>6383</v>
      </c>
      <c r="E3960" s="96" t="s">
        <v>1141</v>
      </c>
      <c r="F3960" s="96" t="s">
        <v>168</v>
      </c>
      <c r="G3960" s="100">
        <v>1786</v>
      </c>
    </row>
    <row r="3961" spans="2:7">
      <c r="B3961" s="118" t="s">
        <v>3224</v>
      </c>
      <c r="C3961" s="119">
        <v>6383</v>
      </c>
      <c r="E3961" s="96" t="s">
        <v>1142</v>
      </c>
      <c r="F3961" s="96" t="s">
        <v>168</v>
      </c>
      <c r="G3961" s="100">
        <v>3178</v>
      </c>
    </row>
    <row r="3962" spans="2:7">
      <c r="B3962" s="118" t="s">
        <v>2015</v>
      </c>
      <c r="C3962" s="119">
        <v>6376</v>
      </c>
      <c r="E3962" s="96" t="s">
        <v>1143</v>
      </c>
      <c r="F3962" s="96" t="s">
        <v>168</v>
      </c>
      <c r="G3962" s="100">
        <v>1616</v>
      </c>
    </row>
    <row r="3963" spans="2:7">
      <c r="B3963" s="118" t="s">
        <v>1996</v>
      </c>
      <c r="C3963" s="119">
        <v>6377</v>
      </c>
      <c r="E3963" s="96" t="s">
        <v>1144</v>
      </c>
      <c r="F3963" s="96" t="s">
        <v>168</v>
      </c>
      <c r="G3963" s="100">
        <v>1712</v>
      </c>
    </row>
    <row r="3964" spans="2:7">
      <c r="B3964" s="118" t="s">
        <v>3225</v>
      </c>
      <c r="C3964" s="119">
        <v>6363</v>
      </c>
      <c r="E3964" s="96" t="s">
        <v>1145</v>
      </c>
      <c r="F3964" s="96" t="s">
        <v>168</v>
      </c>
      <c r="G3964" s="100">
        <v>1782</v>
      </c>
    </row>
    <row r="3965" spans="2:7">
      <c r="B3965" s="118" t="s">
        <v>3226</v>
      </c>
      <c r="C3965" s="119">
        <v>6363</v>
      </c>
      <c r="E3965" s="96" t="s">
        <v>1146</v>
      </c>
      <c r="F3965" s="96" t="s">
        <v>168</v>
      </c>
      <c r="G3965" s="100">
        <v>1762</v>
      </c>
    </row>
    <row r="3966" spans="2:7">
      <c r="B3966" s="118" t="s">
        <v>2008</v>
      </c>
      <c r="C3966" s="119">
        <v>6373</v>
      </c>
      <c r="E3966" s="96" t="s">
        <v>1147</v>
      </c>
      <c r="F3966" s="96" t="s">
        <v>168</v>
      </c>
      <c r="G3966" s="100">
        <v>1724</v>
      </c>
    </row>
    <row r="3967" spans="2:7">
      <c r="B3967" s="118" t="s">
        <v>2007</v>
      </c>
      <c r="C3967" s="119">
        <v>6374</v>
      </c>
      <c r="E3967" s="96" t="s">
        <v>1148</v>
      </c>
      <c r="F3967" s="96" t="s">
        <v>168</v>
      </c>
      <c r="G3967" s="100">
        <v>1670</v>
      </c>
    </row>
    <row r="3968" spans="2:7">
      <c r="B3968" s="118" t="s">
        <v>2009</v>
      </c>
      <c r="C3968" s="119">
        <v>6362</v>
      </c>
      <c r="E3968" s="96" t="s">
        <v>1149</v>
      </c>
      <c r="F3968" s="96" t="s">
        <v>168</v>
      </c>
      <c r="G3968" s="100">
        <v>1636</v>
      </c>
    </row>
    <row r="3969" spans="2:7">
      <c r="B3969" s="118" t="s">
        <v>2005</v>
      </c>
      <c r="C3969" s="119">
        <v>6370</v>
      </c>
      <c r="E3969" s="96" t="s">
        <v>1150</v>
      </c>
      <c r="F3969" s="96" t="s">
        <v>168</v>
      </c>
      <c r="G3969" s="100">
        <v>1632</v>
      </c>
    </row>
    <row r="3970" spans="2:7">
      <c r="B3970" s="118" t="s">
        <v>2012</v>
      </c>
      <c r="C3970" s="119">
        <v>6372</v>
      </c>
      <c r="E3970" s="96" t="s">
        <v>1151</v>
      </c>
      <c r="F3970" s="96" t="s">
        <v>168</v>
      </c>
      <c r="G3970" s="100">
        <v>1740</v>
      </c>
    </row>
    <row r="3971" spans="2:7">
      <c r="B3971" s="118" t="s">
        <v>1263</v>
      </c>
      <c r="C3971" s="119">
        <v>6010</v>
      </c>
      <c r="E3971" s="96" t="s">
        <v>1152</v>
      </c>
      <c r="F3971" s="96" t="s">
        <v>168</v>
      </c>
      <c r="G3971" s="100">
        <v>1720</v>
      </c>
    </row>
    <row r="3972" spans="2:7">
      <c r="B3972" s="118" t="s">
        <v>3127</v>
      </c>
      <c r="C3972" s="119">
        <v>6013</v>
      </c>
      <c r="E3972" s="96" t="s">
        <v>1153</v>
      </c>
      <c r="F3972" s="96" t="s">
        <v>168</v>
      </c>
      <c r="G3972" s="100">
        <v>1775</v>
      </c>
    </row>
    <row r="3973" spans="2:7">
      <c r="B3973" s="118" t="s">
        <v>3126</v>
      </c>
      <c r="C3973" s="119">
        <v>6052</v>
      </c>
      <c r="E3973" s="96" t="s">
        <v>1154</v>
      </c>
      <c r="F3973" s="96" t="s">
        <v>168</v>
      </c>
      <c r="G3973" s="100">
        <v>1730</v>
      </c>
    </row>
    <row r="3974" spans="2:7">
      <c r="B3974" s="118" t="s">
        <v>2005</v>
      </c>
      <c r="C3974" s="119">
        <v>6370</v>
      </c>
      <c r="E3974" s="96" t="s">
        <v>1155</v>
      </c>
      <c r="F3974" s="96" t="s">
        <v>168</v>
      </c>
      <c r="G3974" s="100">
        <v>1637</v>
      </c>
    </row>
    <row r="3975" spans="2:7">
      <c r="B3975" s="118" t="s">
        <v>3227</v>
      </c>
      <c r="C3975" s="119">
        <v>6370</v>
      </c>
      <c r="E3975" s="96" t="s">
        <v>1156</v>
      </c>
      <c r="F3975" s="96" t="s">
        <v>168</v>
      </c>
      <c r="G3975" s="100">
        <v>3182</v>
      </c>
    </row>
    <row r="3976" spans="2:7">
      <c r="B3976" s="118" t="s">
        <v>2007</v>
      </c>
      <c r="C3976" s="119">
        <v>6374</v>
      </c>
      <c r="E3976" s="96" t="s">
        <v>1157</v>
      </c>
      <c r="F3976" s="96" t="s">
        <v>168</v>
      </c>
      <c r="G3976" s="100">
        <v>1628</v>
      </c>
    </row>
    <row r="3977" spans="2:7">
      <c r="B3977" s="118" t="s">
        <v>3228</v>
      </c>
      <c r="C3977" s="119">
        <v>6382</v>
      </c>
      <c r="E3977" s="96" t="s">
        <v>1158</v>
      </c>
      <c r="F3977" s="96" t="s">
        <v>168</v>
      </c>
      <c r="G3977" s="100">
        <v>1687</v>
      </c>
    </row>
    <row r="3978" spans="2:7">
      <c r="B3978" s="118" t="s">
        <v>3229</v>
      </c>
      <c r="C3978" s="119">
        <v>6383</v>
      </c>
      <c r="E3978" s="96" t="s">
        <v>1159</v>
      </c>
      <c r="F3978" s="96" t="s">
        <v>168</v>
      </c>
      <c r="G3978" s="100">
        <v>1468</v>
      </c>
    </row>
    <row r="3979" spans="2:7">
      <c r="B3979" s="118" t="s">
        <v>2009</v>
      </c>
      <c r="C3979" s="119">
        <v>6362</v>
      </c>
      <c r="E3979" s="96" t="s">
        <v>1160</v>
      </c>
      <c r="F3979" s="96" t="s">
        <v>168</v>
      </c>
      <c r="G3979" s="100">
        <v>1663</v>
      </c>
    </row>
    <row r="3980" spans="2:7">
      <c r="B3980" s="118" t="s">
        <v>2005</v>
      </c>
      <c r="C3980" s="119">
        <v>6370</v>
      </c>
      <c r="E3980" s="96" t="s">
        <v>1161</v>
      </c>
      <c r="F3980" s="96" t="s">
        <v>168</v>
      </c>
      <c r="G3980" s="100">
        <v>1678</v>
      </c>
    </row>
    <row r="3981" spans="2:7">
      <c r="B3981" s="118" t="s">
        <v>2012</v>
      </c>
      <c r="C3981" s="119">
        <v>6372</v>
      </c>
      <c r="E3981" s="96" t="s">
        <v>1162</v>
      </c>
      <c r="F3981" s="96" t="s">
        <v>168</v>
      </c>
      <c r="G3981" s="100">
        <v>1713</v>
      </c>
    </row>
    <row r="3982" spans="2:7">
      <c r="B3982" s="118" t="s">
        <v>2008</v>
      </c>
      <c r="C3982" s="119">
        <v>6373</v>
      </c>
      <c r="E3982" s="96" t="s">
        <v>1163</v>
      </c>
      <c r="F3982" s="96" t="s">
        <v>168</v>
      </c>
      <c r="G3982" s="100">
        <v>1715</v>
      </c>
    </row>
    <row r="3983" spans="2:7">
      <c r="B3983" s="118" t="s">
        <v>2009</v>
      </c>
      <c r="C3983" s="119">
        <v>6362</v>
      </c>
      <c r="E3983" s="96" t="s">
        <v>1164</v>
      </c>
      <c r="F3983" s="96" t="s">
        <v>168</v>
      </c>
      <c r="G3983" s="100">
        <v>1721</v>
      </c>
    </row>
    <row r="3984" spans="2:7">
      <c r="B3984" s="118" t="s">
        <v>3225</v>
      </c>
      <c r="C3984" s="119">
        <v>6363</v>
      </c>
      <c r="E3984" s="96" t="s">
        <v>1165</v>
      </c>
      <c r="F3984" s="96" t="s">
        <v>168</v>
      </c>
      <c r="G3984" s="100">
        <v>1721</v>
      </c>
    </row>
    <row r="3985" spans="2:7">
      <c r="B3985" s="118" t="s">
        <v>3230</v>
      </c>
      <c r="C3985" s="119">
        <v>6363</v>
      </c>
      <c r="E3985" s="96" t="s">
        <v>1166</v>
      </c>
      <c r="F3985" s="96" t="s">
        <v>168</v>
      </c>
      <c r="G3985" s="100">
        <v>1772</v>
      </c>
    </row>
    <row r="3986" spans="2:7">
      <c r="B3986" s="118" t="s">
        <v>3226</v>
      </c>
      <c r="C3986" s="119">
        <v>6363</v>
      </c>
      <c r="E3986" s="96" t="s">
        <v>1167</v>
      </c>
      <c r="F3986" s="96" t="s">
        <v>168</v>
      </c>
      <c r="G3986" s="100">
        <v>1633</v>
      </c>
    </row>
    <row r="3987" spans="2:7">
      <c r="B3987" s="118" t="s">
        <v>3129</v>
      </c>
      <c r="C3987" s="119">
        <v>6365</v>
      </c>
      <c r="E3987" s="96" t="s">
        <v>1168</v>
      </c>
      <c r="F3987" s="96" t="s">
        <v>168</v>
      </c>
      <c r="G3987" s="100">
        <v>1754</v>
      </c>
    </row>
    <row r="3988" spans="2:7">
      <c r="B3988" s="118" t="s">
        <v>2014</v>
      </c>
      <c r="C3988" s="119">
        <v>6383</v>
      </c>
      <c r="E3988" s="96" t="s">
        <v>1169</v>
      </c>
      <c r="F3988" s="96" t="s">
        <v>168</v>
      </c>
      <c r="G3988" s="100">
        <v>1690</v>
      </c>
    </row>
    <row r="3989" spans="2:7">
      <c r="B3989" s="118" t="s">
        <v>3229</v>
      </c>
      <c r="C3989" s="119">
        <v>6383</v>
      </c>
      <c r="E3989" s="96" t="s">
        <v>1170</v>
      </c>
      <c r="F3989" s="96" t="s">
        <v>168</v>
      </c>
      <c r="G3989" s="100">
        <v>1566</v>
      </c>
    </row>
    <row r="3990" spans="2:7">
      <c r="B3990" s="118" t="s">
        <v>2013</v>
      </c>
      <c r="C3990" s="119">
        <v>6386</v>
      </c>
      <c r="E3990" s="96" t="s">
        <v>1171</v>
      </c>
      <c r="F3990" s="96" t="s">
        <v>168</v>
      </c>
      <c r="G3990" s="100">
        <v>1482</v>
      </c>
    </row>
    <row r="3991" spans="2:7">
      <c r="B3991" s="118" t="s">
        <v>3231</v>
      </c>
      <c r="C3991" s="119">
        <v>6387</v>
      </c>
      <c r="E3991" s="96" t="s">
        <v>1172</v>
      </c>
      <c r="F3991" s="96" t="s">
        <v>168</v>
      </c>
      <c r="G3991" s="100">
        <v>1634</v>
      </c>
    </row>
    <row r="3992" spans="2:7">
      <c r="B3992" s="118" t="s">
        <v>3213</v>
      </c>
      <c r="C3992" s="119">
        <v>6388</v>
      </c>
      <c r="E3992" s="96" t="s">
        <v>1173</v>
      </c>
      <c r="F3992" s="96" t="s">
        <v>168</v>
      </c>
      <c r="G3992" s="100">
        <v>1735</v>
      </c>
    </row>
    <row r="3993" spans="2:7">
      <c r="B3993" s="118" t="s">
        <v>2021</v>
      </c>
      <c r="C3993" s="119">
        <v>6390</v>
      </c>
      <c r="E3993" s="96" t="s">
        <v>1174</v>
      </c>
      <c r="F3993" s="96" t="s">
        <v>168</v>
      </c>
      <c r="G3993" s="100">
        <v>1660</v>
      </c>
    </row>
    <row r="3994" spans="2:7">
      <c r="B3994" s="118" t="s">
        <v>1581</v>
      </c>
      <c r="C3994" s="119">
        <v>8752</v>
      </c>
      <c r="E3994" s="96" t="s">
        <v>1175</v>
      </c>
      <c r="F3994" s="96" t="s">
        <v>168</v>
      </c>
      <c r="G3994" s="100">
        <v>1753</v>
      </c>
    </row>
    <row r="3995" spans="2:7">
      <c r="B3995" s="118" t="s">
        <v>1586</v>
      </c>
      <c r="C3995" s="119">
        <v>8753</v>
      </c>
      <c r="E3995" s="96" t="s">
        <v>1176</v>
      </c>
      <c r="F3995" s="96" t="s">
        <v>168</v>
      </c>
      <c r="G3995" s="100">
        <v>1673</v>
      </c>
    </row>
    <row r="3996" spans="2:7">
      <c r="B3996" s="118" t="s">
        <v>1578</v>
      </c>
      <c r="C3996" s="119">
        <v>8754</v>
      </c>
      <c r="E3996" s="96" t="s">
        <v>1177</v>
      </c>
      <c r="F3996" s="96" t="s">
        <v>168</v>
      </c>
      <c r="G3996" s="100">
        <v>1741</v>
      </c>
    </row>
    <row r="3997" spans="2:7">
      <c r="B3997" s="118" t="s">
        <v>1583</v>
      </c>
      <c r="C3997" s="119">
        <v>8757</v>
      </c>
      <c r="E3997" s="96" t="s">
        <v>1178</v>
      </c>
      <c r="F3997" s="96" t="s">
        <v>168</v>
      </c>
      <c r="G3997" s="100">
        <v>1615</v>
      </c>
    </row>
    <row r="3998" spans="2:7">
      <c r="B3998" s="118" t="s">
        <v>1584</v>
      </c>
      <c r="C3998" s="119">
        <v>8758</v>
      </c>
      <c r="E3998" s="96" t="s">
        <v>1179</v>
      </c>
      <c r="F3998" s="96" t="s">
        <v>168</v>
      </c>
      <c r="G3998" s="100">
        <v>1733</v>
      </c>
    </row>
    <row r="3999" spans="2:7">
      <c r="B3999" s="118" t="s">
        <v>1580</v>
      </c>
      <c r="C3999" s="119">
        <v>8865</v>
      </c>
      <c r="E3999" s="96" t="s">
        <v>1180</v>
      </c>
      <c r="F3999" s="96" t="s">
        <v>168</v>
      </c>
      <c r="G3999" s="100">
        <v>1483</v>
      </c>
    </row>
    <row r="4000" spans="2:7">
      <c r="B4000" s="118" t="s">
        <v>3232</v>
      </c>
      <c r="C4000" s="119">
        <v>8866</v>
      </c>
      <c r="E4000" s="96" t="s">
        <v>1181</v>
      </c>
      <c r="F4000" s="96" t="s">
        <v>168</v>
      </c>
      <c r="G4000" s="100">
        <v>1623</v>
      </c>
    </row>
    <row r="4001" spans="2:7">
      <c r="B4001" s="118" t="s">
        <v>1582</v>
      </c>
      <c r="C4001" s="119">
        <v>8867</v>
      </c>
      <c r="E4001" s="96" t="s">
        <v>1182</v>
      </c>
      <c r="F4001" s="96" t="s">
        <v>168</v>
      </c>
      <c r="G4001" s="100">
        <v>1785</v>
      </c>
    </row>
    <row r="4002" spans="2:7">
      <c r="B4002" s="118" t="s">
        <v>1579</v>
      </c>
      <c r="C4002" s="119">
        <v>8868</v>
      </c>
      <c r="E4002" s="96" t="s">
        <v>1183</v>
      </c>
      <c r="F4002" s="96" t="s">
        <v>168</v>
      </c>
      <c r="G4002" s="100">
        <v>1625</v>
      </c>
    </row>
    <row r="4003" spans="2:7">
      <c r="B4003" s="118" t="s">
        <v>1865</v>
      </c>
      <c r="C4003" s="119">
        <v>8872</v>
      </c>
      <c r="E4003" s="96" t="s">
        <v>1184</v>
      </c>
      <c r="F4003" s="96" t="s">
        <v>168</v>
      </c>
      <c r="G4003" s="100">
        <v>1666</v>
      </c>
    </row>
    <row r="4004" spans="2:7">
      <c r="B4004" s="118" t="s">
        <v>1585</v>
      </c>
      <c r="C4004" s="119">
        <v>8874</v>
      </c>
      <c r="E4004" s="96" t="s">
        <v>1185</v>
      </c>
      <c r="F4004" s="96" t="s">
        <v>168</v>
      </c>
      <c r="G4004" s="100">
        <v>1694</v>
      </c>
    </row>
    <row r="4005" spans="2:7">
      <c r="B4005" s="118" t="s">
        <v>180</v>
      </c>
      <c r="C4005" s="119">
        <v>8750</v>
      </c>
      <c r="E4005" s="96" t="s">
        <v>1186</v>
      </c>
      <c r="F4005" s="96" t="s">
        <v>168</v>
      </c>
      <c r="G4005" s="100">
        <v>1714</v>
      </c>
    </row>
    <row r="4006" spans="2:7">
      <c r="B4006" s="118" t="s">
        <v>1575</v>
      </c>
      <c r="C4006" s="119">
        <v>8755</v>
      </c>
      <c r="E4006" s="96" t="s">
        <v>1187</v>
      </c>
      <c r="F4006" s="96" t="s">
        <v>168</v>
      </c>
      <c r="G4006" s="100">
        <v>1734</v>
      </c>
    </row>
    <row r="4007" spans="2:7">
      <c r="B4007" s="118" t="s">
        <v>1569</v>
      </c>
      <c r="C4007" s="119">
        <v>8756</v>
      </c>
      <c r="E4007" s="96" t="s">
        <v>1188</v>
      </c>
      <c r="F4007" s="96" t="s">
        <v>168</v>
      </c>
      <c r="G4007" s="100">
        <v>1717</v>
      </c>
    </row>
    <row r="4008" spans="2:7">
      <c r="B4008" s="118" t="s">
        <v>1563</v>
      </c>
      <c r="C4008" s="119">
        <v>8762</v>
      </c>
      <c r="E4008" s="96" t="s">
        <v>1189</v>
      </c>
      <c r="F4008" s="96" t="s">
        <v>168</v>
      </c>
      <c r="G4008" s="100">
        <v>1690</v>
      </c>
    </row>
    <row r="4009" spans="2:7">
      <c r="B4009" s="118" t="s">
        <v>1566</v>
      </c>
      <c r="C4009" s="119">
        <v>8762</v>
      </c>
      <c r="E4009" s="96" t="s">
        <v>1190</v>
      </c>
      <c r="F4009" s="96" t="s">
        <v>168</v>
      </c>
      <c r="G4009" s="100">
        <v>1661</v>
      </c>
    </row>
    <row r="4010" spans="2:7">
      <c r="B4010" s="118" t="s">
        <v>1560</v>
      </c>
      <c r="C4010" s="119">
        <v>8762</v>
      </c>
      <c r="E4010" s="96" t="s">
        <v>1191</v>
      </c>
      <c r="F4010" s="96" t="s">
        <v>168</v>
      </c>
      <c r="G4010" s="100">
        <v>1699</v>
      </c>
    </row>
    <row r="4011" spans="2:7">
      <c r="B4011" s="118" t="s">
        <v>1562</v>
      </c>
      <c r="C4011" s="119">
        <v>8765</v>
      </c>
      <c r="E4011" s="96" t="s">
        <v>1192</v>
      </c>
      <c r="F4011" s="96" t="s">
        <v>168</v>
      </c>
      <c r="G4011" s="100">
        <v>3216</v>
      </c>
    </row>
    <row r="4012" spans="2:7">
      <c r="B4012" s="118" t="s">
        <v>1574</v>
      </c>
      <c r="C4012" s="119">
        <v>8766</v>
      </c>
      <c r="E4012" s="96" t="s">
        <v>1193</v>
      </c>
      <c r="F4012" s="96" t="s">
        <v>168</v>
      </c>
      <c r="G4012" s="100">
        <v>1624</v>
      </c>
    </row>
    <row r="4013" spans="2:7">
      <c r="B4013" s="118" t="s">
        <v>1565</v>
      </c>
      <c r="C4013" s="119">
        <v>8767</v>
      </c>
      <c r="E4013" s="96" t="s">
        <v>1194</v>
      </c>
      <c r="F4013" s="96" t="s">
        <v>168</v>
      </c>
      <c r="G4013" s="100">
        <v>1475</v>
      </c>
    </row>
    <row r="4014" spans="2:7">
      <c r="B4014" s="118" t="s">
        <v>1570</v>
      </c>
      <c r="C4014" s="119">
        <v>8772</v>
      </c>
      <c r="E4014" s="96" t="s">
        <v>1195</v>
      </c>
      <c r="F4014" s="96" t="s">
        <v>168</v>
      </c>
      <c r="G4014" s="100">
        <v>1782</v>
      </c>
    </row>
    <row r="4015" spans="2:7">
      <c r="B4015" s="118" t="s">
        <v>1571</v>
      </c>
      <c r="C4015" s="119">
        <v>8773</v>
      </c>
      <c r="E4015" s="96" t="s">
        <v>1196</v>
      </c>
      <c r="F4015" s="96" t="s">
        <v>168</v>
      </c>
      <c r="G4015" s="100">
        <v>1731</v>
      </c>
    </row>
    <row r="4016" spans="2:7">
      <c r="B4016" s="118" t="s">
        <v>1559</v>
      </c>
      <c r="C4016" s="119">
        <v>8774</v>
      </c>
      <c r="E4016" s="96" t="s">
        <v>1197</v>
      </c>
      <c r="F4016" s="96" t="s">
        <v>168</v>
      </c>
      <c r="G4016" s="100">
        <v>1746</v>
      </c>
    </row>
    <row r="4017" spans="2:7">
      <c r="B4017" s="118" t="s">
        <v>1572</v>
      </c>
      <c r="C4017" s="119">
        <v>8775</v>
      </c>
      <c r="E4017" s="96" t="s">
        <v>1198</v>
      </c>
      <c r="F4017" s="96" t="s">
        <v>168</v>
      </c>
      <c r="G4017" s="100">
        <v>1568</v>
      </c>
    </row>
    <row r="4018" spans="2:7">
      <c r="B4018" s="118" t="s">
        <v>1558</v>
      </c>
      <c r="C4018" s="119">
        <v>8775</v>
      </c>
      <c r="E4018" s="96" t="s">
        <v>1199</v>
      </c>
      <c r="F4018" s="96" t="s">
        <v>168</v>
      </c>
      <c r="G4018" s="100">
        <v>1642</v>
      </c>
    </row>
    <row r="4019" spans="2:7">
      <c r="B4019" s="118" t="s">
        <v>1568</v>
      </c>
      <c r="C4019" s="119">
        <v>8777</v>
      </c>
      <c r="E4019" s="96" t="s">
        <v>1200</v>
      </c>
      <c r="F4019" s="96" t="s">
        <v>168</v>
      </c>
      <c r="G4019" s="100">
        <v>1718</v>
      </c>
    </row>
    <row r="4020" spans="2:7">
      <c r="B4020" s="118" t="s">
        <v>1564</v>
      </c>
      <c r="C4020" s="119">
        <v>8777</v>
      </c>
      <c r="E4020" s="96" t="s">
        <v>1201</v>
      </c>
      <c r="F4020" s="96" t="s">
        <v>168</v>
      </c>
      <c r="G4020" s="100">
        <v>1684</v>
      </c>
    </row>
    <row r="4021" spans="2:7">
      <c r="B4021" s="118" t="s">
        <v>1573</v>
      </c>
      <c r="C4021" s="119">
        <v>8782</v>
      </c>
      <c r="E4021" s="96" t="s">
        <v>1202</v>
      </c>
      <c r="F4021" s="96" t="s">
        <v>168</v>
      </c>
      <c r="G4021" s="100">
        <v>1617</v>
      </c>
    </row>
    <row r="4022" spans="2:7">
      <c r="B4022" s="118" t="s">
        <v>1567</v>
      </c>
      <c r="C4022" s="119">
        <v>8783</v>
      </c>
      <c r="E4022" s="96" t="s">
        <v>1203</v>
      </c>
      <c r="F4022" s="96" t="s">
        <v>168</v>
      </c>
      <c r="G4022" s="100">
        <v>1627</v>
      </c>
    </row>
    <row r="4023" spans="2:7">
      <c r="B4023" s="118" t="s">
        <v>1561</v>
      </c>
      <c r="C4023" s="119">
        <v>8784</v>
      </c>
      <c r="E4023" s="96" t="s">
        <v>1204</v>
      </c>
      <c r="F4023" s="96" t="s">
        <v>168</v>
      </c>
      <c r="G4023" s="100">
        <v>1544</v>
      </c>
    </row>
    <row r="4024" spans="2:7">
      <c r="B4024" s="118" t="s">
        <v>180</v>
      </c>
      <c r="C4024" s="119">
        <v>8750</v>
      </c>
      <c r="E4024" s="96" t="s">
        <v>1205</v>
      </c>
      <c r="F4024" s="96" t="s">
        <v>168</v>
      </c>
      <c r="G4024" s="100">
        <v>1737</v>
      </c>
    </row>
    <row r="4025" spans="2:7">
      <c r="B4025" s="118" t="s">
        <v>1576</v>
      </c>
      <c r="C4025" s="119">
        <v>8750</v>
      </c>
      <c r="E4025" s="96" t="s">
        <v>1206</v>
      </c>
      <c r="F4025" s="96" t="s">
        <v>168</v>
      </c>
      <c r="G4025" s="100">
        <v>1532</v>
      </c>
    </row>
    <row r="4026" spans="2:7">
      <c r="B4026" s="118" t="s">
        <v>1577</v>
      </c>
      <c r="C4026" s="119">
        <v>8750</v>
      </c>
      <c r="E4026" s="96" t="s">
        <v>1207</v>
      </c>
      <c r="F4026" s="96" t="s">
        <v>168</v>
      </c>
      <c r="G4026" s="100">
        <v>1609</v>
      </c>
    </row>
    <row r="4027" spans="2:7">
      <c r="B4027" s="118" t="s">
        <v>1578</v>
      </c>
      <c r="C4027" s="119">
        <v>8754</v>
      </c>
      <c r="E4027" s="96" t="s">
        <v>1208</v>
      </c>
      <c r="F4027" s="96" t="s">
        <v>168</v>
      </c>
      <c r="G4027" s="100">
        <v>1691</v>
      </c>
    </row>
    <row r="4028" spans="2:7">
      <c r="B4028" s="118" t="s">
        <v>1575</v>
      </c>
      <c r="C4028" s="119">
        <v>8755</v>
      </c>
      <c r="E4028" s="96" t="s">
        <v>1209</v>
      </c>
      <c r="F4028" s="96" t="s">
        <v>168</v>
      </c>
      <c r="G4028" s="100">
        <v>1736</v>
      </c>
    </row>
    <row r="4029" spans="2:7">
      <c r="B4029" s="118" t="s">
        <v>1547</v>
      </c>
      <c r="C4029" s="119">
        <v>6300</v>
      </c>
      <c r="E4029" s="96" t="s">
        <v>1210</v>
      </c>
      <c r="F4029" s="96" t="s">
        <v>168</v>
      </c>
      <c r="G4029" s="100">
        <v>3286</v>
      </c>
    </row>
    <row r="4030" spans="2:7">
      <c r="B4030" s="118" t="s">
        <v>1551</v>
      </c>
      <c r="C4030" s="119">
        <v>6312</v>
      </c>
      <c r="E4030" s="96" t="s">
        <v>1211</v>
      </c>
      <c r="F4030" s="96" t="s">
        <v>168</v>
      </c>
      <c r="G4030" s="100">
        <v>1785</v>
      </c>
    </row>
    <row r="4031" spans="2:7">
      <c r="B4031" s="118" t="s">
        <v>3233</v>
      </c>
      <c r="C4031" s="119">
        <v>6314</v>
      </c>
      <c r="E4031" s="96" t="s">
        <v>1212</v>
      </c>
      <c r="F4031" s="96" t="s">
        <v>168</v>
      </c>
      <c r="G4031" s="100">
        <v>1749</v>
      </c>
    </row>
    <row r="4032" spans="2:7">
      <c r="B4032" s="118" t="s">
        <v>3234</v>
      </c>
      <c r="C4032" s="119">
        <v>6319</v>
      </c>
      <c r="E4032" s="96" t="s">
        <v>1213</v>
      </c>
      <c r="F4032" s="96" t="s">
        <v>168</v>
      </c>
      <c r="G4032" s="100">
        <v>1732</v>
      </c>
    </row>
    <row r="4033" spans="2:7">
      <c r="B4033" s="118" t="s">
        <v>1548</v>
      </c>
      <c r="C4033" s="119">
        <v>6340</v>
      </c>
      <c r="E4033" s="96" t="s">
        <v>1214</v>
      </c>
      <c r="F4033" s="96" t="s">
        <v>168</v>
      </c>
      <c r="G4033" s="100">
        <v>1647</v>
      </c>
    </row>
    <row r="4034" spans="2:7">
      <c r="B4034" s="118" t="s">
        <v>1557</v>
      </c>
      <c r="C4034" s="119">
        <v>6345</v>
      </c>
      <c r="E4034" s="96" t="s">
        <v>1215</v>
      </c>
      <c r="F4034" s="96" t="s">
        <v>168</v>
      </c>
      <c r="G4034" s="100">
        <v>1614</v>
      </c>
    </row>
    <row r="4035" spans="2:7">
      <c r="B4035" s="118" t="s">
        <v>1549</v>
      </c>
      <c r="C4035" s="119">
        <v>6330</v>
      </c>
      <c r="E4035" s="96" t="s">
        <v>1216</v>
      </c>
      <c r="F4035" s="96" t="s">
        <v>168</v>
      </c>
      <c r="G4035" s="100">
        <v>1744</v>
      </c>
    </row>
    <row r="4036" spans="2:7">
      <c r="B4036" s="118" t="s">
        <v>1552</v>
      </c>
      <c r="C4036" s="119">
        <v>6331</v>
      </c>
      <c r="E4036" s="96" t="s">
        <v>1217</v>
      </c>
      <c r="F4036" s="96" t="s">
        <v>168</v>
      </c>
      <c r="G4036" s="100">
        <v>1666</v>
      </c>
    </row>
    <row r="4037" spans="2:7">
      <c r="B4037" s="118" t="s">
        <v>3235</v>
      </c>
      <c r="C4037" s="119">
        <v>6332</v>
      </c>
      <c r="E4037" s="96" t="s">
        <v>1218</v>
      </c>
      <c r="F4037" s="96" t="s">
        <v>168</v>
      </c>
      <c r="G4037" s="100">
        <v>1553</v>
      </c>
    </row>
    <row r="4038" spans="2:7">
      <c r="B4038" s="118" t="s">
        <v>632</v>
      </c>
      <c r="C4038" s="119">
        <v>5642</v>
      </c>
      <c r="E4038" s="96" t="s">
        <v>1219</v>
      </c>
      <c r="F4038" s="96" t="s">
        <v>168</v>
      </c>
      <c r="G4038" s="100">
        <v>1646</v>
      </c>
    </row>
    <row r="4039" spans="2:7">
      <c r="B4039" s="118" t="s">
        <v>1552</v>
      </c>
      <c r="C4039" s="119">
        <v>6331</v>
      </c>
      <c r="E4039" s="96" t="s">
        <v>1220</v>
      </c>
      <c r="F4039" s="96" t="s">
        <v>168</v>
      </c>
      <c r="G4039" s="100">
        <v>1742</v>
      </c>
    </row>
    <row r="4040" spans="2:7">
      <c r="B4040" s="118" t="s">
        <v>3235</v>
      </c>
      <c r="C4040" s="119">
        <v>6332</v>
      </c>
      <c r="E4040" s="96" t="s">
        <v>1221</v>
      </c>
      <c r="F4040" s="96" t="s">
        <v>168</v>
      </c>
      <c r="G4040" s="100">
        <v>1681</v>
      </c>
    </row>
    <row r="4041" spans="2:7">
      <c r="B4041" s="118" t="s">
        <v>3236</v>
      </c>
      <c r="C4041" s="119">
        <v>6333</v>
      </c>
      <c r="E4041" s="96" t="s">
        <v>1222</v>
      </c>
      <c r="F4041" s="96" t="s">
        <v>168</v>
      </c>
      <c r="G4041" s="100">
        <v>1772</v>
      </c>
    </row>
    <row r="4042" spans="2:7">
      <c r="B4042" s="118" t="s">
        <v>1555</v>
      </c>
      <c r="C4042" s="119">
        <v>6313</v>
      </c>
      <c r="E4042" s="96" t="s">
        <v>1223</v>
      </c>
      <c r="F4042" s="96" t="s">
        <v>168</v>
      </c>
      <c r="G4042" s="100">
        <v>1528</v>
      </c>
    </row>
    <row r="4043" spans="2:7">
      <c r="B4043" s="118" t="s">
        <v>1555</v>
      </c>
      <c r="C4043" s="119">
        <v>6313</v>
      </c>
      <c r="E4043" s="96" t="s">
        <v>1224</v>
      </c>
      <c r="F4043" s="96" t="s">
        <v>168</v>
      </c>
      <c r="G4043" s="100">
        <v>1754</v>
      </c>
    </row>
    <row r="4044" spans="2:7">
      <c r="B4044" s="118" t="s">
        <v>3237</v>
      </c>
      <c r="C4044" s="119">
        <v>6313</v>
      </c>
      <c r="E4044" s="96" t="s">
        <v>1225</v>
      </c>
      <c r="F4044" s="96" t="s">
        <v>168</v>
      </c>
      <c r="G4044" s="100">
        <v>3285</v>
      </c>
    </row>
    <row r="4045" spans="2:7">
      <c r="B4045" s="118" t="s">
        <v>3238</v>
      </c>
      <c r="C4045" s="119">
        <v>6313</v>
      </c>
      <c r="E4045" s="96" t="s">
        <v>1226</v>
      </c>
      <c r="F4045" s="96" t="s">
        <v>168</v>
      </c>
      <c r="G4045" s="100">
        <v>1656</v>
      </c>
    </row>
    <row r="4046" spans="2:7">
      <c r="B4046" s="118" t="s">
        <v>3233</v>
      </c>
      <c r="C4046" s="119">
        <v>6314</v>
      </c>
      <c r="E4046" s="96" t="s">
        <v>1227</v>
      </c>
      <c r="F4046" s="96" t="s">
        <v>168</v>
      </c>
      <c r="G4046" s="100">
        <v>1719</v>
      </c>
    </row>
    <row r="4047" spans="2:7">
      <c r="B4047" s="118" t="s">
        <v>3239</v>
      </c>
      <c r="C4047" s="119">
        <v>6315</v>
      </c>
      <c r="E4047" s="96" t="s">
        <v>1228</v>
      </c>
      <c r="F4047" s="96" t="s">
        <v>168</v>
      </c>
      <c r="G4047" s="100">
        <v>3213</v>
      </c>
    </row>
    <row r="4048" spans="2:7">
      <c r="B4048" s="118" t="s">
        <v>1555</v>
      </c>
      <c r="C4048" s="119">
        <v>6313</v>
      </c>
      <c r="E4048" s="96" t="s">
        <v>1229</v>
      </c>
      <c r="F4048" s="96" t="s">
        <v>168</v>
      </c>
      <c r="G4048" s="100">
        <v>1648</v>
      </c>
    </row>
    <row r="4049" spans="2:7">
      <c r="B4049" s="118" t="s">
        <v>1548</v>
      </c>
      <c r="C4049" s="119">
        <v>6340</v>
      </c>
      <c r="E4049" s="96" t="s">
        <v>1230</v>
      </c>
      <c r="F4049" s="96" t="s">
        <v>168</v>
      </c>
      <c r="G4049" s="100">
        <v>1649</v>
      </c>
    </row>
    <row r="4050" spans="2:7">
      <c r="B4050" s="118" t="s">
        <v>2785</v>
      </c>
      <c r="C4050" s="119">
        <v>6340</v>
      </c>
      <c r="E4050" s="96" t="s">
        <v>1231</v>
      </c>
      <c r="F4050" s="96" t="s">
        <v>168</v>
      </c>
      <c r="G4050" s="100">
        <v>1638</v>
      </c>
    </row>
    <row r="4051" spans="2:7">
      <c r="B4051" s="118" t="s">
        <v>1557</v>
      </c>
      <c r="C4051" s="119">
        <v>6345</v>
      </c>
      <c r="E4051" s="96" t="s">
        <v>1232</v>
      </c>
      <c r="F4051" s="96" t="s">
        <v>168</v>
      </c>
      <c r="G4051" s="100">
        <v>3280</v>
      </c>
    </row>
    <row r="4052" spans="2:7">
      <c r="B4052" s="118" t="s">
        <v>1553</v>
      </c>
      <c r="C4052" s="119">
        <v>6314</v>
      </c>
      <c r="E4052" s="96" t="s">
        <v>1233</v>
      </c>
      <c r="F4052" s="96" t="s">
        <v>168</v>
      </c>
      <c r="G4052" s="100">
        <v>1652</v>
      </c>
    </row>
    <row r="4053" spans="2:7">
      <c r="B4053" s="118" t="s">
        <v>1554</v>
      </c>
      <c r="C4053" s="119">
        <v>6315</v>
      </c>
      <c r="E4053" s="96" t="s">
        <v>1234</v>
      </c>
      <c r="F4053" s="96" t="s">
        <v>168</v>
      </c>
      <c r="G4053" s="100">
        <v>1692</v>
      </c>
    </row>
    <row r="4054" spans="2:7">
      <c r="B4054" s="118" t="s">
        <v>3239</v>
      </c>
      <c r="C4054" s="119">
        <v>6315</v>
      </c>
      <c r="E4054" s="96" t="s">
        <v>1235</v>
      </c>
      <c r="F4054" s="96" t="s">
        <v>168</v>
      </c>
      <c r="G4054" s="100">
        <v>3284</v>
      </c>
    </row>
    <row r="4055" spans="2:7">
      <c r="B4055" s="118" t="s">
        <v>3206</v>
      </c>
      <c r="C4055" s="119">
        <v>6315</v>
      </c>
      <c r="E4055" s="96" t="s">
        <v>1236</v>
      </c>
      <c r="F4055" s="96" t="s">
        <v>168</v>
      </c>
      <c r="G4055" s="100">
        <v>1473</v>
      </c>
    </row>
    <row r="4056" spans="2:7">
      <c r="B4056" s="118" t="s">
        <v>1419</v>
      </c>
      <c r="C4056" s="119">
        <v>6417</v>
      </c>
      <c r="E4056" s="96" t="s">
        <v>1237</v>
      </c>
      <c r="F4056" s="96" t="s">
        <v>168</v>
      </c>
      <c r="G4056" s="100">
        <v>3211</v>
      </c>
    </row>
    <row r="4057" spans="2:7">
      <c r="B4057" s="118" t="s">
        <v>1417</v>
      </c>
      <c r="C4057" s="119">
        <v>6418</v>
      </c>
      <c r="E4057" s="96" t="s">
        <v>1238</v>
      </c>
      <c r="F4057" s="96" t="s">
        <v>168</v>
      </c>
      <c r="G4057" s="100">
        <v>1565</v>
      </c>
    </row>
    <row r="4058" spans="2:7">
      <c r="B4058" s="118" t="s">
        <v>3178</v>
      </c>
      <c r="C4058" s="119">
        <v>8836</v>
      </c>
      <c r="E4058" s="96" t="s">
        <v>1239</v>
      </c>
      <c r="F4058" s="96" t="s">
        <v>168</v>
      </c>
      <c r="G4058" s="100">
        <v>1485</v>
      </c>
    </row>
    <row r="4059" spans="2:7">
      <c r="B4059" s="118" t="s">
        <v>3240</v>
      </c>
      <c r="C4059" s="119">
        <v>6343</v>
      </c>
      <c r="E4059" s="96" t="s">
        <v>1240</v>
      </c>
      <c r="F4059" s="96" t="s">
        <v>168</v>
      </c>
      <c r="G4059" s="100">
        <v>1727</v>
      </c>
    </row>
    <row r="4060" spans="2:7">
      <c r="B4060" s="118" t="s">
        <v>3241</v>
      </c>
      <c r="C4060" s="119">
        <v>6343</v>
      </c>
      <c r="E4060" s="96" t="s">
        <v>1241</v>
      </c>
      <c r="F4060" s="96" t="s">
        <v>168</v>
      </c>
      <c r="G4060" s="100">
        <v>1533</v>
      </c>
    </row>
    <row r="4061" spans="2:7">
      <c r="B4061" s="118" t="s">
        <v>1550</v>
      </c>
      <c r="C4061" s="119">
        <v>6343</v>
      </c>
      <c r="E4061" s="96" t="s">
        <v>1242</v>
      </c>
      <c r="F4061" s="96" t="s">
        <v>168</v>
      </c>
      <c r="G4061" s="100">
        <v>1529</v>
      </c>
    </row>
    <row r="4062" spans="2:7">
      <c r="B4062" s="118" t="s">
        <v>3242</v>
      </c>
      <c r="C4062" s="119">
        <v>6343</v>
      </c>
      <c r="E4062" s="96" t="s">
        <v>1243</v>
      </c>
      <c r="F4062" s="96" t="s">
        <v>168</v>
      </c>
      <c r="G4062" s="100">
        <v>1674</v>
      </c>
    </row>
    <row r="4063" spans="2:7">
      <c r="B4063" s="118" t="s">
        <v>1551</v>
      </c>
      <c r="C4063" s="119">
        <v>6312</v>
      </c>
      <c r="E4063" s="96" t="s">
        <v>1244</v>
      </c>
      <c r="F4063" s="96" t="s">
        <v>168</v>
      </c>
      <c r="G4063" s="100">
        <v>1669</v>
      </c>
    </row>
    <row r="4064" spans="2:7">
      <c r="B4064" s="118" t="s">
        <v>1549</v>
      </c>
      <c r="C4064" s="119">
        <v>6330</v>
      </c>
      <c r="E4064" s="96" t="s">
        <v>1245</v>
      </c>
      <c r="F4064" s="96" t="s">
        <v>168</v>
      </c>
      <c r="G4064" s="100">
        <v>1673</v>
      </c>
    </row>
    <row r="4065" spans="2:7">
      <c r="B4065" s="118" t="s">
        <v>1553</v>
      </c>
      <c r="C4065" s="119">
        <v>6314</v>
      </c>
      <c r="E4065" s="96" t="s">
        <v>1246</v>
      </c>
      <c r="F4065" s="96" t="s">
        <v>168</v>
      </c>
      <c r="G4065" s="100">
        <v>1653</v>
      </c>
    </row>
    <row r="4066" spans="2:7">
      <c r="B4066" s="118" t="s">
        <v>3233</v>
      </c>
      <c r="C4066" s="119">
        <v>6314</v>
      </c>
      <c r="E4066" s="96" t="s">
        <v>1247</v>
      </c>
      <c r="F4066" s="96" t="s">
        <v>168</v>
      </c>
      <c r="G4066" s="100">
        <v>1541</v>
      </c>
    </row>
    <row r="4067" spans="2:7">
      <c r="B4067" s="118" t="s">
        <v>1554</v>
      </c>
      <c r="C4067" s="119">
        <v>6315</v>
      </c>
      <c r="E4067" s="96" t="s">
        <v>1248</v>
      </c>
      <c r="F4067" s="96" t="s">
        <v>168</v>
      </c>
      <c r="G4067" s="100">
        <v>3215</v>
      </c>
    </row>
    <row r="4068" spans="2:7">
      <c r="B4068" s="118" t="s">
        <v>1556</v>
      </c>
      <c r="C4068" s="119">
        <v>6318</v>
      </c>
      <c r="E4068" s="96" t="s">
        <v>1249</v>
      </c>
      <c r="F4068" s="96" t="s">
        <v>168</v>
      </c>
      <c r="G4068" s="100">
        <v>1673</v>
      </c>
    </row>
    <row r="4069" spans="2:7">
      <c r="B4069" s="118" t="s">
        <v>1547</v>
      </c>
      <c r="C4069" s="119">
        <v>6300</v>
      </c>
      <c r="E4069" s="96" t="s">
        <v>1250</v>
      </c>
      <c r="F4069" s="96" t="s">
        <v>168</v>
      </c>
      <c r="G4069" s="100">
        <v>1653</v>
      </c>
    </row>
    <row r="4070" spans="2:7">
      <c r="B4070" s="118" t="s">
        <v>3243</v>
      </c>
      <c r="C4070" s="119">
        <v>6300</v>
      </c>
      <c r="E4070" s="96" t="s">
        <v>1251</v>
      </c>
      <c r="F4070" s="96" t="s">
        <v>168</v>
      </c>
      <c r="G4070" s="100">
        <v>1724</v>
      </c>
    </row>
    <row r="4071" spans="2:7">
      <c r="B4071" s="118" t="s">
        <v>3233</v>
      </c>
      <c r="C4071" s="119">
        <v>6314</v>
      </c>
      <c r="E4071" s="96" t="s">
        <v>1252</v>
      </c>
      <c r="F4071" s="96" t="s">
        <v>168</v>
      </c>
      <c r="G4071" s="100">
        <v>1608</v>
      </c>
    </row>
    <row r="4072" spans="2:7">
      <c r="B4072" s="118" t="s">
        <v>3244</v>
      </c>
      <c r="C4072" s="119">
        <v>6317</v>
      </c>
      <c r="E4072" s="96" t="s">
        <v>1253</v>
      </c>
      <c r="F4072" s="96" t="s">
        <v>168</v>
      </c>
      <c r="G4072" s="100">
        <v>1686</v>
      </c>
    </row>
    <row r="4073" spans="2:7">
      <c r="B4073" s="118" t="s">
        <v>1556</v>
      </c>
      <c r="C4073" s="119">
        <v>6318</v>
      </c>
      <c r="E4073" s="96" t="s">
        <v>1254</v>
      </c>
      <c r="F4073" s="96" t="s">
        <v>168</v>
      </c>
      <c r="G4073" s="100">
        <v>3280</v>
      </c>
    </row>
    <row r="4074" spans="2:7">
      <c r="B4074" s="118" t="s">
        <v>1549</v>
      </c>
      <c r="C4074" s="119">
        <v>6330</v>
      </c>
      <c r="E4074" s="96" t="s">
        <v>1255</v>
      </c>
      <c r="F4074" s="96" t="s">
        <v>168</v>
      </c>
      <c r="G4074" s="100">
        <v>1724</v>
      </c>
    </row>
    <row r="4075" spans="2:7">
      <c r="B4075" s="118" t="s">
        <v>3245</v>
      </c>
      <c r="C4075" s="119">
        <v>1473</v>
      </c>
      <c r="E4075" s="96" t="s">
        <v>1256</v>
      </c>
      <c r="F4075" s="96" t="s">
        <v>168</v>
      </c>
      <c r="G4075" s="100">
        <v>1723</v>
      </c>
    </row>
    <row r="4076" spans="2:7">
      <c r="B4076" s="118" t="s">
        <v>3246</v>
      </c>
      <c r="C4076" s="119">
        <v>1482</v>
      </c>
      <c r="E4076" s="96" t="s">
        <v>1257</v>
      </c>
      <c r="F4076" s="96" t="s">
        <v>168</v>
      </c>
      <c r="G4076" s="100">
        <v>1723</v>
      </c>
    </row>
    <row r="4077" spans="2:7">
      <c r="B4077" s="118" t="s">
        <v>3247</v>
      </c>
      <c r="C4077" s="119">
        <v>1483</v>
      </c>
      <c r="E4077" s="96" t="s">
        <v>1258</v>
      </c>
      <c r="F4077" s="96" t="s">
        <v>168</v>
      </c>
      <c r="G4077" s="100">
        <v>1410</v>
      </c>
    </row>
    <row r="4078" spans="2:7">
      <c r="B4078" s="118" t="s">
        <v>1206</v>
      </c>
      <c r="C4078" s="119">
        <v>1532</v>
      </c>
      <c r="E4078" s="96" t="s">
        <v>1259</v>
      </c>
      <c r="F4078" s="96" t="s">
        <v>168</v>
      </c>
      <c r="G4078" s="100">
        <v>3238</v>
      </c>
    </row>
    <row r="4079" spans="2:7">
      <c r="B4079" s="118" t="s">
        <v>1204</v>
      </c>
      <c r="C4079" s="119">
        <v>1544</v>
      </c>
      <c r="E4079" s="96" t="s">
        <v>1260</v>
      </c>
      <c r="F4079" s="96" t="s">
        <v>180</v>
      </c>
      <c r="G4079" s="100">
        <v>8757</v>
      </c>
    </row>
    <row r="4080" spans="2:7">
      <c r="B4080" s="118" t="s">
        <v>3248</v>
      </c>
      <c r="C4080" s="119">
        <v>1470</v>
      </c>
      <c r="E4080" s="96" t="s">
        <v>180</v>
      </c>
      <c r="F4080" s="96" t="s">
        <v>180</v>
      </c>
      <c r="G4080" s="100">
        <v>8750</v>
      </c>
    </row>
    <row r="4081" spans="2:7">
      <c r="B4081" s="118" t="s">
        <v>3249</v>
      </c>
      <c r="C4081" s="119">
        <v>1470</v>
      </c>
      <c r="E4081" s="96" t="s">
        <v>1261</v>
      </c>
      <c r="F4081" s="96" t="s">
        <v>180</v>
      </c>
      <c r="G4081" s="100">
        <v>8762</v>
      </c>
    </row>
    <row r="4082" spans="2:7">
      <c r="B4082" s="118" t="s">
        <v>3250</v>
      </c>
      <c r="C4082" s="119">
        <v>1470</v>
      </c>
      <c r="E4082" s="96" t="s">
        <v>165</v>
      </c>
      <c r="F4082" s="96" t="s">
        <v>165</v>
      </c>
      <c r="G4082" s="100">
        <v>6000</v>
      </c>
    </row>
    <row r="4083" spans="2:7">
      <c r="B4083" s="118" t="s">
        <v>3251</v>
      </c>
      <c r="C4083" s="119">
        <v>1470</v>
      </c>
      <c r="E4083" s="96" t="s">
        <v>1262</v>
      </c>
      <c r="F4083" s="96" t="s">
        <v>165</v>
      </c>
      <c r="G4083" s="100">
        <v>6032</v>
      </c>
    </row>
    <row r="4084" spans="2:7">
      <c r="B4084" s="118" t="s">
        <v>1241</v>
      </c>
      <c r="C4084" s="119">
        <v>1533</v>
      </c>
      <c r="E4084" s="96" t="s">
        <v>1263</v>
      </c>
      <c r="F4084" s="96" t="s">
        <v>165</v>
      </c>
      <c r="G4084" s="100">
        <v>6010</v>
      </c>
    </row>
    <row r="4085" spans="2:7">
      <c r="B4085" s="118" t="s">
        <v>257</v>
      </c>
      <c r="C4085" s="119">
        <v>1562</v>
      </c>
      <c r="E4085" s="96" t="s">
        <v>1264</v>
      </c>
      <c r="F4085" s="96" t="s">
        <v>165</v>
      </c>
      <c r="G4085" s="100">
        <v>6048</v>
      </c>
    </row>
    <row r="4086" spans="2:7">
      <c r="B4086" s="118" t="s">
        <v>3252</v>
      </c>
      <c r="C4086" s="119">
        <v>1774</v>
      </c>
      <c r="E4086" s="96" t="s">
        <v>1265</v>
      </c>
      <c r="F4086" s="96" t="s">
        <v>165</v>
      </c>
      <c r="G4086" s="100">
        <v>6030</v>
      </c>
    </row>
    <row r="4087" spans="2:7">
      <c r="B4087" s="118" t="s">
        <v>3252</v>
      </c>
      <c r="C4087" s="119">
        <v>1774</v>
      </c>
      <c r="E4087" s="96" t="s">
        <v>1266</v>
      </c>
      <c r="F4087" s="96" t="s">
        <v>165</v>
      </c>
      <c r="G4087" s="100">
        <v>6210</v>
      </c>
    </row>
    <row r="4088" spans="2:7">
      <c r="B4088" s="118" t="s">
        <v>3253</v>
      </c>
      <c r="C4088" s="119">
        <v>1774</v>
      </c>
      <c r="E4088" s="96" t="s">
        <v>1267</v>
      </c>
      <c r="F4088" s="96" t="s">
        <v>165</v>
      </c>
      <c r="G4088" s="100">
        <v>6280</v>
      </c>
    </row>
    <row r="4089" spans="2:7">
      <c r="B4089" s="118" t="s">
        <v>3254</v>
      </c>
      <c r="C4089" s="119">
        <v>1775</v>
      </c>
      <c r="E4089" s="96" t="s">
        <v>1268</v>
      </c>
      <c r="F4089" s="96" t="s">
        <v>165</v>
      </c>
      <c r="G4089" s="100">
        <v>6130</v>
      </c>
    </row>
    <row r="4090" spans="2:7">
      <c r="B4090" s="118" t="s">
        <v>3255</v>
      </c>
      <c r="C4090" s="119">
        <v>1775</v>
      </c>
      <c r="E4090" s="96" t="s">
        <v>1269</v>
      </c>
      <c r="F4090" s="96" t="s">
        <v>165</v>
      </c>
      <c r="G4090" s="100">
        <v>6023</v>
      </c>
    </row>
    <row r="4091" spans="2:7">
      <c r="B4091" s="118" t="s">
        <v>3256</v>
      </c>
      <c r="C4091" s="119">
        <v>1776</v>
      </c>
      <c r="E4091" s="96" t="s">
        <v>1270</v>
      </c>
      <c r="F4091" s="96" t="s">
        <v>165</v>
      </c>
      <c r="G4091" s="100">
        <v>6102</v>
      </c>
    </row>
    <row r="4092" spans="2:7">
      <c r="B4092" s="118" t="s">
        <v>1239</v>
      </c>
      <c r="C4092" s="119">
        <v>1485</v>
      </c>
      <c r="E4092" s="96" t="s">
        <v>1271</v>
      </c>
      <c r="F4092" s="96" t="s">
        <v>165</v>
      </c>
      <c r="G4092" s="100">
        <v>6045</v>
      </c>
    </row>
    <row r="4093" spans="2:7">
      <c r="B4093" s="118" t="s">
        <v>1258</v>
      </c>
      <c r="C4093" s="119">
        <v>1410</v>
      </c>
      <c r="E4093" s="96" t="s">
        <v>1272</v>
      </c>
      <c r="F4093" s="96" t="s">
        <v>165</v>
      </c>
      <c r="G4093" s="100">
        <v>6206</v>
      </c>
    </row>
    <row r="4094" spans="2:7">
      <c r="B4094" s="118" t="s">
        <v>3257</v>
      </c>
      <c r="C4094" s="119">
        <v>1566</v>
      </c>
      <c r="E4094" s="96" t="s">
        <v>1273</v>
      </c>
      <c r="F4094" s="96" t="s">
        <v>165</v>
      </c>
      <c r="G4094" s="100">
        <v>6260</v>
      </c>
    </row>
    <row r="4095" spans="2:7">
      <c r="B4095" s="118" t="s">
        <v>3258</v>
      </c>
      <c r="C4095" s="119">
        <v>1566</v>
      </c>
      <c r="E4095" s="96" t="s">
        <v>1274</v>
      </c>
      <c r="F4095" s="96" t="s">
        <v>165</v>
      </c>
      <c r="G4095" s="100">
        <v>6017</v>
      </c>
    </row>
    <row r="4096" spans="2:7">
      <c r="B4096" s="118" t="s">
        <v>1247</v>
      </c>
      <c r="C4096" s="119">
        <v>1541</v>
      </c>
      <c r="E4096" s="96" t="s">
        <v>1275</v>
      </c>
      <c r="F4096" s="96" t="s">
        <v>165</v>
      </c>
      <c r="G4096" s="100">
        <v>6215</v>
      </c>
    </row>
    <row r="4097" spans="2:7">
      <c r="B4097" s="118" t="s">
        <v>3259</v>
      </c>
      <c r="C4097" s="119">
        <v>1525</v>
      </c>
      <c r="E4097" s="96" t="s">
        <v>1276</v>
      </c>
      <c r="F4097" s="96" t="s">
        <v>165</v>
      </c>
      <c r="G4097" s="100">
        <v>6033</v>
      </c>
    </row>
    <row r="4098" spans="2:7">
      <c r="B4098" s="118" t="s">
        <v>3260</v>
      </c>
      <c r="C4098" s="119">
        <v>1527</v>
      </c>
      <c r="E4098" s="96" t="s">
        <v>1277</v>
      </c>
      <c r="F4098" s="96" t="s">
        <v>165</v>
      </c>
      <c r="G4098" s="100">
        <v>6252</v>
      </c>
    </row>
    <row r="4099" spans="2:7">
      <c r="B4099" s="118" t="s">
        <v>1223</v>
      </c>
      <c r="C4099" s="119">
        <v>1528</v>
      </c>
      <c r="E4099" s="96" t="s">
        <v>1278</v>
      </c>
      <c r="F4099" s="96" t="s">
        <v>165</v>
      </c>
      <c r="G4099" s="100">
        <v>6043</v>
      </c>
    </row>
    <row r="4100" spans="2:7">
      <c r="B4100" s="118" t="s">
        <v>3261</v>
      </c>
      <c r="C4100" s="119">
        <v>1528</v>
      </c>
      <c r="E4100" s="96" t="s">
        <v>1279</v>
      </c>
      <c r="F4100" s="96" t="s">
        <v>165</v>
      </c>
      <c r="G4100" s="100">
        <v>6285</v>
      </c>
    </row>
    <row r="4101" spans="2:7">
      <c r="B4101" s="118" t="s">
        <v>1242</v>
      </c>
      <c r="C4101" s="119">
        <v>1529</v>
      </c>
      <c r="E4101" s="96" t="s">
        <v>1280</v>
      </c>
      <c r="F4101" s="96" t="s">
        <v>165</v>
      </c>
      <c r="G4101" s="100">
        <v>6037</v>
      </c>
    </row>
    <row r="4102" spans="2:7">
      <c r="B4102" s="118" t="s">
        <v>3262</v>
      </c>
      <c r="C4102" s="119">
        <v>1534</v>
      </c>
      <c r="E4102" s="96" t="s">
        <v>1281</v>
      </c>
      <c r="F4102" s="96" t="s">
        <v>165</v>
      </c>
      <c r="G4102" s="100">
        <v>6208</v>
      </c>
    </row>
    <row r="4103" spans="2:7">
      <c r="B4103" s="118" t="s">
        <v>1238</v>
      </c>
      <c r="C4103" s="119">
        <v>1565</v>
      </c>
      <c r="E4103" s="96" t="s">
        <v>1282</v>
      </c>
      <c r="F4103" s="96" t="s">
        <v>165</v>
      </c>
      <c r="G4103" s="100">
        <v>6234</v>
      </c>
    </row>
    <row r="4104" spans="2:7">
      <c r="B4104" s="118" t="s">
        <v>3263</v>
      </c>
      <c r="C4104" s="119">
        <v>1483</v>
      </c>
      <c r="E4104" s="96" t="s">
        <v>1283</v>
      </c>
      <c r="F4104" s="96" t="s">
        <v>165</v>
      </c>
      <c r="G4104" s="100">
        <v>6353</v>
      </c>
    </row>
    <row r="4105" spans="2:7">
      <c r="B4105" s="118" t="s">
        <v>3264</v>
      </c>
      <c r="C4105" s="119">
        <v>1483</v>
      </c>
      <c r="E4105" s="96" t="s">
        <v>1284</v>
      </c>
      <c r="F4105" s="96" t="s">
        <v>165</v>
      </c>
      <c r="G4105" s="100">
        <v>6247</v>
      </c>
    </row>
    <row r="4106" spans="2:7">
      <c r="B4106" s="118" t="s">
        <v>3265</v>
      </c>
      <c r="C4106" s="119">
        <v>1484</v>
      </c>
      <c r="E4106" s="96" t="s">
        <v>1285</v>
      </c>
      <c r="F4106" s="96" t="s">
        <v>165</v>
      </c>
      <c r="G4106" s="100">
        <v>6110</v>
      </c>
    </row>
    <row r="4107" spans="2:7">
      <c r="B4107" s="118" t="s">
        <v>3266</v>
      </c>
      <c r="C4107" s="119">
        <v>1484</v>
      </c>
      <c r="E4107" s="96" t="s">
        <v>1286</v>
      </c>
      <c r="F4107" s="96" t="s">
        <v>165</v>
      </c>
      <c r="G4107" s="100">
        <v>6182</v>
      </c>
    </row>
    <row r="4108" spans="2:7">
      <c r="B4108" s="118" t="s">
        <v>3267</v>
      </c>
      <c r="C4108" s="119">
        <v>1534</v>
      </c>
      <c r="E4108" s="96" t="s">
        <v>1287</v>
      </c>
      <c r="F4108" s="96" t="s">
        <v>165</v>
      </c>
      <c r="G4108" s="100">
        <v>6170</v>
      </c>
    </row>
    <row r="4109" spans="2:7">
      <c r="B4109" s="118" t="s">
        <v>3268</v>
      </c>
      <c r="C4109" s="119">
        <v>1567</v>
      </c>
      <c r="E4109" s="96" t="s">
        <v>1288</v>
      </c>
      <c r="F4109" s="96" t="s">
        <v>165</v>
      </c>
      <c r="G4109" s="100">
        <v>6204</v>
      </c>
    </row>
    <row r="4110" spans="2:7">
      <c r="B4110" s="118" t="s">
        <v>3269</v>
      </c>
      <c r="C4110" s="119">
        <v>1568</v>
      </c>
      <c r="E4110" s="96" t="s">
        <v>1289</v>
      </c>
      <c r="F4110" s="96" t="s">
        <v>165</v>
      </c>
      <c r="G4110" s="100">
        <v>6207</v>
      </c>
    </row>
    <row r="4111" spans="2:7">
      <c r="B4111" s="118" t="s">
        <v>3270</v>
      </c>
      <c r="C4111" s="119">
        <v>1563</v>
      </c>
      <c r="E4111" s="96" t="s">
        <v>1290</v>
      </c>
      <c r="F4111" s="96" t="s">
        <v>165</v>
      </c>
      <c r="G4111" s="100">
        <v>6274</v>
      </c>
    </row>
    <row r="4112" spans="2:7">
      <c r="B4112" s="118" t="s">
        <v>3271</v>
      </c>
      <c r="C4112" s="119">
        <v>1564</v>
      </c>
      <c r="E4112" s="96" t="s">
        <v>1291</v>
      </c>
      <c r="F4112" s="96" t="s">
        <v>165</v>
      </c>
      <c r="G4112" s="100">
        <v>6162</v>
      </c>
    </row>
    <row r="4113" spans="2:7">
      <c r="B4113" s="118" t="s">
        <v>223</v>
      </c>
      <c r="C4113" s="119">
        <v>1580</v>
      </c>
      <c r="E4113" s="96" t="s">
        <v>1292</v>
      </c>
      <c r="F4113" s="96" t="s">
        <v>165</v>
      </c>
      <c r="G4113" s="100">
        <v>6016</v>
      </c>
    </row>
    <row r="4114" spans="2:7">
      <c r="B4114" s="118" t="s">
        <v>3272</v>
      </c>
      <c r="C4114" s="119">
        <v>1580</v>
      </c>
      <c r="E4114" s="96" t="s">
        <v>1293</v>
      </c>
      <c r="F4114" s="96" t="s">
        <v>165</v>
      </c>
      <c r="G4114" s="100">
        <v>6022</v>
      </c>
    </row>
    <row r="4115" spans="2:7">
      <c r="B4115" s="118" t="s">
        <v>1166</v>
      </c>
      <c r="C4115" s="119">
        <v>1772</v>
      </c>
      <c r="E4115" s="96" t="s">
        <v>1294</v>
      </c>
      <c r="F4115" s="96" t="s">
        <v>165</v>
      </c>
      <c r="G4115" s="100">
        <v>6221</v>
      </c>
    </row>
    <row r="4116" spans="2:7">
      <c r="B4116" s="118" t="s">
        <v>3273</v>
      </c>
      <c r="C4116" s="119">
        <v>1773</v>
      </c>
      <c r="E4116" s="96" t="s">
        <v>1295</v>
      </c>
      <c r="F4116" s="96" t="s">
        <v>165</v>
      </c>
      <c r="G4116" s="100">
        <v>6232</v>
      </c>
    </row>
    <row r="4117" spans="2:7">
      <c r="B4117" s="118" t="s">
        <v>3274</v>
      </c>
      <c r="C4117" s="119">
        <v>1773</v>
      </c>
      <c r="E4117" s="96" t="s">
        <v>1296</v>
      </c>
      <c r="F4117" s="96" t="s">
        <v>165</v>
      </c>
      <c r="G4117" s="100">
        <v>6122</v>
      </c>
    </row>
    <row r="4118" spans="2:7">
      <c r="B4118" s="118" t="s">
        <v>3275</v>
      </c>
      <c r="C4118" s="119">
        <v>1773</v>
      </c>
      <c r="E4118" s="96" t="s">
        <v>1297</v>
      </c>
      <c r="F4118" s="96" t="s">
        <v>165</v>
      </c>
      <c r="G4118" s="100">
        <v>6214</v>
      </c>
    </row>
    <row r="4119" spans="2:7">
      <c r="B4119" s="118" t="s">
        <v>3256</v>
      </c>
      <c r="C4119" s="119">
        <v>1776</v>
      </c>
      <c r="E4119" s="96" t="s">
        <v>1298</v>
      </c>
      <c r="F4119" s="96" t="s">
        <v>165</v>
      </c>
      <c r="G4119" s="100">
        <v>6275</v>
      </c>
    </row>
    <row r="4120" spans="2:7">
      <c r="B4120" s="118" t="s">
        <v>3248</v>
      </c>
      <c r="C4120" s="119">
        <v>1470</v>
      </c>
      <c r="E4120" s="96" t="s">
        <v>1299</v>
      </c>
      <c r="F4120" s="96" t="s">
        <v>165</v>
      </c>
      <c r="G4120" s="100">
        <v>6026</v>
      </c>
    </row>
    <row r="4121" spans="2:7">
      <c r="B4121" s="118" t="s">
        <v>3276</v>
      </c>
      <c r="C4121" s="119">
        <v>1473</v>
      </c>
      <c r="E4121" s="96" t="s">
        <v>1300</v>
      </c>
      <c r="F4121" s="96" t="s">
        <v>165</v>
      </c>
      <c r="G4121" s="100">
        <v>6218</v>
      </c>
    </row>
    <row r="4122" spans="2:7">
      <c r="B4122" s="118" t="s">
        <v>3276</v>
      </c>
      <c r="C4122" s="119">
        <v>1473</v>
      </c>
      <c r="E4122" s="96" t="s">
        <v>1301</v>
      </c>
      <c r="F4122" s="96" t="s">
        <v>165</v>
      </c>
      <c r="G4122" s="100">
        <v>6264</v>
      </c>
    </row>
    <row r="4123" spans="2:7">
      <c r="B4123" s="118" t="s">
        <v>3277</v>
      </c>
      <c r="C4123" s="119">
        <v>1475</v>
      </c>
      <c r="E4123" s="96" t="s">
        <v>1302</v>
      </c>
      <c r="F4123" s="96" t="s">
        <v>165</v>
      </c>
      <c r="G4123" s="100">
        <v>6244</v>
      </c>
    </row>
    <row r="4124" spans="2:7">
      <c r="B4124" s="118" t="s">
        <v>3278</v>
      </c>
      <c r="C4124" s="119">
        <v>1475</v>
      </c>
      <c r="E4124" s="96" t="s">
        <v>1303</v>
      </c>
      <c r="F4124" s="96" t="s">
        <v>165</v>
      </c>
      <c r="G4124" s="100">
        <v>6034</v>
      </c>
    </row>
    <row r="4125" spans="2:7">
      <c r="B4125" s="118" t="s">
        <v>3279</v>
      </c>
      <c r="C4125" s="119">
        <v>1475</v>
      </c>
      <c r="E4125" s="96" t="s">
        <v>1304</v>
      </c>
      <c r="F4125" s="96" t="s">
        <v>165</v>
      </c>
      <c r="G4125" s="100">
        <v>6276</v>
      </c>
    </row>
    <row r="4126" spans="2:7">
      <c r="B4126" s="118" t="s">
        <v>3280</v>
      </c>
      <c r="C4126" s="119">
        <v>1486</v>
      </c>
      <c r="E4126" s="96" t="s">
        <v>1305</v>
      </c>
      <c r="F4126" s="96" t="s">
        <v>165</v>
      </c>
      <c r="G4126" s="100">
        <v>6233</v>
      </c>
    </row>
    <row r="4127" spans="2:7">
      <c r="B4127" s="118" t="s">
        <v>3281</v>
      </c>
      <c r="C4127" s="119">
        <v>1489</v>
      </c>
      <c r="E4127" s="96" t="s">
        <v>1306</v>
      </c>
      <c r="F4127" s="96" t="s">
        <v>165</v>
      </c>
      <c r="G4127" s="100">
        <v>6044</v>
      </c>
    </row>
    <row r="4128" spans="2:7">
      <c r="B4128" s="118" t="s">
        <v>3282</v>
      </c>
      <c r="C4128" s="119">
        <v>1541</v>
      </c>
      <c r="E4128" s="96" t="s">
        <v>1307</v>
      </c>
      <c r="F4128" s="96" t="s">
        <v>165</v>
      </c>
      <c r="G4128" s="100">
        <v>6024</v>
      </c>
    </row>
    <row r="4129" spans="2:7">
      <c r="B4129" s="118" t="s">
        <v>3283</v>
      </c>
      <c r="C4129" s="119">
        <v>1541</v>
      </c>
      <c r="E4129" s="96" t="s">
        <v>1308</v>
      </c>
      <c r="F4129" s="96" t="s">
        <v>165</v>
      </c>
      <c r="G4129" s="100">
        <v>6212</v>
      </c>
    </row>
    <row r="4130" spans="2:7">
      <c r="B4130" s="118" t="s">
        <v>3284</v>
      </c>
      <c r="C4130" s="119">
        <v>1542</v>
      </c>
      <c r="E4130" s="96" t="s">
        <v>1309</v>
      </c>
      <c r="F4130" s="96" t="s">
        <v>165</v>
      </c>
      <c r="G4130" s="100">
        <v>6242</v>
      </c>
    </row>
    <row r="4131" spans="2:7">
      <c r="B4131" s="118" t="s">
        <v>3285</v>
      </c>
      <c r="C4131" s="119">
        <v>1468</v>
      </c>
      <c r="E4131" s="96" t="s">
        <v>1310</v>
      </c>
      <c r="F4131" s="96" t="s">
        <v>165</v>
      </c>
      <c r="G4131" s="100">
        <v>6113</v>
      </c>
    </row>
    <row r="4132" spans="2:7">
      <c r="B4132" s="118" t="s">
        <v>3286</v>
      </c>
      <c r="C4132" s="119">
        <v>1474</v>
      </c>
      <c r="E4132" s="96" t="s">
        <v>1311</v>
      </c>
      <c r="F4132" s="96" t="s">
        <v>165</v>
      </c>
      <c r="G4132" s="100">
        <v>6144</v>
      </c>
    </row>
    <row r="4133" spans="2:7">
      <c r="B4133" s="118" t="s">
        <v>1249</v>
      </c>
      <c r="C4133" s="119">
        <v>1673</v>
      </c>
      <c r="E4133" s="96" t="s">
        <v>1312</v>
      </c>
      <c r="F4133" s="96" t="s">
        <v>165</v>
      </c>
      <c r="G4133" s="100">
        <v>6173</v>
      </c>
    </row>
    <row r="4134" spans="2:7">
      <c r="B4134" s="118" t="s">
        <v>3287</v>
      </c>
      <c r="C4134" s="119">
        <v>1681</v>
      </c>
      <c r="E4134" s="96" t="s">
        <v>1313</v>
      </c>
      <c r="F4134" s="96" t="s">
        <v>165</v>
      </c>
      <c r="G4134" s="100">
        <v>6133</v>
      </c>
    </row>
    <row r="4135" spans="2:7">
      <c r="B4135" s="118" t="s">
        <v>3288</v>
      </c>
      <c r="C4135" s="119">
        <v>1681</v>
      </c>
      <c r="E4135" s="96" t="s">
        <v>1314</v>
      </c>
      <c r="F4135" s="96" t="s">
        <v>165</v>
      </c>
      <c r="G4135" s="100">
        <v>6027</v>
      </c>
    </row>
    <row r="4136" spans="2:7">
      <c r="B4136" s="118" t="s">
        <v>1252</v>
      </c>
      <c r="C4136" s="119">
        <v>1608</v>
      </c>
      <c r="E4136" s="96" t="s">
        <v>1315</v>
      </c>
      <c r="F4136" s="96" t="s">
        <v>165</v>
      </c>
      <c r="G4136" s="100">
        <v>6166</v>
      </c>
    </row>
    <row r="4137" spans="2:7">
      <c r="B4137" s="118" t="s">
        <v>3289</v>
      </c>
      <c r="C4137" s="119">
        <v>1689</v>
      </c>
      <c r="E4137" s="96" t="s">
        <v>1316</v>
      </c>
      <c r="F4137" s="96" t="s">
        <v>165</v>
      </c>
      <c r="G4137" s="100">
        <v>6103</v>
      </c>
    </row>
    <row r="4138" spans="2:7">
      <c r="B4138" s="118" t="s">
        <v>1218</v>
      </c>
      <c r="C4138" s="119">
        <v>1553</v>
      </c>
      <c r="E4138" s="96" t="s">
        <v>1317</v>
      </c>
      <c r="F4138" s="96" t="s">
        <v>165</v>
      </c>
      <c r="G4138" s="100">
        <v>6205</v>
      </c>
    </row>
    <row r="4139" spans="2:7">
      <c r="B4139" s="118" t="s">
        <v>381</v>
      </c>
      <c r="C4139" s="119">
        <v>1085</v>
      </c>
      <c r="E4139" s="96" t="s">
        <v>1318</v>
      </c>
      <c r="F4139" s="96" t="s">
        <v>165</v>
      </c>
      <c r="G4139" s="100">
        <v>6246</v>
      </c>
    </row>
    <row r="4140" spans="2:7">
      <c r="B4140" s="118" t="s">
        <v>3290</v>
      </c>
      <c r="C4140" s="119">
        <v>1673</v>
      </c>
      <c r="E4140" s="96" t="s">
        <v>1319</v>
      </c>
      <c r="F4140" s="96" t="s">
        <v>165</v>
      </c>
      <c r="G4140" s="100">
        <v>4806</v>
      </c>
    </row>
    <row r="4141" spans="2:7">
      <c r="B4141" s="118" t="s">
        <v>3291</v>
      </c>
      <c r="C4141" s="119">
        <v>1686</v>
      </c>
      <c r="E4141" s="96" t="s">
        <v>1320</v>
      </c>
      <c r="F4141" s="96" t="s">
        <v>165</v>
      </c>
      <c r="G4141" s="100">
        <v>6036</v>
      </c>
    </row>
    <row r="4142" spans="2:7">
      <c r="B4142" s="118" t="s">
        <v>1234</v>
      </c>
      <c r="C4142" s="119">
        <v>1692</v>
      </c>
      <c r="E4142" s="96" t="s">
        <v>1321</v>
      </c>
      <c r="F4142" s="96" t="s">
        <v>165</v>
      </c>
      <c r="G4142" s="100">
        <v>6216</v>
      </c>
    </row>
    <row r="4143" spans="2:7">
      <c r="B4143" s="118" t="s">
        <v>3292</v>
      </c>
      <c r="C4143" s="119">
        <v>1680</v>
      </c>
      <c r="E4143" s="96" t="s">
        <v>1322</v>
      </c>
      <c r="F4143" s="96" t="s">
        <v>165</v>
      </c>
      <c r="G4143" s="100">
        <v>6243</v>
      </c>
    </row>
    <row r="4144" spans="2:7">
      <c r="B4144" s="118" t="s">
        <v>3293</v>
      </c>
      <c r="C4144" s="119">
        <v>1680</v>
      </c>
      <c r="E4144" s="96" t="s">
        <v>1323</v>
      </c>
      <c r="F4144" s="96" t="s">
        <v>165</v>
      </c>
      <c r="G4144" s="100">
        <v>6354</v>
      </c>
    </row>
    <row r="4145" spans="2:7">
      <c r="B4145" s="118" t="s">
        <v>3294</v>
      </c>
      <c r="C4145" s="119">
        <v>1684</v>
      </c>
      <c r="E4145" s="96" t="s">
        <v>1324</v>
      </c>
      <c r="F4145" s="96" t="s">
        <v>165</v>
      </c>
      <c r="G4145" s="100">
        <v>6344</v>
      </c>
    </row>
    <row r="4146" spans="2:7">
      <c r="B4146" s="118" t="s">
        <v>1243</v>
      </c>
      <c r="C4146" s="119">
        <v>1674</v>
      </c>
      <c r="E4146" s="96" t="s">
        <v>1325</v>
      </c>
      <c r="F4146" s="96" t="s">
        <v>165</v>
      </c>
      <c r="G4146" s="100">
        <v>6038</v>
      </c>
    </row>
    <row r="4147" spans="2:7">
      <c r="B4147" s="118" t="s">
        <v>3292</v>
      </c>
      <c r="C4147" s="119">
        <v>1680</v>
      </c>
      <c r="E4147" s="96" t="s">
        <v>1326</v>
      </c>
      <c r="F4147" s="96" t="s">
        <v>165</v>
      </c>
      <c r="G4147" s="100">
        <v>6156</v>
      </c>
    </row>
    <row r="4148" spans="2:7">
      <c r="B4148" s="118" t="s">
        <v>1252</v>
      </c>
      <c r="C4148" s="119">
        <v>1608</v>
      </c>
      <c r="E4148" s="96" t="s">
        <v>1327</v>
      </c>
      <c r="F4148" s="96" t="s">
        <v>165</v>
      </c>
      <c r="G4148" s="100">
        <v>6287</v>
      </c>
    </row>
    <row r="4149" spans="2:7">
      <c r="B4149" s="118" t="s">
        <v>3295</v>
      </c>
      <c r="C4149" s="119">
        <v>1673</v>
      </c>
      <c r="E4149" s="96" t="s">
        <v>1328</v>
      </c>
      <c r="F4149" s="96" t="s">
        <v>165</v>
      </c>
      <c r="G4149" s="100">
        <v>6142</v>
      </c>
    </row>
    <row r="4150" spans="2:7">
      <c r="B4150" s="118" t="s">
        <v>3296</v>
      </c>
      <c r="C4150" s="119">
        <v>1673</v>
      </c>
      <c r="E4150" s="96" t="s">
        <v>1329</v>
      </c>
      <c r="F4150" s="96" t="s">
        <v>165</v>
      </c>
      <c r="G4150" s="100">
        <v>6404</v>
      </c>
    </row>
    <row r="4151" spans="2:7">
      <c r="B4151" s="118" t="s">
        <v>1176</v>
      </c>
      <c r="C4151" s="119">
        <v>1673</v>
      </c>
      <c r="E4151" s="96" t="s">
        <v>1330</v>
      </c>
      <c r="F4151" s="96" t="s">
        <v>165</v>
      </c>
      <c r="G4151" s="100">
        <v>6288</v>
      </c>
    </row>
    <row r="4152" spans="2:7">
      <c r="B4152" s="118" t="s">
        <v>3297</v>
      </c>
      <c r="C4152" s="119">
        <v>1675</v>
      </c>
      <c r="E4152" s="96" t="s">
        <v>1331</v>
      </c>
      <c r="F4152" s="96" t="s">
        <v>165</v>
      </c>
      <c r="G4152" s="100">
        <v>6147</v>
      </c>
    </row>
    <row r="4153" spans="2:7">
      <c r="B4153" s="118" t="s">
        <v>3298</v>
      </c>
      <c r="C4153" s="119">
        <v>1676</v>
      </c>
      <c r="E4153" s="96" t="s">
        <v>1332</v>
      </c>
      <c r="F4153" s="96" t="s">
        <v>165</v>
      </c>
      <c r="G4153" s="100">
        <v>6294</v>
      </c>
    </row>
    <row r="4154" spans="2:7">
      <c r="B4154" s="118" t="s">
        <v>3299</v>
      </c>
      <c r="C4154" s="119">
        <v>1677</v>
      </c>
      <c r="E4154" s="96" t="s">
        <v>1333</v>
      </c>
      <c r="F4154" s="96" t="s">
        <v>165</v>
      </c>
      <c r="G4154" s="100">
        <v>6153</v>
      </c>
    </row>
    <row r="4155" spans="2:7">
      <c r="B4155" s="118" t="s">
        <v>1161</v>
      </c>
      <c r="C4155" s="119">
        <v>1678</v>
      </c>
      <c r="E4155" s="96" t="s">
        <v>1334</v>
      </c>
      <c r="F4155" s="96" t="s">
        <v>165</v>
      </c>
      <c r="G4155" s="100">
        <v>6231</v>
      </c>
    </row>
    <row r="4156" spans="2:7">
      <c r="B4156" s="118" t="s">
        <v>3300</v>
      </c>
      <c r="C4156" s="119">
        <v>1679</v>
      </c>
      <c r="E4156" s="96" t="s">
        <v>1335</v>
      </c>
      <c r="F4156" s="96" t="s">
        <v>165</v>
      </c>
      <c r="G4156" s="100">
        <v>6146</v>
      </c>
    </row>
    <row r="4157" spans="2:7">
      <c r="B4157" s="118" t="s">
        <v>3292</v>
      </c>
      <c r="C4157" s="119">
        <v>1680</v>
      </c>
      <c r="E4157" s="96" t="s">
        <v>1336</v>
      </c>
      <c r="F4157" s="96" t="s">
        <v>165</v>
      </c>
      <c r="G4157" s="100">
        <v>6112</v>
      </c>
    </row>
    <row r="4158" spans="2:7">
      <c r="B4158" s="118" t="s">
        <v>1148</v>
      </c>
      <c r="C4158" s="119">
        <v>1670</v>
      </c>
      <c r="E4158" s="96" t="s">
        <v>1337</v>
      </c>
      <c r="F4158" s="96" t="s">
        <v>165</v>
      </c>
      <c r="G4158" s="100">
        <v>6145</v>
      </c>
    </row>
    <row r="4159" spans="2:7">
      <c r="B4159" s="118" t="s">
        <v>3301</v>
      </c>
      <c r="C4159" s="119">
        <v>1670</v>
      </c>
      <c r="E4159" s="96" t="s">
        <v>1338</v>
      </c>
      <c r="F4159" s="96" t="s">
        <v>165</v>
      </c>
      <c r="G4159" s="100">
        <v>6265</v>
      </c>
    </row>
    <row r="4160" spans="2:7">
      <c r="B4160" s="118" t="s">
        <v>3302</v>
      </c>
      <c r="C4160" s="119">
        <v>1670</v>
      </c>
      <c r="E4160" s="96" t="s">
        <v>1339</v>
      </c>
      <c r="F4160" s="96" t="s">
        <v>165</v>
      </c>
      <c r="G4160" s="100">
        <v>6113</v>
      </c>
    </row>
    <row r="4161" spans="2:7">
      <c r="B4161" s="118" t="s">
        <v>3303</v>
      </c>
      <c r="C4161" s="119">
        <v>1674</v>
      </c>
      <c r="E4161" s="96" t="s">
        <v>1340</v>
      </c>
      <c r="F4161" s="96" t="s">
        <v>165</v>
      </c>
      <c r="G4161" s="100">
        <v>6248</v>
      </c>
    </row>
    <row r="4162" spans="2:7">
      <c r="B4162" s="118" t="s">
        <v>3304</v>
      </c>
      <c r="C4162" s="119">
        <v>1674</v>
      </c>
      <c r="E4162" s="96" t="s">
        <v>1341</v>
      </c>
      <c r="F4162" s="96" t="s">
        <v>165</v>
      </c>
      <c r="G4162" s="100">
        <v>6286</v>
      </c>
    </row>
    <row r="4163" spans="2:7">
      <c r="B4163" s="118" t="s">
        <v>3305</v>
      </c>
      <c r="C4163" s="119">
        <v>1675</v>
      </c>
      <c r="E4163" s="96" t="s">
        <v>1342</v>
      </c>
      <c r="F4163" s="96" t="s">
        <v>165</v>
      </c>
      <c r="G4163" s="100">
        <v>6038</v>
      </c>
    </row>
    <row r="4164" spans="2:7">
      <c r="B4164" s="118" t="s">
        <v>3297</v>
      </c>
      <c r="C4164" s="119">
        <v>1675</v>
      </c>
      <c r="E4164" s="96" t="s">
        <v>1343</v>
      </c>
      <c r="F4164" s="96" t="s">
        <v>165</v>
      </c>
      <c r="G4164" s="100">
        <v>6245</v>
      </c>
    </row>
    <row r="4165" spans="2:7">
      <c r="B4165" s="118" t="s">
        <v>3306</v>
      </c>
      <c r="C4165" s="119">
        <v>1675</v>
      </c>
      <c r="E4165" s="96" t="s">
        <v>1344</v>
      </c>
      <c r="F4165" s="96" t="s">
        <v>174</v>
      </c>
      <c r="G4165" s="96">
        <v>2300</v>
      </c>
    </row>
    <row r="4166" spans="2:7">
      <c r="B4166" s="118" t="s">
        <v>3307</v>
      </c>
      <c r="C4166" s="119">
        <v>1685</v>
      </c>
      <c r="E4166" s="96" t="s">
        <v>1345</v>
      </c>
      <c r="F4166" s="96" t="s">
        <v>174</v>
      </c>
      <c r="G4166" s="96">
        <v>2000</v>
      </c>
    </row>
    <row r="4167" spans="2:7">
      <c r="B4167" s="118" t="s">
        <v>3308</v>
      </c>
      <c r="C4167" s="119">
        <v>1686</v>
      </c>
      <c r="E4167" s="96" t="s">
        <v>1346</v>
      </c>
      <c r="F4167" s="96" t="s">
        <v>174</v>
      </c>
      <c r="G4167" s="96">
        <v>2065</v>
      </c>
    </row>
    <row r="4168" spans="2:7">
      <c r="B4168" s="118" t="s">
        <v>1158</v>
      </c>
      <c r="C4168" s="119">
        <v>1687</v>
      </c>
      <c r="E4168" s="96" t="s">
        <v>1347</v>
      </c>
      <c r="F4168" s="96" t="s">
        <v>174</v>
      </c>
      <c r="G4168" s="96">
        <v>2108</v>
      </c>
    </row>
    <row r="4169" spans="2:7">
      <c r="B4169" s="118" t="s">
        <v>3309</v>
      </c>
      <c r="C4169" s="119">
        <v>1687</v>
      </c>
      <c r="E4169" s="96" t="s">
        <v>1348</v>
      </c>
      <c r="F4169" s="96" t="s">
        <v>174</v>
      </c>
      <c r="G4169" s="96">
        <v>2400</v>
      </c>
    </row>
    <row r="4170" spans="2:7">
      <c r="B4170" s="118" t="s">
        <v>3310</v>
      </c>
      <c r="C4170" s="119">
        <v>1687</v>
      </c>
      <c r="E4170" s="96" t="s">
        <v>1349</v>
      </c>
      <c r="F4170" s="96" t="s">
        <v>174</v>
      </c>
      <c r="G4170" s="96">
        <v>2012</v>
      </c>
    </row>
    <row r="4171" spans="2:7">
      <c r="B4171" s="118" t="s">
        <v>3311</v>
      </c>
      <c r="C4171" s="119">
        <v>1688</v>
      </c>
      <c r="E4171" s="96" t="s">
        <v>1350</v>
      </c>
      <c r="F4171" s="96" t="s">
        <v>174</v>
      </c>
      <c r="G4171" s="96">
        <v>2024</v>
      </c>
    </row>
    <row r="4172" spans="2:7">
      <c r="B4172" s="118" t="s">
        <v>3312</v>
      </c>
      <c r="C4172" s="119">
        <v>1688</v>
      </c>
      <c r="E4172" s="96" t="s">
        <v>1351</v>
      </c>
      <c r="F4172" s="96" t="s">
        <v>174</v>
      </c>
      <c r="G4172" s="96">
        <v>2017</v>
      </c>
    </row>
    <row r="4173" spans="2:7">
      <c r="B4173" s="118" t="s">
        <v>3313</v>
      </c>
      <c r="C4173" s="119">
        <v>1697</v>
      </c>
      <c r="E4173" s="96" t="s">
        <v>1352</v>
      </c>
      <c r="F4173" s="96" t="s">
        <v>174</v>
      </c>
      <c r="G4173" s="96">
        <v>2034</v>
      </c>
    </row>
    <row r="4174" spans="2:7">
      <c r="B4174" s="118" t="s">
        <v>3314</v>
      </c>
      <c r="C4174" s="119">
        <v>1697</v>
      </c>
      <c r="E4174" s="96" t="s">
        <v>1353</v>
      </c>
      <c r="F4174" s="96" t="s">
        <v>174</v>
      </c>
      <c r="G4174" s="96">
        <v>2074</v>
      </c>
    </row>
    <row r="4175" spans="2:7">
      <c r="B4175" s="118" t="s">
        <v>3315</v>
      </c>
      <c r="C4175" s="119">
        <v>1690</v>
      </c>
      <c r="E4175" s="96" t="s">
        <v>1354</v>
      </c>
      <c r="F4175" s="96" t="s">
        <v>174</v>
      </c>
      <c r="G4175" s="96">
        <v>2019</v>
      </c>
    </row>
    <row r="4176" spans="2:7">
      <c r="B4176" s="118" t="s">
        <v>3316</v>
      </c>
      <c r="C4176" s="119">
        <v>1694</v>
      </c>
      <c r="E4176" s="96" t="s">
        <v>1355</v>
      </c>
      <c r="F4176" s="96" t="s">
        <v>174</v>
      </c>
      <c r="G4176" s="96">
        <v>2035</v>
      </c>
    </row>
    <row r="4177" spans="2:7">
      <c r="B4177" s="118" t="s">
        <v>3317</v>
      </c>
      <c r="C4177" s="119">
        <v>1694</v>
      </c>
      <c r="E4177" s="96" t="s">
        <v>1356</v>
      </c>
      <c r="F4177" s="96" t="s">
        <v>174</v>
      </c>
      <c r="G4177" s="96">
        <v>2525</v>
      </c>
    </row>
    <row r="4178" spans="2:7">
      <c r="B4178" s="118" t="s">
        <v>3318</v>
      </c>
      <c r="C4178" s="119">
        <v>1694</v>
      </c>
      <c r="E4178" s="96" t="s">
        <v>1357</v>
      </c>
      <c r="F4178" s="96" t="s">
        <v>174</v>
      </c>
      <c r="G4178" s="96">
        <v>2072</v>
      </c>
    </row>
    <row r="4179" spans="2:7">
      <c r="B4179" s="118" t="s">
        <v>3319</v>
      </c>
      <c r="C4179" s="119">
        <v>1694</v>
      </c>
      <c r="E4179" s="96" t="s">
        <v>1358</v>
      </c>
      <c r="F4179" s="96" t="s">
        <v>174</v>
      </c>
      <c r="G4179" s="96">
        <v>2068</v>
      </c>
    </row>
    <row r="4180" spans="2:7">
      <c r="B4180" s="118" t="s">
        <v>3320</v>
      </c>
      <c r="C4180" s="119">
        <v>1748</v>
      </c>
      <c r="E4180" s="96" t="s">
        <v>1359</v>
      </c>
      <c r="F4180" s="96" t="s">
        <v>174</v>
      </c>
      <c r="G4180" s="96">
        <v>2088</v>
      </c>
    </row>
    <row r="4181" spans="2:7">
      <c r="B4181" s="118" t="s">
        <v>3321</v>
      </c>
      <c r="C4181" s="119">
        <v>1749</v>
      </c>
      <c r="E4181" s="96" t="s">
        <v>1360</v>
      </c>
      <c r="F4181" s="96" t="s">
        <v>174</v>
      </c>
      <c r="G4181" s="96">
        <v>2087</v>
      </c>
    </row>
    <row r="4182" spans="2:7">
      <c r="B4182" s="118" t="s">
        <v>3292</v>
      </c>
      <c r="C4182" s="119">
        <v>1680</v>
      </c>
      <c r="E4182" s="96" t="s">
        <v>1361</v>
      </c>
      <c r="F4182" s="96" t="s">
        <v>174</v>
      </c>
      <c r="G4182" s="96">
        <v>2316</v>
      </c>
    </row>
    <row r="4183" spans="2:7">
      <c r="B4183" s="118" t="s">
        <v>3315</v>
      </c>
      <c r="C4183" s="119">
        <v>1690</v>
      </c>
      <c r="E4183" s="96" t="s">
        <v>1362</v>
      </c>
      <c r="F4183" s="96" t="s">
        <v>174</v>
      </c>
      <c r="G4183" s="96">
        <v>2019</v>
      </c>
    </row>
    <row r="4184" spans="2:7">
      <c r="B4184" s="118" t="s">
        <v>3322</v>
      </c>
      <c r="C4184" s="119">
        <v>1690</v>
      </c>
      <c r="E4184" s="96" t="s">
        <v>1363</v>
      </c>
      <c r="F4184" s="96" t="s">
        <v>174</v>
      </c>
      <c r="G4184" s="96">
        <v>2416</v>
      </c>
    </row>
    <row r="4185" spans="2:7">
      <c r="B4185" s="118" t="s">
        <v>3323</v>
      </c>
      <c r="C4185" s="119">
        <v>1691</v>
      </c>
      <c r="E4185" s="96" t="s">
        <v>1364</v>
      </c>
      <c r="F4185" s="96" t="s">
        <v>174</v>
      </c>
      <c r="G4185" s="96">
        <v>2314</v>
      </c>
    </row>
    <row r="4186" spans="2:7">
      <c r="B4186" s="118" t="s">
        <v>3324</v>
      </c>
      <c r="C4186" s="119">
        <v>1669</v>
      </c>
      <c r="E4186" s="96" t="s">
        <v>1365</v>
      </c>
      <c r="F4186" s="96" t="s">
        <v>174</v>
      </c>
      <c r="G4186" s="96">
        <v>2523</v>
      </c>
    </row>
    <row r="4187" spans="2:7">
      <c r="B4187" s="118" t="s">
        <v>3325</v>
      </c>
      <c r="C4187" s="119">
        <v>1669</v>
      </c>
      <c r="E4187" s="96" t="s">
        <v>1366</v>
      </c>
      <c r="F4187" s="96" t="s">
        <v>174</v>
      </c>
      <c r="G4187" s="96">
        <v>2126</v>
      </c>
    </row>
    <row r="4188" spans="2:7">
      <c r="B4188" s="118" t="s">
        <v>3326</v>
      </c>
      <c r="C4188" s="119">
        <v>1669</v>
      </c>
      <c r="E4188" s="96" t="s">
        <v>1367</v>
      </c>
      <c r="F4188" s="96" t="s">
        <v>174</v>
      </c>
      <c r="G4188" s="96">
        <v>2406</v>
      </c>
    </row>
    <row r="4189" spans="2:7">
      <c r="B4189" s="118" t="s">
        <v>3327</v>
      </c>
      <c r="C4189" s="119">
        <v>1669</v>
      </c>
      <c r="E4189" s="96" t="s">
        <v>1368</v>
      </c>
      <c r="F4189" s="96" t="s">
        <v>174</v>
      </c>
      <c r="G4189" s="96">
        <v>2042</v>
      </c>
    </row>
    <row r="4190" spans="2:7">
      <c r="B4190" s="118" t="s">
        <v>3328</v>
      </c>
      <c r="C4190" s="119">
        <v>1669</v>
      </c>
      <c r="E4190" s="96" t="s">
        <v>1369</v>
      </c>
      <c r="F4190" s="96" t="s">
        <v>174</v>
      </c>
      <c r="G4190" s="96">
        <v>2405</v>
      </c>
    </row>
    <row r="4191" spans="2:7">
      <c r="B4191" s="118" t="s">
        <v>3329</v>
      </c>
      <c r="C4191" s="119">
        <v>1643</v>
      </c>
      <c r="E4191" s="96" t="s">
        <v>1370</v>
      </c>
      <c r="F4191" s="96" t="s">
        <v>174</v>
      </c>
      <c r="G4191" s="96">
        <v>2414</v>
      </c>
    </row>
    <row r="4192" spans="2:7">
      <c r="B4192" s="118" t="s">
        <v>3330</v>
      </c>
      <c r="C4192" s="119">
        <v>1644</v>
      </c>
      <c r="E4192" s="96" t="s">
        <v>1371</v>
      </c>
      <c r="F4192" s="96" t="s">
        <v>174</v>
      </c>
      <c r="G4192" s="96">
        <v>2037</v>
      </c>
    </row>
    <row r="4193" spans="2:7">
      <c r="B4193" s="118" t="s">
        <v>3331</v>
      </c>
      <c r="C4193" s="119">
        <v>1645</v>
      </c>
      <c r="E4193" s="96" t="s">
        <v>1372</v>
      </c>
      <c r="F4193" s="96" t="s">
        <v>174</v>
      </c>
      <c r="G4193" s="96">
        <v>2318</v>
      </c>
    </row>
    <row r="4194" spans="2:7">
      <c r="B4194" s="118" t="s">
        <v>1233</v>
      </c>
      <c r="C4194" s="119">
        <v>1652</v>
      </c>
      <c r="E4194" s="96" t="s">
        <v>1373</v>
      </c>
      <c r="F4194" s="96" t="s">
        <v>174</v>
      </c>
      <c r="G4194" s="96">
        <v>2325</v>
      </c>
    </row>
    <row r="4195" spans="2:7">
      <c r="B4195" s="118" t="s">
        <v>3332</v>
      </c>
      <c r="C4195" s="119">
        <v>1652</v>
      </c>
      <c r="E4195" s="96" t="s">
        <v>1374</v>
      </c>
      <c r="F4195" s="96" t="s">
        <v>174</v>
      </c>
      <c r="G4195" s="21" t="s">
        <v>3333</v>
      </c>
    </row>
    <row r="4196" spans="2:7">
      <c r="B4196" s="118" t="s">
        <v>1149</v>
      </c>
      <c r="C4196" s="119">
        <v>1636</v>
      </c>
      <c r="E4196" s="96" t="s">
        <v>175</v>
      </c>
      <c r="F4196" s="96" t="s">
        <v>175</v>
      </c>
      <c r="G4196" s="96">
        <v>8200</v>
      </c>
    </row>
    <row r="4197" spans="2:7">
      <c r="B4197" s="118" t="s">
        <v>1250</v>
      </c>
      <c r="C4197" s="119">
        <v>1653</v>
      </c>
      <c r="E4197" s="96" t="s">
        <v>1375</v>
      </c>
      <c r="F4197" s="96" t="s">
        <v>175</v>
      </c>
      <c r="G4197" s="96">
        <v>8212</v>
      </c>
    </row>
    <row r="4198" spans="2:7">
      <c r="B4198" s="118" t="s">
        <v>1124</v>
      </c>
      <c r="C4198" s="119">
        <v>1630</v>
      </c>
      <c r="E4198" s="96" t="s">
        <v>1376</v>
      </c>
      <c r="F4198" s="96" t="s">
        <v>175</v>
      </c>
      <c r="G4198" s="96">
        <v>8240</v>
      </c>
    </row>
    <row r="4199" spans="2:7">
      <c r="B4199" s="118" t="s">
        <v>3334</v>
      </c>
      <c r="C4199" s="119">
        <v>1635</v>
      </c>
      <c r="E4199" s="96" t="s">
        <v>1377</v>
      </c>
      <c r="F4199" s="96" t="s">
        <v>175</v>
      </c>
      <c r="G4199" s="96">
        <v>8222</v>
      </c>
    </row>
    <row r="4200" spans="2:7">
      <c r="B4200" s="118" t="s">
        <v>3335</v>
      </c>
      <c r="C4200" s="119">
        <v>1661</v>
      </c>
      <c r="E4200" s="96" t="s">
        <v>1378</v>
      </c>
      <c r="F4200" s="96" t="s">
        <v>175</v>
      </c>
      <c r="G4200" s="96">
        <v>8260</v>
      </c>
    </row>
    <row r="4201" spans="2:7">
      <c r="B4201" s="118" t="s">
        <v>1250</v>
      </c>
      <c r="C4201" s="119">
        <v>1653</v>
      </c>
      <c r="E4201" s="96" t="s">
        <v>1379</v>
      </c>
      <c r="F4201" s="96" t="s">
        <v>175</v>
      </c>
      <c r="G4201" s="96">
        <v>8213</v>
      </c>
    </row>
    <row r="4202" spans="2:7">
      <c r="B4202" s="118" t="s">
        <v>1219</v>
      </c>
      <c r="C4202" s="119">
        <v>1646</v>
      </c>
      <c r="E4202" s="96" t="s">
        <v>1380</v>
      </c>
      <c r="F4202" s="96" t="s">
        <v>175</v>
      </c>
      <c r="G4202" s="96">
        <v>8215</v>
      </c>
    </row>
    <row r="4203" spans="2:7">
      <c r="B4203" s="118" t="s">
        <v>1214</v>
      </c>
      <c r="C4203" s="119">
        <v>1647</v>
      </c>
      <c r="E4203" s="96" t="s">
        <v>1381</v>
      </c>
      <c r="F4203" s="96" t="s">
        <v>175</v>
      </c>
      <c r="G4203" s="96">
        <v>8217</v>
      </c>
    </row>
    <row r="4204" spans="2:7">
      <c r="B4204" s="118" t="s">
        <v>3336</v>
      </c>
      <c r="C4204" s="119">
        <v>1651</v>
      </c>
      <c r="E4204" s="96" t="s">
        <v>1382</v>
      </c>
      <c r="F4204" s="96" t="s">
        <v>175</v>
      </c>
      <c r="G4204" s="96">
        <v>8226</v>
      </c>
    </row>
    <row r="4205" spans="2:7">
      <c r="B4205" s="118" t="s">
        <v>1246</v>
      </c>
      <c r="C4205" s="119">
        <v>1653</v>
      </c>
      <c r="E4205" s="96" t="s">
        <v>1383</v>
      </c>
      <c r="F4205" s="96" t="s">
        <v>175</v>
      </c>
      <c r="G4205" s="96">
        <v>8262</v>
      </c>
    </row>
    <row r="4206" spans="2:7">
      <c r="B4206" s="118" t="s">
        <v>1157</v>
      </c>
      <c r="C4206" s="119">
        <v>1628</v>
      </c>
      <c r="E4206" s="96" t="s">
        <v>1384</v>
      </c>
      <c r="F4206" s="96" t="s">
        <v>175</v>
      </c>
      <c r="G4206" s="96">
        <v>8224</v>
      </c>
    </row>
    <row r="4207" spans="2:7">
      <c r="B4207" s="118" t="s">
        <v>1219</v>
      </c>
      <c r="C4207" s="119">
        <v>1646</v>
      </c>
      <c r="E4207" s="96" t="s">
        <v>1385</v>
      </c>
      <c r="F4207" s="96" t="s">
        <v>175</v>
      </c>
      <c r="G4207" s="96">
        <v>8234</v>
      </c>
    </row>
    <row r="4208" spans="2:7">
      <c r="B4208" s="118" t="s">
        <v>1217</v>
      </c>
      <c r="C4208" s="119">
        <v>1666</v>
      </c>
      <c r="E4208" s="96" t="s">
        <v>1386</v>
      </c>
      <c r="F4208" s="96" t="s">
        <v>175</v>
      </c>
      <c r="G4208" s="96">
        <v>8235</v>
      </c>
    </row>
    <row r="4209" spans="2:7">
      <c r="B4209" s="118" t="s">
        <v>3334</v>
      </c>
      <c r="C4209" s="119">
        <v>1635</v>
      </c>
      <c r="E4209" s="96" t="s">
        <v>1387</v>
      </c>
      <c r="F4209" s="96" t="s">
        <v>175</v>
      </c>
      <c r="G4209" s="96">
        <v>8454</v>
      </c>
    </row>
    <row r="4210" spans="2:7">
      <c r="B4210" s="118" t="s">
        <v>1149</v>
      </c>
      <c r="C4210" s="119">
        <v>1636</v>
      </c>
      <c r="E4210" s="96" t="s">
        <v>1388</v>
      </c>
      <c r="F4210" s="96" t="s">
        <v>175</v>
      </c>
      <c r="G4210" s="96">
        <v>8214</v>
      </c>
    </row>
    <row r="4211" spans="2:7">
      <c r="B4211" s="118" t="s">
        <v>3335</v>
      </c>
      <c r="C4211" s="119">
        <v>1661</v>
      </c>
      <c r="E4211" s="96" t="s">
        <v>1389</v>
      </c>
      <c r="F4211" s="96" t="s">
        <v>175</v>
      </c>
      <c r="G4211" s="96">
        <v>8225</v>
      </c>
    </row>
    <row r="4212" spans="2:7">
      <c r="B4212" s="118" t="s">
        <v>1160</v>
      </c>
      <c r="C4212" s="119">
        <v>1663</v>
      </c>
      <c r="E4212" s="96" t="s">
        <v>1390</v>
      </c>
      <c r="F4212" s="96" t="s">
        <v>175</v>
      </c>
      <c r="G4212" s="96">
        <v>8232</v>
      </c>
    </row>
    <row r="4213" spans="2:7">
      <c r="B4213" s="118" t="s">
        <v>3337</v>
      </c>
      <c r="C4213" s="119">
        <v>1663</v>
      </c>
      <c r="E4213" s="96" t="s">
        <v>1391</v>
      </c>
      <c r="F4213" s="96" t="s">
        <v>175</v>
      </c>
      <c r="G4213" s="96">
        <v>8235</v>
      </c>
    </row>
    <row r="4214" spans="2:7">
      <c r="B4214" s="118" t="s">
        <v>3338</v>
      </c>
      <c r="C4214" s="119">
        <v>1663</v>
      </c>
      <c r="E4214" s="96" t="s">
        <v>1392</v>
      </c>
      <c r="F4214" s="96" t="s">
        <v>175</v>
      </c>
      <c r="G4214" s="96">
        <v>8248</v>
      </c>
    </row>
    <row r="4215" spans="2:7">
      <c r="B4215" s="118" t="s">
        <v>3339</v>
      </c>
      <c r="C4215" s="119">
        <v>1663</v>
      </c>
      <c r="E4215" s="96" t="s">
        <v>1393</v>
      </c>
      <c r="F4215" s="96" t="s">
        <v>175</v>
      </c>
      <c r="G4215" s="96">
        <v>8214</v>
      </c>
    </row>
    <row r="4216" spans="2:7">
      <c r="B4216" s="118" t="s">
        <v>3340</v>
      </c>
      <c r="C4216" s="119">
        <v>1634</v>
      </c>
      <c r="E4216" s="96" t="s">
        <v>1394</v>
      </c>
      <c r="F4216" s="96" t="s">
        <v>175</v>
      </c>
      <c r="G4216" s="96">
        <v>8219</v>
      </c>
    </row>
    <row r="4217" spans="2:7">
      <c r="B4217" s="118" t="s">
        <v>1214</v>
      </c>
      <c r="C4217" s="119">
        <v>1647</v>
      </c>
      <c r="E4217" s="96" t="s">
        <v>1395</v>
      </c>
      <c r="F4217" s="96" t="s">
        <v>175</v>
      </c>
      <c r="G4217" s="96">
        <v>8253</v>
      </c>
    </row>
    <row r="4218" spans="2:7">
      <c r="B4218" s="118" t="s">
        <v>1229</v>
      </c>
      <c r="C4218" s="119">
        <v>1648</v>
      </c>
      <c r="E4218" s="96" t="s">
        <v>1396</v>
      </c>
      <c r="F4218" s="96" t="s">
        <v>175</v>
      </c>
      <c r="G4218" s="96">
        <v>8216</v>
      </c>
    </row>
    <row r="4219" spans="2:7">
      <c r="B4219" s="118" t="s">
        <v>3341</v>
      </c>
      <c r="C4219" s="119">
        <v>1637</v>
      </c>
      <c r="E4219" s="96" t="s">
        <v>1397</v>
      </c>
      <c r="F4219" s="96" t="s">
        <v>175</v>
      </c>
      <c r="G4219" s="96">
        <v>8218</v>
      </c>
    </row>
    <row r="4220" spans="2:7">
      <c r="B4220" s="118" t="s">
        <v>1226</v>
      </c>
      <c r="C4220" s="119">
        <v>1656</v>
      </c>
      <c r="E4220" s="96" t="s">
        <v>1398</v>
      </c>
      <c r="F4220" s="96" t="s">
        <v>175</v>
      </c>
      <c r="G4220" s="96">
        <v>8236</v>
      </c>
    </row>
    <row r="4221" spans="2:7">
      <c r="B4221" s="118" t="s">
        <v>3342</v>
      </c>
      <c r="C4221" s="119">
        <v>1656</v>
      </c>
      <c r="E4221" s="96" t="s">
        <v>1399</v>
      </c>
      <c r="F4221" s="96" t="s">
        <v>175</v>
      </c>
      <c r="G4221" s="96">
        <v>8238</v>
      </c>
    </row>
    <row r="4222" spans="2:7">
      <c r="B4222" s="118" t="s">
        <v>3019</v>
      </c>
      <c r="C4222" s="119">
        <v>1657</v>
      </c>
      <c r="E4222" s="96" t="s">
        <v>1400</v>
      </c>
      <c r="F4222" s="96" t="s">
        <v>178</v>
      </c>
      <c r="G4222" s="96">
        <v>8807</v>
      </c>
    </row>
    <row r="4223" spans="2:7">
      <c r="B4223" s="118" t="s">
        <v>3343</v>
      </c>
      <c r="C4223" s="119">
        <v>1716</v>
      </c>
      <c r="E4223" s="96" t="s">
        <v>1401</v>
      </c>
      <c r="F4223" s="96" t="s">
        <v>178</v>
      </c>
      <c r="G4223" s="96">
        <v>8840</v>
      </c>
    </row>
    <row r="4224" spans="2:7">
      <c r="B4224" s="118" t="s">
        <v>1167</v>
      </c>
      <c r="C4224" s="119">
        <v>1633</v>
      </c>
      <c r="E4224" s="96" t="s">
        <v>178</v>
      </c>
      <c r="F4224" s="96" t="s">
        <v>178</v>
      </c>
      <c r="G4224" s="96">
        <v>6430</v>
      </c>
    </row>
    <row r="4225" spans="2:7">
      <c r="B4225" s="118" t="s">
        <v>3344</v>
      </c>
      <c r="C4225" s="119">
        <v>1633</v>
      </c>
      <c r="E4225" s="96" t="s">
        <v>1402</v>
      </c>
      <c r="F4225" s="96" t="s">
        <v>178</v>
      </c>
      <c r="G4225" s="96">
        <v>6403</v>
      </c>
    </row>
    <row r="4226" spans="2:7">
      <c r="B4226" s="118" t="s">
        <v>1231</v>
      </c>
      <c r="C4226" s="119">
        <v>1638</v>
      </c>
      <c r="E4226" s="96" t="s">
        <v>1403</v>
      </c>
      <c r="F4226" s="96" t="s">
        <v>178</v>
      </c>
      <c r="G4226" s="96">
        <v>6415</v>
      </c>
    </row>
    <row r="4227" spans="2:7">
      <c r="B4227" s="118" t="s">
        <v>3334</v>
      </c>
      <c r="C4227" s="119">
        <v>1635</v>
      </c>
      <c r="E4227" s="96" t="s">
        <v>1404</v>
      </c>
      <c r="F4227" s="96" t="s">
        <v>178</v>
      </c>
      <c r="G4227" s="96">
        <v>8862</v>
      </c>
    </row>
    <row r="4228" spans="2:7">
      <c r="B4228" s="118" t="s">
        <v>3335</v>
      </c>
      <c r="C4228" s="119">
        <v>1661</v>
      </c>
      <c r="E4228" s="96" t="s">
        <v>1405</v>
      </c>
      <c r="F4228" s="96" t="s">
        <v>178</v>
      </c>
      <c r="G4228" s="96">
        <v>6440</v>
      </c>
    </row>
    <row r="4229" spans="2:7">
      <c r="B4229" s="118" t="s">
        <v>1230</v>
      </c>
      <c r="C4229" s="119">
        <v>1649</v>
      </c>
      <c r="E4229" s="96" t="s">
        <v>1406</v>
      </c>
      <c r="F4229" s="96" t="s">
        <v>178</v>
      </c>
      <c r="G4229" s="96">
        <v>8853</v>
      </c>
    </row>
    <row r="4230" spans="2:7">
      <c r="B4230" s="118" t="s">
        <v>1157</v>
      </c>
      <c r="C4230" s="119">
        <v>1628</v>
      </c>
      <c r="E4230" s="96" t="s">
        <v>1407</v>
      </c>
      <c r="F4230" s="96" t="s">
        <v>178</v>
      </c>
      <c r="G4230" s="96">
        <v>8832</v>
      </c>
    </row>
    <row r="4231" spans="2:7">
      <c r="B4231" s="118" t="s">
        <v>1150</v>
      </c>
      <c r="C4231" s="119">
        <v>1632</v>
      </c>
      <c r="E4231" s="96" t="s">
        <v>1408</v>
      </c>
      <c r="F4231" s="96" t="s">
        <v>178</v>
      </c>
      <c r="G4231" s="96">
        <v>8852</v>
      </c>
    </row>
    <row r="4232" spans="2:7">
      <c r="B4232" s="118" t="s">
        <v>3340</v>
      </c>
      <c r="C4232" s="119">
        <v>1634</v>
      </c>
      <c r="E4232" s="96" t="s">
        <v>1409</v>
      </c>
      <c r="F4232" s="96" t="s">
        <v>178</v>
      </c>
      <c r="G4232" s="96">
        <v>8835</v>
      </c>
    </row>
    <row r="4233" spans="2:7">
      <c r="B4233" s="118" t="s">
        <v>1179</v>
      </c>
      <c r="C4233" s="119">
        <v>1733</v>
      </c>
      <c r="E4233" s="96" t="s">
        <v>1410</v>
      </c>
      <c r="F4233" s="96" t="s">
        <v>178</v>
      </c>
      <c r="G4233" s="96">
        <v>8854</v>
      </c>
    </row>
    <row r="4234" spans="2:7">
      <c r="B4234" s="118" t="s">
        <v>3345</v>
      </c>
      <c r="C4234" s="119">
        <v>1625</v>
      </c>
      <c r="E4234" s="96" t="s">
        <v>1411</v>
      </c>
      <c r="F4234" s="96" t="s">
        <v>178</v>
      </c>
      <c r="G4234" s="96">
        <v>8855</v>
      </c>
    </row>
    <row r="4235" spans="2:7">
      <c r="B4235" s="118" t="s">
        <v>3346</v>
      </c>
      <c r="C4235" s="119">
        <v>1625</v>
      </c>
      <c r="E4235" s="96" t="s">
        <v>1412</v>
      </c>
      <c r="F4235" s="96" t="s">
        <v>178</v>
      </c>
      <c r="G4235" s="96">
        <v>6436</v>
      </c>
    </row>
    <row r="4236" spans="2:7">
      <c r="B4236" s="118" t="s">
        <v>3347</v>
      </c>
      <c r="C4236" s="119">
        <v>1626</v>
      </c>
      <c r="E4236" s="96" t="s">
        <v>1413</v>
      </c>
      <c r="F4236" s="96" t="s">
        <v>178</v>
      </c>
      <c r="G4236" s="96">
        <v>6422</v>
      </c>
    </row>
    <row r="4237" spans="2:7">
      <c r="B4237" s="118" t="s">
        <v>3348</v>
      </c>
      <c r="C4237" s="119">
        <v>1626</v>
      </c>
      <c r="E4237" s="96" t="s">
        <v>1414</v>
      </c>
      <c r="F4237" s="96" t="s">
        <v>178</v>
      </c>
      <c r="G4237" s="96">
        <v>8856</v>
      </c>
    </row>
    <row r="4238" spans="2:7">
      <c r="B4238" s="118" t="s">
        <v>3349</v>
      </c>
      <c r="C4238" s="119">
        <v>1626</v>
      </c>
      <c r="E4238" s="96" t="s">
        <v>1415</v>
      </c>
      <c r="F4238" s="96" t="s">
        <v>178</v>
      </c>
      <c r="G4238" s="96">
        <v>8842</v>
      </c>
    </row>
    <row r="4239" spans="2:7">
      <c r="B4239" s="118" t="s">
        <v>1203</v>
      </c>
      <c r="C4239" s="119">
        <v>1627</v>
      </c>
      <c r="E4239" s="96" t="s">
        <v>1416</v>
      </c>
      <c r="F4239" s="96" t="s">
        <v>178</v>
      </c>
      <c r="G4239" s="96">
        <v>6418</v>
      </c>
    </row>
    <row r="4240" spans="2:7">
      <c r="B4240" s="118" t="s">
        <v>1199</v>
      </c>
      <c r="C4240" s="119">
        <v>1642</v>
      </c>
      <c r="E4240" s="96" t="s">
        <v>1417</v>
      </c>
      <c r="F4240" s="96" t="s">
        <v>178</v>
      </c>
      <c r="G4240" s="96">
        <v>6442</v>
      </c>
    </row>
    <row r="4241" spans="2:7">
      <c r="B4241" s="118" t="s">
        <v>1203</v>
      </c>
      <c r="C4241" s="119">
        <v>1627</v>
      </c>
      <c r="E4241" s="96" t="s">
        <v>1418</v>
      </c>
      <c r="F4241" s="96" t="s">
        <v>178</v>
      </c>
      <c r="G4241" s="96">
        <v>6417</v>
      </c>
    </row>
    <row r="4242" spans="2:7">
      <c r="B4242" s="118" t="s">
        <v>1157</v>
      </c>
      <c r="C4242" s="119">
        <v>1628</v>
      </c>
      <c r="E4242" s="96" t="s">
        <v>1419</v>
      </c>
      <c r="F4242" s="96" t="s">
        <v>178</v>
      </c>
      <c r="G4242" s="96">
        <v>6443</v>
      </c>
    </row>
    <row r="4243" spans="2:7">
      <c r="B4243" s="118" t="s">
        <v>1124</v>
      </c>
      <c r="C4243" s="119">
        <v>1630</v>
      </c>
      <c r="E4243" s="96" t="s">
        <v>1420</v>
      </c>
      <c r="F4243" s="96" t="s">
        <v>178</v>
      </c>
      <c r="G4243" s="96">
        <v>6424</v>
      </c>
    </row>
    <row r="4244" spans="2:7">
      <c r="B4244" s="118" t="s">
        <v>1157</v>
      </c>
      <c r="C4244" s="119">
        <v>1628</v>
      </c>
      <c r="E4244" s="96" t="s">
        <v>1421</v>
      </c>
      <c r="F4244" s="96" t="s">
        <v>178</v>
      </c>
      <c r="G4244" s="96">
        <v>8857</v>
      </c>
    </row>
    <row r="4245" spans="2:7">
      <c r="B4245" s="118" t="s">
        <v>1124</v>
      </c>
      <c r="C4245" s="119">
        <v>1630</v>
      </c>
      <c r="E4245" s="96" t="s">
        <v>1422</v>
      </c>
      <c r="F4245" s="96" t="s">
        <v>178</v>
      </c>
      <c r="G4245" s="96">
        <v>6416</v>
      </c>
    </row>
    <row r="4246" spans="2:7">
      <c r="B4246" s="118" t="s">
        <v>3339</v>
      </c>
      <c r="C4246" s="119">
        <v>1663</v>
      </c>
      <c r="E4246" s="96" t="s">
        <v>1423</v>
      </c>
      <c r="F4246" s="96" t="s">
        <v>178</v>
      </c>
      <c r="G4246" s="96">
        <v>8843</v>
      </c>
    </row>
    <row r="4247" spans="2:7">
      <c r="B4247" s="118" t="s">
        <v>3350</v>
      </c>
      <c r="C4247" s="119">
        <v>1665</v>
      </c>
      <c r="E4247" s="96" t="s">
        <v>1424</v>
      </c>
      <c r="F4247" s="96" t="s">
        <v>178</v>
      </c>
      <c r="G4247" s="96">
        <v>6434</v>
      </c>
    </row>
    <row r="4248" spans="2:7">
      <c r="B4248" s="118" t="s">
        <v>3351</v>
      </c>
      <c r="C4248" s="119">
        <v>1666</v>
      </c>
      <c r="E4248" s="96" t="s">
        <v>1425</v>
      </c>
      <c r="F4248" s="96" t="s">
        <v>178</v>
      </c>
      <c r="G4248" s="96">
        <v>8849</v>
      </c>
    </row>
    <row r="4249" spans="2:7">
      <c r="B4249" s="118" t="s">
        <v>3352</v>
      </c>
      <c r="C4249" s="119">
        <v>1667</v>
      </c>
      <c r="E4249" s="96" t="s">
        <v>1426</v>
      </c>
      <c r="F4249" s="96" t="s">
        <v>178</v>
      </c>
      <c r="G4249" s="96">
        <v>8858</v>
      </c>
    </row>
    <row r="4250" spans="2:7">
      <c r="B4250" s="118" t="s">
        <v>3341</v>
      </c>
      <c r="C4250" s="119">
        <v>1637</v>
      </c>
      <c r="E4250" s="96" t="s">
        <v>1427</v>
      </c>
      <c r="F4250" s="96" t="s">
        <v>178</v>
      </c>
      <c r="G4250" s="96">
        <v>6452</v>
      </c>
    </row>
    <row r="4251" spans="2:7">
      <c r="B4251" s="118" t="s">
        <v>3353</v>
      </c>
      <c r="C4251" s="119">
        <v>1654</v>
      </c>
      <c r="E4251" s="96" t="s">
        <v>1428</v>
      </c>
      <c r="F4251" s="96" t="s">
        <v>178</v>
      </c>
      <c r="G4251" s="100">
        <v>6452</v>
      </c>
    </row>
    <row r="4252" spans="2:7">
      <c r="B4252" s="118" t="s">
        <v>3343</v>
      </c>
      <c r="C4252" s="119">
        <v>1716</v>
      </c>
      <c r="E4252" s="96" t="s">
        <v>1429</v>
      </c>
      <c r="F4252" s="96" t="s">
        <v>166</v>
      </c>
      <c r="G4252" s="100">
        <v>6900</v>
      </c>
    </row>
    <row r="4253" spans="2:7">
      <c r="B4253" s="118" t="s">
        <v>1220</v>
      </c>
      <c r="C4253" s="119">
        <v>1742</v>
      </c>
      <c r="E4253" s="96" t="s">
        <v>1430</v>
      </c>
      <c r="F4253" s="96" t="s">
        <v>166</v>
      </c>
      <c r="G4253" s="100">
        <v>6500</v>
      </c>
    </row>
    <row r="4254" spans="2:7">
      <c r="B4254" s="118" t="s">
        <v>3354</v>
      </c>
      <c r="C4254" s="119">
        <v>1745</v>
      </c>
      <c r="E4254" s="96" t="s">
        <v>1431</v>
      </c>
      <c r="F4254" s="96" t="s">
        <v>166</v>
      </c>
      <c r="G4254" s="100">
        <v>6600</v>
      </c>
    </row>
    <row r="4255" spans="2:7">
      <c r="B4255" s="118" t="s">
        <v>3355</v>
      </c>
      <c r="C4255" s="119">
        <v>1754</v>
      </c>
      <c r="E4255" s="96" t="s">
        <v>1432</v>
      </c>
      <c r="F4255" s="96" t="s">
        <v>166</v>
      </c>
      <c r="G4255" s="100">
        <v>6850</v>
      </c>
    </row>
    <row r="4256" spans="2:7">
      <c r="B4256" s="118" t="s">
        <v>3356</v>
      </c>
      <c r="C4256" s="119">
        <v>1754</v>
      </c>
      <c r="E4256" s="96" t="s">
        <v>1433</v>
      </c>
      <c r="F4256" s="96" t="s">
        <v>166</v>
      </c>
      <c r="G4256" s="100">
        <v>6830</v>
      </c>
    </row>
    <row r="4257" spans="2:7">
      <c r="B4257" s="118" t="s">
        <v>3357</v>
      </c>
      <c r="C4257" s="119">
        <v>1720</v>
      </c>
      <c r="E4257" s="96" t="s">
        <v>1434</v>
      </c>
      <c r="F4257" s="96" t="s">
        <v>166</v>
      </c>
      <c r="G4257" s="100">
        <v>6648</v>
      </c>
    </row>
    <row r="4258" spans="2:7">
      <c r="B4258" s="118" t="s">
        <v>1145</v>
      </c>
      <c r="C4258" s="119">
        <v>1782</v>
      </c>
      <c r="E4258" s="96" t="s">
        <v>1435</v>
      </c>
      <c r="F4258" s="96" t="s">
        <v>166</v>
      </c>
      <c r="G4258" s="100">
        <v>6950</v>
      </c>
    </row>
    <row r="4259" spans="2:7">
      <c r="B4259" s="118" t="s">
        <v>3358</v>
      </c>
      <c r="C4259" s="119">
        <v>1782</v>
      </c>
      <c r="E4259" s="96" t="s">
        <v>1436</v>
      </c>
      <c r="F4259" s="96" t="s">
        <v>166</v>
      </c>
      <c r="G4259" s="100">
        <v>6616</v>
      </c>
    </row>
    <row r="4260" spans="2:7">
      <c r="B4260" s="118" t="s">
        <v>1216</v>
      </c>
      <c r="C4260" s="119">
        <v>1744</v>
      </c>
      <c r="E4260" s="96" t="s">
        <v>1437</v>
      </c>
      <c r="F4260" s="96" t="s">
        <v>166</v>
      </c>
      <c r="G4260" s="100">
        <v>6900</v>
      </c>
    </row>
    <row r="4261" spans="2:7">
      <c r="B4261" s="118" t="s">
        <v>1152</v>
      </c>
      <c r="C4261" s="119">
        <v>1720</v>
      </c>
      <c r="E4261" s="96" t="s">
        <v>1438</v>
      </c>
      <c r="F4261" s="96" t="s">
        <v>166</v>
      </c>
      <c r="G4261" s="100">
        <v>6710</v>
      </c>
    </row>
    <row r="4262" spans="2:7">
      <c r="B4262" s="118" t="s">
        <v>3357</v>
      </c>
      <c r="C4262" s="119">
        <v>1720</v>
      </c>
      <c r="E4262" s="96" t="s">
        <v>1439</v>
      </c>
      <c r="F4262" s="96" t="s">
        <v>166</v>
      </c>
      <c r="G4262" s="100">
        <v>6612</v>
      </c>
    </row>
    <row r="4263" spans="2:7">
      <c r="B4263" s="118" t="s">
        <v>1175</v>
      </c>
      <c r="C4263" s="119">
        <v>1753</v>
      </c>
      <c r="E4263" s="96" t="s">
        <v>1440</v>
      </c>
      <c r="F4263" s="96" t="s">
        <v>166</v>
      </c>
      <c r="G4263" s="100">
        <v>6574</v>
      </c>
    </row>
    <row r="4264" spans="2:7">
      <c r="B4264" s="118" t="s">
        <v>3359</v>
      </c>
      <c r="C4264" s="119">
        <v>1741</v>
      </c>
      <c r="E4264" s="96" t="s">
        <v>1441</v>
      </c>
      <c r="F4264" s="96" t="s">
        <v>166</v>
      </c>
      <c r="G4264" s="100">
        <v>6517</v>
      </c>
    </row>
    <row r="4265" spans="2:7">
      <c r="B4265" s="118" t="s">
        <v>1251</v>
      </c>
      <c r="C4265" s="119">
        <v>1724</v>
      </c>
      <c r="E4265" s="96" t="s">
        <v>1442</v>
      </c>
      <c r="F4265" s="96" t="s">
        <v>166</v>
      </c>
      <c r="G4265" s="100">
        <v>6926</v>
      </c>
    </row>
    <row r="4266" spans="2:7">
      <c r="B4266" s="118" t="s">
        <v>2626</v>
      </c>
      <c r="C4266" s="119">
        <v>1700</v>
      </c>
      <c r="E4266" s="96" t="s">
        <v>1443</v>
      </c>
      <c r="F4266" s="96" t="s">
        <v>166</v>
      </c>
      <c r="G4266" s="100">
        <v>6596</v>
      </c>
    </row>
    <row r="4267" spans="2:7">
      <c r="B4267" s="118" t="s">
        <v>3360</v>
      </c>
      <c r="C4267" s="119">
        <v>1722</v>
      </c>
      <c r="E4267" s="96" t="s">
        <v>1444</v>
      </c>
      <c r="F4267" s="96" t="s">
        <v>166</v>
      </c>
      <c r="G4267" s="100">
        <v>6855</v>
      </c>
    </row>
    <row r="4268" spans="2:7">
      <c r="B4268" s="118" t="s">
        <v>1146</v>
      </c>
      <c r="C4268" s="119">
        <v>1762</v>
      </c>
      <c r="E4268" s="96" t="s">
        <v>1445</v>
      </c>
      <c r="F4268" s="96" t="s">
        <v>166</v>
      </c>
      <c r="G4268" s="100">
        <v>6834</v>
      </c>
    </row>
    <row r="4269" spans="2:7">
      <c r="B4269" s="118" t="s">
        <v>1139</v>
      </c>
      <c r="C4269" s="119">
        <v>1763</v>
      </c>
      <c r="E4269" s="96" t="s">
        <v>1446</v>
      </c>
      <c r="F4269" s="96" t="s">
        <v>166</v>
      </c>
      <c r="G4269" s="100">
        <v>6802</v>
      </c>
    </row>
    <row r="4270" spans="2:7">
      <c r="B4270" s="118" t="s">
        <v>1166</v>
      </c>
      <c r="C4270" s="119">
        <v>1772</v>
      </c>
      <c r="E4270" s="96" t="s">
        <v>1447</v>
      </c>
      <c r="F4270" s="96" t="s">
        <v>166</v>
      </c>
      <c r="G4270" s="100">
        <v>6982</v>
      </c>
    </row>
    <row r="4271" spans="2:7">
      <c r="B4271" s="118" t="s">
        <v>1128</v>
      </c>
      <c r="C4271" s="119">
        <v>1723</v>
      </c>
      <c r="E4271" s="96" t="s">
        <v>1448</v>
      </c>
      <c r="F4271" s="96" t="s">
        <v>166</v>
      </c>
      <c r="G4271" s="100">
        <v>6987</v>
      </c>
    </row>
    <row r="4272" spans="2:7">
      <c r="B4272" s="118" t="s">
        <v>3361</v>
      </c>
      <c r="C4272" s="119">
        <v>1725</v>
      </c>
      <c r="E4272" s="96" t="s">
        <v>1449</v>
      </c>
      <c r="F4272" s="96" t="s">
        <v>166</v>
      </c>
      <c r="G4272" s="100">
        <v>6707</v>
      </c>
    </row>
    <row r="4273" spans="2:7">
      <c r="B4273" s="118" t="s">
        <v>1175</v>
      </c>
      <c r="C4273" s="119">
        <v>1753</v>
      </c>
      <c r="E4273" s="96" t="s">
        <v>1450</v>
      </c>
      <c r="F4273" s="96" t="s">
        <v>166</v>
      </c>
      <c r="G4273" s="100">
        <v>6900</v>
      </c>
    </row>
    <row r="4274" spans="2:7">
      <c r="B4274" s="118" t="s">
        <v>3362</v>
      </c>
      <c r="C4274" s="119">
        <v>1740</v>
      </c>
      <c r="E4274" s="96" t="s">
        <v>1451</v>
      </c>
      <c r="F4274" s="96" t="s">
        <v>166</v>
      </c>
      <c r="G4274" s="100">
        <v>6833</v>
      </c>
    </row>
    <row r="4275" spans="2:7">
      <c r="B4275" s="118" t="s">
        <v>1256</v>
      </c>
      <c r="C4275" s="119">
        <v>1723</v>
      </c>
      <c r="E4275" s="96" t="s">
        <v>1452</v>
      </c>
      <c r="F4275" s="96" t="s">
        <v>166</v>
      </c>
      <c r="G4275" s="100">
        <v>6828</v>
      </c>
    </row>
    <row r="4276" spans="2:7">
      <c r="B4276" s="118" t="s">
        <v>3363</v>
      </c>
      <c r="C4276" s="119">
        <v>1772</v>
      </c>
      <c r="E4276" s="96" t="s">
        <v>1453</v>
      </c>
      <c r="F4276" s="96" t="s">
        <v>166</v>
      </c>
      <c r="G4276" s="100">
        <v>6598</v>
      </c>
    </row>
    <row r="4277" spans="2:7">
      <c r="B4277" s="118" t="s">
        <v>1222</v>
      </c>
      <c r="C4277" s="119">
        <v>1772</v>
      </c>
      <c r="E4277" s="96" t="s">
        <v>1454</v>
      </c>
      <c r="F4277" s="96" t="s">
        <v>166</v>
      </c>
      <c r="G4277" s="100">
        <v>6807</v>
      </c>
    </row>
    <row r="4278" spans="2:7">
      <c r="B4278" s="118" t="s">
        <v>1147</v>
      </c>
      <c r="C4278" s="119">
        <v>1724</v>
      </c>
      <c r="E4278" s="96" t="s">
        <v>1455</v>
      </c>
      <c r="F4278" s="96" t="s">
        <v>166</v>
      </c>
      <c r="G4278" s="100">
        <v>6760</v>
      </c>
    </row>
    <row r="4279" spans="2:7">
      <c r="B4279" s="118" t="s">
        <v>3364</v>
      </c>
      <c r="C4279" s="119">
        <v>1724</v>
      </c>
      <c r="E4279" s="96" t="s">
        <v>1456</v>
      </c>
      <c r="F4279" s="96" t="s">
        <v>166</v>
      </c>
      <c r="G4279" s="100">
        <v>6593</v>
      </c>
    </row>
    <row r="4280" spans="2:7">
      <c r="B4280" s="118" t="s">
        <v>3365</v>
      </c>
      <c r="C4280" s="119">
        <v>1724</v>
      </c>
      <c r="E4280" s="96" t="s">
        <v>1457</v>
      </c>
      <c r="F4280" s="96" t="s">
        <v>166</v>
      </c>
      <c r="G4280" s="100">
        <v>6877</v>
      </c>
    </row>
    <row r="4281" spans="2:7">
      <c r="B4281" s="118" t="s">
        <v>3366</v>
      </c>
      <c r="C4281" s="119">
        <v>1724</v>
      </c>
      <c r="E4281" s="96" t="s">
        <v>1458</v>
      </c>
      <c r="F4281" s="96" t="s">
        <v>166</v>
      </c>
      <c r="G4281" s="100">
        <v>6516</v>
      </c>
    </row>
    <row r="4282" spans="2:7">
      <c r="B4282" s="118" t="s">
        <v>3367</v>
      </c>
      <c r="C4282" s="119">
        <v>1724</v>
      </c>
      <c r="E4282" s="96" t="s">
        <v>1459</v>
      </c>
      <c r="F4282" s="96" t="s">
        <v>166</v>
      </c>
      <c r="G4282" s="100">
        <v>6600</v>
      </c>
    </row>
    <row r="4283" spans="2:7">
      <c r="B4283" s="118" t="s">
        <v>3368</v>
      </c>
      <c r="C4283" s="119">
        <v>1724</v>
      </c>
      <c r="E4283" s="96" t="s">
        <v>1460</v>
      </c>
      <c r="F4283" s="96" t="s">
        <v>166</v>
      </c>
      <c r="G4283" s="100">
        <v>6934</v>
      </c>
    </row>
    <row r="4284" spans="2:7">
      <c r="B4284" s="118" t="s">
        <v>1187</v>
      </c>
      <c r="C4284" s="119">
        <v>1734</v>
      </c>
      <c r="E4284" s="96" t="s">
        <v>1461</v>
      </c>
      <c r="F4284" s="96" t="s">
        <v>166</v>
      </c>
      <c r="G4284" s="100">
        <v>6826</v>
      </c>
    </row>
    <row r="4285" spans="2:7">
      <c r="B4285" s="118" t="s">
        <v>3364</v>
      </c>
      <c r="C4285" s="119">
        <v>1724</v>
      </c>
      <c r="E4285" s="96" t="s">
        <v>1462</v>
      </c>
      <c r="F4285" s="96" t="s">
        <v>166</v>
      </c>
      <c r="G4285" s="100">
        <v>6652</v>
      </c>
    </row>
    <row r="4286" spans="2:7">
      <c r="B4286" s="118" t="s">
        <v>1255</v>
      </c>
      <c r="C4286" s="119">
        <v>1724</v>
      </c>
      <c r="E4286" s="96" t="s">
        <v>1463</v>
      </c>
      <c r="F4286" s="96" t="s">
        <v>166</v>
      </c>
      <c r="G4286" s="100">
        <v>6673</v>
      </c>
    </row>
    <row r="4287" spans="2:7">
      <c r="B4287" s="118" t="s">
        <v>1179</v>
      </c>
      <c r="C4287" s="119">
        <v>1733</v>
      </c>
      <c r="E4287" s="96" t="s">
        <v>1464</v>
      </c>
      <c r="F4287" s="96" t="s">
        <v>166</v>
      </c>
      <c r="G4287" s="100">
        <v>6592</v>
      </c>
    </row>
    <row r="4288" spans="2:7">
      <c r="B4288" s="118" t="s">
        <v>1125</v>
      </c>
      <c r="C4288" s="119">
        <v>1752</v>
      </c>
      <c r="E4288" s="96" t="s">
        <v>1465</v>
      </c>
      <c r="F4288" s="96" t="s">
        <v>166</v>
      </c>
      <c r="G4288" s="100">
        <v>6883</v>
      </c>
    </row>
    <row r="4289" spans="2:7">
      <c r="B4289" s="118" t="s">
        <v>1257</v>
      </c>
      <c r="C4289" s="119">
        <v>1723</v>
      </c>
      <c r="E4289" s="96" t="s">
        <v>1466</v>
      </c>
      <c r="F4289" s="96" t="s">
        <v>166</v>
      </c>
      <c r="G4289" s="100">
        <v>6942</v>
      </c>
    </row>
    <row r="4290" spans="2:7">
      <c r="B4290" s="118" t="s">
        <v>1147</v>
      </c>
      <c r="C4290" s="119">
        <v>1724</v>
      </c>
      <c r="E4290" s="96" t="s">
        <v>1467</v>
      </c>
      <c r="F4290" s="96" t="s">
        <v>166</v>
      </c>
      <c r="G4290" s="100">
        <v>6874</v>
      </c>
    </row>
    <row r="4291" spans="2:7">
      <c r="B4291" s="118" t="s">
        <v>3361</v>
      </c>
      <c r="C4291" s="119">
        <v>1725</v>
      </c>
      <c r="E4291" s="96" t="s">
        <v>1468</v>
      </c>
      <c r="F4291" s="96" t="s">
        <v>166</v>
      </c>
      <c r="G4291" s="100">
        <v>6952</v>
      </c>
    </row>
    <row r="4292" spans="2:7">
      <c r="B4292" s="118" t="s">
        <v>3369</v>
      </c>
      <c r="C4292" s="119">
        <v>1730</v>
      </c>
      <c r="E4292" s="96" t="s">
        <v>1469</v>
      </c>
      <c r="F4292" s="96" t="s">
        <v>166</v>
      </c>
      <c r="G4292" s="100">
        <v>6705</v>
      </c>
    </row>
    <row r="4293" spans="2:7">
      <c r="B4293" s="118" t="s">
        <v>3354</v>
      </c>
      <c r="C4293" s="119">
        <v>1745</v>
      </c>
      <c r="E4293" s="96" t="s">
        <v>1470</v>
      </c>
      <c r="F4293" s="96" t="s">
        <v>166</v>
      </c>
      <c r="G4293" s="100">
        <v>6881</v>
      </c>
    </row>
    <row r="4294" spans="2:7">
      <c r="B4294" s="118" t="s">
        <v>3355</v>
      </c>
      <c r="C4294" s="119">
        <v>1754</v>
      </c>
      <c r="E4294" s="96" t="s">
        <v>1471</v>
      </c>
      <c r="F4294" s="96" t="s">
        <v>166</v>
      </c>
      <c r="G4294" s="100">
        <v>6949</v>
      </c>
    </row>
    <row r="4295" spans="2:7">
      <c r="B4295" s="118" t="s">
        <v>3370</v>
      </c>
      <c r="C4295" s="119">
        <v>1756</v>
      </c>
      <c r="E4295" s="96" t="s">
        <v>1472</v>
      </c>
      <c r="F4295" s="96" t="s">
        <v>166</v>
      </c>
      <c r="G4295" s="100">
        <v>6943</v>
      </c>
    </row>
    <row r="4296" spans="2:7">
      <c r="B4296" s="118" t="s">
        <v>3371</v>
      </c>
      <c r="C4296" s="119">
        <v>1756</v>
      </c>
      <c r="E4296" s="96" t="s">
        <v>1473</v>
      </c>
      <c r="F4296" s="96" t="s">
        <v>166</v>
      </c>
      <c r="G4296" s="100">
        <v>6946</v>
      </c>
    </row>
    <row r="4297" spans="2:7">
      <c r="B4297" s="118" t="s">
        <v>3372</v>
      </c>
      <c r="C4297" s="119">
        <v>1782</v>
      </c>
      <c r="E4297" s="96" t="s">
        <v>1474</v>
      </c>
      <c r="F4297" s="96" t="s">
        <v>166</v>
      </c>
      <c r="G4297" s="100">
        <v>6716</v>
      </c>
    </row>
    <row r="4298" spans="2:7">
      <c r="B4298" s="118" t="s">
        <v>3373</v>
      </c>
      <c r="C4298" s="119">
        <v>1782</v>
      </c>
      <c r="E4298" s="96" t="s">
        <v>1475</v>
      </c>
      <c r="F4298" s="96" t="s">
        <v>166</v>
      </c>
      <c r="G4298" s="100">
        <v>6718</v>
      </c>
    </row>
    <row r="4299" spans="2:7">
      <c r="B4299" s="118" t="s">
        <v>3374</v>
      </c>
      <c r="C4299" s="119">
        <v>1782</v>
      </c>
      <c r="E4299" s="96" t="s">
        <v>1476</v>
      </c>
      <c r="F4299" s="96" t="s">
        <v>166</v>
      </c>
      <c r="G4299" s="100">
        <v>6815</v>
      </c>
    </row>
    <row r="4300" spans="2:7">
      <c r="B4300" s="118" t="s">
        <v>3375</v>
      </c>
      <c r="C4300" s="119">
        <v>1782</v>
      </c>
      <c r="E4300" s="96" t="s">
        <v>1477</v>
      </c>
      <c r="F4300" s="96" t="s">
        <v>166</v>
      </c>
      <c r="G4300" s="100">
        <v>6814</v>
      </c>
    </row>
    <row r="4301" spans="2:7">
      <c r="B4301" s="118" t="s">
        <v>3376</v>
      </c>
      <c r="C4301" s="119">
        <v>1695</v>
      </c>
      <c r="E4301" s="96" t="s">
        <v>1478</v>
      </c>
      <c r="F4301" s="96" t="s">
        <v>166</v>
      </c>
      <c r="G4301" s="100">
        <v>6924</v>
      </c>
    </row>
    <row r="4302" spans="2:7">
      <c r="B4302" s="118" t="s">
        <v>3377</v>
      </c>
      <c r="C4302" s="119">
        <v>1695</v>
      </c>
      <c r="E4302" s="96" t="s">
        <v>1479</v>
      </c>
      <c r="F4302" s="96" t="s">
        <v>166</v>
      </c>
      <c r="G4302" s="100">
        <v>6614</v>
      </c>
    </row>
    <row r="4303" spans="2:7">
      <c r="B4303" s="118" t="s">
        <v>3378</v>
      </c>
      <c r="C4303" s="119">
        <v>1695</v>
      </c>
      <c r="E4303" s="96" t="s">
        <v>1480</v>
      </c>
      <c r="F4303" s="96" t="s">
        <v>166</v>
      </c>
      <c r="G4303" s="100">
        <v>6983</v>
      </c>
    </row>
    <row r="4304" spans="2:7">
      <c r="B4304" s="118" t="s">
        <v>3379</v>
      </c>
      <c r="C4304" s="119">
        <v>1695</v>
      </c>
      <c r="E4304" s="96" t="s">
        <v>1481</v>
      </c>
      <c r="F4304" s="96" t="s">
        <v>166</v>
      </c>
      <c r="G4304" s="100">
        <v>6948</v>
      </c>
    </row>
    <row r="4305" spans="2:7">
      <c r="B4305" s="118" t="s">
        <v>3380</v>
      </c>
      <c r="C4305" s="119">
        <v>1696</v>
      </c>
      <c r="E4305" s="96" t="s">
        <v>1482</v>
      </c>
      <c r="F4305" s="96" t="s">
        <v>166</v>
      </c>
      <c r="G4305" s="100">
        <v>6930</v>
      </c>
    </row>
    <row r="4306" spans="2:7">
      <c r="B4306" s="118" t="s">
        <v>3381</v>
      </c>
      <c r="C4306" s="119">
        <v>1726</v>
      </c>
      <c r="E4306" s="96" t="s">
        <v>1483</v>
      </c>
      <c r="F4306" s="96" t="s">
        <v>166</v>
      </c>
      <c r="G4306" s="100">
        <v>6780</v>
      </c>
    </row>
    <row r="4307" spans="2:7">
      <c r="B4307" s="118" t="s">
        <v>3382</v>
      </c>
      <c r="C4307" s="119">
        <v>1726</v>
      </c>
      <c r="E4307" s="96" t="s">
        <v>1484</v>
      </c>
      <c r="F4307" s="96" t="s">
        <v>166</v>
      </c>
      <c r="G4307" s="100">
        <v>6814</v>
      </c>
    </row>
    <row r="4308" spans="2:7">
      <c r="B4308" s="118" t="s">
        <v>3383</v>
      </c>
      <c r="C4308" s="119">
        <v>1726</v>
      </c>
      <c r="E4308" s="96" t="s">
        <v>1485</v>
      </c>
      <c r="F4308" s="96" t="s">
        <v>166</v>
      </c>
      <c r="G4308" s="100">
        <v>6670</v>
      </c>
    </row>
    <row r="4309" spans="2:7">
      <c r="B4309" s="118" t="s">
        <v>3384</v>
      </c>
      <c r="C4309" s="119">
        <v>1726</v>
      </c>
      <c r="E4309" s="96" t="s">
        <v>1486</v>
      </c>
      <c r="F4309" s="96" t="s">
        <v>166</v>
      </c>
      <c r="G4309" s="100">
        <v>6945</v>
      </c>
    </row>
    <row r="4310" spans="2:7">
      <c r="B4310" s="118" t="s">
        <v>3385</v>
      </c>
      <c r="C4310" s="119">
        <v>1727</v>
      </c>
      <c r="E4310" s="96" t="s">
        <v>1487</v>
      </c>
      <c r="F4310" s="96" t="s">
        <v>166</v>
      </c>
      <c r="G4310" s="100">
        <v>6533</v>
      </c>
    </row>
    <row r="4311" spans="2:7">
      <c r="B4311" s="118" t="s">
        <v>3386</v>
      </c>
      <c r="C4311" s="119">
        <v>1727</v>
      </c>
      <c r="E4311" s="96" t="s">
        <v>1488</v>
      </c>
      <c r="F4311" s="96" t="s">
        <v>166</v>
      </c>
      <c r="G4311" s="100">
        <v>6818</v>
      </c>
    </row>
    <row r="4312" spans="2:7">
      <c r="B4312" s="118" t="s">
        <v>3387</v>
      </c>
      <c r="C4312" s="119">
        <v>1728</v>
      </c>
      <c r="E4312" s="96" t="s">
        <v>1489</v>
      </c>
      <c r="F4312" s="96" t="s">
        <v>166</v>
      </c>
      <c r="G4312" s="100">
        <v>6936</v>
      </c>
    </row>
    <row r="4313" spans="2:7">
      <c r="B4313" s="118" t="s">
        <v>1197</v>
      </c>
      <c r="C4313" s="119">
        <v>1746</v>
      </c>
      <c r="E4313" s="96" t="s">
        <v>1490</v>
      </c>
      <c r="F4313" s="96" t="s">
        <v>166</v>
      </c>
      <c r="G4313" s="100">
        <v>6944</v>
      </c>
    </row>
    <row r="4314" spans="2:7">
      <c r="B4314" s="118" t="s">
        <v>1240</v>
      </c>
      <c r="C4314" s="119">
        <v>1747</v>
      </c>
      <c r="E4314" s="96" t="s">
        <v>1491</v>
      </c>
      <c r="F4314" s="96" t="s">
        <v>166</v>
      </c>
      <c r="G4314" s="100">
        <v>6984</v>
      </c>
    </row>
    <row r="4315" spans="2:7">
      <c r="B4315" s="118" t="s">
        <v>3355</v>
      </c>
      <c r="C4315" s="119">
        <v>1754</v>
      </c>
      <c r="E4315" s="96" t="s">
        <v>1492</v>
      </c>
      <c r="F4315" s="96" t="s">
        <v>166</v>
      </c>
      <c r="G4315" s="100">
        <v>6805</v>
      </c>
    </row>
    <row r="4316" spans="2:7">
      <c r="B4316" s="118" t="s">
        <v>1224</v>
      </c>
      <c r="C4316" s="119">
        <v>1757</v>
      </c>
      <c r="E4316" s="96" t="s">
        <v>1493</v>
      </c>
      <c r="F4316" s="96" t="s">
        <v>166</v>
      </c>
      <c r="G4316" s="100">
        <v>6928</v>
      </c>
    </row>
    <row r="4317" spans="2:7">
      <c r="B4317" s="118" t="s">
        <v>1255</v>
      </c>
      <c r="C4317" s="119">
        <v>1724</v>
      </c>
      <c r="E4317" s="96" t="s">
        <v>1494</v>
      </c>
      <c r="F4317" s="96" t="s">
        <v>166</v>
      </c>
      <c r="G4317" s="100">
        <v>6633</v>
      </c>
    </row>
    <row r="4318" spans="2:7">
      <c r="B4318" s="118" t="s">
        <v>3361</v>
      </c>
      <c r="C4318" s="119">
        <v>1725</v>
      </c>
      <c r="E4318" s="96" t="s">
        <v>1495</v>
      </c>
      <c r="F4318" s="96" t="s">
        <v>166</v>
      </c>
      <c r="G4318" s="100">
        <v>6929</v>
      </c>
    </row>
    <row r="4319" spans="2:7">
      <c r="B4319" s="118" t="s">
        <v>3388</v>
      </c>
      <c r="C4319" s="119">
        <v>1731</v>
      </c>
      <c r="E4319" s="96" t="s">
        <v>1496</v>
      </c>
      <c r="F4319" s="96" t="s">
        <v>166</v>
      </c>
      <c r="G4319" s="100">
        <v>6675</v>
      </c>
    </row>
    <row r="4320" spans="2:7">
      <c r="B4320" s="118" t="s">
        <v>1213</v>
      </c>
      <c r="C4320" s="119">
        <v>1732</v>
      </c>
      <c r="E4320" s="96" t="s">
        <v>1497</v>
      </c>
      <c r="F4320" s="96" t="s">
        <v>166</v>
      </c>
      <c r="G4320" s="100">
        <v>6654</v>
      </c>
    </row>
    <row r="4321" spans="2:7">
      <c r="B4321" s="118" t="s">
        <v>1182</v>
      </c>
      <c r="C4321" s="119">
        <v>1796</v>
      </c>
      <c r="E4321" s="96" t="s">
        <v>1498</v>
      </c>
      <c r="F4321" s="96" t="s">
        <v>166</v>
      </c>
      <c r="G4321" s="100">
        <v>6777</v>
      </c>
    </row>
    <row r="4322" spans="2:7">
      <c r="B4322" s="118" t="s">
        <v>1127</v>
      </c>
      <c r="C4322" s="119">
        <v>3280</v>
      </c>
      <c r="E4322" s="96" t="s">
        <v>1499</v>
      </c>
      <c r="F4322" s="96" t="s">
        <v>166</v>
      </c>
      <c r="G4322" s="100">
        <v>6743</v>
      </c>
    </row>
    <row r="4323" spans="2:7">
      <c r="B4323" s="118" t="s">
        <v>3389</v>
      </c>
      <c r="C4323" s="119">
        <v>1583</v>
      </c>
      <c r="E4323" s="96" t="s">
        <v>1500</v>
      </c>
      <c r="F4323" s="96" t="s">
        <v>166</v>
      </c>
      <c r="G4323" s="100">
        <v>6822</v>
      </c>
    </row>
    <row r="4324" spans="2:7">
      <c r="B4324" s="118" t="s">
        <v>3390</v>
      </c>
      <c r="C4324" s="119">
        <v>1783</v>
      </c>
      <c r="E4324" s="96" t="s">
        <v>1501</v>
      </c>
      <c r="F4324" s="96" t="s">
        <v>166</v>
      </c>
      <c r="G4324" s="100">
        <v>6816</v>
      </c>
    </row>
    <row r="4325" spans="2:7">
      <c r="B4325" s="118" t="s">
        <v>3391</v>
      </c>
      <c r="C4325" s="119">
        <v>1783</v>
      </c>
      <c r="E4325" s="96" t="s">
        <v>1502</v>
      </c>
      <c r="F4325" s="96" t="s">
        <v>166</v>
      </c>
      <c r="G4325" s="100">
        <v>6998</v>
      </c>
    </row>
    <row r="4326" spans="2:7">
      <c r="B4326" s="118" t="s">
        <v>1134</v>
      </c>
      <c r="C4326" s="119">
        <v>1784</v>
      </c>
      <c r="E4326" s="96" t="s">
        <v>1503</v>
      </c>
      <c r="F4326" s="96" t="s">
        <v>166</v>
      </c>
      <c r="G4326" s="100">
        <v>6745</v>
      </c>
    </row>
    <row r="4327" spans="2:7">
      <c r="B4327" s="118" t="s">
        <v>3392</v>
      </c>
      <c r="C4327" s="119">
        <v>1784</v>
      </c>
      <c r="E4327" s="96" t="s">
        <v>1504</v>
      </c>
      <c r="F4327" s="96" t="s">
        <v>166</v>
      </c>
      <c r="G4327" s="100">
        <v>6980</v>
      </c>
    </row>
    <row r="4328" spans="2:7">
      <c r="B4328" s="118" t="s">
        <v>3393</v>
      </c>
      <c r="C4328" s="119">
        <v>1791</v>
      </c>
      <c r="E4328" s="96" t="s">
        <v>1505</v>
      </c>
      <c r="F4328" s="96" t="s">
        <v>166</v>
      </c>
      <c r="G4328" s="100">
        <v>6821</v>
      </c>
    </row>
    <row r="4329" spans="2:7">
      <c r="B4329" s="118" t="s">
        <v>3394</v>
      </c>
      <c r="C4329" s="119">
        <v>1795</v>
      </c>
      <c r="E4329" s="96" t="s">
        <v>1506</v>
      </c>
      <c r="F4329" s="96" t="s">
        <v>166</v>
      </c>
      <c r="G4329" s="100">
        <v>6986</v>
      </c>
    </row>
    <row r="4330" spans="2:7">
      <c r="B4330" s="118" t="s">
        <v>3395</v>
      </c>
      <c r="C4330" s="119">
        <v>3212</v>
      </c>
      <c r="E4330" s="96" t="s">
        <v>1507</v>
      </c>
      <c r="F4330" s="96" t="s">
        <v>166</v>
      </c>
      <c r="G4330" s="100">
        <v>6933</v>
      </c>
    </row>
    <row r="4331" spans="2:7">
      <c r="B4331" s="118" t="s">
        <v>3396</v>
      </c>
      <c r="C4331" s="119">
        <v>1785</v>
      </c>
      <c r="E4331" s="96" t="s">
        <v>1508</v>
      </c>
      <c r="F4331" s="96" t="s">
        <v>166</v>
      </c>
      <c r="G4331" s="100">
        <v>6936</v>
      </c>
    </row>
    <row r="4332" spans="2:7">
      <c r="B4332" s="118" t="s">
        <v>1235</v>
      </c>
      <c r="C4332" s="119">
        <v>3284</v>
      </c>
      <c r="E4332" s="96" t="s">
        <v>1509</v>
      </c>
      <c r="F4332" s="96" t="s">
        <v>166</v>
      </c>
      <c r="G4332" s="100">
        <v>6988</v>
      </c>
    </row>
    <row r="4333" spans="2:7">
      <c r="B4333" s="118" t="s">
        <v>1254</v>
      </c>
      <c r="C4333" s="119">
        <v>3280</v>
      </c>
      <c r="E4333" s="96" t="s">
        <v>1510</v>
      </c>
      <c r="F4333" s="96" t="s">
        <v>166</v>
      </c>
      <c r="G4333" s="100">
        <v>6742</v>
      </c>
    </row>
    <row r="4334" spans="2:7">
      <c r="B4334" s="118" t="s">
        <v>3397</v>
      </c>
      <c r="C4334" s="119">
        <v>1792</v>
      </c>
      <c r="E4334" s="96" t="s">
        <v>1511</v>
      </c>
      <c r="F4334" s="96" t="s">
        <v>166</v>
      </c>
      <c r="G4334" s="100">
        <v>6644</v>
      </c>
    </row>
    <row r="4335" spans="2:7">
      <c r="B4335" s="118" t="s">
        <v>3398</v>
      </c>
      <c r="C4335" s="119">
        <v>1792</v>
      </c>
      <c r="E4335" s="96" t="s">
        <v>1512</v>
      </c>
      <c r="F4335" s="96" t="s">
        <v>166</v>
      </c>
      <c r="G4335" s="100">
        <v>6922</v>
      </c>
    </row>
    <row r="4336" spans="2:7">
      <c r="B4336" s="118" t="s">
        <v>2467</v>
      </c>
      <c r="C4336" s="119">
        <v>3179</v>
      </c>
      <c r="E4336" s="96" t="s">
        <v>1513</v>
      </c>
      <c r="F4336" s="96" t="s">
        <v>166</v>
      </c>
      <c r="G4336" s="100">
        <v>6661</v>
      </c>
    </row>
    <row r="4337" spans="2:7">
      <c r="B4337" s="118" t="s">
        <v>2972</v>
      </c>
      <c r="C4337" s="119">
        <v>3205</v>
      </c>
      <c r="E4337" s="96" t="s">
        <v>1514</v>
      </c>
      <c r="F4337" s="96" t="s">
        <v>166</v>
      </c>
      <c r="G4337" s="100">
        <v>6817</v>
      </c>
    </row>
    <row r="4338" spans="2:7">
      <c r="B4338" s="118" t="s">
        <v>3399</v>
      </c>
      <c r="C4338" s="119">
        <v>3206</v>
      </c>
      <c r="E4338" s="96" t="s">
        <v>1515</v>
      </c>
      <c r="F4338" s="96" t="s">
        <v>166</v>
      </c>
      <c r="G4338" s="100">
        <v>6997</v>
      </c>
    </row>
    <row r="4339" spans="2:7">
      <c r="B4339" s="118" t="s">
        <v>1137</v>
      </c>
      <c r="C4339" s="119">
        <v>3212</v>
      </c>
      <c r="E4339" s="96" t="s">
        <v>1516</v>
      </c>
      <c r="F4339" s="96" t="s">
        <v>166</v>
      </c>
      <c r="G4339" s="100">
        <v>6981</v>
      </c>
    </row>
    <row r="4340" spans="2:7">
      <c r="B4340" s="118" t="s">
        <v>3395</v>
      </c>
      <c r="C4340" s="119">
        <v>3212</v>
      </c>
      <c r="E4340" s="96" t="s">
        <v>1517</v>
      </c>
      <c r="F4340" s="96" t="s">
        <v>166</v>
      </c>
      <c r="G4340" s="100">
        <v>6622</v>
      </c>
    </row>
    <row r="4341" spans="2:7">
      <c r="B4341" s="118" t="s">
        <v>3400</v>
      </c>
      <c r="C4341" s="119">
        <v>3213</v>
      </c>
      <c r="E4341" s="96" t="s">
        <v>1518</v>
      </c>
      <c r="F4341" s="96" t="s">
        <v>166</v>
      </c>
      <c r="G4341" s="100">
        <v>6992</v>
      </c>
    </row>
    <row r="4342" spans="2:7">
      <c r="B4342" s="118" t="s">
        <v>2612</v>
      </c>
      <c r="C4342" s="119">
        <v>3207</v>
      </c>
      <c r="E4342" s="96" t="s">
        <v>1519</v>
      </c>
      <c r="F4342" s="96" t="s">
        <v>166</v>
      </c>
      <c r="G4342" s="100">
        <v>6986</v>
      </c>
    </row>
    <row r="4343" spans="2:7">
      <c r="B4343" s="118" t="s">
        <v>2819</v>
      </c>
      <c r="C4343" s="119">
        <v>3207</v>
      </c>
      <c r="E4343" s="96" t="s">
        <v>1520</v>
      </c>
      <c r="F4343" s="96" t="s">
        <v>166</v>
      </c>
      <c r="G4343" s="100">
        <v>6685</v>
      </c>
    </row>
    <row r="4344" spans="2:7">
      <c r="B4344" s="118" t="s">
        <v>1136</v>
      </c>
      <c r="C4344" s="119">
        <v>3210</v>
      </c>
      <c r="E4344" s="96" t="s">
        <v>1521</v>
      </c>
      <c r="F4344" s="96" t="s">
        <v>166</v>
      </c>
      <c r="G4344" s="100">
        <v>6916</v>
      </c>
    </row>
    <row r="4345" spans="2:7">
      <c r="B4345" s="118" t="s">
        <v>1228</v>
      </c>
      <c r="C4345" s="119">
        <v>3213</v>
      </c>
      <c r="E4345" s="96" t="s">
        <v>1522</v>
      </c>
      <c r="F4345" s="96" t="s">
        <v>166</v>
      </c>
      <c r="G4345" s="100">
        <v>6645</v>
      </c>
    </row>
    <row r="4346" spans="2:7">
      <c r="B4346" s="118" t="s">
        <v>1127</v>
      </c>
      <c r="C4346" s="119">
        <v>3280</v>
      </c>
      <c r="E4346" s="96" t="s">
        <v>1523</v>
      </c>
      <c r="F4346" s="96" t="s">
        <v>166</v>
      </c>
      <c r="G4346" s="100">
        <v>6827</v>
      </c>
    </row>
    <row r="4347" spans="2:7">
      <c r="B4347" s="118" t="s">
        <v>1232</v>
      </c>
      <c r="C4347" s="119">
        <v>3280</v>
      </c>
      <c r="E4347" s="96" t="s">
        <v>1524</v>
      </c>
      <c r="F4347" s="96" t="s">
        <v>166</v>
      </c>
      <c r="G4347" s="100">
        <v>6774</v>
      </c>
    </row>
    <row r="4348" spans="2:7">
      <c r="B4348" s="118" t="s">
        <v>3401</v>
      </c>
      <c r="C4348" s="119">
        <v>1721</v>
      </c>
      <c r="E4348" s="96" t="s">
        <v>1525</v>
      </c>
      <c r="F4348" s="96" t="s">
        <v>166</v>
      </c>
      <c r="G4348" s="100">
        <v>6921</v>
      </c>
    </row>
    <row r="4349" spans="2:7">
      <c r="B4349" s="118" t="s">
        <v>3402</v>
      </c>
      <c r="C4349" s="119">
        <v>1721</v>
      </c>
      <c r="E4349" s="96" t="s">
        <v>1526</v>
      </c>
      <c r="F4349" s="96" t="s">
        <v>166</v>
      </c>
      <c r="G4349" s="100">
        <v>6810</v>
      </c>
    </row>
    <row r="4350" spans="2:7">
      <c r="B4350" s="118" t="s">
        <v>3403</v>
      </c>
      <c r="C4350" s="119">
        <v>1721</v>
      </c>
      <c r="E4350" s="96" t="s">
        <v>1527</v>
      </c>
      <c r="F4350" s="96" t="s">
        <v>166</v>
      </c>
      <c r="G4350" s="100">
        <v>6994</v>
      </c>
    </row>
    <row r="4351" spans="2:7">
      <c r="B4351" s="118" t="s">
        <v>3404</v>
      </c>
      <c r="C4351" s="119">
        <v>1721</v>
      </c>
      <c r="E4351" s="96" t="s">
        <v>1528</v>
      </c>
      <c r="F4351" s="96" t="s">
        <v>166</v>
      </c>
      <c r="G4351" s="100">
        <v>6744</v>
      </c>
    </row>
    <row r="4352" spans="2:7">
      <c r="B4352" s="118" t="s">
        <v>1210</v>
      </c>
      <c r="C4352" s="119">
        <v>3286</v>
      </c>
      <c r="E4352" s="96" t="s">
        <v>1529</v>
      </c>
      <c r="F4352" s="96" t="s">
        <v>166</v>
      </c>
      <c r="G4352" s="100">
        <v>6991</v>
      </c>
    </row>
    <row r="4353" spans="2:7">
      <c r="B4353" s="118" t="s">
        <v>3405</v>
      </c>
      <c r="C4353" s="119">
        <v>1595</v>
      </c>
      <c r="E4353" s="96" t="s">
        <v>1530</v>
      </c>
      <c r="F4353" s="96" t="s">
        <v>166</v>
      </c>
      <c r="G4353" s="100">
        <v>6938</v>
      </c>
    </row>
    <row r="4354" spans="2:7">
      <c r="B4354" s="118" t="s">
        <v>3406</v>
      </c>
      <c r="C4354" s="119">
        <v>1793</v>
      </c>
      <c r="E4354" s="96" t="s">
        <v>1531</v>
      </c>
      <c r="F4354" s="96" t="s">
        <v>166</v>
      </c>
      <c r="G4354" s="100">
        <v>6999</v>
      </c>
    </row>
    <row r="4355" spans="2:7">
      <c r="B4355" s="118" t="s">
        <v>3407</v>
      </c>
      <c r="C4355" s="119">
        <v>1794</v>
      </c>
      <c r="E4355" s="96" t="s">
        <v>1532</v>
      </c>
      <c r="F4355" s="96" t="s">
        <v>166</v>
      </c>
      <c r="G4355" s="100">
        <v>6634</v>
      </c>
    </row>
    <row r="4356" spans="2:7">
      <c r="B4356" s="118" t="s">
        <v>3394</v>
      </c>
      <c r="C4356" s="119">
        <v>1795</v>
      </c>
      <c r="E4356" s="96" t="s">
        <v>1533</v>
      </c>
      <c r="F4356" s="96" t="s">
        <v>166</v>
      </c>
      <c r="G4356" s="100">
        <v>6647</v>
      </c>
    </row>
    <row r="4357" spans="2:7">
      <c r="B4357" s="118" t="s">
        <v>1248</v>
      </c>
      <c r="C4357" s="119">
        <v>3215</v>
      </c>
      <c r="E4357" s="96" t="s">
        <v>1534</v>
      </c>
      <c r="F4357" s="96" t="s">
        <v>166</v>
      </c>
      <c r="G4357" s="100">
        <v>6634</v>
      </c>
    </row>
    <row r="4358" spans="2:7">
      <c r="B4358" s="118" t="s">
        <v>3408</v>
      </c>
      <c r="C4358" s="119">
        <v>3215</v>
      </c>
      <c r="E4358" s="96" t="s">
        <v>1535</v>
      </c>
      <c r="F4358" s="96" t="s">
        <v>166</v>
      </c>
      <c r="G4358" s="100">
        <v>6774</v>
      </c>
    </row>
    <row r="4359" spans="2:7">
      <c r="B4359" s="118" t="s">
        <v>3409</v>
      </c>
      <c r="C4359" s="119">
        <v>3215</v>
      </c>
      <c r="E4359" s="96" t="s">
        <v>1536</v>
      </c>
      <c r="F4359" s="96" t="s">
        <v>166</v>
      </c>
      <c r="G4359" s="100">
        <v>6781</v>
      </c>
    </row>
    <row r="4360" spans="2:7">
      <c r="B4360" s="118" t="s">
        <v>1127</v>
      </c>
      <c r="C4360" s="119">
        <v>3280</v>
      </c>
      <c r="E4360" s="96" t="s">
        <v>1537</v>
      </c>
      <c r="F4360" s="96" t="s">
        <v>166</v>
      </c>
      <c r="G4360" s="100">
        <v>6636</v>
      </c>
    </row>
    <row r="4361" spans="2:7">
      <c r="B4361" s="118" t="s">
        <v>1254</v>
      </c>
      <c r="C4361" s="119">
        <v>3280</v>
      </c>
      <c r="E4361" s="96" t="s">
        <v>1538</v>
      </c>
      <c r="F4361" s="96" t="s">
        <v>166</v>
      </c>
      <c r="G4361" s="100">
        <v>6637</v>
      </c>
    </row>
    <row r="4362" spans="2:7">
      <c r="B4362" s="118" t="s">
        <v>1225</v>
      </c>
      <c r="C4362" s="119">
        <v>3285</v>
      </c>
      <c r="E4362" s="96" t="s">
        <v>1539</v>
      </c>
      <c r="F4362" s="96" t="s">
        <v>166</v>
      </c>
      <c r="G4362" s="100">
        <v>6684</v>
      </c>
    </row>
    <row r="4363" spans="2:7">
      <c r="B4363" s="118" t="s">
        <v>1136</v>
      </c>
      <c r="C4363" s="119">
        <v>3210</v>
      </c>
      <c r="E4363" s="96" t="s">
        <v>1540</v>
      </c>
      <c r="F4363" s="96" t="s">
        <v>166</v>
      </c>
      <c r="G4363" s="100">
        <v>6699</v>
      </c>
    </row>
    <row r="4364" spans="2:7">
      <c r="B4364" s="118" t="s">
        <v>3410</v>
      </c>
      <c r="C4364" s="119">
        <v>3216</v>
      </c>
      <c r="E4364" s="96" t="s">
        <v>1541</v>
      </c>
      <c r="F4364" s="96" t="s">
        <v>166</v>
      </c>
      <c r="G4364" s="100">
        <v>6685</v>
      </c>
    </row>
    <row r="4365" spans="2:7">
      <c r="B4365" s="118" t="s">
        <v>3411</v>
      </c>
      <c r="C4365" s="119">
        <v>3216</v>
      </c>
      <c r="E4365" s="96" t="s">
        <v>1542</v>
      </c>
      <c r="F4365" s="96" t="s">
        <v>166</v>
      </c>
      <c r="G4365" s="100">
        <v>6683</v>
      </c>
    </row>
    <row r="4366" spans="2:7">
      <c r="B4366" s="118" t="s">
        <v>1237</v>
      </c>
      <c r="C4366" s="119">
        <v>3214</v>
      </c>
      <c r="E4366" s="96" t="s">
        <v>1543</v>
      </c>
      <c r="F4366" s="96" t="s">
        <v>166</v>
      </c>
      <c r="G4366" s="100">
        <v>6682</v>
      </c>
    </row>
    <row r="4367" spans="2:7">
      <c r="B4367" s="118" t="s">
        <v>3412</v>
      </c>
      <c r="C4367" s="119">
        <v>1786</v>
      </c>
      <c r="E4367" s="96" t="s">
        <v>1544</v>
      </c>
      <c r="F4367" s="96" t="s">
        <v>166</v>
      </c>
      <c r="G4367" s="100">
        <v>6646</v>
      </c>
    </row>
    <row r="4368" spans="2:7">
      <c r="B4368" s="118" t="s">
        <v>3413</v>
      </c>
      <c r="C4368" s="119">
        <v>1787</v>
      </c>
      <c r="E4368" s="96" t="s">
        <v>1545</v>
      </c>
      <c r="F4368" s="96" t="s">
        <v>166</v>
      </c>
      <c r="G4368" s="100">
        <v>6576</v>
      </c>
    </row>
    <row r="4369" spans="2:7">
      <c r="B4369" s="118" t="s">
        <v>3414</v>
      </c>
      <c r="C4369" s="119">
        <v>1787</v>
      </c>
      <c r="E4369" s="96" t="s">
        <v>1446</v>
      </c>
      <c r="F4369" s="96" t="s">
        <v>166</v>
      </c>
      <c r="G4369" s="100">
        <v>6803</v>
      </c>
    </row>
    <row r="4370" spans="2:7">
      <c r="B4370" s="118" t="s">
        <v>3415</v>
      </c>
      <c r="C4370" s="119">
        <v>1788</v>
      </c>
      <c r="E4370" s="96" t="s">
        <v>1546</v>
      </c>
      <c r="F4370" s="96" t="s">
        <v>166</v>
      </c>
      <c r="G4370" s="100">
        <v>6956</v>
      </c>
    </row>
    <row r="4371" spans="2:7">
      <c r="B4371" s="118" t="s">
        <v>3416</v>
      </c>
      <c r="C4371" s="119">
        <v>1789</v>
      </c>
      <c r="E4371" s="96" t="s">
        <v>1429</v>
      </c>
      <c r="F4371" s="96" t="s">
        <v>166</v>
      </c>
      <c r="G4371" s="100">
        <v>6900</v>
      </c>
    </row>
    <row r="4372" spans="2:7">
      <c r="B4372" s="118" t="s">
        <v>2382</v>
      </c>
      <c r="C4372" s="119">
        <v>3236</v>
      </c>
      <c r="E4372" s="96" t="s">
        <v>1547</v>
      </c>
      <c r="F4372" s="96" t="s">
        <v>1547</v>
      </c>
      <c r="G4372" s="96">
        <v>6300</v>
      </c>
    </row>
    <row r="4373" spans="2:7">
      <c r="B4373" s="118" t="s">
        <v>1227</v>
      </c>
      <c r="C4373" s="119">
        <v>1719</v>
      </c>
      <c r="E4373" s="96" t="s">
        <v>1548</v>
      </c>
      <c r="F4373" s="96" t="s">
        <v>1547</v>
      </c>
      <c r="G4373" s="96">
        <v>6340</v>
      </c>
    </row>
    <row r="4374" spans="2:7">
      <c r="B4374" s="118" t="s">
        <v>2626</v>
      </c>
      <c r="C4374" s="119">
        <v>1700</v>
      </c>
      <c r="E4374" s="96" t="s">
        <v>1549</v>
      </c>
      <c r="F4374" s="96" t="s">
        <v>1547</v>
      </c>
      <c r="G4374" s="96">
        <v>6330</v>
      </c>
    </row>
    <row r="4375" spans="2:7">
      <c r="B4375" s="118" t="s">
        <v>1129</v>
      </c>
      <c r="C4375" s="119">
        <v>3186</v>
      </c>
      <c r="E4375" s="96" t="s">
        <v>1550</v>
      </c>
      <c r="F4375" s="96" t="s">
        <v>1547</v>
      </c>
      <c r="G4375" s="96">
        <v>6343</v>
      </c>
    </row>
    <row r="4376" spans="2:7">
      <c r="B4376" s="118" t="s">
        <v>1173</v>
      </c>
      <c r="C4376" s="119">
        <v>1735</v>
      </c>
      <c r="E4376" s="96" t="s">
        <v>1551</v>
      </c>
      <c r="F4376" s="96" t="s">
        <v>1547</v>
      </c>
      <c r="G4376" s="96">
        <v>6312</v>
      </c>
    </row>
    <row r="4377" spans="2:7">
      <c r="B4377" s="118" t="s">
        <v>1142</v>
      </c>
      <c r="C4377" s="119">
        <v>3178</v>
      </c>
      <c r="E4377" s="96" t="s">
        <v>1552</v>
      </c>
      <c r="F4377" s="96" t="s">
        <v>1547</v>
      </c>
      <c r="G4377" s="96">
        <v>6331</v>
      </c>
    </row>
    <row r="4378" spans="2:7">
      <c r="B4378" s="118" t="s">
        <v>3417</v>
      </c>
      <c r="C4378" s="119">
        <v>3184</v>
      </c>
      <c r="E4378" s="96" t="s">
        <v>1553</v>
      </c>
      <c r="F4378" s="96" t="s">
        <v>1547</v>
      </c>
      <c r="G4378" s="96">
        <v>6314</v>
      </c>
    </row>
    <row r="4379" spans="2:7">
      <c r="B4379" s="118" t="s">
        <v>3418</v>
      </c>
      <c r="C4379" s="119">
        <v>3185</v>
      </c>
      <c r="E4379" s="96" t="s">
        <v>1554</v>
      </c>
      <c r="F4379" s="96" t="s">
        <v>1547</v>
      </c>
      <c r="G4379" s="96">
        <v>6315</v>
      </c>
    </row>
    <row r="4380" spans="2:7">
      <c r="B4380" s="118" t="s">
        <v>1186</v>
      </c>
      <c r="C4380" s="119">
        <v>1714</v>
      </c>
      <c r="E4380" s="96" t="s">
        <v>1555</v>
      </c>
      <c r="F4380" s="96" t="s">
        <v>1547</v>
      </c>
      <c r="G4380" s="96">
        <v>6313</v>
      </c>
    </row>
    <row r="4381" spans="2:7">
      <c r="B4381" s="118" t="s">
        <v>1140</v>
      </c>
      <c r="C4381" s="119">
        <v>1716</v>
      </c>
      <c r="E4381" s="96" t="s">
        <v>1556</v>
      </c>
      <c r="F4381" s="96" t="s">
        <v>1547</v>
      </c>
      <c r="G4381" s="96">
        <v>6318</v>
      </c>
    </row>
    <row r="4382" spans="2:7">
      <c r="B4382" s="118" t="s">
        <v>3419</v>
      </c>
      <c r="C4382" s="119">
        <v>1716</v>
      </c>
      <c r="E4382" s="96" t="s">
        <v>1557</v>
      </c>
      <c r="F4382" s="96" t="s">
        <v>1547</v>
      </c>
      <c r="G4382" s="96">
        <v>6345</v>
      </c>
    </row>
    <row r="4383" spans="2:7">
      <c r="B4383" s="118" t="s">
        <v>3343</v>
      </c>
      <c r="C4383" s="119">
        <v>1716</v>
      </c>
      <c r="E4383" s="96" t="s">
        <v>1558</v>
      </c>
      <c r="F4383" s="96" t="s">
        <v>180</v>
      </c>
      <c r="G4383" s="96">
        <v>8775</v>
      </c>
    </row>
    <row r="4384" spans="2:7">
      <c r="B4384" s="118" t="s">
        <v>1227</v>
      </c>
      <c r="C4384" s="119">
        <v>1719</v>
      </c>
      <c r="E4384" s="96" t="s">
        <v>1559</v>
      </c>
      <c r="F4384" s="96" t="s">
        <v>180</v>
      </c>
      <c r="G4384" s="96">
        <v>8774</v>
      </c>
    </row>
    <row r="4385" spans="2:7">
      <c r="B4385" s="118" t="s">
        <v>3420</v>
      </c>
      <c r="C4385" s="119">
        <v>1719</v>
      </c>
      <c r="E4385" s="96" t="s">
        <v>1560</v>
      </c>
      <c r="F4385" s="96" t="s">
        <v>180</v>
      </c>
      <c r="G4385" s="96">
        <v>8762</v>
      </c>
    </row>
    <row r="4386" spans="2:7">
      <c r="B4386" s="118" t="s">
        <v>3032</v>
      </c>
      <c r="C4386" s="119">
        <v>1738</v>
      </c>
      <c r="E4386" s="96" t="s">
        <v>1561</v>
      </c>
      <c r="F4386" s="96" t="s">
        <v>180</v>
      </c>
      <c r="G4386" s="96">
        <v>8784</v>
      </c>
    </row>
    <row r="4387" spans="2:7">
      <c r="B4387" s="118" t="s">
        <v>3343</v>
      </c>
      <c r="C4387" s="119">
        <v>1716</v>
      </c>
      <c r="E4387" s="96" t="s">
        <v>1562</v>
      </c>
      <c r="F4387" s="96" t="s">
        <v>180</v>
      </c>
      <c r="G4387" s="96">
        <v>8765</v>
      </c>
    </row>
    <row r="4388" spans="2:7">
      <c r="B4388" s="118" t="s">
        <v>1205</v>
      </c>
      <c r="C4388" s="119">
        <v>1737</v>
      </c>
      <c r="E4388" s="96" t="s">
        <v>1563</v>
      </c>
      <c r="F4388" s="96" t="s">
        <v>180</v>
      </c>
      <c r="G4388" s="96">
        <v>8762</v>
      </c>
    </row>
    <row r="4389" spans="2:7">
      <c r="B4389" s="118" t="s">
        <v>1200</v>
      </c>
      <c r="C4389" s="119">
        <v>1718</v>
      </c>
      <c r="E4389" s="96" t="s">
        <v>1564</v>
      </c>
      <c r="F4389" s="96" t="s">
        <v>180</v>
      </c>
      <c r="G4389" s="96">
        <v>8777</v>
      </c>
    </row>
    <row r="4390" spans="2:7">
      <c r="B4390" s="118" t="s">
        <v>1173</v>
      </c>
      <c r="C4390" s="119">
        <v>1735</v>
      </c>
      <c r="E4390" s="96" t="s">
        <v>1565</v>
      </c>
      <c r="F4390" s="96" t="s">
        <v>180</v>
      </c>
      <c r="G4390" s="96">
        <v>8767</v>
      </c>
    </row>
    <row r="4391" spans="2:7">
      <c r="B4391" s="118" t="s">
        <v>3368</v>
      </c>
      <c r="C4391" s="119">
        <v>1724</v>
      </c>
      <c r="E4391" s="96" t="s">
        <v>1566</v>
      </c>
      <c r="F4391" s="96" t="s">
        <v>180</v>
      </c>
      <c r="G4391" s="96">
        <v>8762</v>
      </c>
    </row>
    <row r="4392" spans="2:7">
      <c r="B4392" s="118" t="s">
        <v>1187</v>
      </c>
      <c r="C4392" s="119">
        <v>1734</v>
      </c>
      <c r="E4392" s="96" t="s">
        <v>1567</v>
      </c>
      <c r="F4392" s="96" t="s">
        <v>180</v>
      </c>
      <c r="G4392" s="96">
        <v>8783</v>
      </c>
    </row>
    <row r="4393" spans="2:7">
      <c r="B4393" s="118" t="s">
        <v>1209</v>
      </c>
      <c r="C4393" s="119">
        <v>1736</v>
      </c>
      <c r="E4393" s="96" t="s">
        <v>1568</v>
      </c>
      <c r="F4393" s="96" t="s">
        <v>180</v>
      </c>
      <c r="G4393" s="96">
        <v>8777</v>
      </c>
    </row>
    <row r="4394" spans="2:7">
      <c r="B4394" s="118" t="s">
        <v>3421</v>
      </c>
      <c r="C4394" s="119">
        <v>1715</v>
      </c>
      <c r="E4394" s="96" t="s">
        <v>1569</v>
      </c>
      <c r="F4394" s="96" t="s">
        <v>180</v>
      </c>
      <c r="G4394" s="96">
        <v>8756</v>
      </c>
    </row>
    <row r="4395" spans="2:7">
      <c r="B4395" s="118" t="s">
        <v>1188</v>
      </c>
      <c r="C4395" s="119">
        <v>1717</v>
      </c>
      <c r="E4395" s="96" t="s">
        <v>1570</v>
      </c>
      <c r="F4395" s="96" t="s">
        <v>180</v>
      </c>
      <c r="G4395" s="96">
        <v>8772</v>
      </c>
    </row>
    <row r="4396" spans="2:7">
      <c r="B4396" s="118" t="s">
        <v>1200</v>
      </c>
      <c r="C4396" s="119">
        <v>1718</v>
      </c>
      <c r="E4396" s="96" t="s">
        <v>1571</v>
      </c>
      <c r="F4396" s="96" t="s">
        <v>180</v>
      </c>
      <c r="G4396" s="96">
        <v>8773</v>
      </c>
    </row>
    <row r="4397" spans="2:7">
      <c r="B4397" s="118" t="s">
        <v>1144</v>
      </c>
      <c r="C4397" s="119">
        <v>1712</v>
      </c>
      <c r="E4397" s="96" t="s">
        <v>1572</v>
      </c>
      <c r="F4397" s="96" t="s">
        <v>180</v>
      </c>
      <c r="G4397" s="96">
        <v>8775</v>
      </c>
    </row>
    <row r="4398" spans="2:7">
      <c r="B4398" s="118" t="s">
        <v>1162</v>
      </c>
      <c r="C4398" s="119">
        <v>1713</v>
      </c>
      <c r="E4398" s="96" t="s">
        <v>1573</v>
      </c>
      <c r="F4398" s="96" t="s">
        <v>180</v>
      </c>
      <c r="G4398" s="96">
        <v>8782</v>
      </c>
    </row>
    <row r="4399" spans="2:7">
      <c r="B4399" s="118" t="s">
        <v>1156</v>
      </c>
      <c r="C4399" s="119">
        <v>3182</v>
      </c>
      <c r="E4399" s="96" t="s">
        <v>1574</v>
      </c>
      <c r="F4399" s="96" t="s">
        <v>180</v>
      </c>
      <c r="G4399" s="96">
        <v>8766</v>
      </c>
    </row>
    <row r="4400" spans="2:7">
      <c r="B4400" s="118" t="s">
        <v>3418</v>
      </c>
      <c r="C4400" s="119">
        <v>3185</v>
      </c>
      <c r="E4400" s="96" t="s">
        <v>1558</v>
      </c>
      <c r="F4400" s="96" t="s">
        <v>180</v>
      </c>
      <c r="G4400" s="96">
        <v>8775</v>
      </c>
    </row>
    <row r="4401" spans="2:7">
      <c r="B4401" s="118" t="s">
        <v>2626</v>
      </c>
      <c r="C4401" s="119">
        <v>1700</v>
      </c>
      <c r="E4401" s="96" t="s">
        <v>1559</v>
      </c>
      <c r="F4401" s="96" t="s">
        <v>180</v>
      </c>
      <c r="G4401" s="96">
        <v>8774</v>
      </c>
    </row>
    <row r="4402" spans="2:7">
      <c r="B4402" s="118" t="s">
        <v>1144</v>
      </c>
      <c r="C4402" s="119">
        <v>1712</v>
      </c>
      <c r="E4402" s="96" t="s">
        <v>1560</v>
      </c>
      <c r="F4402" s="96" t="s">
        <v>180</v>
      </c>
      <c r="G4402" s="96">
        <v>8762</v>
      </c>
    </row>
    <row r="4403" spans="2:7">
      <c r="B4403" s="118" t="s">
        <v>1162</v>
      </c>
      <c r="C4403" s="119">
        <v>1713</v>
      </c>
      <c r="E4403" s="96" t="s">
        <v>1561</v>
      </c>
      <c r="F4403" s="96" t="s">
        <v>180</v>
      </c>
      <c r="G4403" s="96">
        <v>8784</v>
      </c>
    </row>
    <row r="4404" spans="2:7">
      <c r="B4404" s="118" t="s">
        <v>1186</v>
      </c>
      <c r="C4404" s="119">
        <v>1714</v>
      </c>
      <c r="E4404" s="96" t="s">
        <v>1562</v>
      </c>
      <c r="F4404" s="96" t="s">
        <v>180</v>
      </c>
      <c r="G4404" s="96">
        <v>8765</v>
      </c>
    </row>
    <row r="4405" spans="2:7">
      <c r="B4405" s="118" t="s">
        <v>3421</v>
      </c>
      <c r="C4405" s="119">
        <v>1715</v>
      </c>
      <c r="E4405" s="96" t="s">
        <v>1563</v>
      </c>
      <c r="F4405" s="96" t="s">
        <v>180</v>
      </c>
      <c r="G4405" s="96">
        <v>8762</v>
      </c>
    </row>
    <row r="4406" spans="2:7">
      <c r="B4406" s="118" t="s">
        <v>1188</v>
      </c>
      <c r="C4406" s="119">
        <v>1717</v>
      </c>
      <c r="E4406" s="96" t="s">
        <v>1564</v>
      </c>
      <c r="F4406" s="96" t="s">
        <v>180</v>
      </c>
      <c r="G4406" s="96">
        <v>8777</v>
      </c>
    </row>
    <row r="4407" spans="2:7">
      <c r="B4407" s="118" t="s">
        <v>1156</v>
      </c>
      <c r="C4407" s="119">
        <v>3182</v>
      </c>
      <c r="E4407" s="96" t="s">
        <v>1565</v>
      </c>
      <c r="F4407" s="96" t="s">
        <v>180</v>
      </c>
      <c r="G4407" s="96">
        <v>8767</v>
      </c>
    </row>
    <row r="4408" spans="2:7">
      <c r="B4408" s="118" t="s">
        <v>3418</v>
      </c>
      <c r="C4408" s="119">
        <v>3185</v>
      </c>
      <c r="E4408" s="96" t="s">
        <v>1566</v>
      </c>
      <c r="F4408" s="96" t="s">
        <v>180</v>
      </c>
      <c r="G4408" s="96">
        <v>8762</v>
      </c>
    </row>
    <row r="4409" spans="2:7">
      <c r="B4409" s="118" t="s">
        <v>1187</v>
      </c>
      <c r="C4409" s="119">
        <v>1734</v>
      </c>
      <c r="E4409" s="96" t="s">
        <v>1567</v>
      </c>
      <c r="F4409" s="96" t="s">
        <v>180</v>
      </c>
      <c r="G4409" s="96">
        <v>8783</v>
      </c>
    </row>
    <row r="4410" spans="2:7">
      <c r="B4410" s="118" t="s">
        <v>1156</v>
      </c>
      <c r="C4410" s="119">
        <v>3182</v>
      </c>
      <c r="E4410" s="96" t="s">
        <v>1568</v>
      </c>
      <c r="F4410" s="96" t="s">
        <v>180</v>
      </c>
      <c r="G4410" s="96">
        <v>8777</v>
      </c>
    </row>
    <row r="4411" spans="2:7">
      <c r="B4411" s="118" t="s">
        <v>3422</v>
      </c>
      <c r="C4411" s="119">
        <v>3175</v>
      </c>
      <c r="E4411" s="96" t="s">
        <v>1569</v>
      </c>
      <c r="F4411" s="96" t="s">
        <v>180</v>
      </c>
      <c r="G4411" s="96">
        <v>8756</v>
      </c>
    </row>
    <row r="4412" spans="2:7">
      <c r="B4412" s="118" t="s">
        <v>2217</v>
      </c>
      <c r="C4412" s="119">
        <v>3176</v>
      </c>
      <c r="E4412" s="96" t="s">
        <v>1570</v>
      </c>
      <c r="F4412" s="96" t="s">
        <v>180</v>
      </c>
      <c r="G4412" s="96">
        <v>8772</v>
      </c>
    </row>
    <row r="4413" spans="2:7">
      <c r="B4413" s="118" t="s">
        <v>3417</v>
      </c>
      <c r="C4413" s="119">
        <v>3184</v>
      </c>
      <c r="E4413" s="96" t="s">
        <v>1571</v>
      </c>
      <c r="F4413" s="96" t="s">
        <v>180</v>
      </c>
      <c r="G4413" s="96">
        <v>8773</v>
      </c>
    </row>
    <row r="4414" spans="2:7">
      <c r="B4414" s="118" t="s">
        <v>3418</v>
      </c>
      <c r="C4414" s="119">
        <v>3185</v>
      </c>
      <c r="E4414" s="96" t="s">
        <v>1572</v>
      </c>
      <c r="F4414" s="96" t="s">
        <v>180</v>
      </c>
      <c r="G4414" s="96">
        <v>8775</v>
      </c>
    </row>
    <row r="4415" spans="2:7">
      <c r="B4415" s="118" t="s">
        <v>1143</v>
      </c>
      <c r="C4415" s="119">
        <v>1616</v>
      </c>
      <c r="E4415" s="96" t="s">
        <v>1573</v>
      </c>
      <c r="F4415" s="96" t="s">
        <v>180</v>
      </c>
      <c r="G4415" s="96">
        <v>8782</v>
      </c>
    </row>
    <row r="4416" spans="2:7">
      <c r="B4416" s="118" t="s">
        <v>3423</v>
      </c>
      <c r="C4416" s="119">
        <v>1617</v>
      </c>
      <c r="E4416" s="96" t="s">
        <v>1574</v>
      </c>
      <c r="F4416" s="96" t="s">
        <v>180</v>
      </c>
      <c r="G4416" s="96">
        <v>8766</v>
      </c>
    </row>
    <row r="4417" spans="2:7">
      <c r="B4417" s="118" t="s">
        <v>3424</v>
      </c>
      <c r="C4417" s="119">
        <v>1808</v>
      </c>
      <c r="E4417" s="96" t="s">
        <v>1575</v>
      </c>
      <c r="F4417" s="96" t="s">
        <v>180</v>
      </c>
      <c r="G4417" s="96">
        <v>8755</v>
      </c>
    </row>
    <row r="4418" spans="2:7">
      <c r="B4418" s="118" t="s">
        <v>1178</v>
      </c>
      <c r="C4418" s="119">
        <v>1615</v>
      </c>
      <c r="E4418" s="96" t="s">
        <v>1576</v>
      </c>
      <c r="F4418" s="96" t="s">
        <v>180</v>
      </c>
      <c r="G4418" s="96">
        <v>8750</v>
      </c>
    </row>
    <row r="4419" spans="2:7">
      <c r="B4419" s="118" t="s">
        <v>3425</v>
      </c>
      <c r="C4419" s="119">
        <v>1618</v>
      </c>
      <c r="E4419" s="96" t="s">
        <v>1577</v>
      </c>
      <c r="F4419" s="96" t="s">
        <v>180</v>
      </c>
      <c r="G4419" s="96">
        <v>8750</v>
      </c>
    </row>
    <row r="4420" spans="2:7">
      <c r="B4420" s="118" t="s">
        <v>3426</v>
      </c>
      <c r="C4420" s="119">
        <v>1619</v>
      </c>
      <c r="E4420" s="96" t="s">
        <v>1578</v>
      </c>
      <c r="F4420" s="96" t="s">
        <v>180</v>
      </c>
      <c r="G4420" s="96">
        <v>8754</v>
      </c>
    </row>
    <row r="4421" spans="2:7">
      <c r="B4421" s="118" t="s">
        <v>1215</v>
      </c>
      <c r="C4421" s="119">
        <v>1614</v>
      </c>
      <c r="E4421" s="96" t="s">
        <v>1579</v>
      </c>
      <c r="F4421" s="96" t="s">
        <v>180</v>
      </c>
      <c r="G4421" s="96">
        <v>8868</v>
      </c>
    </row>
    <row r="4422" spans="2:7">
      <c r="B4422" s="118" t="s">
        <v>1202</v>
      </c>
      <c r="C4422" s="119">
        <v>1617</v>
      </c>
      <c r="E4422" s="96" t="s">
        <v>1580</v>
      </c>
      <c r="F4422" s="96" t="s">
        <v>180</v>
      </c>
      <c r="G4422" s="96">
        <v>8865</v>
      </c>
    </row>
    <row r="4423" spans="2:7">
      <c r="B4423" s="118" t="s">
        <v>3425</v>
      </c>
      <c r="C4423" s="119">
        <v>1618</v>
      </c>
      <c r="E4423" s="96" t="s">
        <v>1581</v>
      </c>
      <c r="F4423" s="96" t="s">
        <v>180</v>
      </c>
      <c r="G4423" s="96">
        <v>8752</v>
      </c>
    </row>
    <row r="4424" spans="2:7">
      <c r="B4424" s="118" t="s">
        <v>3427</v>
      </c>
      <c r="C4424" s="119">
        <v>1609</v>
      </c>
      <c r="E4424" s="96" t="s">
        <v>1582</v>
      </c>
      <c r="F4424" s="96" t="s">
        <v>180</v>
      </c>
      <c r="G4424" s="96">
        <v>8867</v>
      </c>
    </row>
    <row r="4425" spans="2:7">
      <c r="B4425" s="118" t="s">
        <v>3428</v>
      </c>
      <c r="C4425" s="119">
        <v>1609</v>
      </c>
      <c r="E4425" s="96" t="s">
        <v>1583</v>
      </c>
      <c r="F4425" s="96" t="s">
        <v>180</v>
      </c>
      <c r="G4425" s="96">
        <v>8757</v>
      </c>
    </row>
    <row r="4426" spans="2:7">
      <c r="B4426" s="118" t="s">
        <v>3429</v>
      </c>
      <c r="C4426" s="119">
        <v>1609</v>
      </c>
      <c r="E4426" s="96" t="s">
        <v>1584</v>
      </c>
      <c r="F4426" s="96" t="s">
        <v>180</v>
      </c>
      <c r="G4426" s="96">
        <v>8758</v>
      </c>
    </row>
    <row r="4427" spans="2:7">
      <c r="B4427" s="118" t="s">
        <v>1181</v>
      </c>
      <c r="C4427" s="119">
        <v>1623</v>
      </c>
      <c r="E4427" s="96" t="s">
        <v>1585</v>
      </c>
      <c r="F4427" s="96" t="s">
        <v>180</v>
      </c>
      <c r="G4427" s="96">
        <v>8874</v>
      </c>
    </row>
    <row r="4428" spans="2:7">
      <c r="B4428" s="118" t="s">
        <v>1203</v>
      </c>
      <c r="C4428" s="119">
        <v>1627</v>
      </c>
      <c r="E4428" s="96" t="s">
        <v>1586</v>
      </c>
      <c r="F4428" s="96" t="s">
        <v>180</v>
      </c>
      <c r="G4428" s="96">
        <v>8753</v>
      </c>
    </row>
    <row r="4429" spans="2:7">
      <c r="B4429" s="118" t="s">
        <v>1124</v>
      </c>
      <c r="C4429" s="119">
        <v>1630</v>
      </c>
      <c r="E4429" s="96" t="s">
        <v>162</v>
      </c>
      <c r="F4429" s="96" t="s">
        <v>162</v>
      </c>
      <c r="G4429" s="96">
        <v>8057</v>
      </c>
    </row>
    <row r="4430" spans="2:7">
      <c r="B4430" s="118" t="s">
        <v>3430</v>
      </c>
      <c r="C4430" s="119">
        <v>1699</v>
      </c>
      <c r="E4430" s="96" t="s">
        <v>162</v>
      </c>
      <c r="F4430" s="96" t="s">
        <v>162</v>
      </c>
      <c r="G4430" s="96">
        <v>8047</v>
      </c>
    </row>
    <row r="4431" spans="2:7">
      <c r="B4431" s="118" t="s">
        <v>3431</v>
      </c>
      <c r="C4431" s="119">
        <v>1699</v>
      </c>
      <c r="E4431" s="96" t="s">
        <v>162</v>
      </c>
      <c r="F4431" s="96" t="s">
        <v>162</v>
      </c>
      <c r="G4431" s="96">
        <v>8006</v>
      </c>
    </row>
    <row r="4432" spans="2:7">
      <c r="B4432" s="118" t="s">
        <v>3432</v>
      </c>
      <c r="C4432" s="119">
        <v>1699</v>
      </c>
      <c r="E4432" s="96" t="s">
        <v>162</v>
      </c>
      <c r="F4432" s="96" t="s">
        <v>162</v>
      </c>
      <c r="G4432" s="96">
        <v>8032</v>
      </c>
    </row>
    <row r="4433" spans="2:7">
      <c r="B4433" s="118" t="s">
        <v>3433</v>
      </c>
      <c r="C4433" s="119">
        <v>1611</v>
      </c>
      <c r="E4433" s="96" t="s">
        <v>162</v>
      </c>
      <c r="F4433" s="96" t="s">
        <v>162</v>
      </c>
      <c r="G4433" s="96">
        <v>8045</v>
      </c>
    </row>
    <row r="4434" spans="2:7">
      <c r="B4434" s="118" t="s">
        <v>1193</v>
      </c>
      <c r="C4434" s="119">
        <v>1624</v>
      </c>
      <c r="E4434" s="96" t="s">
        <v>162</v>
      </c>
      <c r="F4434" s="96" t="s">
        <v>162</v>
      </c>
      <c r="G4434" s="96">
        <v>8003</v>
      </c>
    </row>
    <row r="4435" spans="2:7">
      <c r="B4435" s="118" t="s">
        <v>3434</v>
      </c>
      <c r="C4435" s="119">
        <v>1624</v>
      </c>
      <c r="E4435" s="96" t="s">
        <v>162</v>
      </c>
      <c r="F4435" s="96" t="s">
        <v>162</v>
      </c>
      <c r="G4435" s="96">
        <v>8041</v>
      </c>
    </row>
    <row r="4436" spans="2:7">
      <c r="B4436" s="118" t="s">
        <v>3435</v>
      </c>
      <c r="C4436" s="119">
        <v>1624</v>
      </c>
      <c r="E4436" s="96" t="s">
        <v>162</v>
      </c>
      <c r="F4436" s="96" t="s">
        <v>162</v>
      </c>
      <c r="G4436" s="96">
        <v>8055</v>
      </c>
    </row>
    <row r="4437" spans="2:7">
      <c r="B4437" s="118" t="s">
        <v>3435</v>
      </c>
      <c r="C4437" s="119">
        <v>1624</v>
      </c>
      <c r="E4437" s="96" t="s">
        <v>162</v>
      </c>
      <c r="F4437" s="96" t="s">
        <v>162</v>
      </c>
      <c r="G4437" s="96">
        <v>8064</v>
      </c>
    </row>
    <row r="4438" spans="2:7">
      <c r="B4438" s="118" t="s">
        <v>2046</v>
      </c>
      <c r="C4438" s="119">
        <v>4622</v>
      </c>
      <c r="E4438" s="96" t="s">
        <v>162</v>
      </c>
      <c r="F4438" s="96" t="s">
        <v>162</v>
      </c>
      <c r="G4438" s="96">
        <v>8001</v>
      </c>
    </row>
    <row r="4439" spans="2:7">
      <c r="B4439" s="118" t="s">
        <v>2073</v>
      </c>
      <c r="C4439" s="119">
        <v>4624</v>
      </c>
      <c r="E4439" s="96" t="s">
        <v>162</v>
      </c>
      <c r="F4439" s="96" t="s">
        <v>162</v>
      </c>
      <c r="G4439" s="96">
        <v>8046</v>
      </c>
    </row>
    <row r="4440" spans="2:7">
      <c r="B4440" s="118" t="s">
        <v>2067</v>
      </c>
      <c r="C4440" s="119">
        <v>4703</v>
      </c>
      <c r="E4440" s="96" t="s">
        <v>162</v>
      </c>
      <c r="F4440" s="96" t="s">
        <v>162</v>
      </c>
      <c r="G4440" s="96">
        <v>8037</v>
      </c>
    </row>
    <row r="4441" spans="2:7">
      <c r="B4441" s="118" t="s">
        <v>2046</v>
      </c>
      <c r="C4441" s="119">
        <v>4622</v>
      </c>
      <c r="E4441" s="96" t="s">
        <v>162</v>
      </c>
      <c r="F4441" s="96" t="s">
        <v>162</v>
      </c>
      <c r="G4441" s="96">
        <v>8052</v>
      </c>
    </row>
    <row r="4442" spans="2:7">
      <c r="B4442" s="118" t="s">
        <v>2063</v>
      </c>
      <c r="C4442" s="119">
        <v>4623</v>
      </c>
      <c r="E4442" s="96" t="s">
        <v>162</v>
      </c>
      <c r="F4442" s="96" t="s">
        <v>162</v>
      </c>
      <c r="G4442" s="96">
        <v>8002</v>
      </c>
    </row>
    <row r="4443" spans="2:7">
      <c r="B4443" s="118" t="s">
        <v>2095</v>
      </c>
      <c r="C4443" s="119">
        <v>4626</v>
      </c>
      <c r="E4443" s="96" t="s">
        <v>162</v>
      </c>
      <c r="F4443" s="96" t="s">
        <v>162</v>
      </c>
      <c r="G4443" s="96">
        <v>8038</v>
      </c>
    </row>
    <row r="4444" spans="2:7">
      <c r="B4444" s="118" t="s">
        <v>2059</v>
      </c>
      <c r="C4444" s="119">
        <v>4625</v>
      </c>
      <c r="E4444" s="96" t="s">
        <v>162</v>
      </c>
      <c r="F4444" s="96" t="s">
        <v>162</v>
      </c>
      <c r="G4444" s="96">
        <v>8051</v>
      </c>
    </row>
    <row r="4445" spans="2:7">
      <c r="B4445" s="118" t="s">
        <v>2095</v>
      </c>
      <c r="C4445" s="119">
        <v>4626</v>
      </c>
      <c r="E4445" s="96" t="s">
        <v>162</v>
      </c>
      <c r="F4445" s="96" t="s">
        <v>162</v>
      </c>
      <c r="G4445" s="96">
        <v>8053</v>
      </c>
    </row>
    <row r="4446" spans="2:7">
      <c r="B4446" s="118" t="s">
        <v>3436</v>
      </c>
      <c r="C4446" s="119">
        <v>4718</v>
      </c>
      <c r="E4446" s="96" t="s">
        <v>162</v>
      </c>
      <c r="F4446" s="96" t="s">
        <v>162</v>
      </c>
      <c r="G4446" s="96">
        <v>8049</v>
      </c>
    </row>
    <row r="4447" spans="2:7">
      <c r="B4447" s="118" t="s">
        <v>2032</v>
      </c>
      <c r="C4447" s="119">
        <v>4702</v>
      </c>
      <c r="E4447" s="96" t="s">
        <v>162</v>
      </c>
      <c r="F4447" s="96" t="s">
        <v>162</v>
      </c>
      <c r="G4447" s="96">
        <v>8008</v>
      </c>
    </row>
    <row r="4448" spans="2:7">
      <c r="B4448" s="118" t="s">
        <v>2033</v>
      </c>
      <c r="C4448" s="119">
        <v>4710</v>
      </c>
      <c r="E4448" s="96" t="s">
        <v>162</v>
      </c>
      <c r="F4448" s="96" t="s">
        <v>162</v>
      </c>
      <c r="G4448" s="96">
        <v>8005</v>
      </c>
    </row>
    <row r="4449" spans="2:7">
      <c r="B4449" s="118" t="s">
        <v>2062</v>
      </c>
      <c r="C4449" s="119">
        <v>4628</v>
      </c>
      <c r="E4449" s="96" t="s">
        <v>2472</v>
      </c>
      <c r="F4449" s="96" t="s">
        <v>162</v>
      </c>
      <c r="G4449" s="96">
        <v>8404</v>
      </c>
    </row>
    <row r="4450" spans="2:7">
      <c r="B4450" s="118" t="s">
        <v>2601</v>
      </c>
      <c r="C4450" s="119">
        <v>2747</v>
      </c>
      <c r="E4450" s="96" t="s">
        <v>2473</v>
      </c>
      <c r="F4450" s="96" t="s">
        <v>162</v>
      </c>
      <c r="G4450" s="96">
        <v>8482</v>
      </c>
    </row>
    <row r="4451" spans="2:7">
      <c r="B4451" s="118" t="s">
        <v>2154</v>
      </c>
      <c r="C4451" s="119">
        <v>4714</v>
      </c>
      <c r="E4451" s="96" t="s">
        <v>2474</v>
      </c>
      <c r="F4451" s="96" t="s">
        <v>162</v>
      </c>
      <c r="G4451" s="96">
        <v>8404</v>
      </c>
    </row>
    <row r="4452" spans="2:7">
      <c r="B4452" s="118" t="s">
        <v>3437</v>
      </c>
      <c r="C4452" s="119">
        <v>4717</v>
      </c>
      <c r="E4452" s="96" t="s">
        <v>1676</v>
      </c>
      <c r="F4452" s="96" t="s">
        <v>162</v>
      </c>
      <c r="G4452" s="96">
        <v>8409</v>
      </c>
    </row>
    <row r="4453" spans="2:7">
      <c r="B4453" s="118" t="s">
        <v>3438</v>
      </c>
      <c r="C4453" s="119">
        <v>4719</v>
      </c>
      <c r="E4453" s="96" t="s">
        <v>1676</v>
      </c>
      <c r="F4453" s="96" t="s">
        <v>162</v>
      </c>
      <c r="G4453" s="96">
        <v>8404</v>
      </c>
    </row>
    <row r="4454" spans="2:7">
      <c r="B4454" s="118" t="s">
        <v>2033</v>
      </c>
      <c r="C4454" s="119">
        <v>4710</v>
      </c>
      <c r="E4454" s="96" t="s">
        <v>1676</v>
      </c>
      <c r="F4454" s="96" t="s">
        <v>162</v>
      </c>
      <c r="G4454" s="96">
        <v>8405</v>
      </c>
    </row>
    <row r="4455" spans="2:7">
      <c r="B4455" s="118" t="s">
        <v>3437</v>
      </c>
      <c r="C4455" s="119">
        <v>4717</v>
      </c>
      <c r="E4455" s="96" t="s">
        <v>1676</v>
      </c>
      <c r="F4455" s="96" t="s">
        <v>162</v>
      </c>
      <c r="G4455" s="96">
        <v>8400</v>
      </c>
    </row>
    <row r="4456" spans="2:7">
      <c r="B4456" s="118" t="s">
        <v>2156</v>
      </c>
      <c r="C4456" s="119">
        <v>4715</v>
      </c>
      <c r="E4456" s="96" t="s">
        <v>1676</v>
      </c>
      <c r="F4456" s="96" t="s">
        <v>162</v>
      </c>
      <c r="G4456" s="96">
        <v>8406</v>
      </c>
    </row>
    <row r="4457" spans="2:7">
      <c r="B4457" s="118" t="s">
        <v>2103</v>
      </c>
      <c r="C4457" s="119">
        <v>4716</v>
      </c>
      <c r="E4457" s="96" t="s">
        <v>1676</v>
      </c>
      <c r="F4457" s="96" t="s">
        <v>162</v>
      </c>
      <c r="G4457" s="96">
        <v>8408</v>
      </c>
    </row>
    <row r="4458" spans="2:7">
      <c r="B4458" s="118" t="s">
        <v>1084</v>
      </c>
      <c r="C4458" s="119">
        <v>4438</v>
      </c>
      <c r="E4458" s="96" t="s">
        <v>2475</v>
      </c>
      <c r="F4458" s="96" t="s">
        <v>162</v>
      </c>
      <c r="G4458" s="96">
        <v>8352</v>
      </c>
    </row>
    <row r="4459" spans="2:7">
      <c r="B4459" s="118" t="s">
        <v>3436</v>
      </c>
      <c r="C4459" s="119">
        <v>4718</v>
      </c>
      <c r="E4459" s="96" t="s">
        <v>2476</v>
      </c>
      <c r="F4459" s="96" t="s">
        <v>162</v>
      </c>
      <c r="G4459" s="96">
        <v>8615</v>
      </c>
    </row>
    <row r="4460" spans="2:7">
      <c r="B4460" s="118" t="s">
        <v>2069</v>
      </c>
      <c r="C4460" s="119">
        <v>4712</v>
      </c>
      <c r="E4460" s="96" t="s">
        <v>2477</v>
      </c>
      <c r="F4460" s="96" t="s">
        <v>162</v>
      </c>
      <c r="G4460" s="96">
        <v>8606</v>
      </c>
    </row>
    <row r="4461" spans="2:7">
      <c r="B4461" s="118" t="s">
        <v>3437</v>
      </c>
      <c r="C4461" s="119">
        <v>4717</v>
      </c>
      <c r="E4461" s="96" t="s">
        <v>1675</v>
      </c>
      <c r="F4461" s="96" t="s">
        <v>162</v>
      </c>
      <c r="G4461" s="96">
        <v>8610</v>
      </c>
    </row>
    <row r="4462" spans="2:7">
      <c r="B4462" s="118" t="s">
        <v>2081</v>
      </c>
      <c r="C4462" s="119">
        <v>4713</v>
      </c>
      <c r="E4462" s="96" t="s">
        <v>2478</v>
      </c>
      <c r="F4462" s="96" t="s">
        <v>162</v>
      </c>
      <c r="G4462" s="96">
        <v>8614</v>
      </c>
    </row>
    <row r="4463" spans="2:7">
      <c r="B4463" s="118" t="s">
        <v>3437</v>
      </c>
      <c r="C4463" s="119">
        <v>4717</v>
      </c>
      <c r="E4463" s="96" t="s">
        <v>2479</v>
      </c>
      <c r="F4463" s="96" t="s">
        <v>162</v>
      </c>
      <c r="G4463" s="96">
        <v>8615</v>
      </c>
    </row>
    <row r="4464" spans="2:7">
      <c r="B4464" s="118" t="s">
        <v>3439</v>
      </c>
      <c r="C4464" s="119">
        <v>4229</v>
      </c>
      <c r="E4464" s="96" t="s">
        <v>2480</v>
      </c>
      <c r="F4464" s="96" t="s">
        <v>162</v>
      </c>
      <c r="G4464" s="96">
        <v>8616</v>
      </c>
    </row>
    <row r="4465" spans="2:7">
      <c r="B4465" s="118" t="s">
        <v>1070</v>
      </c>
      <c r="C4465" s="119">
        <v>4418</v>
      </c>
      <c r="E4465" s="96" t="s">
        <v>164</v>
      </c>
      <c r="F4465" s="96" t="s">
        <v>164</v>
      </c>
      <c r="G4465" s="96">
        <v>3014</v>
      </c>
    </row>
    <row r="4466" spans="2:7">
      <c r="B4466" s="118" t="s">
        <v>3437</v>
      </c>
      <c r="C4466" s="119">
        <v>4717</v>
      </c>
      <c r="E4466" s="96" t="s">
        <v>164</v>
      </c>
      <c r="F4466" s="96" t="s">
        <v>164</v>
      </c>
      <c r="G4466" s="96">
        <v>3013</v>
      </c>
    </row>
    <row r="4467" spans="2:7">
      <c r="B4467" s="118" t="s">
        <v>3438</v>
      </c>
      <c r="C4467" s="119">
        <v>4719</v>
      </c>
      <c r="E4467" s="96" t="s">
        <v>164</v>
      </c>
      <c r="F4467" s="96" t="s">
        <v>164</v>
      </c>
      <c r="G4467" s="96">
        <v>3018</v>
      </c>
    </row>
    <row r="4468" spans="2:7">
      <c r="B4468" s="118" t="s">
        <v>2103</v>
      </c>
      <c r="C4468" s="119">
        <v>4716</v>
      </c>
      <c r="E4468" s="96" t="s">
        <v>164</v>
      </c>
      <c r="F4468" s="96" t="s">
        <v>164</v>
      </c>
      <c r="G4468" s="96">
        <v>3011</v>
      </c>
    </row>
    <row r="4469" spans="2:7">
      <c r="B4469" s="118" t="s">
        <v>2182</v>
      </c>
      <c r="C4469" s="119">
        <v>4716</v>
      </c>
      <c r="E4469" s="96" t="s">
        <v>164</v>
      </c>
      <c r="F4469" s="96" t="s">
        <v>164</v>
      </c>
      <c r="G4469" s="96">
        <v>3008</v>
      </c>
    </row>
    <row r="4470" spans="2:7">
      <c r="B4470" s="118" t="s">
        <v>2168</v>
      </c>
      <c r="C4470" s="119">
        <v>4585</v>
      </c>
      <c r="E4470" s="96" t="s">
        <v>164</v>
      </c>
      <c r="F4470" s="96" t="s">
        <v>164</v>
      </c>
      <c r="G4470" s="96">
        <v>3020</v>
      </c>
    </row>
    <row r="4471" spans="2:7">
      <c r="B4471" s="118" t="s">
        <v>3440</v>
      </c>
      <c r="C4471" s="119">
        <v>4571</v>
      </c>
      <c r="E4471" s="96" t="s">
        <v>164</v>
      </c>
      <c r="F4471" s="96" t="s">
        <v>164</v>
      </c>
      <c r="G4471" s="96">
        <v>3005</v>
      </c>
    </row>
    <row r="4472" spans="2:7">
      <c r="B4472" s="118" t="s">
        <v>3441</v>
      </c>
      <c r="C4472" s="119">
        <v>4571</v>
      </c>
      <c r="E4472" s="96" t="s">
        <v>164</v>
      </c>
      <c r="F4472" s="96" t="s">
        <v>164</v>
      </c>
      <c r="G4472" s="96">
        <v>3019</v>
      </c>
    </row>
    <row r="4473" spans="2:7">
      <c r="B4473" s="118" t="s">
        <v>2077</v>
      </c>
      <c r="C4473" s="119">
        <v>3254</v>
      </c>
      <c r="E4473" s="96" t="s">
        <v>164</v>
      </c>
      <c r="F4473" s="96" t="s">
        <v>164</v>
      </c>
      <c r="G4473" s="96">
        <v>3012</v>
      </c>
    </row>
    <row r="4474" spans="2:7">
      <c r="B4474" s="118" t="s">
        <v>3442</v>
      </c>
      <c r="C4474" s="119">
        <v>3254</v>
      </c>
      <c r="E4474" s="96" t="s">
        <v>164</v>
      </c>
      <c r="F4474" s="96" t="s">
        <v>164</v>
      </c>
      <c r="G4474" s="96">
        <v>3027</v>
      </c>
    </row>
    <row r="4475" spans="2:7">
      <c r="B4475" s="118" t="s">
        <v>3443</v>
      </c>
      <c r="C4475" s="119">
        <v>3307</v>
      </c>
      <c r="E4475" s="96" t="s">
        <v>164</v>
      </c>
      <c r="F4475" s="96" t="s">
        <v>164</v>
      </c>
      <c r="G4475" s="96">
        <v>3004</v>
      </c>
    </row>
    <row r="4476" spans="2:7">
      <c r="B4476" s="118" t="s">
        <v>3444</v>
      </c>
      <c r="C4476" s="119">
        <v>4588</v>
      </c>
      <c r="E4476" s="96" t="s">
        <v>164</v>
      </c>
      <c r="F4476" s="96" t="s">
        <v>164</v>
      </c>
      <c r="G4476" s="96">
        <v>3015</v>
      </c>
    </row>
    <row r="4477" spans="2:7">
      <c r="B4477" s="118" t="s">
        <v>2101</v>
      </c>
      <c r="C4477" s="119">
        <v>3253</v>
      </c>
      <c r="E4477" s="96" t="s">
        <v>164</v>
      </c>
      <c r="F4477" s="96" t="s">
        <v>164</v>
      </c>
      <c r="G4477" s="96">
        <v>3010</v>
      </c>
    </row>
    <row r="4478" spans="2:7">
      <c r="B4478" s="118" t="s">
        <v>2174</v>
      </c>
      <c r="C4478" s="119">
        <v>4588</v>
      </c>
      <c r="E4478" s="96" t="s">
        <v>164</v>
      </c>
      <c r="F4478" s="96" t="s">
        <v>164</v>
      </c>
      <c r="G4478" s="96">
        <v>3007</v>
      </c>
    </row>
    <row r="4479" spans="2:7">
      <c r="B4479" s="118" t="s">
        <v>3445</v>
      </c>
      <c r="C4479" s="119">
        <v>4574</v>
      </c>
      <c r="E4479" s="96" t="s">
        <v>164</v>
      </c>
      <c r="F4479" s="96" t="s">
        <v>164</v>
      </c>
      <c r="G4479" s="96">
        <v>3006</v>
      </c>
    </row>
    <row r="4480" spans="2:7">
      <c r="B4480" s="118" t="s">
        <v>3446</v>
      </c>
      <c r="C4480" s="119">
        <v>4574</v>
      </c>
      <c r="E4480" s="96" t="s">
        <v>2481</v>
      </c>
      <c r="F4480" s="96" t="s">
        <v>162</v>
      </c>
      <c r="G4480" s="96">
        <v>8713</v>
      </c>
    </row>
    <row r="4481" spans="2:7">
      <c r="B4481" s="118" t="s">
        <v>3447</v>
      </c>
      <c r="C4481" s="119">
        <v>4576</v>
      </c>
      <c r="E4481" s="96" t="s">
        <v>2482</v>
      </c>
      <c r="F4481" s="96" t="s">
        <v>162</v>
      </c>
      <c r="G4481" s="96">
        <v>8816</v>
      </c>
    </row>
    <row r="4482" spans="2:7">
      <c r="B4482" s="118" t="s">
        <v>3448</v>
      </c>
      <c r="C4482" s="119">
        <v>4577</v>
      </c>
      <c r="E4482" s="96" t="s">
        <v>1683</v>
      </c>
      <c r="F4482" s="96" t="s">
        <v>162</v>
      </c>
      <c r="G4482" s="96">
        <v>8810</v>
      </c>
    </row>
    <row r="4483" spans="2:7">
      <c r="B4483" s="118" t="s">
        <v>3449</v>
      </c>
      <c r="C4483" s="119">
        <v>4578</v>
      </c>
      <c r="E4483" s="96" t="s">
        <v>2483</v>
      </c>
      <c r="F4483" s="96" t="s">
        <v>162</v>
      </c>
      <c r="G4483" s="96">
        <v>8815</v>
      </c>
    </row>
    <row r="4484" spans="2:7">
      <c r="B4484" s="118" t="s">
        <v>3450</v>
      </c>
      <c r="C4484" s="119">
        <v>4579</v>
      </c>
      <c r="E4484" s="96" t="s">
        <v>2484</v>
      </c>
      <c r="F4484" s="96" t="s">
        <v>162</v>
      </c>
      <c r="G4484" s="96">
        <v>8135</v>
      </c>
    </row>
    <row r="4485" spans="2:7">
      <c r="B4485" s="118" t="s">
        <v>3451</v>
      </c>
      <c r="C4485" s="119">
        <v>4581</v>
      </c>
      <c r="E4485" s="96" t="s">
        <v>2485</v>
      </c>
      <c r="F4485" s="96" t="s">
        <v>162</v>
      </c>
      <c r="G4485" s="96">
        <v>8135</v>
      </c>
    </row>
    <row r="4486" spans="2:7">
      <c r="B4486" s="118" t="s">
        <v>3452</v>
      </c>
      <c r="C4486" s="119">
        <v>4582</v>
      </c>
      <c r="E4486" s="96" t="s">
        <v>2486</v>
      </c>
      <c r="F4486" s="96" t="s">
        <v>162</v>
      </c>
      <c r="G4486" s="96">
        <v>8136</v>
      </c>
    </row>
    <row r="4487" spans="2:7">
      <c r="B4487" s="118" t="s">
        <v>3453</v>
      </c>
      <c r="C4487" s="119">
        <v>4583</v>
      </c>
      <c r="E4487" s="96" t="s">
        <v>2487</v>
      </c>
      <c r="F4487" s="96" t="s">
        <v>162</v>
      </c>
      <c r="G4487" s="96">
        <v>8804</v>
      </c>
    </row>
    <row r="4488" spans="2:7">
      <c r="B4488" s="118" t="s">
        <v>3454</v>
      </c>
      <c r="C4488" s="119">
        <v>4583</v>
      </c>
      <c r="E4488" s="96" t="s">
        <v>1681</v>
      </c>
      <c r="F4488" s="96" t="s">
        <v>162</v>
      </c>
      <c r="G4488" s="96">
        <v>8820</v>
      </c>
    </row>
    <row r="4489" spans="2:7">
      <c r="B4489" s="118" t="s">
        <v>3455</v>
      </c>
      <c r="C4489" s="119">
        <v>4584</v>
      </c>
      <c r="E4489" s="96" t="s">
        <v>2488</v>
      </c>
      <c r="F4489" s="96" t="s">
        <v>162</v>
      </c>
      <c r="G4489" s="96">
        <v>8824</v>
      </c>
    </row>
    <row r="4490" spans="2:7">
      <c r="B4490" s="118" t="s">
        <v>3456</v>
      </c>
      <c r="C4490" s="119">
        <v>4584</v>
      </c>
      <c r="E4490" s="96" t="s">
        <v>2489</v>
      </c>
      <c r="F4490" s="96" t="s">
        <v>162</v>
      </c>
      <c r="G4490" s="96">
        <v>8825</v>
      </c>
    </row>
    <row r="4491" spans="2:7">
      <c r="B4491" s="118" t="s">
        <v>3457</v>
      </c>
      <c r="C4491" s="119">
        <v>4586</v>
      </c>
      <c r="E4491" s="96" t="s">
        <v>1690</v>
      </c>
      <c r="F4491" s="96" t="s">
        <v>162</v>
      </c>
      <c r="G4491" s="96">
        <v>8105</v>
      </c>
    </row>
    <row r="4492" spans="2:7">
      <c r="B4492" s="118" t="s">
        <v>3458</v>
      </c>
      <c r="C4492" s="119">
        <v>4587</v>
      </c>
      <c r="E4492" s="96" t="s">
        <v>2490</v>
      </c>
      <c r="F4492" s="96" t="s">
        <v>162</v>
      </c>
      <c r="G4492" s="96">
        <v>8105</v>
      </c>
    </row>
    <row r="4493" spans="2:7">
      <c r="B4493" s="118" t="s">
        <v>3459</v>
      </c>
      <c r="C4493" s="119">
        <v>4588</v>
      </c>
      <c r="E4493" s="96" t="s">
        <v>2491</v>
      </c>
      <c r="F4493" s="96" t="s">
        <v>162</v>
      </c>
      <c r="G4493" s="96">
        <v>8333</v>
      </c>
    </row>
    <row r="4494" spans="2:7">
      <c r="B4494" s="118" t="s">
        <v>3460</v>
      </c>
      <c r="C4494" s="119">
        <v>4105</v>
      </c>
      <c r="E4494" s="96" t="s">
        <v>2492</v>
      </c>
      <c r="F4494" s="96" t="s">
        <v>162</v>
      </c>
      <c r="G4494" s="96">
        <v>8152</v>
      </c>
    </row>
    <row r="4495" spans="2:7">
      <c r="B4495" s="118" t="s">
        <v>2093</v>
      </c>
      <c r="C4495" s="119">
        <v>4112</v>
      </c>
      <c r="E4495" s="96" t="s">
        <v>2493</v>
      </c>
      <c r="F4495" s="96" t="s">
        <v>162</v>
      </c>
      <c r="G4495" s="96">
        <v>8152</v>
      </c>
    </row>
    <row r="4496" spans="2:7">
      <c r="B4496" s="118" t="s">
        <v>3461</v>
      </c>
      <c r="C4496" s="119">
        <v>4413</v>
      </c>
      <c r="E4496" s="96" t="s">
        <v>2494</v>
      </c>
      <c r="F4496" s="96" t="s">
        <v>162</v>
      </c>
      <c r="G4496" s="96">
        <v>8605</v>
      </c>
    </row>
    <row r="4497" spans="2:7">
      <c r="B4497" s="118" t="s">
        <v>2029</v>
      </c>
      <c r="C4497" s="119">
        <v>4143</v>
      </c>
      <c r="E4497" s="96" t="s">
        <v>2495</v>
      </c>
      <c r="F4497" s="96" t="s">
        <v>162</v>
      </c>
      <c r="G4497" s="96">
        <v>8125</v>
      </c>
    </row>
    <row r="4498" spans="2:7">
      <c r="B4498" s="118" t="s">
        <v>2125</v>
      </c>
      <c r="C4498" s="119">
        <v>4145</v>
      </c>
      <c r="E4498" s="96" t="s">
        <v>1587</v>
      </c>
      <c r="F4498" s="96"/>
      <c r="G4498" s="96">
        <v>3624</v>
      </c>
    </row>
    <row r="4499" spans="2:7">
      <c r="B4499" s="118" t="s">
        <v>2087</v>
      </c>
      <c r="C4499" s="119">
        <v>4146</v>
      </c>
      <c r="E4499" s="96" t="s">
        <v>2187</v>
      </c>
      <c r="F4499" s="96" t="s">
        <v>184</v>
      </c>
      <c r="G4499" s="96">
        <v>3600</v>
      </c>
    </row>
    <row r="4500" spans="2:7">
      <c r="B4500" s="118" t="s">
        <v>3462</v>
      </c>
      <c r="C4500" s="119">
        <v>4112</v>
      </c>
      <c r="E4500" s="96" t="s">
        <v>2187</v>
      </c>
      <c r="F4500" s="96" t="s">
        <v>184</v>
      </c>
      <c r="G4500" s="96">
        <v>3604</v>
      </c>
    </row>
    <row r="4501" spans="2:7">
      <c r="B4501" s="118" t="s">
        <v>3463</v>
      </c>
      <c r="C4501" s="119">
        <v>4114</v>
      </c>
      <c r="E4501" s="96" t="s">
        <v>2187</v>
      </c>
      <c r="F4501" s="96" t="s">
        <v>184</v>
      </c>
      <c r="G4501" s="96">
        <v>3603</v>
      </c>
    </row>
    <row r="4502" spans="2:7">
      <c r="B4502" s="118" t="s">
        <v>3464</v>
      </c>
      <c r="C4502" s="119">
        <v>4115</v>
      </c>
      <c r="E4502" s="96" t="s">
        <v>2187</v>
      </c>
      <c r="F4502" s="96" t="s">
        <v>184</v>
      </c>
      <c r="G4502" s="96">
        <v>3608</v>
      </c>
    </row>
    <row r="4503" spans="2:7">
      <c r="B4503" s="118" t="s">
        <v>3464</v>
      </c>
      <c r="C4503" s="119">
        <v>4115</v>
      </c>
      <c r="E4503" s="96" t="s">
        <v>2186</v>
      </c>
      <c r="F4503" s="96" t="s">
        <v>184</v>
      </c>
      <c r="G4503" s="96">
        <v>2503</v>
      </c>
    </row>
    <row r="4504" spans="2:7">
      <c r="B4504" s="118" t="s">
        <v>3465</v>
      </c>
      <c r="C4504" s="119">
        <v>4116</v>
      </c>
      <c r="E4504" s="96" t="s">
        <v>2186</v>
      </c>
      <c r="F4504" s="96" t="s">
        <v>184</v>
      </c>
      <c r="G4504" s="96">
        <v>2505</v>
      </c>
    </row>
    <row r="4505" spans="2:7">
      <c r="B4505" s="118" t="s">
        <v>3466</v>
      </c>
      <c r="C4505" s="119">
        <v>4412</v>
      </c>
      <c r="E4505" s="96" t="s">
        <v>2186</v>
      </c>
      <c r="F4505" s="96" t="s">
        <v>184</v>
      </c>
      <c r="G4505" s="96">
        <v>2504</v>
      </c>
    </row>
    <row r="4506" spans="2:7">
      <c r="B4506" s="118" t="s">
        <v>3467</v>
      </c>
      <c r="C4506" s="119">
        <v>4421</v>
      </c>
      <c r="E4506" s="96" t="s">
        <v>2186</v>
      </c>
      <c r="F4506" s="96" t="s">
        <v>184</v>
      </c>
      <c r="G4506" s="96">
        <v>2502</v>
      </c>
    </row>
    <row r="4507" spans="2:7">
      <c r="B4507" s="118" t="s">
        <v>2083</v>
      </c>
      <c r="C4507" s="119">
        <v>4118</v>
      </c>
      <c r="E4507" s="96" t="s">
        <v>1588</v>
      </c>
      <c r="F4507" s="96"/>
      <c r="G4507" s="96">
        <v>3415</v>
      </c>
    </row>
    <row r="4508" spans="2:7">
      <c r="B4508" s="118" t="s">
        <v>2121</v>
      </c>
      <c r="C4508" s="119">
        <v>4204</v>
      </c>
      <c r="E4508" s="96" t="s">
        <v>1589</v>
      </c>
      <c r="F4508" s="96"/>
      <c r="G4508" s="96">
        <v>3419</v>
      </c>
    </row>
    <row r="4509" spans="2:7">
      <c r="B4509" s="118" t="s">
        <v>3468</v>
      </c>
      <c r="C4509" s="119">
        <v>4206</v>
      </c>
      <c r="E4509" s="96" t="s">
        <v>1590</v>
      </c>
      <c r="F4509" s="96"/>
      <c r="G4509" s="96">
        <v>3415</v>
      </c>
    </row>
    <row r="4510" spans="2:7">
      <c r="B4510" s="118" t="s">
        <v>2075</v>
      </c>
      <c r="C4510" s="119">
        <v>4108</v>
      </c>
      <c r="E4510" s="96" t="s">
        <v>1591</v>
      </c>
      <c r="F4510" s="96" t="s">
        <v>184</v>
      </c>
      <c r="G4510" s="96">
        <v>4900</v>
      </c>
    </row>
    <row r="4511" spans="2:7">
      <c r="B4511" s="118" t="s">
        <v>2093</v>
      </c>
      <c r="C4511" s="119">
        <v>4112</v>
      </c>
      <c r="E4511" s="96" t="s">
        <v>1592</v>
      </c>
      <c r="F4511" s="96"/>
      <c r="G4511" s="96">
        <v>4916</v>
      </c>
    </row>
    <row r="4512" spans="2:7">
      <c r="B4512" s="118" t="s">
        <v>3469</v>
      </c>
      <c r="C4512" s="119">
        <v>4633</v>
      </c>
      <c r="E4512" s="96" t="s">
        <v>165</v>
      </c>
      <c r="F4512" s="96" t="s">
        <v>184</v>
      </c>
      <c r="G4512" s="96">
        <v>6003</v>
      </c>
    </row>
    <row r="4513" spans="2:7">
      <c r="B4513" s="118" t="s">
        <v>2158</v>
      </c>
      <c r="C4513" s="119">
        <v>4468</v>
      </c>
      <c r="E4513" s="96" t="s">
        <v>165</v>
      </c>
      <c r="F4513" s="96" t="s">
        <v>184</v>
      </c>
      <c r="G4513" s="96">
        <v>6006</v>
      </c>
    </row>
    <row r="4514" spans="2:7">
      <c r="B4514" s="118" t="s">
        <v>3470</v>
      </c>
      <c r="C4514" s="119">
        <v>4634</v>
      </c>
      <c r="E4514" s="96" t="s">
        <v>165</v>
      </c>
      <c r="F4514" s="96" t="s">
        <v>184</v>
      </c>
      <c r="G4514" s="96">
        <v>6015</v>
      </c>
    </row>
    <row r="4515" spans="2:7">
      <c r="B4515" s="118" t="s">
        <v>2041</v>
      </c>
      <c r="C4515" s="119">
        <v>4654</v>
      </c>
      <c r="E4515" s="96" t="s">
        <v>165</v>
      </c>
      <c r="F4515" s="96" t="s">
        <v>184</v>
      </c>
      <c r="G4515" s="96">
        <v>6014</v>
      </c>
    </row>
    <row r="4516" spans="2:7">
      <c r="B4516" s="118" t="s">
        <v>2042</v>
      </c>
      <c r="C4516" s="119">
        <v>5013</v>
      </c>
      <c r="E4516" s="96" t="s">
        <v>165</v>
      </c>
      <c r="F4516" s="96" t="s">
        <v>184</v>
      </c>
      <c r="G4516" s="96">
        <v>6004</v>
      </c>
    </row>
    <row r="4517" spans="2:7">
      <c r="B4517" s="118" t="s">
        <v>2066</v>
      </c>
      <c r="C4517" s="119">
        <v>4652</v>
      </c>
      <c r="E4517" s="96" t="s">
        <v>165</v>
      </c>
      <c r="F4517" s="96" t="s">
        <v>184</v>
      </c>
      <c r="G4517" s="96">
        <v>6005</v>
      </c>
    </row>
    <row r="4518" spans="2:7">
      <c r="B4518" s="118" t="s">
        <v>2061</v>
      </c>
      <c r="C4518" s="119">
        <v>4653</v>
      </c>
      <c r="E4518" s="96" t="s">
        <v>1593</v>
      </c>
      <c r="F4518" s="96"/>
      <c r="G4518" s="96">
        <v>6020</v>
      </c>
    </row>
    <row r="4519" spans="2:7">
      <c r="B4519" s="118" t="s">
        <v>2105</v>
      </c>
      <c r="C4519" s="119">
        <v>4655</v>
      </c>
      <c r="E4519" s="96" t="s">
        <v>1262</v>
      </c>
      <c r="F4519" s="96" t="s">
        <v>184</v>
      </c>
      <c r="G4519" s="96">
        <v>6032</v>
      </c>
    </row>
    <row r="4520" spans="2:7">
      <c r="B4520" s="118" t="s">
        <v>3471</v>
      </c>
      <c r="C4520" s="119">
        <v>4655</v>
      </c>
      <c r="E4520" s="96" t="s">
        <v>1263</v>
      </c>
      <c r="F4520" s="96" t="s">
        <v>184</v>
      </c>
      <c r="G4520" s="96">
        <v>6010</v>
      </c>
    </row>
    <row r="4521" spans="2:7">
      <c r="B4521" s="118" t="s">
        <v>2024</v>
      </c>
      <c r="C4521" s="119">
        <v>4600</v>
      </c>
      <c r="E4521" s="96" t="s">
        <v>1594</v>
      </c>
      <c r="F4521" s="96" t="s">
        <v>184</v>
      </c>
      <c r="G4521" s="96">
        <v>6012</v>
      </c>
    </row>
    <row r="4522" spans="2:7">
      <c r="B4522" s="118" t="s">
        <v>2030</v>
      </c>
      <c r="C4522" s="119">
        <v>4632</v>
      </c>
      <c r="E4522" s="96" t="s">
        <v>1264</v>
      </c>
      <c r="F4522" s="96" t="s">
        <v>184</v>
      </c>
      <c r="G4522" s="96">
        <v>6048</v>
      </c>
    </row>
    <row r="4523" spans="2:7">
      <c r="B4523" s="118" t="s">
        <v>3470</v>
      </c>
      <c r="C4523" s="119">
        <v>4634</v>
      </c>
      <c r="E4523" s="96" t="s">
        <v>1595</v>
      </c>
      <c r="F4523" s="96"/>
      <c r="G4523" s="96">
        <v>6047</v>
      </c>
    </row>
    <row r="4524" spans="2:7">
      <c r="B4524" s="118" t="s">
        <v>2066</v>
      </c>
      <c r="C4524" s="119">
        <v>4652</v>
      </c>
      <c r="E4524" s="96" t="s">
        <v>1596</v>
      </c>
      <c r="F4524" s="96"/>
      <c r="G4524" s="96">
        <v>6005</v>
      </c>
    </row>
    <row r="4525" spans="2:7">
      <c r="B4525" s="118" t="s">
        <v>2041</v>
      </c>
      <c r="C4525" s="119">
        <v>4654</v>
      </c>
      <c r="E4525" s="96" t="s">
        <v>163</v>
      </c>
      <c r="F4525" s="96" t="s">
        <v>184</v>
      </c>
      <c r="G4525" s="96">
        <v>1202</v>
      </c>
    </row>
    <row r="4526" spans="2:7">
      <c r="B4526" s="118" t="s">
        <v>3470</v>
      </c>
      <c r="C4526" s="119">
        <v>4634</v>
      </c>
      <c r="E4526" s="96" t="s">
        <v>163</v>
      </c>
      <c r="F4526" s="96" t="s">
        <v>184</v>
      </c>
      <c r="G4526" s="96">
        <v>1205</v>
      </c>
    </row>
    <row r="4527" spans="2:7">
      <c r="B4527" s="118" t="s">
        <v>3472</v>
      </c>
      <c r="C4527" s="119">
        <v>5015</v>
      </c>
      <c r="E4527" s="96" t="s">
        <v>163</v>
      </c>
      <c r="F4527" s="96" t="s">
        <v>184</v>
      </c>
      <c r="G4527" s="96">
        <v>1201</v>
      </c>
    </row>
    <row r="4528" spans="2:7">
      <c r="B4528" s="118" t="s">
        <v>3473</v>
      </c>
      <c r="C4528" s="119">
        <v>5017</v>
      </c>
      <c r="E4528" s="96" t="s">
        <v>163</v>
      </c>
      <c r="F4528" s="96" t="s">
        <v>184</v>
      </c>
      <c r="G4528" s="96">
        <v>1206</v>
      </c>
    </row>
    <row r="4529" spans="2:7">
      <c r="B4529" s="118" t="s">
        <v>3094</v>
      </c>
      <c r="C4529" s="119">
        <v>3365</v>
      </c>
      <c r="E4529" s="96" t="s">
        <v>163</v>
      </c>
      <c r="F4529" s="96" t="s">
        <v>184</v>
      </c>
      <c r="G4529" s="96">
        <v>1207</v>
      </c>
    </row>
    <row r="4530" spans="2:7">
      <c r="B4530" s="118" t="s">
        <v>3474</v>
      </c>
      <c r="C4530" s="119">
        <v>4556</v>
      </c>
      <c r="E4530" s="96" t="s">
        <v>163</v>
      </c>
      <c r="F4530" s="96" t="s">
        <v>184</v>
      </c>
      <c r="G4530" s="96">
        <v>1208</v>
      </c>
    </row>
    <row r="4531" spans="2:7">
      <c r="B4531" s="118" t="s">
        <v>3092</v>
      </c>
      <c r="C4531" s="119">
        <v>4556</v>
      </c>
      <c r="E4531" s="96" t="s">
        <v>163</v>
      </c>
      <c r="F4531" s="96" t="s">
        <v>184</v>
      </c>
      <c r="G4531" s="96">
        <v>1203</v>
      </c>
    </row>
    <row r="4532" spans="2:7">
      <c r="B4532" s="118" t="s">
        <v>3475</v>
      </c>
      <c r="C4532" s="119">
        <v>4556</v>
      </c>
      <c r="E4532" s="96" t="s">
        <v>1597</v>
      </c>
      <c r="F4532" s="96" t="s">
        <v>184</v>
      </c>
      <c r="G4532" s="96">
        <v>1227</v>
      </c>
    </row>
    <row r="4533" spans="2:7">
      <c r="B4533" s="118" t="s">
        <v>169</v>
      </c>
      <c r="C4533" s="119">
        <v>4500</v>
      </c>
      <c r="E4533" s="96" t="s">
        <v>163</v>
      </c>
      <c r="F4533" s="96" t="s">
        <v>184</v>
      </c>
      <c r="G4533" s="96">
        <v>1209</v>
      </c>
    </row>
    <row r="4534" spans="2:7">
      <c r="B4534" s="118" t="s">
        <v>2027</v>
      </c>
      <c r="C4534" s="119">
        <v>4528</v>
      </c>
      <c r="E4534" s="96" t="s">
        <v>1598</v>
      </c>
      <c r="F4534" s="96" t="s">
        <v>184</v>
      </c>
      <c r="G4534" s="96">
        <v>1213</v>
      </c>
    </row>
    <row r="4535" spans="2:7">
      <c r="B4535" s="118" t="s">
        <v>2028</v>
      </c>
      <c r="C4535" s="119">
        <v>4562</v>
      </c>
      <c r="E4535" s="96" t="s">
        <v>1599</v>
      </c>
      <c r="F4535" s="96"/>
      <c r="G4535" s="96">
        <v>1212</v>
      </c>
    </row>
    <row r="4536" spans="2:7">
      <c r="B4536" s="118" t="s">
        <v>3446</v>
      </c>
      <c r="C4536" s="119">
        <v>4574</v>
      </c>
      <c r="E4536" s="96" t="s">
        <v>813</v>
      </c>
      <c r="F4536" s="96" t="s">
        <v>184</v>
      </c>
      <c r="G4536" s="96">
        <v>1217</v>
      </c>
    </row>
    <row r="4537" spans="2:7">
      <c r="B4537" s="118" t="s">
        <v>2151</v>
      </c>
      <c r="C4537" s="119">
        <v>4556</v>
      </c>
      <c r="E4537" s="96" t="s">
        <v>1600</v>
      </c>
      <c r="F4537" s="96" t="s">
        <v>184</v>
      </c>
      <c r="G4537" s="96">
        <v>1216</v>
      </c>
    </row>
    <row r="4538" spans="2:7">
      <c r="B4538" s="118" t="s">
        <v>2047</v>
      </c>
      <c r="C4538" s="119">
        <v>4542</v>
      </c>
      <c r="E4538" s="96" t="s">
        <v>1601</v>
      </c>
      <c r="F4538" s="96" t="s">
        <v>184</v>
      </c>
      <c r="G4538" s="96">
        <v>1219</v>
      </c>
    </row>
    <row r="4539" spans="2:7">
      <c r="B4539" s="118" t="s">
        <v>2060</v>
      </c>
      <c r="C4539" s="119">
        <v>4543</v>
      </c>
      <c r="E4539" s="96" t="s">
        <v>1602</v>
      </c>
      <c r="F4539" s="96"/>
      <c r="G4539" s="96">
        <v>1220</v>
      </c>
    </row>
    <row r="4540" spans="2:7">
      <c r="B4540" s="118" t="s">
        <v>2031</v>
      </c>
      <c r="C4540" s="119">
        <v>4552</v>
      </c>
      <c r="E4540" s="96" t="s">
        <v>811</v>
      </c>
      <c r="F4540" s="96" t="s">
        <v>184</v>
      </c>
      <c r="G4540" s="96">
        <v>1214</v>
      </c>
    </row>
    <row r="4541" spans="2:7">
      <c r="B4541" s="118" t="s">
        <v>2050</v>
      </c>
      <c r="C4541" s="119">
        <v>4553</v>
      </c>
      <c r="E4541" s="96" t="s">
        <v>1603</v>
      </c>
      <c r="F4541" s="96" t="s">
        <v>184</v>
      </c>
      <c r="G4541" s="96">
        <v>1219</v>
      </c>
    </row>
    <row r="4542" spans="2:7">
      <c r="B4542" s="118" t="s">
        <v>2130</v>
      </c>
      <c r="C4542" s="119">
        <v>4554</v>
      </c>
      <c r="E4542" s="96" t="s">
        <v>1604</v>
      </c>
      <c r="F4542" s="96" t="s">
        <v>184</v>
      </c>
      <c r="G4542" s="96">
        <v>1219</v>
      </c>
    </row>
    <row r="4543" spans="2:7">
      <c r="B4543" s="118" t="s">
        <v>2035</v>
      </c>
      <c r="C4543" s="119">
        <v>4563</v>
      </c>
      <c r="E4543" s="96" t="s">
        <v>182</v>
      </c>
      <c r="F4543" s="96" t="s">
        <v>184</v>
      </c>
      <c r="G4543" s="96">
        <v>1003</v>
      </c>
    </row>
    <row r="4544" spans="2:7">
      <c r="B4544" s="118" t="s">
        <v>2127</v>
      </c>
      <c r="C4544" s="119">
        <v>4566</v>
      </c>
      <c r="E4544" s="96" t="s">
        <v>182</v>
      </c>
      <c r="F4544" s="96" t="s">
        <v>184</v>
      </c>
      <c r="G4544" s="96">
        <v>1015</v>
      </c>
    </row>
    <row r="4545" spans="2:7">
      <c r="B4545" s="118" t="s">
        <v>2129</v>
      </c>
      <c r="C4545" s="119">
        <v>4557</v>
      </c>
      <c r="E4545" s="96" t="s">
        <v>182</v>
      </c>
      <c r="F4545" s="96" t="s">
        <v>184</v>
      </c>
      <c r="G4545" s="96">
        <v>1007</v>
      </c>
    </row>
    <row r="4546" spans="2:7">
      <c r="B4546" s="118" t="s">
        <v>2178</v>
      </c>
      <c r="C4546" s="119">
        <v>4554</v>
      </c>
      <c r="E4546" s="96" t="s">
        <v>182</v>
      </c>
      <c r="F4546" s="96" t="s">
        <v>184</v>
      </c>
      <c r="G4546" s="96">
        <v>1012</v>
      </c>
    </row>
    <row r="4547" spans="2:7">
      <c r="B4547" s="118" t="s">
        <v>2035</v>
      </c>
      <c r="C4547" s="119">
        <v>4563</v>
      </c>
      <c r="E4547" s="96" t="s">
        <v>182</v>
      </c>
      <c r="F4547" s="96" t="s">
        <v>184</v>
      </c>
      <c r="G4547" s="96">
        <v>1011</v>
      </c>
    </row>
    <row r="4548" spans="2:7">
      <c r="B4548" s="118" t="s">
        <v>2085</v>
      </c>
      <c r="C4548" s="119">
        <v>4566</v>
      </c>
      <c r="E4548" s="96" t="s">
        <v>182</v>
      </c>
      <c r="F4548" s="96" t="s">
        <v>184</v>
      </c>
      <c r="G4548" s="96">
        <v>1018</v>
      </c>
    </row>
    <row r="4549" spans="2:7">
      <c r="B4549" s="118" t="s">
        <v>2052</v>
      </c>
      <c r="C4549" s="119">
        <v>4573</v>
      </c>
      <c r="E4549" s="96" t="s">
        <v>182</v>
      </c>
      <c r="F4549" s="96" t="s">
        <v>184</v>
      </c>
      <c r="G4549" s="96">
        <v>1000</v>
      </c>
    </row>
    <row r="4550" spans="2:7">
      <c r="B4550" s="118" t="s">
        <v>2047</v>
      </c>
      <c r="C4550" s="119">
        <v>4542</v>
      </c>
      <c r="E4550" s="96" t="s">
        <v>182</v>
      </c>
      <c r="F4550" s="96" t="s">
        <v>184</v>
      </c>
      <c r="G4550" s="96">
        <v>1000</v>
      </c>
    </row>
    <row r="4551" spans="2:7">
      <c r="B4551" s="118" t="s">
        <v>2031</v>
      </c>
      <c r="C4551" s="119">
        <v>4552</v>
      </c>
      <c r="E4551" s="96" t="s">
        <v>182</v>
      </c>
      <c r="F4551" s="96" t="s">
        <v>184</v>
      </c>
      <c r="G4551" s="96">
        <v>1010</v>
      </c>
    </row>
    <row r="4552" spans="2:7">
      <c r="B4552" s="118" t="s">
        <v>2035</v>
      </c>
      <c r="C4552" s="119">
        <v>4563</v>
      </c>
      <c r="E4552" s="96" t="s">
        <v>182</v>
      </c>
      <c r="F4552" s="96" t="s">
        <v>184</v>
      </c>
      <c r="G4552" s="96">
        <v>1005</v>
      </c>
    </row>
    <row r="4553" spans="2:7">
      <c r="B4553" s="118" t="s">
        <v>2099</v>
      </c>
      <c r="C4553" s="119">
        <v>4564</v>
      </c>
      <c r="E4553" s="96" t="s">
        <v>182</v>
      </c>
      <c r="F4553" s="96" t="s">
        <v>184</v>
      </c>
      <c r="G4553" s="96">
        <v>1006</v>
      </c>
    </row>
    <row r="4554" spans="2:7">
      <c r="B4554" s="118" t="s">
        <v>2132</v>
      </c>
      <c r="C4554" s="119">
        <v>4566</v>
      </c>
      <c r="E4554" s="96" t="s">
        <v>182</v>
      </c>
      <c r="F4554" s="96" t="s">
        <v>184</v>
      </c>
      <c r="G4554" s="96">
        <v>1000</v>
      </c>
    </row>
    <row r="4555" spans="2:7">
      <c r="B4555" s="118" t="s">
        <v>2064</v>
      </c>
      <c r="C4555" s="119">
        <v>4565</v>
      </c>
      <c r="E4555" s="96" t="s">
        <v>182</v>
      </c>
      <c r="F4555" s="96" t="s">
        <v>184</v>
      </c>
      <c r="G4555" s="96">
        <v>1004</v>
      </c>
    </row>
    <row r="4556" spans="2:7">
      <c r="B4556" s="118" t="s">
        <v>2050</v>
      </c>
      <c r="C4556" s="119">
        <v>4553</v>
      </c>
      <c r="E4556" s="96" t="s">
        <v>1605</v>
      </c>
      <c r="F4556" s="96" t="s">
        <v>184</v>
      </c>
      <c r="G4556" s="96">
        <v>1817</v>
      </c>
    </row>
    <row r="4557" spans="2:7">
      <c r="B4557" s="118" t="s">
        <v>169</v>
      </c>
      <c r="C4557" s="119">
        <v>4500</v>
      </c>
      <c r="E4557" s="96" t="s">
        <v>1606</v>
      </c>
      <c r="F4557" s="96" t="s">
        <v>184</v>
      </c>
      <c r="G4557" s="96">
        <v>1820</v>
      </c>
    </row>
    <row r="4558" spans="2:7">
      <c r="B4558" s="118" t="s">
        <v>2027</v>
      </c>
      <c r="C4558" s="119">
        <v>4528</v>
      </c>
      <c r="E4558" s="96" t="s">
        <v>1607</v>
      </c>
      <c r="F4558" s="96" t="s">
        <v>184</v>
      </c>
      <c r="G4558" s="96">
        <v>1833</v>
      </c>
    </row>
    <row r="4559" spans="2:7">
      <c r="B4559" s="118" t="s">
        <v>3476</v>
      </c>
      <c r="C4559" s="119">
        <v>4558</v>
      </c>
      <c r="E4559" s="96" t="s">
        <v>1608</v>
      </c>
      <c r="F4559" s="96" t="s">
        <v>184</v>
      </c>
      <c r="G4559" s="96">
        <v>1832</v>
      </c>
    </row>
    <row r="4560" spans="2:7">
      <c r="B4560" s="118" t="s">
        <v>3477</v>
      </c>
      <c r="C4560" s="119">
        <v>4558</v>
      </c>
      <c r="E4560" s="96" t="s">
        <v>1609</v>
      </c>
      <c r="F4560" s="96" t="s">
        <v>184</v>
      </c>
      <c r="G4560" s="96">
        <v>1824</v>
      </c>
    </row>
    <row r="4561" spans="2:7">
      <c r="B4561" s="118" t="s">
        <v>3478</v>
      </c>
      <c r="C4561" s="119">
        <v>4558</v>
      </c>
      <c r="E4561" s="96" t="s">
        <v>1610</v>
      </c>
      <c r="F4561" s="96" t="s">
        <v>184</v>
      </c>
      <c r="G4561" s="96">
        <v>1816</v>
      </c>
    </row>
    <row r="4562" spans="2:7">
      <c r="B4562" s="118" t="s">
        <v>3479</v>
      </c>
      <c r="C4562" s="119">
        <v>4524</v>
      </c>
      <c r="E4562" s="96" t="s">
        <v>1611</v>
      </c>
      <c r="F4562" s="96" t="s">
        <v>184</v>
      </c>
      <c r="G4562" s="96">
        <v>1822</v>
      </c>
    </row>
    <row r="4563" spans="2:7">
      <c r="B4563" s="118" t="s">
        <v>3480</v>
      </c>
      <c r="C4563" s="119">
        <v>4524</v>
      </c>
      <c r="E4563" s="96" t="s">
        <v>1612</v>
      </c>
      <c r="F4563" s="96" t="s">
        <v>184</v>
      </c>
      <c r="G4563" s="96">
        <v>1832</v>
      </c>
    </row>
    <row r="4564" spans="2:7">
      <c r="B4564" s="118" t="s">
        <v>3481</v>
      </c>
      <c r="C4564" s="119">
        <v>4525</v>
      </c>
      <c r="E4564" s="96" t="s">
        <v>186</v>
      </c>
      <c r="F4564" s="96" t="s">
        <v>184</v>
      </c>
      <c r="G4564" s="96">
        <v>1820</v>
      </c>
    </row>
    <row r="4565" spans="2:7">
      <c r="B4565" s="118" t="s">
        <v>169</v>
      </c>
      <c r="C4565" s="119">
        <v>4500</v>
      </c>
      <c r="E4565" s="96" t="s">
        <v>703</v>
      </c>
      <c r="F4565" s="96" t="s">
        <v>184</v>
      </c>
      <c r="G4565" s="96">
        <v>1823</v>
      </c>
    </row>
    <row r="4566" spans="2:7">
      <c r="B4566" s="118" t="s">
        <v>2034</v>
      </c>
      <c r="C4566" s="119">
        <v>4512</v>
      </c>
      <c r="E4566" s="96" t="s">
        <v>1613</v>
      </c>
      <c r="F4566" s="96" t="s">
        <v>184</v>
      </c>
      <c r="G4566" s="96">
        <v>1815</v>
      </c>
    </row>
    <row r="4567" spans="2:7">
      <c r="B4567" s="118" t="s">
        <v>2039</v>
      </c>
      <c r="C4567" s="119">
        <v>2544</v>
      </c>
      <c r="E4567" s="96" t="s">
        <v>1614</v>
      </c>
      <c r="F4567" s="96" t="s">
        <v>184</v>
      </c>
      <c r="G4567" s="96">
        <v>5032</v>
      </c>
    </row>
    <row r="4568" spans="2:7">
      <c r="B4568" s="118" t="s">
        <v>3482</v>
      </c>
      <c r="C4568" s="119">
        <v>4532</v>
      </c>
      <c r="E4568" s="96" t="s">
        <v>1615</v>
      </c>
      <c r="F4568" s="96" t="s">
        <v>184</v>
      </c>
      <c r="G4568" s="96">
        <v>5000</v>
      </c>
    </row>
    <row r="4569" spans="2:7">
      <c r="B4569" s="118" t="s">
        <v>2117</v>
      </c>
      <c r="C4569" s="119">
        <v>4534</v>
      </c>
      <c r="E4569" s="96" t="s">
        <v>1615</v>
      </c>
      <c r="F4569" s="96" t="s">
        <v>184</v>
      </c>
      <c r="G4569" s="96">
        <v>5004</v>
      </c>
    </row>
    <row r="4570" spans="2:7">
      <c r="B4570" s="118" t="s">
        <v>2060</v>
      </c>
      <c r="C4570" s="119">
        <v>4543</v>
      </c>
      <c r="E4570" s="96" t="s">
        <v>1616</v>
      </c>
      <c r="F4570" s="96" t="s">
        <v>184</v>
      </c>
      <c r="G4570" s="96">
        <v>5400</v>
      </c>
    </row>
    <row r="4571" spans="2:7">
      <c r="B4571" s="118" t="s">
        <v>2026</v>
      </c>
      <c r="C4571" s="119">
        <v>2540</v>
      </c>
      <c r="E4571" s="96" t="s">
        <v>1617</v>
      </c>
      <c r="F4571" s="96" t="s">
        <v>184</v>
      </c>
      <c r="G4571" s="96">
        <v>5405</v>
      </c>
    </row>
    <row r="4572" spans="2:7">
      <c r="B4572" s="118" t="s">
        <v>2097</v>
      </c>
      <c r="C4572" s="119">
        <v>4524</v>
      </c>
      <c r="E4572" s="96" t="s">
        <v>1616</v>
      </c>
      <c r="F4572" s="96" t="s">
        <v>184</v>
      </c>
      <c r="G4572" s="96">
        <v>5404</v>
      </c>
    </row>
    <row r="4573" spans="2:7">
      <c r="B4573" s="118" t="s">
        <v>2156</v>
      </c>
      <c r="C4573" s="119">
        <v>4715</v>
      </c>
      <c r="E4573" s="96" t="s">
        <v>1618</v>
      </c>
      <c r="F4573" s="96" t="s">
        <v>184</v>
      </c>
      <c r="G4573" s="96">
        <v>5406</v>
      </c>
    </row>
    <row r="4574" spans="2:7">
      <c r="B4574" s="118" t="s">
        <v>2139</v>
      </c>
      <c r="C4574" s="119">
        <v>4535</v>
      </c>
      <c r="E4574" s="96" t="s">
        <v>1619</v>
      </c>
      <c r="F4574" s="96" t="s">
        <v>184</v>
      </c>
      <c r="G4574" s="96">
        <v>4800</v>
      </c>
    </row>
    <row r="4575" spans="2:7">
      <c r="B4575" s="118" t="s">
        <v>2184</v>
      </c>
      <c r="C4575" s="119">
        <v>4535</v>
      </c>
      <c r="E4575" s="96" t="s">
        <v>1620</v>
      </c>
      <c r="F4575" s="96" t="s">
        <v>184</v>
      </c>
      <c r="G4575" s="96">
        <v>4812</v>
      </c>
    </row>
    <row r="4576" spans="2:7">
      <c r="B4576" s="118" t="s">
        <v>169</v>
      </c>
      <c r="C4576" s="119">
        <v>4500</v>
      </c>
      <c r="E4576" s="96" t="s">
        <v>170</v>
      </c>
      <c r="F4576" s="96" t="s">
        <v>184</v>
      </c>
      <c r="G4576" s="96">
        <v>9014</v>
      </c>
    </row>
    <row r="4577" spans="2:7">
      <c r="B4577" s="118" t="s">
        <v>2044</v>
      </c>
      <c r="C4577" s="119">
        <v>4513</v>
      </c>
      <c r="E4577" s="96" t="s">
        <v>170</v>
      </c>
      <c r="F4577" s="96" t="s">
        <v>184</v>
      </c>
      <c r="G4577" s="96">
        <v>9016</v>
      </c>
    </row>
    <row r="4578" spans="2:7">
      <c r="B4578" s="118" t="s">
        <v>2076</v>
      </c>
      <c r="C4578" s="119">
        <v>4522</v>
      </c>
      <c r="E4578" s="96" t="s">
        <v>170</v>
      </c>
      <c r="F4578" s="96" t="s">
        <v>184</v>
      </c>
      <c r="G4578" s="96">
        <v>9008</v>
      </c>
    </row>
    <row r="4579" spans="2:7">
      <c r="B4579" s="118" t="s">
        <v>2034</v>
      </c>
      <c r="C4579" s="119">
        <v>4512</v>
      </c>
      <c r="E4579" s="96" t="s">
        <v>170</v>
      </c>
      <c r="F4579" s="96" t="s">
        <v>184</v>
      </c>
      <c r="G4579" s="96">
        <v>9010</v>
      </c>
    </row>
    <row r="4580" spans="2:7">
      <c r="B4580" s="118" t="s">
        <v>2074</v>
      </c>
      <c r="C4580" s="119">
        <v>4514</v>
      </c>
      <c r="E4580" s="96" t="s">
        <v>170</v>
      </c>
      <c r="F4580" s="96" t="s">
        <v>184</v>
      </c>
      <c r="G4580" s="96">
        <v>9012</v>
      </c>
    </row>
    <row r="4581" spans="2:7">
      <c r="B4581" s="118" t="s">
        <v>3483</v>
      </c>
      <c r="C4581" s="119">
        <v>4515</v>
      </c>
      <c r="E4581" s="96" t="s">
        <v>170</v>
      </c>
      <c r="F4581" s="96" t="s">
        <v>184</v>
      </c>
      <c r="G4581" s="96">
        <v>9015</v>
      </c>
    </row>
    <row r="4582" spans="2:7">
      <c r="B4582" s="118" t="s">
        <v>3484</v>
      </c>
      <c r="C4582" s="119">
        <v>4515</v>
      </c>
      <c r="E4582" s="96" t="s">
        <v>170</v>
      </c>
      <c r="F4582" s="96" t="s">
        <v>184</v>
      </c>
      <c r="G4582" s="96">
        <v>9000</v>
      </c>
    </row>
    <row r="4583" spans="2:7">
      <c r="B4583" s="118" t="s">
        <v>2076</v>
      </c>
      <c r="C4583" s="119">
        <v>4522</v>
      </c>
      <c r="E4583" s="96" t="s">
        <v>170</v>
      </c>
      <c r="F4583" s="96" t="s">
        <v>184</v>
      </c>
      <c r="G4583" s="96">
        <v>9011</v>
      </c>
    </row>
    <row r="4584" spans="2:7">
      <c r="B4584" s="118" t="s">
        <v>3485</v>
      </c>
      <c r="C4584" s="119">
        <v>4523</v>
      </c>
      <c r="E4584" s="96" t="s">
        <v>1621</v>
      </c>
      <c r="F4584" s="96" t="s">
        <v>184</v>
      </c>
      <c r="G4584" s="96">
        <v>8646</v>
      </c>
    </row>
    <row r="4585" spans="2:7">
      <c r="B4585" s="118" t="s">
        <v>2057</v>
      </c>
      <c r="C4585" s="119">
        <v>4533</v>
      </c>
      <c r="E4585" s="96" t="s">
        <v>1622</v>
      </c>
      <c r="F4585" s="96" t="s">
        <v>184</v>
      </c>
      <c r="G4585" s="96">
        <v>8715</v>
      </c>
    </row>
    <row r="4586" spans="2:7">
      <c r="B4586" s="118" t="s">
        <v>169</v>
      </c>
      <c r="C4586" s="119">
        <v>4500</v>
      </c>
      <c r="E4586" s="96" t="s">
        <v>1623</v>
      </c>
      <c r="F4586" s="96" t="s">
        <v>184</v>
      </c>
      <c r="G4586" s="96">
        <v>8645</v>
      </c>
    </row>
    <row r="4587" spans="2:7">
      <c r="B4587" s="118" t="s">
        <v>2076</v>
      </c>
      <c r="C4587" s="119">
        <v>4522</v>
      </c>
      <c r="E4587" s="96" t="s">
        <v>1624</v>
      </c>
      <c r="F4587" s="96" t="s">
        <v>184</v>
      </c>
      <c r="G4587" s="96">
        <v>8640</v>
      </c>
    </row>
    <row r="4588" spans="2:7">
      <c r="B4588" s="118" t="s">
        <v>3482</v>
      </c>
      <c r="C4588" s="119">
        <v>4532</v>
      </c>
      <c r="E4588" s="96" t="s">
        <v>1625</v>
      </c>
      <c r="F4588" s="96" t="s">
        <v>184</v>
      </c>
      <c r="G4588" s="96">
        <v>9512</v>
      </c>
    </row>
    <row r="4589" spans="2:7">
      <c r="B4589" s="118" t="s">
        <v>2048</v>
      </c>
      <c r="C4589" s="119">
        <v>2545</v>
      </c>
      <c r="E4589" s="96" t="s">
        <v>1626</v>
      </c>
      <c r="F4589" s="96" t="s">
        <v>184</v>
      </c>
      <c r="G4589" s="96">
        <v>9500</v>
      </c>
    </row>
    <row r="4590" spans="2:7">
      <c r="B4590" s="118" t="s">
        <v>2034</v>
      </c>
      <c r="C4590" s="119">
        <v>4512</v>
      </c>
      <c r="E4590" s="96" t="s">
        <v>1627</v>
      </c>
      <c r="F4590" s="96" t="s">
        <v>184</v>
      </c>
      <c r="G4590" s="96">
        <v>9552</v>
      </c>
    </row>
    <row r="4591" spans="2:7">
      <c r="B4591" s="118" t="s">
        <v>3445</v>
      </c>
      <c r="C4591" s="119">
        <v>4574</v>
      </c>
      <c r="E4591" s="96" t="s">
        <v>1628</v>
      </c>
      <c r="F4591" s="96" t="s">
        <v>184</v>
      </c>
      <c r="G4591" s="96">
        <v>9212</v>
      </c>
    </row>
    <row r="4592" spans="2:7">
      <c r="B4592" s="118" t="s">
        <v>2137</v>
      </c>
      <c r="C4592" s="119">
        <v>4618</v>
      </c>
      <c r="E4592" s="96" t="s">
        <v>1629</v>
      </c>
      <c r="F4592" s="96" t="s">
        <v>184</v>
      </c>
      <c r="G4592" s="96">
        <v>9200</v>
      </c>
    </row>
    <row r="4593" spans="2:7">
      <c r="B4593" s="118" t="s">
        <v>502</v>
      </c>
      <c r="C4593" s="119">
        <v>4663</v>
      </c>
      <c r="E4593" s="96" t="s">
        <v>1630</v>
      </c>
      <c r="F4593" s="96" t="s">
        <v>184</v>
      </c>
      <c r="G4593" s="96">
        <v>6978</v>
      </c>
    </row>
    <row r="4594" spans="2:7">
      <c r="B4594" s="118" t="s">
        <v>3486</v>
      </c>
      <c r="C4594" s="119">
        <v>4658</v>
      </c>
      <c r="E4594" s="96" t="s">
        <v>1631</v>
      </c>
      <c r="F4594" s="96" t="s">
        <v>184</v>
      </c>
      <c r="G4594" s="96">
        <v>6979</v>
      </c>
    </row>
    <row r="4595" spans="2:7">
      <c r="B4595" s="118" t="s">
        <v>2038</v>
      </c>
      <c r="C4595" s="119">
        <v>4657</v>
      </c>
      <c r="E4595" s="96" t="s">
        <v>1632</v>
      </c>
      <c r="F4595" s="96" t="s">
        <v>184</v>
      </c>
      <c r="G4595" s="96">
        <v>6967</v>
      </c>
    </row>
    <row r="4596" spans="2:7">
      <c r="B4596" s="118" t="s">
        <v>3487</v>
      </c>
      <c r="C4596" s="119">
        <v>5746</v>
      </c>
      <c r="E4596" s="96" t="s">
        <v>1633</v>
      </c>
      <c r="F4596" s="96" t="s">
        <v>184</v>
      </c>
      <c r="G4596" s="96">
        <v>6959</v>
      </c>
    </row>
    <row r="4597" spans="2:7">
      <c r="B4597" s="118" t="s">
        <v>3488</v>
      </c>
      <c r="C4597" s="119">
        <v>5012</v>
      </c>
      <c r="E4597" s="96" t="s">
        <v>1634</v>
      </c>
      <c r="F4597" s="96" t="s">
        <v>184</v>
      </c>
      <c r="G4597" s="96">
        <v>6915</v>
      </c>
    </row>
    <row r="4598" spans="2:7">
      <c r="B4598" s="118" t="s">
        <v>3489</v>
      </c>
      <c r="C4598" s="119">
        <v>5012</v>
      </c>
      <c r="E4598" s="96" t="s">
        <v>1635</v>
      </c>
      <c r="F4598" s="96" t="s">
        <v>184</v>
      </c>
      <c r="G4598" s="96">
        <v>6968</v>
      </c>
    </row>
    <row r="4599" spans="2:7">
      <c r="B4599" s="118" t="s">
        <v>2068</v>
      </c>
      <c r="C4599" s="119">
        <v>4629</v>
      </c>
      <c r="E4599" s="96" t="s">
        <v>1636</v>
      </c>
      <c r="F4599" s="96" t="s">
        <v>184</v>
      </c>
      <c r="G4599" s="96">
        <v>6963</v>
      </c>
    </row>
    <row r="4600" spans="2:7">
      <c r="B4600" s="118" t="s">
        <v>3486</v>
      </c>
      <c r="C4600" s="119">
        <v>4658</v>
      </c>
      <c r="E4600" s="96" t="s">
        <v>1637</v>
      </c>
      <c r="F4600" s="96" t="s">
        <v>184</v>
      </c>
      <c r="G4600" s="96">
        <v>6912</v>
      </c>
    </row>
    <row r="4601" spans="2:7">
      <c r="B4601" s="118" t="s">
        <v>2054</v>
      </c>
      <c r="C4601" s="119">
        <v>5014</v>
      </c>
      <c r="E4601" s="96" t="s">
        <v>1638</v>
      </c>
      <c r="F4601" s="96" t="s">
        <v>184</v>
      </c>
      <c r="G4601" s="96">
        <v>6976</v>
      </c>
    </row>
    <row r="4602" spans="2:7">
      <c r="B4602" s="118" t="s">
        <v>2037</v>
      </c>
      <c r="C4602" s="119">
        <v>4614</v>
      </c>
      <c r="E4602" s="96" t="s">
        <v>1639</v>
      </c>
      <c r="F4602" s="96" t="s">
        <v>184</v>
      </c>
      <c r="G4602" s="96">
        <v>6974</v>
      </c>
    </row>
    <row r="4603" spans="2:7">
      <c r="B4603" s="118" t="s">
        <v>3490</v>
      </c>
      <c r="C4603" s="119">
        <v>4616</v>
      </c>
      <c r="E4603" s="96" t="s">
        <v>1640</v>
      </c>
      <c r="F4603" s="96" t="s">
        <v>184</v>
      </c>
      <c r="G4603" s="96">
        <v>6951</v>
      </c>
    </row>
    <row r="4604" spans="2:7">
      <c r="B4604" s="118" t="s">
        <v>2072</v>
      </c>
      <c r="C4604" s="119">
        <v>4617</v>
      </c>
      <c r="E4604" s="96" t="s">
        <v>1641</v>
      </c>
      <c r="F4604" s="96" t="s">
        <v>184</v>
      </c>
      <c r="G4604" s="96">
        <v>6932</v>
      </c>
    </row>
    <row r="4605" spans="2:7">
      <c r="B4605" s="118" t="s">
        <v>1084</v>
      </c>
      <c r="C4605" s="119">
        <v>4438</v>
      </c>
      <c r="E4605" s="96" t="s">
        <v>1642</v>
      </c>
      <c r="F4605" s="96" t="s">
        <v>184</v>
      </c>
      <c r="G4605" s="96">
        <v>6951</v>
      </c>
    </row>
    <row r="4606" spans="2:7">
      <c r="B4606" s="118" t="s">
        <v>2037</v>
      </c>
      <c r="C4606" s="119">
        <v>4614</v>
      </c>
      <c r="E4606" s="96" t="s">
        <v>1644</v>
      </c>
      <c r="F4606" s="96" t="s">
        <v>184</v>
      </c>
      <c r="G4606" s="96">
        <v>6913</v>
      </c>
    </row>
    <row r="4607" spans="2:7">
      <c r="B4607" s="118" t="s">
        <v>3491</v>
      </c>
      <c r="C4607" s="119">
        <v>4615</v>
      </c>
      <c r="E4607" s="96" t="s">
        <v>1645</v>
      </c>
      <c r="F4607" s="96" t="s">
        <v>184</v>
      </c>
      <c r="G4607" s="96">
        <v>6966</v>
      </c>
    </row>
    <row r="4608" spans="2:7">
      <c r="B4608" s="118" t="s">
        <v>3490</v>
      </c>
      <c r="C4608" s="119">
        <v>4616</v>
      </c>
      <c r="E4608" s="96" t="s">
        <v>1646</v>
      </c>
      <c r="F4608" s="96" t="s">
        <v>184</v>
      </c>
      <c r="G4608" s="96">
        <v>6918</v>
      </c>
    </row>
    <row r="4609" spans="2:7">
      <c r="B4609" s="118" t="s">
        <v>2137</v>
      </c>
      <c r="C4609" s="119">
        <v>4618</v>
      </c>
      <c r="E4609" s="96" t="s">
        <v>1647</v>
      </c>
      <c r="F4609" s="96" t="s">
        <v>184</v>
      </c>
      <c r="G4609" s="96">
        <v>6959</v>
      </c>
    </row>
    <row r="4610" spans="2:7">
      <c r="B4610" s="118" t="s">
        <v>2024</v>
      </c>
      <c r="C4610" s="119">
        <v>4600</v>
      </c>
      <c r="E4610" s="96" t="s">
        <v>1648</v>
      </c>
      <c r="F4610" s="96" t="s">
        <v>184</v>
      </c>
      <c r="G4610" s="96">
        <v>6917</v>
      </c>
    </row>
    <row r="4611" spans="2:7">
      <c r="B4611" s="118" t="s">
        <v>3492</v>
      </c>
      <c r="C4611" s="119">
        <v>4612</v>
      </c>
      <c r="E4611" s="96" t="s">
        <v>1649</v>
      </c>
      <c r="F4611" s="96" t="s">
        <v>184</v>
      </c>
      <c r="G4611" s="96">
        <v>6951</v>
      </c>
    </row>
    <row r="4612" spans="2:7">
      <c r="B4612" s="118" t="s">
        <v>502</v>
      </c>
      <c r="C4612" s="119">
        <v>4663</v>
      </c>
      <c r="E4612" s="96" t="s">
        <v>1650</v>
      </c>
      <c r="F4612" s="96" t="s">
        <v>184</v>
      </c>
      <c r="G4612" s="96">
        <v>6962</v>
      </c>
    </row>
    <row r="4613" spans="2:7">
      <c r="B4613" s="118" t="s">
        <v>3493</v>
      </c>
      <c r="C4613" s="119">
        <v>4613</v>
      </c>
      <c r="E4613" s="96" t="s">
        <v>1651</v>
      </c>
      <c r="F4613" s="96" t="s">
        <v>184</v>
      </c>
      <c r="G4613" s="96">
        <v>6959</v>
      </c>
    </row>
    <row r="4614" spans="2:7">
      <c r="B4614" s="118" t="s">
        <v>2040</v>
      </c>
      <c r="C4614" s="119">
        <v>5012</v>
      </c>
      <c r="E4614" s="96" t="s">
        <v>1652</v>
      </c>
      <c r="F4614" s="96" t="s">
        <v>184</v>
      </c>
      <c r="G4614" s="96">
        <v>6977</v>
      </c>
    </row>
    <row r="4615" spans="2:7">
      <c r="B4615" s="118" t="s">
        <v>2024</v>
      </c>
      <c r="C4615" s="119">
        <v>4600</v>
      </c>
      <c r="E4615" s="96" t="s">
        <v>1429</v>
      </c>
      <c r="F4615" s="96" t="s">
        <v>184</v>
      </c>
      <c r="G4615" s="96">
        <v>6900</v>
      </c>
    </row>
    <row r="4616" spans="2:7">
      <c r="B4616" s="118" t="s">
        <v>2071</v>
      </c>
      <c r="C4616" s="119">
        <v>4656</v>
      </c>
      <c r="E4616" s="96" t="s">
        <v>1653</v>
      </c>
      <c r="F4616" s="96" t="s">
        <v>184</v>
      </c>
      <c r="G4616" s="96">
        <v>6951</v>
      </c>
    </row>
    <row r="4617" spans="2:7">
      <c r="B4617" s="118" t="s">
        <v>2038</v>
      </c>
      <c r="C4617" s="119">
        <v>4657</v>
      </c>
      <c r="E4617" s="96" t="s">
        <v>1654</v>
      </c>
      <c r="F4617" s="96" t="s">
        <v>184</v>
      </c>
      <c r="G4617" s="96">
        <v>6964</v>
      </c>
    </row>
    <row r="4618" spans="2:7">
      <c r="B4618" s="118" t="s">
        <v>3487</v>
      </c>
      <c r="C4618" s="119">
        <v>5746</v>
      </c>
      <c r="E4618" s="96" t="s">
        <v>1655</v>
      </c>
      <c r="F4618" s="96" t="s">
        <v>184</v>
      </c>
      <c r="G4618" s="96">
        <v>6951</v>
      </c>
    </row>
    <row r="4619" spans="2:7">
      <c r="B4619" s="118" t="s">
        <v>3492</v>
      </c>
      <c r="C4619" s="119">
        <v>4612</v>
      </c>
      <c r="E4619" s="96" t="s">
        <v>1656</v>
      </c>
      <c r="F4619" s="96" t="s">
        <v>184</v>
      </c>
      <c r="G4619" s="96">
        <v>6963</v>
      </c>
    </row>
    <row r="4620" spans="2:7">
      <c r="B4620" s="118" t="s">
        <v>2030</v>
      </c>
      <c r="C4620" s="119">
        <v>4632</v>
      </c>
      <c r="E4620" s="96" t="s">
        <v>1657</v>
      </c>
      <c r="F4620" s="96" t="s">
        <v>184</v>
      </c>
      <c r="G4620" s="96">
        <v>6951</v>
      </c>
    </row>
    <row r="4621" spans="2:7">
      <c r="B4621" s="118" t="s">
        <v>169</v>
      </c>
      <c r="C4621" s="119">
        <v>4500</v>
      </c>
      <c r="E4621" s="96" t="s">
        <v>1658</v>
      </c>
      <c r="F4621" s="96" t="s">
        <v>184</v>
      </c>
      <c r="G4621" s="96">
        <v>6959</v>
      </c>
    </row>
    <row r="4622" spans="2:7">
      <c r="B4622" s="118" t="s">
        <v>2134</v>
      </c>
      <c r="C4622" s="119">
        <v>4252</v>
      </c>
      <c r="E4622" s="96" t="s">
        <v>1659</v>
      </c>
      <c r="F4622" s="96" t="s">
        <v>184</v>
      </c>
      <c r="G4622" s="96">
        <v>6959</v>
      </c>
    </row>
    <row r="4623" spans="2:7">
      <c r="B4623" s="118" t="s">
        <v>1079</v>
      </c>
      <c r="C4623" s="119">
        <v>4253</v>
      </c>
      <c r="E4623" s="96" t="s">
        <v>1660</v>
      </c>
      <c r="F4623" s="96" t="s">
        <v>184</v>
      </c>
      <c r="G4623" s="96">
        <v>6965</v>
      </c>
    </row>
    <row r="4624" spans="2:7">
      <c r="B4624" s="118" t="s">
        <v>2600</v>
      </c>
      <c r="C4624" s="119">
        <v>2827</v>
      </c>
      <c r="E4624" s="96" t="s">
        <v>1661</v>
      </c>
      <c r="F4624" s="96" t="s">
        <v>184</v>
      </c>
      <c r="G4624" s="96">
        <v>6914</v>
      </c>
    </row>
    <row r="4625" spans="2:7">
      <c r="B4625" s="118" t="s">
        <v>3439</v>
      </c>
      <c r="C4625" s="119">
        <v>4229</v>
      </c>
      <c r="E4625" s="96" t="s">
        <v>1430</v>
      </c>
      <c r="F4625" s="96" t="s">
        <v>184</v>
      </c>
      <c r="G4625" s="96">
        <v>6503</v>
      </c>
    </row>
    <row r="4626" spans="2:7">
      <c r="B4626" s="118" t="s">
        <v>3438</v>
      </c>
      <c r="C4626" s="119">
        <v>4719</v>
      </c>
      <c r="E4626" s="96" t="s">
        <v>1662</v>
      </c>
      <c r="F4626" s="96" t="s">
        <v>184</v>
      </c>
      <c r="G4626" s="96">
        <v>6514</v>
      </c>
    </row>
    <row r="4627" spans="2:7">
      <c r="B4627" s="118" t="s">
        <v>2043</v>
      </c>
      <c r="C4627" s="119">
        <v>4226</v>
      </c>
      <c r="E4627" s="96" t="s">
        <v>1663</v>
      </c>
      <c r="F4627" s="96" t="s">
        <v>184</v>
      </c>
      <c r="G4627" s="96">
        <v>6583</v>
      </c>
    </row>
    <row r="4628" spans="2:7">
      <c r="B4628" s="118" t="s">
        <v>2152</v>
      </c>
      <c r="C4628" s="119">
        <v>4232</v>
      </c>
      <c r="E4628" s="96" t="s">
        <v>1664</v>
      </c>
      <c r="F4628" s="96" t="s">
        <v>184</v>
      </c>
      <c r="G4628" s="96">
        <v>6702</v>
      </c>
    </row>
    <row r="4629" spans="2:7">
      <c r="B4629" s="118" t="s">
        <v>2058</v>
      </c>
      <c r="C4629" s="119">
        <v>4227</v>
      </c>
      <c r="E4629" s="96" t="s">
        <v>1665</v>
      </c>
      <c r="F4629" s="96" t="s">
        <v>184</v>
      </c>
      <c r="G4629" s="96">
        <v>6513</v>
      </c>
    </row>
    <row r="4630" spans="2:7">
      <c r="B4630" s="118" t="s">
        <v>2123</v>
      </c>
      <c r="C4630" s="119">
        <v>4228</v>
      </c>
      <c r="E4630" s="96" t="s">
        <v>1666</v>
      </c>
      <c r="F4630" s="96" t="s">
        <v>184</v>
      </c>
      <c r="G4630" s="96">
        <v>6515</v>
      </c>
    </row>
    <row r="4631" spans="2:7">
      <c r="B4631" s="118" t="s">
        <v>2149</v>
      </c>
      <c r="C4631" s="119">
        <v>4233</v>
      </c>
      <c r="E4631" s="96" t="s">
        <v>1667</v>
      </c>
      <c r="F4631" s="96" t="s">
        <v>184</v>
      </c>
      <c r="G4631" s="96">
        <v>6582</v>
      </c>
    </row>
    <row r="4632" spans="2:7">
      <c r="B4632" s="118" t="s">
        <v>2152</v>
      </c>
      <c r="C4632" s="119">
        <v>4232</v>
      </c>
      <c r="E4632" s="96" t="s">
        <v>1668</v>
      </c>
      <c r="F4632" s="96" t="s">
        <v>184</v>
      </c>
      <c r="G4632" s="96">
        <v>6518</v>
      </c>
    </row>
    <row r="4633" spans="2:7">
      <c r="B4633" s="118" t="s">
        <v>2160</v>
      </c>
      <c r="C4633" s="119">
        <v>4247</v>
      </c>
      <c r="E4633" s="96" t="s">
        <v>1669</v>
      </c>
      <c r="F4633" s="96" t="s">
        <v>184</v>
      </c>
      <c r="G4633" s="96">
        <v>6525</v>
      </c>
    </row>
    <row r="4634" spans="2:7">
      <c r="B4634" s="118" t="s">
        <v>2121</v>
      </c>
      <c r="C4634" s="119">
        <v>4204</v>
      </c>
      <c r="E4634" s="96" t="s">
        <v>1670</v>
      </c>
      <c r="F4634" s="96" t="s">
        <v>184</v>
      </c>
      <c r="G4634" s="96">
        <v>6524</v>
      </c>
    </row>
    <row r="4635" spans="2:7">
      <c r="B4635" s="118" t="s">
        <v>3468</v>
      </c>
      <c r="C4635" s="119">
        <v>4206</v>
      </c>
      <c r="E4635" s="96" t="s">
        <v>163</v>
      </c>
      <c r="F4635" s="96" t="s">
        <v>184</v>
      </c>
      <c r="G4635" s="96">
        <v>1204</v>
      </c>
    </row>
    <row r="4636" spans="2:7">
      <c r="B4636" s="118" t="s">
        <v>1115</v>
      </c>
      <c r="C4636" s="119">
        <v>2814</v>
      </c>
    </row>
    <row r="4637" spans="2:7">
      <c r="B4637" s="118" t="s">
        <v>2089</v>
      </c>
      <c r="C4637" s="119">
        <v>4245</v>
      </c>
    </row>
    <row r="4638" spans="2:7">
      <c r="B4638" s="118" t="s">
        <v>3439</v>
      </c>
      <c r="C4638" s="119">
        <v>4229</v>
      </c>
    </row>
    <row r="4639" spans="2:7">
      <c r="B4639" s="118" t="s">
        <v>2149</v>
      </c>
      <c r="C4639" s="119">
        <v>4233</v>
      </c>
    </row>
    <row r="4640" spans="2:7">
      <c r="B4640" s="118" t="s">
        <v>2121</v>
      </c>
      <c r="C4640" s="119">
        <v>4204</v>
      </c>
    </row>
    <row r="4641" spans="2:3">
      <c r="B4641" s="118" t="s">
        <v>2065</v>
      </c>
      <c r="C4641" s="119">
        <v>4208</v>
      </c>
    </row>
    <row r="4642" spans="2:3">
      <c r="B4642" s="118" t="s">
        <v>2149</v>
      </c>
      <c r="C4642" s="119">
        <v>4233</v>
      </c>
    </row>
    <row r="4643" spans="2:3">
      <c r="B4643" s="118" t="s">
        <v>2147</v>
      </c>
      <c r="C4643" s="119">
        <v>4234</v>
      </c>
    </row>
    <row r="4644" spans="2:3">
      <c r="B4644" s="118" t="s">
        <v>1121</v>
      </c>
      <c r="C4644" s="119">
        <v>4001</v>
      </c>
    </row>
    <row r="4645" spans="2:3">
      <c r="B4645" s="118" t="s">
        <v>1121</v>
      </c>
      <c r="C4645" s="119">
        <v>4031</v>
      </c>
    </row>
    <row r="4646" spans="2:3">
      <c r="B4646" s="118" t="s">
        <v>1121</v>
      </c>
      <c r="C4646" s="119">
        <v>4031</v>
      </c>
    </row>
    <row r="4647" spans="2:3">
      <c r="B4647" s="118" t="s">
        <v>1121</v>
      </c>
      <c r="C4647" s="119">
        <v>4051</v>
      </c>
    </row>
    <row r="4648" spans="2:3">
      <c r="B4648" s="118" t="s">
        <v>1121</v>
      </c>
      <c r="C4648" s="119">
        <v>4052</v>
      </c>
    </row>
    <row r="4649" spans="2:3">
      <c r="B4649" s="118" t="s">
        <v>1121</v>
      </c>
      <c r="C4649" s="119">
        <v>4052</v>
      </c>
    </row>
    <row r="4650" spans="2:3">
      <c r="B4650" s="118" t="s">
        <v>1121</v>
      </c>
      <c r="C4650" s="119">
        <v>4053</v>
      </c>
    </row>
    <row r="4651" spans="2:3">
      <c r="B4651" s="118" t="s">
        <v>1121</v>
      </c>
      <c r="C4651" s="119">
        <v>4054</v>
      </c>
    </row>
    <row r="4652" spans="2:3">
      <c r="B4652" s="118" t="s">
        <v>1121</v>
      </c>
      <c r="C4652" s="119">
        <v>4055</v>
      </c>
    </row>
    <row r="4653" spans="2:3">
      <c r="B4653" s="118" t="s">
        <v>1121</v>
      </c>
      <c r="C4653" s="119">
        <v>4056</v>
      </c>
    </row>
    <row r="4654" spans="2:3">
      <c r="B4654" s="118" t="s">
        <v>1121</v>
      </c>
      <c r="C4654" s="119">
        <v>4057</v>
      </c>
    </row>
    <row r="4655" spans="2:3">
      <c r="B4655" s="118" t="s">
        <v>1121</v>
      </c>
      <c r="C4655" s="119">
        <v>4058</v>
      </c>
    </row>
    <row r="4656" spans="2:3">
      <c r="B4656" s="118" t="s">
        <v>1121</v>
      </c>
      <c r="C4656" s="119">
        <v>4059</v>
      </c>
    </row>
    <row r="4657" spans="2:3">
      <c r="B4657" s="118" t="s">
        <v>1123</v>
      </c>
      <c r="C4657" s="119">
        <v>4126</v>
      </c>
    </row>
    <row r="4658" spans="2:3">
      <c r="B4658" s="118" t="s">
        <v>1121</v>
      </c>
      <c r="C4658" s="119">
        <v>4058</v>
      </c>
    </row>
    <row r="4659" spans="2:3">
      <c r="B4659" s="118" t="s">
        <v>1122</v>
      </c>
      <c r="C4659" s="119">
        <v>4125</v>
      </c>
    </row>
    <row r="4660" spans="2:3">
      <c r="B4660" s="118" t="s">
        <v>3494</v>
      </c>
      <c r="C4660" s="119">
        <v>4147</v>
      </c>
    </row>
    <row r="4661" spans="2:3">
      <c r="B4661" s="118" t="s">
        <v>3495</v>
      </c>
      <c r="C4661" s="119">
        <v>4153</v>
      </c>
    </row>
    <row r="4662" spans="2:3">
      <c r="B4662" s="118" t="s">
        <v>1072</v>
      </c>
      <c r="C4662" s="119">
        <v>4202</v>
      </c>
    </row>
    <row r="4663" spans="2:3">
      <c r="B4663" s="118" t="s">
        <v>1034</v>
      </c>
      <c r="C4663" s="119">
        <v>4123</v>
      </c>
    </row>
    <row r="4664" spans="2:3">
      <c r="B4664" s="118" t="s">
        <v>1046</v>
      </c>
      <c r="C4664" s="119">
        <v>4144</v>
      </c>
    </row>
    <row r="4665" spans="2:3">
      <c r="B4665" s="118" t="s">
        <v>3460</v>
      </c>
      <c r="C4665" s="119">
        <v>4105</v>
      </c>
    </row>
    <row r="4666" spans="2:3">
      <c r="B4666" s="118" t="s">
        <v>1121</v>
      </c>
      <c r="C4666" s="119">
        <v>4053</v>
      </c>
    </row>
    <row r="4667" spans="2:3">
      <c r="B4667" s="118" t="s">
        <v>3496</v>
      </c>
      <c r="C4667" s="119">
        <v>4101</v>
      </c>
    </row>
    <row r="4668" spans="2:3">
      <c r="B4668" s="118" t="s">
        <v>1039</v>
      </c>
      <c r="C4668" s="119">
        <v>4102</v>
      </c>
    </row>
    <row r="4669" spans="2:3">
      <c r="B4669" s="118" t="s">
        <v>1043</v>
      </c>
      <c r="C4669" s="119">
        <v>4127</v>
      </c>
    </row>
    <row r="4670" spans="2:3">
      <c r="B4670" s="118" t="s">
        <v>3496</v>
      </c>
      <c r="C4670" s="119">
        <v>4101</v>
      </c>
    </row>
    <row r="4671" spans="2:3">
      <c r="B4671" s="118" t="s">
        <v>1039</v>
      </c>
      <c r="C4671" s="119">
        <v>4102</v>
      </c>
    </row>
    <row r="4672" spans="2:3">
      <c r="B4672" s="118" t="s">
        <v>1048</v>
      </c>
      <c r="C4672" s="119">
        <v>4103</v>
      </c>
    </row>
    <row r="4673" spans="2:3">
      <c r="B4673" s="118" t="s">
        <v>1052</v>
      </c>
      <c r="C4673" s="119">
        <v>4107</v>
      </c>
    </row>
    <row r="4674" spans="2:3">
      <c r="B4674" s="118" t="s">
        <v>1121</v>
      </c>
      <c r="C4674" s="119">
        <v>4052</v>
      </c>
    </row>
    <row r="4675" spans="2:3">
      <c r="B4675" s="118" t="s">
        <v>1041</v>
      </c>
      <c r="C4675" s="119">
        <v>4142</v>
      </c>
    </row>
    <row r="4676" spans="2:3">
      <c r="B4676" s="118" t="s">
        <v>3495</v>
      </c>
      <c r="C4676" s="119">
        <v>4153</v>
      </c>
    </row>
    <row r="4677" spans="2:3">
      <c r="B4677" s="118" t="s">
        <v>1043</v>
      </c>
      <c r="C4677" s="119">
        <v>4127</v>
      </c>
    </row>
    <row r="4678" spans="2:3">
      <c r="B4678" s="118" t="s">
        <v>1037</v>
      </c>
      <c r="C4678" s="119">
        <v>4132</v>
      </c>
    </row>
    <row r="4679" spans="2:3">
      <c r="B4679" s="118" t="s">
        <v>1038</v>
      </c>
      <c r="C4679" s="119">
        <v>4133</v>
      </c>
    </row>
    <row r="4680" spans="2:3">
      <c r="B4680" s="118" t="s">
        <v>1041</v>
      </c>
      <c r="C4680" s="119">
        <v>4142</v>
      </c>
    </row>
    <row r="4681" spans="2:3">
      <c r="B4681" s="118" t="s">
        <v>3497</v>
      </c>
      <c r="C4681" s="119">
        <v>4104</v>
      </c>
    </row>
    <row r="4682" spans="2:3">
      <c r="B4682" s="118" t="s">
        <v>3494</v>
      </c>
      <c r="C4682" s="119">
        <v>4147</v>
      </c>
    </row>
    <row r="4683" spans="2:3">
      <c r="B4683" s="118" t="s">
        <v>1060</v>
      </c>
      <c r="C4683" s="119">
        <v>4148</v>
      </c>
    </row>
    <row r="4684" spans="2:3">
      <c r="B4684" s="118" t="s">
        <v>1046</v>
      </c>
      <c r="C4684" s="119">
        <v>4144</v>
      </c>
    </row>
    <row r="4685" spans="2:3">
      <c r="B4685" s="118" t="s">
        <v>3495</v>
      </c>
      <c r="C4685" s="119">
        <v>4153</v>
      </c>
    </row>
    <row r="4686" spans="2:3">
      <c r="B4686" s="118" t="s">
        <v>1076</v>
      </c>
      <c r="C4686" s="119">
        <v>4124</v>
      </c>
    </row>
    <row r="4687" spans="2:3">
      <c r="B4687" s="118" t="s">
        <v>1045</v>
      </c>
      <c r="C4687" s="119">
        <v>4106</v>
      </c>
    </row>
    <row r="4688" spans="2:3">
      <c r="B4688" s="118" t="s">
        <v>3495</v>
      </c>
      <c r="C4688" s="119">
        <v>4153</v>
      </c>
    </row>
    <row r="4689" spans="2:3">
      <c r="B4689" s="118" t="s">
        <v>1097</v>
      </c>
      <c r="C4689" s="119">
        <v>4223</v>
      </c>
    </row>
    <row r="4690" spans="2:3">
      <c r="B4690" s="118" t="s">
        <v>1068</v>
      </c>
      <c r="C4690" s="119">
        <v>4225</v>
      </c>
    </row>
    <row r="4691" spans="2:3">
      <c r="B4691" s="118" t="s">
        <v>1051</v>
      </c>
      <c r="C4691" s="119">
        <v>4242</v>
      </c>
    </row>
    <row r="4692" spans="2:3">
      <c r="B4692" s="118" t="s">
        <v>1116</v>
      </c>
      <c r="C4692" s="119">
        <v>4117</v>
      </c>
    </row>
    <row r="4693" spans="2:3">
      <c r="B4693" s="118" t="s">
        <v>1094</v>
      </c>
      <c r="C4693" s="119">
        <v>4243</v>
      </c>
    </row>
    <row r="4694" spans="2:3">
      <c r="B4694" s="118" t="s">
        <v>1072</v>
      </c>
      <c r="C4694" s="119">
        <v>4202</v>
      </c>
    </row>
    <row r="4695" spans="2:3">
      <c r="B4695" s="118" t="s">
        <v>1065</v>
      </c>
      <c r="C4695" s="119">
        <v>4203</v>
      </c>
    </row>
    <row r="4696" spans="2:3">
      <c r="B4696" s="118" t="s">
        <v>1051</v>
      </c>
      <c r="C4696" s="119">
        <v>4242</v>
      </c>
    </row>
    <row r="4697" spans="2:3">
      <c r="B4697" s="118" t="s">
        <v>3498</v>
      </c>
      <c r="C4697" s="119">
        <v>4246</v>
      </c>
    </row>
    <row r="4698" spans="2:3">
      <c r="B4698" s="118" t="s">
        <v>2134</v>
      </c>
      <c r="C4698" s="119">
        <v>4252</v>
      </c>
    </row>
    <row r="4699" spans="2:3">
      <c r="B4699" s="118" t="s">
        <v>1079</v>
      </c>
      <c r="C4699" s="119">
        <v>4253</v>
      </c>
    </row>
    <row r="4700" spans="2:3">
      <c r="B4700" s="118" t="s">
        <v>3499</v>
      </c>
      <c r="C4700" s="119">
        <v>4254</v>
      </c>
    </row>
    <row r="4701" spans="2:3">
      <c r="B4701" s="118" t="s">
        <v>1109</v>
      </c>
      <c r="C4701" s="119">
        <v>4224</v>
      </c>
    </row>
    <row r="4702" spans="2:3">
      <c r="B4702" s="118" t="s">
        <v>1115</v>
      </c>
      <c r="C4702" s="119">
        <v>2814</v>
      </c>
    </row>
    <row r="4703" spans="2:3">
      <c r="B4703" s="118" t="s">
        <v>2089</v>
      </c>
      <c r="C4703" s="119">
        <v>4245</v>
      </c>
    </row>
    <row r="4704" spans="2:3">
      <c r="B4704" s="118" t="s">
        <v>1064</v>
      </c>
      <c r="C4704" s="119">
        <v>4244</v>
      </c>
    </row>
    <row r="4705" spans="2:3">
      <c r="B4705" s="118" t="s">
        <v>3498</v>
      </c>
      <c r="C4705" s="119">
        <v>4246</v>
      </c>
    </row>
    <row r="4706" spans="2:3">
      <c r="B4706" s="118" t="s">
        <v>1061</v>
      </c>
      <c r="C4706" s="119">
        <v>4222</v>
      </c>
    </row>
    <row r="4707" spans="2:3">
      <c r="B4707" s="118" t="s">
        <v>1051</v>
      </c>
      <c r="C4707" s="119">
        <v>4242</v>
      </c>
    </row>
    <row r="4708" spans="2:3">
      <c r="B4708" s="118" t="s">
        <v>686</v>
      </c>
      <c r="C4708" s="119">
        <v>4305</v>
      </c>
    </row>
    <row r="4709" spans="2:3">
      <c r="B4709" s="118" t="s">
        <v>1069</v>
      </c>
      <c r="C4709" s="119">
        <v>4422</v>
      </c>
    </row>
    <row r="4710" spans="2:3">
      <c r="B4710" s="118" t="s">
        <v>1038</v>
      </c>
      <c r="C4710" s="119">
        <v>4133</v>
      </c>
    </row>
    <row r="4711" spans="2:3">
      <c r="B4711" s="118" t="s">
        <v>3500</v>
      </c>
      <c r="C4711" s="119">
        <v>4302</v>
      </c>
    </row>
    <row r="4712" spans="2:3">
      <c r="B4712" s="118" t="s">
        <v>513</v>
      </c>
      <c r="C4712" s="119">
        <v>4303</v>
      </c>
    </row>
    <row r="4713" spans="2:3">
      <c r="B4713" s="118" t="s">
        <v>1040</v>
      </c>
      <c r="C4713" s="119">
        <v>4410</v>
      </c>
    </row>
    <row r="4714" spans="2:3">
      <c r="B4714" s="118" t="s">
        <v>1055</v>
      </c>
      <c r="C4714" s="119">
        <v>4416</v>
      </c>
    </row>
    <row r="4715" spans="2:3">
      <c r="B4715" s="118" t="s">
        <v>1038</v>
      </c>
      <c r="C4715" s="119">
        <v>4133</v>
      </c>
    </row>
    <row r="4716" spans="2:3">
      <c r="B4716" s="118" t="s">
        <v>1049</v>
      </c>
      <c r="C4716" s="119">
        <v>4402</v>
      </c>
    </row>
    <row r="4717" spans="2:3">
      <c r="B4717" s="118" t="s">
        <v>1054</v>
      </c>
      <c r="C4717" s="119">
        <v>4414</v>
      </c>
    </row>
    <row r="4718" spans="2:3">
      <c r="B4718" s="118" t="s">
        <v>513</v>
      </c>
      <c r="C4718" s="119">
        <v>4303</v>
      </c>
    </row>
    <row r="4719" spans="2:3">
      <c r="B4719" s="118" t="s">
        <v>1082</v>
      </c>
      <c r="C4719" s="119">
        <v>4304</v>
      </c>
    </row>
    <row r="4720" spans="2:3">
      <c r="B4720" s="118" t="s">
        <v>1113</v>
      </c>
      <c r="C4720" s="119">
        <v>4423</v>
      </c>
    </row>
    <row r="4721" spans="2:3">
      <c r="B4721" s="118" t="s">
        <v>1053</v>
      </c>
      <c r="C4721" s="119">
        <v>4415</v>
      </c>
    </row>
    <row r="4722" spans="2:3">
      <c r="B4722" s="118" t="s">
        <v>1040</v>
      </c>
      <c r="C4722" s="119">
        <v>4410</v>
      </c>
    </row>
    <row r="4723" spans="2:3">
      <c r="B4723" s="118" t="s">
        <v>1053</v>
      </c>
      <c r="C4723" s="119">
        <v>4415</v>
      </c>
    </row>
    <row r="4724" spans="2:3">
      <c r="B4724" s="118" t="s">
        <v>1069</v>
      </c>
      <c r="C4724" s="119">
        <v>4422</v>
      </c>
    </row>
    <row r="4725" spans="2:3">
      <c r="B4725" s="118" t="s">
        <v>1073</v>
      </c>
      <c r="C4725" s="119">
        <v>4419</v>
      </c>
    </row>
    <row r="4726" spans="2:3">
      <c r="B4726" s="118" t="s">
        <v>1038</v>
      </c>
      <c r="C4726" s="119">
        <v>4133</v>
      </c>
    </row>
    <row r="4727" spans="2:3">
      <c r="B4727" s="118" t="s">
        <v>3500</v>
      </c>
      <c r="C4727" s="119">
        <v>4302</v>
      </c>
    </row>
    <row r="4728" spans="2:3">
      <c r="B4728" s="118" t="s">
        <v>1049</v>
      </c>
      <c r="C4728" s="119">
        <v>4402</v>
      </c>
    </row>
    <row r="4729" spans="2:3">
      <c r="B4729" s="118" t="s">
        <v>1092</v>
      </c>
      <c r="C4729" s="119">
        <v>4433</v>
      </c>
    </row>
    <row r="4730" spans="2:3">
      <c r="B4730" s="118" t="s">
        <v>1078</v>
      </c>
      <c r="C4730" s="119">
        <v>4411</v>
      </c>
    </row>
    <row r="4731" spans="2:3">
      <c r="B4731" s="118" t="s">
        <v>3466</v>
      </c>
      <c r="C4731" s="119">
        <v>4412</v>
      </c>
    </row>
    <row r="4732" spans="2:3">
      <c r="B4732" s="118" t="s">
        <v>1071</v>
      </c>
      <c r="C4732" s="119">
        <v>4417</v>
      </c>
    </row>
    <row r="4733" spans="2:3">
      <c r="B4733" s="118" t="s">
        <v>1101</v>
      </c>
      <c r="C4733" s="119">
        <v>4469</v>
      </c>
    </row>
    <row r="4734" spans="2:3">
      <c r="B4734" s="118" t="s">
        <v>1047</v>
      </c>
      <c r="C4734" s="119">
        <v>4450</v>
      </c>
    </row>
    <row r="4735" spans="2:3">
      <c r="B4735" s="118" t="s">
        <v>1088</v>
      </c>
      <c r="C4735" s="119">
        <v>4461</v>
      </c>
    </row>
    <row r="4736" spans="2:3">
      <c r="B4736" s="118" t="s">
        <v>1111</v>
      </c>
      <c r="C4736" s="119">
        <v>4444</v>
      </c>
    </row>
    <row r="4737" spans="2:3">
      <c r="B4737" s="118" t="s">
        <v>1114</v>
      </c>
      <c r="C4737" s="119">
        <v>4445</v>
      </c>
    </row>
    <row r="4738" spans="2:3">
      <c r="B4738" s="118" t="s">
        <v>1096</v>
      </c>
      <c r="C4738" s="119">
        <v>4446</v>
      </c>
    </row>
    <row r="4739" spans="2:3">
      <c r="B4739" s="118" t="s">
        <v>1104</v>
      </c>
      <c r="C4739" s="119">
        <v>4447</v>
      </c>
    </row>
    <row r="4740" spans="2:3">
      <c r="B4740" s="118" t="s">
        <v>3501</v>
      </c>
      <c r="C4740" s="119">
        <v>4462</v>
      </c>
    </row>
    <row r="4741" spans="2:3">
      <c r="B4741" s="118" t="s">
        <v>1081</v>
      </c>
      <c r="C4741" s="119">
        <v>4463</v>
      </c>
    </row>
    <row r="4742" spans="2:3">
      <c r="B4742" s="118" t="s">
        <v>1093</v>
      </c>
      <c r="C4742" s="119">
        <v>4442</v>
      </c>
    </row>
    <row r="4743" spans="2:3">
      <c r="B4743" s="118" t="s">
        <v>1111</v>
      </c>
      <c r="C4743" s="119">
        <v>4444</v>
      </c>
    </row>
    <row r="4744" spans="2:3">
      <c r="B4744" s="118" t="s">
        <v>1050</v>
      </c>
      <c r="C4744" s="119">
        <v>4460</v>
      </c>
    </row>
    <row r="4745" spans="2:3">
      <c r="B4745" s="118" t="s">
        <v>1114</v>
      </c>
      <c r="C4745" s="119">
        <v>4445</v>
      </c>
    </row>
    <row r="4746" spans="2:3">
      <c r="B4746" s="118" t="s">
        <v>1077</v>
      </c>
      <c r="C4746" s="119">
        <v>4448</v>
      </c>
    </row>
    <row r="4747" spans="2:3">
      <c r="B4747" s="118" t="s">
        <v>665</v>
      </c>
      <c r="C4747" s="119">
        <v>4316</v>
      </c>
    </row>
    <row r="4748" spans="2:3">
      <c r="B4748" s="118" t="s">
        <v>1118</v>
      </c>
      <c r="C4748" s="119">
        <v>4465</v>
      </c>
    </row>
    <row r="4749" spans="2:3">
      <c r="B4749" s="118" t="s">
        <v>1062</v>
      </c>
      <c r="C4749" s="119">
        <v>4466</v>
      </c>
    </row>
    <row r="4750" spans="2:3">
      <c r="B4750" s="118" t="s">
        <v>1047</v>
      </c>
      <c r="C4750" s="119">
        <v>4450</v>
      </c>
    </row>
    <row r="4751" spans="2:3">
      <c r="B4751" s="118" t="s">
        <v>1063</v>
      </c>
      <c r="C4751" s="119">
        <v>4452</v>
      </c>
    </row>
    <row r="4752" spans="2:3">
      <c r="B4752" s="118" t="s">
        <v>1104</v>
      </c>
      <c r="C4752" s="119">
        <v>4447</v>
      </c>
    </row>
    <row r="4753" spans="2:3">
      <c r="B4753" s="118" t="s">
        <v>1095</v>
      </c>
      <c r="C4753" s="119">
        <v>4493</v>
      </c>
    </row>
    <row r="4754" spans="2:3">
      <c r="B4754" s="118" t="s">
        <v>3502</v>
      </c>
      <c r="C4754" s="119">
        <v>4496</v>
      </c>
    </row>
    <row r="4755" spans="2:3">
      <c r="B4755" s="118" t="s">
        <v>1096</v>
      </c>
      <c r="C4755" s="119">
        <v>4446</v>
      </c>
    </row>
    <row r="4756" spans="2:3">
      <c r="B4756" s="118" t="s">
        <v>1077</v>
      </c>
      <c r="C4756" s="119">
        <v>4448</v>
      </c>
    </row>
    <row r="4757" spans="2:3">
      <c r="B4757" s="118" t="s">
        <v>1103</v>
      </c>
      <c r="C4757" s="119">
        <v>4458</v>
      </c>
    </row>
    <row r="4758" spans="2:3">
      <c r="B4758" s="118" t="s">
        <v>3470</v>
      </c>
      <c r="C4758" s="119">
        <v>4634</v>
      </c>
    </row>
    <row r="4759" spans="2:3">
      <c r="B4759" s="118" t="s">
        <v>1099</v>
      </c>
      <c r="C4759" s="119">
        <v>4451</v>
      </c>
    </row>
    <row r="4760" spans="2:3">
      <c r="B4760" s="118" t="s">
        <v>1085</v>
      </c>
      <c r="C4760" s="119">
        <v>4464</v>
      </c>
    </row>
    <row r="4761" spans="2:3">
      <c r="B4761" s="118" t="s">
        <v>1117</v>
      </c>
      <c r="C4761" s="119">
        <v>4453</v>
      </c>
    </row>
    <row r="4762" spans="2:3">
      <c r="B4762" s="118" t="s">
        <v>1107</v>
      </c>
      <c r="C4762" s="119">
        <v>4494</v>
      </c>
    </row>
    <row r="4763" spans="2:3">
      <c r="B4763" s="118" t="s">
        <v>1050</v>
      </c>
      <c r="C4763" s="119">
        <v>4460</v>
      </c>
    </row>
    <row r="4764" spans="2:3">
      <c r="B4764" s="118" t="s">
        <v>1118</v>
      </c>
      <c r="C4764" s="119">
        <v>4465</v>
      </c>
    </row>
    <row r="4765" spans="2:3">
      <c r="B4765" s="118" t="s">
        <v>1062</v>
      </c>
      <c r="C4765" s="119">
        <v>4466</v>
      </c>
    </row>
    <row r="4766" spans="2:3">
      <c r="B4766" s="118" t="s">
        <v>3501</v>
      </c>
      <c r="C4766" s="119">
        <v>4462</v>
      </c>
    </row>
    <row r="4767" spans="2:3">
      <c r="B4767" s="118" t="s">
        <v>1089</v>
      </c>
      <c r="C4767" s="119">
        <v>4467</v>
      </c>
    </row>
    <row r="4768" spans="2:3">
      <c r="B4768" s="118" t="s">
        <v>1111</v>
      </c>
      <c r="C4768" s="119">
        <v>4444</v>
      </c>
    </row>
    <row r="4769" spans="2:3">
      <c r="B4769" s="118" t="s">
        <v>1114</v>
      </c>
      <c r="C4769" s="119">
        <v>4445</v>
      </c>
    </row>
    <row r="4770" spans="2:3">
      <c r="B4770" s="118" t="s">
        <v>1091</v>
      </c>
      <c r="C4770" s="119">
        <v>4497</v>
      </c>
    </row>
    <row r="4771" spans="2:3">
      <c r="B4771" s="118" t="s">
        <v>1047</v>
      </c>
      <c r="C4771" s="119">
        <v>4450</v>
      </c>
    </row>
    <row r="4772" spans="2:3">
      <c r="B4772" s="118" t="s">
        <v>1087</v>
      </c>
      <c r="C4772" s="119">
        <v>4492</v>
      </c>
    </row>
    <row r="4773" spans="2:3">
      <c r="B4773" s="118" t="s">
        <v>1108</v>
      </c>
      <c r="C4773" s="119">
        <v>4443</v>
      </c>
    </row>
    <row r="4774" spans="2:3">
      <c r="B4774" s="118" t="s">
        <v>1086</v>
      </c>
      <c r="C4774" s="119">
        <v>4456</v>
      </c>
    </row>
    <row r="4775" spans="2:3">
      <c r="B4775" s="118" t="s">
        <v>1075</v>
      </c>
      <c r="C4775" s="119">
        <v>4441</v>
      </c>
    </row>
    <row r="4776" spans="2:3">
      <c r="B4776" s="118" t="s">
        <v>1047</v>
      </c>
      <c r="C4776" s="119">
        <v>4450</v>
      </c>
    </row>
    <row r="4777" spans="2:3">
      <c r="B4777" s="118" t="s">
        <v>1095</v>
      </c>
      <c r="C4777" s="119">
        <v>4493</v>
      </c>
    </row>
    <row r="4778" spans="2:3">
      <c r="B4778" s="118" t="s">
        <v>1106</v>
      </c>
      <c r="C4778" s="119">
        <v>4495</v>
      </c>
    </row>
    <row r="4779" spans="2:3">
      <c r="B4779" s="118" t="s">
        <v>1099</v>
      </c>
      <c r="C4779" s="119">
        <v>4451</v>
      </c>
    </row>
    <row r="4780" spans="2:3">
      <c r="B4780" s="118" t="s">
        <v>1093</v>
      </c>
      <c r="C4780" s="119">
        <v>4442</v>
      </c>
    </row>
    <row r="4781" spans="2:3">
      <c r="B4781" s="118" t="s">
        <v>1108</v>
      </c>
      <c r="C4781" s="119">
        <v>4443</v>
      </c>
    </row>
    <row r="4782" spans="2:3">
      <c r="B4782" s="118" t="s">
        <v>1111</v>
      </c>
      <c r="C4782" s="119">
        <v>4444</v>
      </c>
    </row>
    <row r="4783" spans="2:3">
      <c r="B4783" s="118" t="s">
        <v>1106</v>
      </c>
      <c r="C4783" s="119">
        <v>4495</v>
      </c>
    </row>
    <row r="4784" spans="2:3">
      <c r="B4784" s="118" t="s">
        <v>1057</v>
      </c>
      <c r="C4784" s="119">
        <v>4455</v>
      </c>
    </row>
    <row r="4785" spans="2:3">
      <c r="B4785" s="118" t="s">
        <v>1102</v>
      </c>
      <c r="C4785" s="119">
        <v>4424</v>
      </c>
    </row>
    <row r="4786" spans="2:3">
      <c r="B4786" s="118" t="s">
        <v>1110</v>
      </c>
      <c r="C4786" s="119">
        <v>4425</v>
      </c>
    </row>
    <row r="4787" spans="2:3">
      <c r="B4787" s="118" t="s">
        <v>1098</v>
      </c>
      <c r="C4787" s="119">
        <v>4431</v>
      </c>
    </row>
    <row r="4788" spans="2:3">
      <c r="B4788" s="118" t="s">
        <v>1058</v>
      </c>
      <c r="C4788" s="119">
        <v>4434</v>
      </c>
    </row>
    <row r="4789" spans="2:3">
      <c r="B4789" s="118" t="s">
        <v>1067</v>
      </c>
      <c r="C4789" s="119">
        <v>4457</v>
      </c>
    </row>
    <row r="4790" spans="2:3">
      <c r="B4790" s="118" t="s">
        <v>1090</v>
      </c>
      <c r="C4790" s="119">
        <v>4207</v>
      </c>
    </row>
    <row r="4791" spans="2:3">
      <c r="B4791" s="118" t="s">
        <v>1104</v>
      </c>
      <c r="C4791" s="119">
        <v>4447</v>
      </c>
    </row>
    <row r="4792" spans="2:3">
      <c r="B4792" s="118" t="s">
        <v>1077</v>
      </c>
      <c r="C4792" s="119">
        <v>4448</v>
      </c>
    </row>
    <row r="4793" spans="2:3">
      <c r="B4793" s="118" t="s">
        <v>1086</v>
      </c>
      <c r="C4793" s="119">
        <v>4456</v>
      </c>
    </row>
    <row r="4794" spans="2:3">
      <c r="B4794" s="118" t="s">
        <v>1067</v>
      </c>
      <c r="C4794" s="119">
        <v>4457</v>
      </c>
    </row>
    <row r="4795" spans="2:3">
      <c r="B4795" s="118" t="s">
        <v>1103</v>
      </c>
      <c r="C4795" s="119">
        <v>4458</v>
      </c>
    </row>
    <row r="4796" spans="2:3">
      <c r="B4796" s="118" t="s">
        <v>1058</v>
      </c>
      <c r="C4796" s="119">
        <v>4434</v>
      </c>
    </row>
    <row r="4797" spans="2:3">
      <c r="B4797" s="118" t="s">
        <v>1067</v>
      </c>
      <c r="C4797" s="119">
        <v>4457</v>
      </c>
    </row>
    <row r="4798" spans="2:3">
      <c r="B4798" s="118" t="s">
        <v>1105</v>
      </c>
      <c r="C4798" s="119">
        <v>4432</v>
      </c>
    </row>
    <row r="4799" spans="2:3">
      <c r="B4799" s="118" t="s">
        <v>1084</v>
      </c>
      <c r="C4799" s="119">
        <v>4438</v>
      </c>
    </row>
    <row r="4800" spans="2:3">
      <c r="B4800" s="118" t="s">
        <v>3439</v>
      </c>
      <c r="C4800" s="119">
        <v>4229</v>
      </c>
    </row>
    <row r="4801" spans="2:3">
      <c r="B4801" s="118" t="s">
        <v>1070</v>
      </c>
      <c r="C4801" s="119">
        <v>4418</v>
      </c>
    </row>
    <row r="4802" spans="2:3">
      <c r="B4802" s="118" t="s">
        <v>1112</v>
      </c>
      <c r="C4802" s="119">
        <v>4426</v>
      </c>
    </row>
    <row r="4803" spans="2:3">
      <c r="B4803" s="118" t="s">
        <v>3438</v>
      </c>
      <c r="C4803" s="119">
        <v>4719</v>
      </c>
    </row>
    <row r="4804" spans="2:3">
      <c r="B4804" s="118" t="s">
        <v>1119</v>
      </c>
      <c r="C4804" s="119">
        <v>4436</v>
      </c>
    </row>
    <row r="4805" spans="2:3">
      <c r="B4805" s="118" t="s">
        <v>1102</v>
      </c>
      <c r="C4805" s="119">
        <v>4424</v>
      </c>
    </row>
    <row r="4806" spans="2:3">
      <c r="B4806" s="118" t="s">
        <v>1098</v>
      </c>
      <c r="C4806" s="119">
        <v>4431</v>
      </c>
    </row>
    <row r="4807" spans="2:3">
      <c r="B4807" s="118" t="s">
        <v>1066</v>
      </c>
      <c r="C4807" s="119">
        <v>4435</v>
      </c>
    </row>
    <row r="4808" spans="2:3">
      <c r="B4808" s="118" t="s">
        <v>3503</v>
      </c>
      <c r="C4808" s="119">
        <v>4436</v>
      </c>
    </row>
    <row r="4809" spans="2:3">
      <c r="B4809" s="118" t="s">
        <v>1066</v>
      </c>
      <c r="C4809" s="119">
        <v>4435</v>
      </c>
    </row>
    <row r="4810" spans="2:3">
      <c r="B4810" s="118" t="s">
        <v>3503</v>
      </c>
      <c r="C4810" s="119">
        <v>4436</v>
      </c>
    </row>
    <row r="4811" spans="2:3">
      <c r="B4811" s="118" t="s">
        <v>1119</v>
      </c>
      <c r="C4811" s="119">
        <v>4436</v>
      </c>
    </row>
    <row r="4812" spans="2:3">
      <c r="B4812" s="118" t="s">
        <v>1070</v>
      </c>
      <c r="C4812" s="119">
        <v>4418</v>
      </c>
    </row>
    <row r="4813" spans="2:3">
      <c r="B4813" s="118" t="s">
        <v>1110</v>
      </c>
      <c r="C4813" s="119">
        <v>4425</v>
      </c>
    </row>
    <row r="4814" spans="2:3">
      <c r="B4814" s="118" t="s">
        <v>1070</v>
      </c>
      <c r="C4814" s="119">
        <v>4418</v>
      </c>
    </row>
    <row r="4815" spans="2:3">
      <c r="B4815" s="118" t="s">
        <v>1080</v>
      </c>
      <c r="C4815" s="119">
        <v>4437</v>
      </c>
    </row>
    <row r="4816" spans="2:3">
      <c r="B4816" s="118" t="s">
        <v>1084</v>
      </c>
      <c r="C4816" s="119">
        <v>4438</v>
      </c>
    </row>
    <row r="4817" spans="2:3">
      <c r="B4817" s="118" t="s">
        <v>1388</v>
      </c>
      <c r="C4817" s="119">
        <v>8214</v>
      </c>
    </row>
    <row r="4818" spans="2:3">
      <c r="B4818" s="118" t="s">
        <v>1388</v>
      </c>
      <c r="C4818" s="119">
        <v>8214</v>
      </c>
    </row>
    <row r="4819" spans="2:3">
      <c r="B4819" s="118" t="s">
        <v>1389</v>
      </c>
      <c r="C4819" s="119">
        <v>8225</v>
      </c>
    </row>
    <row r="4820" spans="2:3">
      <c r="B4820" s="118" t="s">
        <v>1382</v>
      </c>
      <c r="C4820" s="119">
        <v>8226</v>
      </c>
    </row>
    <row r="4821" spans="2:3">
      <c r="B4821" s="118" t="s">
        <v>3504</v>
      </c>
      <c r="C4821" s="119">
        <v>8223</v>
      </c>
    </row>
    <row r="4822" spans="2:3">
      <c r="B4822" s="118" t="s">
        <v>1384</v>
      </c>
      <c r="C4822" s="119">
        <v>8224</v>
      </c>
    </row>
    <row r="4823" spans="2:3">
      <c r="B4823" s="118" t="s">
        <v>1379</v>
      </c>
      <c r="C4823" s="119">
        <v>8213</v>
      </c>
    </row>
    <row r="4824" spans="2:3">
      <c r="B4824" s="118" t="s">
        <v>1381</v>
      </c>
      <c r="C4824" s="119">
        <v>8217</v>
      </c>
    </row>
    <row r="4825" spans="2:3">
      <c r="B4825" s="118" t="s">
        <v>3504</v>
      </c>
      <c r="C4825" s="119">
        <v>8223</v>
      </c>
    </row>
    <row r="4826" spans="2:3">
      <c r="B4826" s="118" t="s">
        <v>1384</v>
      </c>
      <c r="C4826" s="119">
        <v>8224</v>
      </c>
    </row>
    <row r="4827" spans="2:3">
      <c r="B4827" s="118" t="s">
        <v>175</v>
      </c>
      <c r="C4827" s="119">
        <v>8200</v>
      </c>
    </row>
    <row r="4828" spans="2:3">
      <c r="B4828" s="118" t="s">
        <v>1397</v>
      </c>
      <c r="C4828" s="119">
        <v>8236</v>
      </c>
    </row>
    <row r="4829" spans="2:3">
      <c r="B4829" s="118" t="s">
        <v>1386</v>
      </c>
      <c r="C4829" s="119">
        <v>8239</v>
      </c>
    </row>
    <row r="4830" spans="2:3">
      <c r="B4830" s="118" t="s">
        <v>3505</v>
      </c>
      <c r="C4830" s="119">
        <v>8235</v>
      </c>
    </row>
    <row r="4831" spans="2:3">
      <c r="B4831" s="118" t="s">
        <v>3506</v>
      </c>
      <c r="C4831" s="119">
        <v>8234</v>
      </c>
    </row>
    <row r="4832" spans="2:3">
      <c r="B4832" s="118" t="s">
        <v>3507</v>
      </c>
      <c r="C4832" s="119">
        <v>8236</v>
      </c>
    </row>
    <row r="4833" spans="2:3">
      <c r="B4833" s="118" t="s">
        <v>1376</v>
      </c>
      <c r="C4833" s="119">
        <v>8240</v>
      </c>
    </row>
    <row r="4834" spans="2:3">
      <c r="B4834" s="118" t="s">
        <v>3508</v>
      </c>
      <c r="C4834" s="119">
        <v>8241</v>
      </c>
    </row>
    <row r="4835" spans="2:3">
      <c r="B4835" s="118" t="s">
        <v>3509</v>
      </c>
      <c r="C4835" s="119">
        <v>8242</v>
      </c>
    </row>
    <row r="4836" spans="2:3">
      <c r="B4836" s="118" t="s">
        <v>3510</v>
      </c>
      <c r="C4836" s="119">
        <v>8242</v>
      </c>
    </row>
    <row r="4837" spans="2:3">
      <c r="B4837" s="118" t="s">
        <v>3511</v>
      </c>
      <c r="C4837" s="119">
        <v>8243</v>
      </c>
    </row>
    <row r="4838" spans="2:3">
      <c r="B4838" s="118" t="s">
        <v>3512</v>
      </c>
      <c r="C4838" s="119">
        <v>8233</v>
      </c>
    </row>
    <row r="4839" spans="2:3">
      <c r="B4839" s="118" t="s">
        <v>1377</v>
      </c>
      <c r="C4839" s="119">
        <v>8222</v>
      </c>
    </row>
    <row r="4840" spans="2:3">
      <c r="B4840" s="118" t="s">
        <v>3504</v>
      </c>
      <c r="C4840" s="119">
        <v>8223</v>
      </c>
    </row>
    <row r="4841" spans="2:3">
      <c r="B4841" s="118" t="s">
        <v>1387</v>
      </c>
      <c r="C4841" s="119">
        <v>8454</v>
      </c>
    </row>
    <row r="4842" spans="2:3">
      <c r="B4842" s="118" t="s">
        <v>1392</v>
      </c>
      <c r="C4842" s="119">
        <v>8455</v>
      </c>
    </row>
    <row r="4843" spans="2:3">
      <c r="B4843" s="118" t="s">
        <v>1390</v>
      </c>
      <c r="C4843" s="119">
        <v>8232</v>
      </c>
    </row>
    <row r="4844" spans="2:3">
      <c r="B4844" s="118" t="s">
        <v>175</v>
      </c>
      <c r="C4844" s="119">
        <v>8200</v>
      </c>
    </row>
    <row r="4845" spans="2:3">
      <c r="B4845" s="118" t="s">
        <v>1375</v>
      </c>
      <c r="C4845" s="119">
        <v>8212</v>
      </c>
    </row>
    <row r="4846" spans="2:3">
      <c r="B4846" s="118" t="s">
        <v>1392</v>
      </c>
      <c r="C4846" s="119">
        <v>8455</v>
      </c>
    </row>
    <row r="4847" spans="2:3">
      <c r="B4847" s="118" t="s">
        <v>175</v>
      </c>
      <c r="C4847" s="119">
        <v>8200</v>
      </c>
    </row>
    <row r="4848" spans="2:3">
      <c r="B4848" s="118" t="s">
        <v>175</v>
      </c>
      <c r="C4848" s="119">
        <v>8203</v>
      </c>
    </row>
    <row r="4849" spans="2:3">
      <c r="B4849" s="118" t="s">
        <v>175</v>
      </c>
      <c r="C4849" s="119">
        <v>8207</v>
      </c>
    </row>
    <row r="4850" spans="2:3">
      <c r="B4850" s="118" t="s">
        <v>175</v>
      </c>
      <c r="C4850" s="119">
        <v>8208</v>
      </c>
    </row>
    <row r="4851" spans="2:3">
      <c r="B4851" s="118" t="s">
        <v>1375</v>
      </c>
      <c r="C4851" s="119">
        <v>8212</v>
      </c>
    </row>
    <row r="4852" spans="2:3">
      <c r="B4852" s="118" t="s">
        <v>1377</v>
      </c>
      <c r="C4852" s="119">
        <v>8222</v>
      </c>
    </row>
    <row r="4853" spans="2:3">
      <c r="B4853" s="118" t="s">
        <v>3513</v>
      </c>
      <c r="C4853" s="119">
        <v>8231</v>
      </c>
    </row>
    <row r="4854" spans="2:3">
      <c r="B4854" s="118" t="s">
        <v>1382</v>
      </c>
      <c r="C4854" s="119">
        <v>8226</v>
      </c>
    </row>
    <row r="4855" spans="2:3">
      <c r="B4855" s="118" t="s">
        <v>1394</v>
      </c>
      <c r="C4855" s="119">
        <v>8228</v>
      </c>
    </row>
    <row r="4856" spans="2:3">
      <c r="B4856" s="118" t="s">
        <v>1382</v>
      </c>
      <c r="C4856" s="119">
        <v>8226</v>
      </c>
    </row>
    <row r="4857" spans="2:3">
      <c r="B4857" s="118" t="s">
        <v>1389</v>
      </c>
      <c r="C4857" s="119">
        <v>8225</v>
      </c>
    </row>
    <row r="4858" spans="2:3">
      <c r="B4858" s="118" t="s">
        <v>3514</v>
      </c>
      <c r="C4858" s="119">
        <v>8263</v>
      </c>
    </row>
    <row r="4859" spans="2:3">
      <c r="B4859" s="118" t="s">
        <v>1395</v>
      </c>
      <c r="C4859" s="119">
        <v>8261</v>
      </c>
    </row>
    <row r="4860" spans="2:3">
      <c r="B4860" s="118" t="s">
        <v>1383</v>
      </c>
      <c r="C4860" s="119">
        <v>8262</v>
      </c>
    </row>
    <row r="4861" spans="2:3">
      <c r="B4861" s="118" t="s">
        <v>1378</v>
      </c>
      <c r="C4861" s="119">
        <v>8260</v>
      </c>
    </row>
    <row r="4862" spans="2:3">
      <c r="B4862" s="118" t="s">
        <v>1380</v>
      </c>
      <c r="C4862" s="119">
        <v>8215</v>
      </c>
    </row>
    <row r="4863" spans="2:3">
      <c r="B4863" s="118" t="s">
        <v>1396</v>
      </c>
      <c r="C4863" s="119">
        <v>8216</v>
      </c>
    </row>
    <row r="4864" spans="2:3">
      <c r="B4864" s="118" t="s">
        <v>1381</v>
      </c>
      <c r="C4864" s="119">
        <v>8217</v>
      </c>
    </row>
    <row r="4865" spans="2:3">
      <c r="B4865" s="118" t="s">
        <v>1393</v>
      </c>
      <c r="C4865" s="119">
        <v>8219</v>
      </c>
    </row>
    <row r="4866" spans="2:3">
      <c r="B4866" s="118" t="s">
        <v>1381</v>
      </c>
      <c r="C4866" s="119">
        <v>8217</v>
      </c>
    </row>
    <row r="4867" spans="2:3">
      <c r="B4867" s="118" t="s">
        <v>1381</v>
      </c>
      <c r="C4867" s="119">
        <v>8217</v>
      </c>
    </row>
    <row r="4868" spans="2:3">
      <c r="B4868" s="118" t="s">
        <v>3515</v>
      </c>
      <c r="C4868" s="119">
        <v>8218</v>
      </c>
    </row>
    <row r="4869" spans="2:3">
      <c r="B4869" s="118" t="s">
        <v>1877</v>
      </c>
      <c r="C4869" s="119">
        <v>9100</v>
      </c>
    </row>
    <row r="4870" spans="2:3">
      <c r="B4870" s="118" t="s">
        <v>3516</v>
      </c>
      <c r="C4870" s="119">
        <v>9112</v>
      </c>
    </row>
    <row r="4871" spans="2:3">
      <c r="B4871" s="118" t="s">
        <v>1629</v>
      </c>
      <c r="C4871" s="119">
        <v>9200</v>
      </c>
    </row>
    <row r="4872" spans="2:3">
      <c r="B4872" s="118" t="s">
        <v>3517</v>
      </c>
      <c r="C4872" s="119">
        <v>9063</v>
      </c>
    </row>
    <row r="4873" spans="2:3">
      <c r="B4873" s="118" t="s">
        <v>1894</v>
      </c>
      <c r="C4873" s="119">
        <v>9064</v>
      </c>
    </row>
    <row r="4874" spans="2:3">
      <c r="B4874" s="118" t="s">
        <v>1883</v>
      </c>
      <c r="C4874" s="119">
        <v>9107</v>
      </c>
    </row>
    <row r="4875" spans="2:3">
      <c r="B4875" s="118" t="s">
        <v>2631</v>
      </c>
      <c r="C4875" s="119">
        <v>9108</v>
      </c>
    </row>
    <row r="4876" spans="2:3">
      <c r="B4876" s="118" t="s">
        <v>1897</v>
      </c>
      <c r="C4876" s="119">
        <v>9105</v>
      </c>
    </row>
    <row r="4877" spans="2:3">
      <c r="B4877" s="118" t="s">
        <v>1883</v>
      </c>
      <c r="C4877" s="119">
        <v>9107</v>
      </c>
    </row>
    <row r="4878" spans="2:3">
      <c r="B4878" s="118" t="s">
        <v>1877</v>
      </c>
      <c r="C4878" s="119">
        <v>9100</v>
      </c>
    </row>
    <row r="4879" spans="2:3">
      <c r="B4879" s="118" t="s">
        <v>1890</v>
      </c>
      <c r="C4879" s="119">
        <v>9103</v>
      </c>
    </row>
    <row r="4880" spans="2:3">
      <c r="B4880" s="118" t="s">
        <v>1885</v>
      </c>
      <c r="C4880" s="119">
        <v>9104</v>
      </c>
    </row>
    <row r="4881" spans="2:3">
      <c r="B4881" s="118" t="s">
        <v>1897</v>
      </c>
      <c r="C4881" s="119">
        <v>9105</v>
      </c>
    </row>
    <row r="4882" spans="2:3">
      <c r="B4882" s="118" t="s">
        <v>1844</v>
      </c>
      <c r="C4882" s="119">
        <v>9113</v>
      </c>
    </row>
    <row r="4883" spans="2:3">
      <c r="B4883" s="118" t="s">
        <v>170</v>
      </c>
      <c r="C4883" s="119">
        <v>9014</v>
      </c>
    </row>
    <row r="4884" spans="2:3">
      <c r="B4884" s="118" t="s">
        <v>3517</v>
      </c>
      <c r="C4884" s="119">
        <v>9063</v>
      </c>
    </row>
    <row r="4885" spans="2:3">
      <c r="B4885" s="118" t="s">
        <v>1890</v>
      </c>
      <c r="C4885" s="119">
        <v>9103</v>
      </c>
    </row>
    <row r="4886" spans="2:3">
      <c r="B4886" s="118" t="s">
        <v>1885</v>
      </c>
      <c r="C4886" s="119">
        <v>9104</v>
      </c>
    </row>
    <row r="4887" spans="2:3">
      <c r="B4887" s="118" t="s">
        <v>1883</v>
      </c>
      <c r="C4887" s="119">
        <v>9107</v>
      </c>
    </row>
    <row r="4888" spans="2:3">
      <c r="B4888" s="118" t="s">
        <v>1877</v>
      </c>
      <c r="C4888" s="119">
        <v>9100</v>
      </c>
    </row>
    <row r="4889" spans="2:3">
      <c r="B4889" s="118" t="s">
        <v>1890</v>
      </c>
      <c r="C4889" s="119">
        <v>9103</v>
      </c>
    </row>
    <row r="4890" spans="2:3">
      <c r="B4890" s="118" t="s">
        <v>1885</v>
      </c>
      <c r="C4890" s="119">
        <v>9104</v>
      </c>
    </row>
    <row r="4891" spans="2:3">
      <c r="B4891" s="118" t="s">
        <v>1889</v>
      </c>
      <c r="C4891" s="119">
        <v>9043</v>
      </c>
    </row>
    <row r="4892" spans="2:3">
      <c r="B4892" s="118" t="s">
        <v>1887</v>
      </c>
      <c r="C4892" s="119">
        <v>9055</v>
      </c>
    </row>
    <row r="4893" spans="2:3">
      <c r="B4893" s="118" t="s">
        <v>1889</v>
      </c>
      <c r="C4893" s="119">
        <v>9043</v>
      </c>
    </row>
    <row r="4894" spans="2:3">
      <c r="B4894" s="118" t="s">
        <v>1887</v>
      </c>
      <c r="C4894" s="119">
        <v>9055</v>
      </c>
    </row>
    <row r="4895" spans="2:3">
      <c r="B4895" s="118" t="s">
        <v>1882</v>
      </c>
      <c r="C4895" s="119">
        <v>9056</v>
      </c>
    </row>
    <row r="4896" spans="2:3">
      <c r="B4896" s="118" t="s">
        <v>3518</v>
      </c>
      <c r="C4896" s="119">
        <v>9450</v>
      </c>
    </row>
    <row r="4897" spans="2:3">
      <c r="B4897" s="118" t="s">
        <v>3519</v>
      </c>
      <c r="C4897" s="119">
        <v>9037</v>
      </c>
    </row>
    <row r="4898" spans="2:3">
      <c r="B4898" s="118" t="s">
        <v>1880</v>
      </c>
      <c r="C4898" s="119">
        <v>9042</v>
      </c>
    </row>
    <row r="4899" spans="2:3">
      <c r="B4899" s="118" t="s">
        <v>170</v>
      </c>
      <c r="C4899" s="119">
        <v>9012</v>
      </c>
    </row>
    <row r="4900" spans="2:3">
      <c r="B4900" s="118" t="s">
        <v>1880</v>
      </c>
      <c r="C4900" s="119">
        <v>9042</v>
      </c>
    </row>
    <row r="4901" spans="2:3">
      <c r="B4901" s="118" t="s">
        <v>3520</v>
      </c>
      <c r="C4901" s="119">
        <v>9052</v>
      </c>
    </row>
    <row r="4902" spans="2:3">
      <c r="B4902" s="118" t="s">
        <v>3521</v>
      </c>
      <c r="C4902" s="119">
        <v>9053</v>
      </c>
    </row>
    <row r="4903" spans="2:3">
      <c r="B4903" s="118" t="s">
        <v>1887</v>
      </c>
      <c r="C4903" s="119">
        <v>9055</v>
      </c>
    </row>
    <row r="4904" spans="2:3">
      <c r="B4904" s="118" t="s">
        <v>3522</v>
      </c>
      <c r="C4904" s="119">
        <v>9062</v>
      </c>
    </row>
    <row r="4905" spans="2:3">
      <c r="B4905" s="118" t="s">
        <v>1889</v>
      </c>
      <c r="C4905" s="119">
        <v>9043</v>
      </c>
    </row>
    <row r="4906" spans="2:3">
      <c r="B4906" s="118" t="s">
        <v>3523</v>
      </c>
      <c r="C4906" s="119">
        <v>9035</v>
      </c>
    </row>
    <row r="4907" spans="2:3">
      <c r="B4907" s="118" t="s">
        <v>1888</v>
      </c>
      <c r="C4907" s="119">
        <v>9038</v>
      </c>
    </row>
    <row r="4908" spans="2:3">
      <c r="B4908" s="118" t="s">
        <v>3524</v>
      </c>
      <c r="C4908" s="119">
        <v>9036</v>
      </c>
    </row>
    <row r="4909" spans="2:3">
      <c r="B4909" s="118" t="s">
        <v>1888</v>
      </c>
      <c r="C4909" s="119">
        <v>9038</v>
      </c>
    </row>
    <row r="4910" spans="2:3">
      <c r="B4910" s="118" t="s">
        <v>1881</v>
      </c>
      <c r="C4910" s="119">
        <v>9410</v>
      </c>
    </row>
    <row r="4911" spans="2:3">
      <c r="B4911" s="118" t="s">
        <v>2632</v>
      </c>
      <c r="C4911" s="119">
        <v>9413</v>
      </c>
    </row>
    <row r="4912" spans="2:3">
      <c r="B4912" s="118" t="s">
        <v>1886</v>
      </c>
      <c r="C4912" s="119">
        <v>9427</v>
      </c>
    </row>
    <row r="4913" spans="2:3">
      <c r="B4913" s="118" t="s">
        <v>3525</v>
      </c>
      <c r="C4913" s="119">
        <v>9405</v>
      </c>
    </row>
    <row r="4914" spans="2:3">
      <c r="B4914" s="118" t="s">
        <v>1892</v>
      </c>
      <c r="C4914" s="119">
        <v>9426</v>
      </c>
    </row>
    <row r="4915" spans="2:3">
      <c r="B4915" s="118" t="s">
        <v>1886</v>
      </c>
      <c r="C4915" s="119">
        <v>9427</v>
      </c>
    </row>
    <row r="4916" spans="2:3">
      <c r="B4916" s="118" t="s">
        <v>1860</v>
      </c>
      <c r="C4916" s="119">
        <v>9034</v>
      </c>
    </row>
    <row r="4917" spans="2:3">
      <c r="B4917" s="118" t="s">
        <v>3519</v>
      </c>
      <c r="C4917" s="119">
        <v>9037</v>
      </c>
    </row>
    <row r="4918" spans="2:3">
      <c r="B4918" s="118" t="s">
        <v>1888</v>
      </c>
      <c r="C4918" s="119">
        <v>9038</v>
      </c>
    </row>
    <row r="4919" spans="2:3">
      <c r="B4919" s="118" t="s">
        <v>3526</v>
      </c>
      <c r="C4919" s="119">
        <v>9411</v>
      </c>
    </row>
    <row r="4920" spans="2:3">
      <c r="B4920" s="118" t="s">
        <v>3527</v>
      </c>
      <c r="C4920" s="119">
        <v>9411</v>
      </c>
    </row>
    <row r="4921" spans="2:3">
      <c r="B4921" s="118" t="s">
        <v>3528</v>
      </c>
      <c r="C4921" s="119">
        <v>9437</v>
      </c>
    </row>
    <row r="4922" spans="2:3">
      <c r="B4922" s="118" t="s">
        <v>1889</v>
      </c>
      <c r="C4922" s="119">
        <v>9043</v>
      </c>
    </row>
    <row r="4923" spans="2:3">
      <c r="B4923" s="118" t="s">
        <v>3529</v>
      </c>
      <c r="C4923" s="119">
        <v>9044</v>
      </c>
    </row>
    <row r="4924" spans="2:3">
      <c r="B4924" s="118" t="s">
        <v>1886</v>
      </c>
      <c r="C4924" s="119">
        <v>9427</v>
      </c>
    </row>
    <row r="4925" spans="2:3">
      <c r="B4925" s="118" t="s">
        <v>1884</v>
      </c>
      <c r="C4925" s="119">
        <v>9428</v>
      </c>
    </row>
    <row r="4926" spans="2:3">
      <c r="B4926" s="118" t="s">
        <v>1881</v>
      </c>
      <c r="C4926" s="119">
        <v>9410</v>
      </c>
    </row>
    <row r="4927" spans="2:3">
      <c r="B4927" s="118" t="s">
        <v>2653</v>
      </c>
      <c r="C4927" s="119">
        <v>9425</v>
      </c>
    </row>
    <row r="4928" spans="2:3">
      <c r="B4928" s="118" t="s">
        <v>1886</v>
      </c>
      <c r="C4928" s="119">
        <v>9427</v>
      </c>
    </row>
    <row r="4929" spans="2:3">
      <c r="B4929" s="118" t="s">
        <v>1884</v>
      </c>
      <c r="C4929" s="119">
        <v>9428</v>
      </c>
    </row>
    <row r="4930" spans="2:3">
      <c r="B4930" s="118" t="s">
        <v>1898</v>
      </c>
      <c r="C4930" s="119">
        <v>9050</v>
      </c>
    </row>
    <row r="4931" spans="2:3">
      <c r="B4931" s="118" t="s">
        <v>3530</v>
      </c>
      <c r="C4931" s="119">
        <v>9050</v>
      </c>
    </row>
    <row r="4932" spans="2:3">
      <c r="B4932" s="118" t="s">
        <v>3531</v>
      </c>
      <c r="C4932" s="119">
        <v>9050</v>
      </c>
    </row>
    <row r="4933" spans="2:3">
      <c r="B4933" s="118" t="s">
        <v>1882</v>
      </c>
      <c r="C4933" s="119">
        <v>9056</v>
      </c>
    </row>
    <row r="4934" spans="2:3">
      <c r="B4934" s="118" t="s">
        <v>1898</v>
      </c>
      <c r="C4934" s="119">
        <v>9050</v>
      </c>
    </row>
    <row r="4935" spans="2:3">
      <c r="B4935" s="118" t="s">
        <v>2631</v>
      </c>
      <c r="C4935" s="119">
        <v>9108</v>
      </c>
    </row>
    <row r="4936" spans="2:3">
      <c r="B4936" s="118" t="s">
        <v>3532</v>
      </c>
      <c r="C4936" s="119">
        <v>9108</v>
      </c>
    </row>
    <row r="4937" spans="2:3">
      <c r="B4937" s="118" t="s">
        <v>3533</v>
      </c>
      <c r="C4937" s="119">
        <v>9108</v>
      </c>
    </row>
    <row r="4938" spans="2:3">
      <c r="B4938" s="118" t="s">
        <v>1898</v>
      </c>
      <c r="C4938" s="119">
        <v>9050</v>
      </c>
    </row>
    <row r="4939" spans="2:3">
      <c r="B4939" s="118" t="s">
        <v>3534</v>
      </c>
      <c r="C4939" s="119">
        <v>9050</v>
      </c>
    </row>
    <row r="4940" spans="2:3">
      <c r="B4940" s="118" t="s">
        <v>3531</v>
      </c>
      <c r="C4940" s="119">
        <v>9050</v>
      </c>
    </row>
    <row r="4941" spans="2:3">
      <c r="B4941" s="118" t="s">
        <v>3520</v>
      </c>
      <c r="C4941" s="119">
        <v>9052</v>
      </c>
    </row>
    <row r="4942" spans="2:3">
      <c r="B4942" s="118" t="s">
        <v>3521</v>
      </c>
      <c r="C4942" s="119">
        <v>9053</v>
      </c>
    </row>
    <row r="4943" spans="2:3">
      <c r="B4943" s="118" t="s">
        <v>3535</v>
      </c>
      <c r="C4943" s="119">
        <v>9054</v>
      </c>
    </row>
    <row r="4944" spans="2:3">
      <c r="B4944" s="118" t="s">
        <v>1887</v>
      </c>
      <c r="C4944" s="119">
        <v>9055</v>
      </c>
    </row>
    <row r="4945" spans="2:3">
      <c r="B4945" s="118" t="s">
        <v>1882</v>
      </c>
      <c r="C4945" s="119">
        <v>9056</v>
      </c>
    </row>
    <row r="4946" spans="2:3">
      <c r="B4946" s="118" t="s">
        <v>2631</v>
      </c>
      <c r="C4946" s="119">
        <v>9108</v>
      </c>
    </row>
    <row r="4947" spans="2:3">
      <c r="B4947" s="118" t="s">
        <v>2632</v>
      </c>
      <c r="C4947" s="119">
        <v>9413</v>
      </c>
    </row>
    <row r="4948" spans="2:3">
      <c r="B4948" s="118" t="s">
        <v>2632</v>
      </c>
      <c r="C4948" s="119">
        <v>9413</v>
      </c>
    </row>
    <row r="4949" spans="2:3">
      <c r="B4949" s="118" t="s">
        <v>1886</v>
      </c>
      <c r="C4949" s="119">
        <v>9427</v>
      </c>
    </row>
    <row r="4950" spans="2:3">
      <c r="B4950" s="118" t="s">
        <v>1884</v>
      </c>
      <c r="C4950" s="119">
        <v>9428</v>
      </c>
    </row>
    <row r="4951" spans="2:3">
      <c r="B4951" s="118" t="s">
        <v>1845</v>
      </c>
      <c r="C4951" s="119">
        <v>9442</v>
      </c>
    </row>
    <row r="4952" spans="2:3">
      <c r="B4952" s="118" t="s">
        <v>3536</v>
      </c>
      <c r="C4952" s="119">
        <v>9442</v>
      </c>
    </row>
    <row r="4953" spans="2:3">
      <c r="B4953" s="118" t="s">
        <v>3537</v>
      </c>
      <c r="C4953" s="119">
        <v>9450</v>
      </c>
    </row>
    <row r="4954" spans="2:3">
      <c r="B4954" s="118" t="s">
        <v>1898</v>
      </c>
      <c r="C4954" s="119">
        <v>9050</v>
      </c>
    </row>
    <row r="4955" spans="2:3">
      <c r="B4955" s="118" t="s">
        <v>3538</v>
      </c>
      <c r="C4955" s="119">
        <v>9050</v>
      </c>
    </row>
    <row r="4956" spans="2:3">
      <c r="B4956" s="118" t="s">
        <v>3530</v>
      </c>
      <c r="C4956" s="119">
        <v>9050</v>
      </c>
    </row>
    <row r="4957" spans="2:3">
      <c r="B4957" s="118" t="s">
        <v>3539</v>
      </c>
      <c r="C4957" s="119">
        <v>9050</v>
      </c>
    </row>
    <row r="4958" spans="2:3">
      <c r="B4958" s="118" t="s">
        <v>3540</v>
      </c>
      <c r="C4958" s="119">
        <v>9057</v>
      </c>
    </row>
    <row r="4959" spans="2:3">
      <c r="B4959" s="118" t="s">
        <v>3541</v>
      </c>
      <c r="C4959" s="119">
        <v>9057</v>
      </c>
    </row>
    <row r="4960" spans="2:3">
      <c r="B4960" s="118" t="s">
        <v>3542</v>
      </c>
      <c r="C4960" s="119">
        <v>9057</v>
      </c>
    </row>
    <row r="4961" spans="2:3">
      <c r="B4961" s="118" t="s">
        <v>3543</v>
      </c>
      <c r="C4961" s="119">
        <v>9058</v>
      </c>
    </row>
    <row r="4962" spans="2:3">
      <c r="B4962" s="118" t="s">
        <v>1883</v>
      </c>
      <c r="C4962" s="119">
        <v>9107</v>
      </c>
    </row>
    <row r="4963" spans="2:3">
      <c r="B4963" s="118" t="s">
        <v>2631</v>
      </c>
      <c r="C4963" s="119">
        <v>9108</v>
      </c>
    </row>
    <row r="4964" spans="2:3">
      <c r="B4964" s="118" t="s">
        <v>3544</v>
      </c>
      <c r="C4964" s="119">
        <v>9467</v>
      </c>
    </row>
    <row r="4965" spans="2:3">
      <c r="B4965" s="118" t="s">
        <v>3545</v>
      </c>
      <c r="C4965" s="119">
        <v>9308</v>
      </c>
    </row>
    <row r="4966" spans="2:3">
      <c r="B4966" s="118" t="s">
        <v>1871</v>
      </c>
      <c r="C4966" s="119">
        <v>9312</v>
      </c>
    </row>
    <row r="4967" spans="2:3">
      <c r="B4967" s="118" t="s">
        <v>3546</v>
      </c>
      <c r="C4967" s="119">
        <v>9315</v>
      </c>
    </row>
    <row r="4968" spans="2:3">
      <c r="B4968" s="118" t="s">
        <v>3547</v>
      </c>
      <c r="C4968" s="119">
        <v>8580</v>
      </c>
    </row>
    <row r="4969" spans="2:3">
      <c r="B4969" s="118" t="s">
        <v>1913</v>
      </c>
      <c r="C4969" s="119">
        <v>9220</v>
      </c>
    </row>
    <row r="4970" spans="2:3">
      <c r="B4970" s="118" t="s">
        <v>3545</v>
      </c>
      <c r="C4970" s="119">
        <v>9308</v>
      </c>
    </row>
    <row r="4971" spans="2:3">
      <c r="B4971" s="118" t="s">
        <v>1873</v>
      </c>
      <c r="C4971" s="119">
        <v>9313</v>
      </c>
    </row>
    <row r="4972" spans="2:3">
      <c r="B4972" s="118" t="s">
        <v>170</v>
      </c>
      <c r="C4972" s="119">
        <v>9000</v>
      </c>
    </row>
    <row r="4973" spans="2:3">
      <c r="B4973" s="118" t="s">
        <v>170</v>
      </c>
      <c r="C4973" s="119">
        <v>9008</v>
      </c>
    </row>
    <row r="4974" spans="2:3">
      <c r="B4974" s="118" t="s">
        <v>170</v>
      </c>
      <c r="C4974" s="119">
        <v>9010</v>
      </c>
    </row>
    <row r="4975" spans="2:3">
      <c r="B4975" s="118" t="s">
        <v>170</v>
      </c>
      <c r="C4975" s="119">
        <v>9011</v>
      </c>
    </row>
    <row r="4976" spans="2:3">
      <c r="B4976" s="118" t="s">
        <v>170</v>
      </c>
      <c r="C4976" s="119">
        <v>9012</v>
      </c>
    </row>
    <row r="4977" spans="2:3">
      <c r="B4977" s="118" t="s">
        <v>170</v>
      </c>
      <c r="C4977" s="119">
        <v>9014</v>
      </c>
    </row>
    <row r="4978" spans="2:3">
      <c r="B4978" s="118" t="s">
        <v>170</v>
      </c>
      <c r="C4978" s="119">
        <v>9015</v>
      </c>
    </row>
    <row r="4979" spans="2:3">
      <c r="B4979" s="118" t="s">
        <v>170</v>
      </c>
      <c r="C4979" s="119">
        <v>9016</v>
      </c>
    </row>
    <row r="4980" spans="2:3">
      <c r="B4980" s="118" t="s">
        <v>3548</v>
      </c>
      <c r="C4980" s="119">
        <v>9030</v>
      </c>
    </row>
    <row r="4981" spans="2:3">
      <c r="B4981" s="118" t="s">
        <v>3519</v>
      </c>
      <c r="C4981" s="119">
        <v>9037</v>
      </c>
    </row>
    <row r="4982" spans="2:3">
      <c r="B4982" s="118" t="s">
        <v>1880</v>
      </c>
      <c r="C4982" s="119">
        <v>9042</v>
      </c>
    </row>
    <row r="4983" spans="2:3">
      <c r="B4983" s="118" t="s">
        <v>2658</v>
      </c>
      <c r="C4983" s="119">
        <v>9300</v>
      </c>
    </row>
    <row r="4984" spans="2:3">
      <c r="B4984" s="118" t="s">
        <v>170</v>
      </c>
      <c r="C4984" s="119">
        <v>9008</v>
      </c>
    </row>
    <row r="4985" spans="2:3">
      <c r="B4985" s="118" t="s">
        <v>2658</v>
      </c>
      <c r="C4985" s="119">
        <v>9300</v>
      </c>
    </row>
    <row r="4986" spans="2:3">
      <c r="B4986" s="118" t="s">
        <v>3545</v>
      </c>
      <c r="C4986" s="119">
        <v>9308</v>
      </c>
    </row>
    <row r="4987" spans="2:3">
      <c r="B4987" s="118" t="s">
        <v>2658</v>
      </c>
      <c r="C4987" s="119">
        <v>9300</v>
      </c>
    </row>
    <row r="4988" spans="2:3">
      <c r="B4988" s="118" t="s">
        <v>3549</v>
      </c>
      <c r="C4988" s="119">
        <v>9305</v>
      </c>
    </row>
    <row r="4989" spans="2:3">
      <c r="B4989" s="118" t="s">
        <v>3550</v>
      </c>
      <c r="C4989" s="119">
        <v>9306</v>
      </c>
    </row>
    <row r="4990" spans="2:3">
      <c r="B4990" s="118" t="s">
        <v>1860</v>
      </c>
      <c r="C4990" s="119">
        <v>9034</v>
      </c>
    </row>
    <row r="4991" spans="2:3">
      <c r="B4991" s="118" t="s">
        <v>3523</v>
      </c>
      <c r="C4991" s="119">
        <v>9035</v>
      </c>
    </row>
    <row r="4992" spans="2:3">
      <c r="B4992" s="118" t="s">
        <v>3524</v>
      </c>
      <c r="C4992" s="119">
        <v>9036</v>
      </c>
    </row>
    <row r="4993" spans="2:3">
      <c r="B4993" s="118" t="s">
        <v>3519</v>
      </c>
      <c r="C4993" s="119">
        <v>9037</v>
      </c>
    </row>
    <row r="4994" spans="2:3">
      <c r="B4994" s="118" t="s">
        <v>3525</v>
      </c>
      <c r="C4994" s="119">
        <v>9405</v>
      </c>
    </row>
    <row r="4995" spans="2:3">
      <c r="B4995" s="118" t="s">
        <v>2650</v>
      </c>
      <c r="C4995" s="119">
        <v>9400</v>
      </c>
    </row>
    <row r="4996" spans="2:3">
      <c r="B4996" s="118" t="s">
        <v>2642</v>
      </c>
      <c r="C4996" s="119">
        <v>9403</v>
      </c>
    </row>
    <row r="4997" spans="2:3">
      <c r="B4997" s="118" t="s">
        <v>1870</v>
      </c>
      <c r="C4997" s="119">
        <v>9327</v>
      </c>
    </row>
    <row r="4998" spans="2:3">
      <c r="B4998" s="118" t="s">
        <v>1851</v>
      </c>
      <c r="C4998" s="119">
        <v>9402</v>
      </c>
    </row>
    <row r="4999" spans="2:3">
      <c r="B4999" s="118" t="s">
        <v>2650</v>
      </c>
      <c r="C4999" s="119">
        <v>9400</v>
      </c>
    </row>
    <row r="5000" spans="2:3">
      <c r="B5000" s="118" t="s">
        <v>2651</v>
      </c>
      <c r="C5000" s="119">
        <v>9404</v>
      </c>
    </row>
    <row r="5001" spans="2:3">
      <c r="B5001" s="118" t="s">
        <v>3525</v>
      </c>
      <c r="C5001" s="119">
        <v>9405</v>
      </c>
    </row>
    <row r="5002" spans="2:3">
      <c r="B5002" s="118" t="s">
        <v>3551</v>
      </c>
      <c r="C5002" s="119">
        <v>9422</v>
      </c>
    </row>
    <row r="5003" spans="2:3">
      <c r="B5003" s="118" t="s">
        <v>3549</v>
      </c>
      <c r="C5003" s="119">
        <v>9305</v>
      </c>
    </row>
    <row r="5004" spans="2:3">
      <c r="B5004" s="118" t="s">
        <v>1850</v>
      </c>
      <c r="C5004" s="119">
        <v>9323</v>
      </c>
    </row>
    <row r="5005" spans="2:3">
      <c r="B5005" s="118" t="s">
        <v>1936</v>
      </c>
      <c r="C5005" s="119">
        <v>9326</v>
      </c>
    </row>
    <row r="5006" spans="2:3">
      <c r="B5006" s="118" t="s">
        <v>1870</v>
      </c>
      <c r="C5006" s="119">
        <v>9327</v>
      </c>
    </row>
    <row r="5007" spans="2:3">
      <c r="B5007" s="118" t="s">
        <v>1874</v>
      </c>
      <c r="C5007" s="119">
        <v>9033</v>
      </c>
    </row>
    <row r="5008" spans="2:3">
      <c r="B5008" s="118" t="s">
        <v>2651</v>
      </c>
      <c r="C5008" s="119">
        <v>9404</v>
      </c>
    </row>
    <row r="5009" spans="2:3">
      <c r="B5009" s="118" t="s">
        <v>3552</v>
      </c>
      <c r="C5009" s="119">
        <v>9434</v>
      </c>
    </row>
    <row r="5010" spans="2:3">
      <c r="B5010" s="118" t="s">
        <v>3553</v>
      </c>
      <c r="C5010" s="119">
        <v>9435</v>
      </c>
    </row>
    <row r="5011" spans="2:3">
      <c r="B5011" s="118" t="s">
        <v>3553</v>
      </c>
      <c r="C5011" s="119">
        <v>9435</v>
      </c>
    </row>
    <row r="5012" spans="2:3">
      <c r="B5012" s="118" t="s">
        <v>1840</v>
      </c>
      <c r="C5012" s="119">
        <v>9436</v>
      </c>
    </row>
    <row r="5013" spans="2:3">
      <c r="B5013" s="118" t="s">
        <v>1841</v>
      </c>
      <c r="C5013" s="119">
        <v>9445</v>
      </c>
    </row>
    <row r="5014" spans="2:3">
      <c r="B5014" s="118" t="s">
        <v>3526</v>
      </c>
      <c r="C5014" s="119">
        <v>9411</v>
      </c>
    </row>
    <row r="5015" spans="2:3">
      <c r="B5015" s="118" t="s">
        <v>3552</v>
      </c>
      <c r="C5015" s="119">
        <v>9434</v>
      </c>
    </row>
    <row r="5016" spans="2:3">
      <c r="B5016" s="118" t="s">
        <v>3553</v>
      </c>
      <c r="C5016" s="119">
        <v>9435</v>
      </c>
    </row>
    <row r="5017" spans="2:3">
      <c r="B5017" s="118" t="s">
        <v>1845</v>
      </c>
      <c r="C5017" s="119">
        <v>9442</v>
      </c>
    </row>
    <row r="5018" spans="2:3">
      <c r="B5018" s="118" t="s">
        <v>3536</v>
      </c>
      <c r="C5018" s="119">
        <v>9442</v>
      </c>
    </row>
    <row r="5019" spans="2:3">
      <c r="B5019" s="118" t="s">
        <v>1840</v>
      </c>
      <c r="C5019" s="119">
        <v>9436</v>
      </c>
    </row>
    <row r="5020" spans="2:3">
      <c r="B5020" s="118" t="s">
        <v>2656</v>
      </c>
      <c r="C5020" s="119">
        <v>9443</v>
      </c>
    </row>
    <row r="5021" spans="2:3">
      <c r="B5021" s="118" t="s">
        <v>2638</v>
      </c>
      <c r="C5021" s="119">
        <v>9444</v>
      </c>
    </row>
    <row r="5022" spans="2:3">
      <c r="B5022" s="118" t="s">
        <v>1853</v>
      </c>
      <c r="C5022" s="119">
        <v>9424</v>
      </c>
    </row>
    <row r="5023" spans="2:3">
      <c r="B5023" s="118" t="s">
        <v>2653</v>
      </c>
      <c r="C5023" s="119">
        <v>9425</v>
      </c>
    </row>
    <row r="5024" spans="2:3">
      <c r="B5024" s="118" t="s">
        <v>1892</v>
      </c>
      <c r="C5024" s="119">
        <v>9426</v>
      </c>
    </row>
    <row r="5025" spans="2:3">
      <c r="B5025" s="118" t="s">
        <v>1853</v>
      </c>
      <c r="C5025" s="119">
        <v>9424</v>
      </c>
    </row>
    <row r="5026" spans="2:3">
      <c r="B5026" s="118" t="s">
        <v>1884</v>
      </c>
      <c r="C5026" s="119">
        <v>9428</v>
      </c>
    </row>
    <row r="5027" spans="2:3">
      <c r="B5027" s="118" t="s">
        <v>3554</v>
      </c>
      <c r="C5027" s="119">
        <v>9430</v>
      </c>
    </row>
    <row r="5028" spans="2:3">
      <c r="B5028" s="118" t="s">
        <v>2651</v>
      </c>
      <c r="C5028" s="119">
        <v>9404</v>
      </c>
    </row>
    <row r="5029" spans="2:3">
      <c r="B5029" s="118" t="s">
        <v>3551</v>
      </c>
      <c r="C5029" s="119">
        <v>9422</v>
      </c>
    </row>
    <row r="5030" spans="2:3">
      <c r="B5030" s="118" t="s">
        <v>3555</v>
      </c>
      <c r="C5030" s="119">
        <v>9423</v>
      </c>
    </row>
    <row r="5031" spans="2:3">
      <c r="B5031" s="118" t="s">
        <v>2653</v>
      </c>
      <c r="C5031" s="119">
        <v>9425</v>
      </c>
    </row>
    <row r="5032" spans="2:3">
      <c r="B5032" s="118" t="s">
        <v>3553</v>
      </c>
      <c r="C5032" s="119">
        <v>9435</v>
      </c>
    </row>
    <row r="5033" spans="2:3">
      <c r="B5033" s="118" t="s">
        <v>2656</v>
      </c>
      <c r="C5033" s="119">
        <v>9443</v>
      </c>
    </row>
    <row r="5034" spans="2:3">
      <c r="B5034" s="118" t="s">
        <v>3543</v>
      </c>
      <c r="C5034" s="119">
        <v>9058</v>
      </c>
    </row>
    <row r="5035" spans="2:3">
      <c r="B5035" s="118" t="s">
        <v>3518</v>
      </c>
      <c r="C5035" s="119">
        <v>9450</v>
      </c>
    </row>
    <row r="5036" spans="2:3">
      <c r="B5036" s="118" t="s">
        <v>3537</v>
      </c>
      <c r="C5036" s="119">
        <v>9450</v>
      </c>
    </row>
    <row r="5037" spans="2:3">
      <c r="B5037" s="118" t="s">
        <v>3556</v>
      </c>
      <c r="C5037" s="119">
        <v>9452</v>
      </c>
    </row>
    <row r="5038" spans="2:3">
      <c r="B5038" s="118" t="s">
        <v>1869</v>
      </c>
      <c r="C5038" s="119">
        <v>9453</v>
      </c>
    </row>
    <row r="5039" spans="2:3">
      <c r="B5039" s="118" t="s">
        <v>3557</v>
      </c>
      <c r="C5039" s="119">
        <v>9463</v>
      </c>
    </row>
    <row r="5040" spans="2:3">
      <c r="B5040" s="118" t="s">
        <v>3558</v>
      </c>
      <c r="C5040" s="119">
        <v>9464</v>
      </c>
    </row>
    <row r="5041" spans="2:3">
      <c r="B5041" s="118" t="s">
        <v>3559</v>
      </c>
      <c r="C5041" s="119">
        <v>9464</v>
      </c>
    </row>
    <row r="5042" spans="2:3">
      <c r="B5042" s="118" t="s">
        <v>3556</v>
      </c>
      <c r="C5042" s="119">
        <v>9452</v>
      </c>
    </row>
    <row r="5043" spans="2:3">
      <c r="B5043" s="118" t="s">
        <v>1869</v>
      </c>
      <c r="C5043" s="119">
        <v>9453</v>
      </c>
    </row>
    <row r="5044" spans="2:3">
      <c r="B5044" s="118" t="s">
        <v>3528</v>
      </c>
      <c r="C5044" s="119">
        <v>9437</v>
      </c>
    </row>
    <row r="5045" spans="2:3">
      <c r="B5045" s="118" t="s">
        <v>1840</v>
      </c>
      <c r="C5045" s="119">
        <v>9436</v>
      </c>
    </row>
    <row r="5046" spans="2:3">
      <c r="B5046" s="118" t="s">
        <v>3560</v>
      </c>
      <c r="C5046" s="119">
        <v>9451</v>
      </c>
    </row>
    <row r="5047" spans="2:3">
      <c r="B5047" s="118" t="s">
        <v>3561</v>
      </c>
      <c r="C5047" s="119">
        <v>9462</v>
      </c>
    </row>
    <row r="5048" spans="2:3">
      <c r="B5048" s="118" t="s">
        <v>3557</v>
      </c>
      <c r="C5048" s="119">
        <v>9463</v>
      </c>
    </row>
    <row r="5049" spans="2:3">
      <c r="B5049" s="118" t="s">
        <v>3528</v>
      </c>
      <c r="C5049" s="119">
        <v>9437</v>
      </c>
    </row>
    <row r="5050" spans="2:3">
      <c r="B5050" s="118" t="s">
        <v>1841</v>
      </c>
      <c r="C5050" s="119">
        <v>9445</v>
      </c>
    </row>
    <row r="5051" spans="2:3">
      <c r="B5051" s="118" t="s">
        <v>3557</v>
      </c>
      <c r="C5051" s="119">
        <v>9463</v>
      </c>
    </row>
    <row r="5052" spans="2:3">
      <c r="B5052" s="118" t="s">
        <v>3558</v>
      </c>
      <c r="C5052" s="119">
        <v>9464</v>
      </c>
    </row>
    <row r="5053" spans="2:3">
      <c r="B5053" s="118" t="s">
        <v>3559</v>
      </c>
      <c r="C5053" s="119">
        <v>9464</v>
      </c>
    </row>
    <row r="5054" spans="2:3">
      <c r="B5054" s="118" t="s">
        <v>3562</v>
      </c>
      <c r="C5054" s="119">
        <v>9469</v>
      </c>
    </row>
    <row r="5055" spans="2:3">
      <c r="B5055" s="118" t="s">
        <v>3563</v>
      </c>
      <c r="C5055" s="119">
        <v>9470</v>
      </c>
    </row>
    <row r="5056" spans="2:3">
      <c r="B5056" s="118" t="s">
        <v>1854</v>
      </c>
      <c r="C5056" s="119">
        <v>9473</v>
      </c>
    </row>
    <row r="5057" spans="2:3">
      <c r="B5057" s="118" t="s">
        <v>3564</v>
      </c>
      <c r="C5057" s="119">
        <v>9658</v>
      </c>
    </row>
    <row r="5058" spans="2:3">
      <c r="B5058" s="118" t="s">
        <v>3562</v>
      </c>
      <c r="C5058" s="119">
        <v>9469</v>
      </c>
    </row>
    <row r="5059" spans="2:3">
      <c r="B5059" s="118" t="s">
        <v>3563</v>
      </c>
      <c r="C5059" s="119">
        <v>9470</v>
      </c>
    </row>
    <row r="5060" spans="2:3">
      <c r="B5060" s="118" t="s">
        <v>3565</v>
      </c>
      <c r="C5060" s="119">
        <v>9470</v>
      </c>
    </row>
    <row r="5061" spans="2:3">
      <c r="B5061" s="118" t="s">
        <v>2644</v>
      </c>
      <c r="C5061" s="119">
        <v>9472</v>
      </c>
    </row>
    <row r="5062" spans="2:3">
      <c r="B5062" s="118" t="s">
        <v>3566</v>
      </c>
      <c r="C5062" s="119">
        <v>9472</v>
      </c>
    </row>
    <row r="5063" spans="2:3">
      <c r="B5063" s="118" t="s">
        <v>3564</v>
      </c>
      <c r="C5063" s="119">
        <v>9658</v>
      </c>
    </row>
    <row r="5064" spans="2:3">
      <c r="B5064" s="118" t="s">
        <v>3567</v>
      </c>
      <c r="C5064" s="119">
        <v>9465</v>
      </c>
    </row>
    <row r="5065" spans="2:3">
      <c r="B5065" s="118" t="s">
        <v>1830</v>
      </c>
      <c r="C5065" s="119">
        <v>9466</v>
      </c>
    </row>
    <row r="5066" spans="2:3">
      <c r="B5066" s="118" t="s">
        <v>3544</v>
      </c>
      <c r="C5066" s="119">
        <v>9467</v>
      </c>
    </row>
    <row r="5067" spans="2:3">
      <c r="B5067" s="118" t="s">
        <v>3568</v>
      </c>
      <c r="C5067" s="119">
        <v>9468</v>
      </c>
    </row>
    <row r="5068" spans="2:3">
      <c r="B5068" s="118" t="s">
        <v>3562</v>
      </c>
      <c r="C5068" s="119">
        <v>9469</v>
      </c>
    </row>
    <row r="5069" spans="2:3">
      <c r="B5069" s="118" t="s">
        <v>1854</v>
      </c>
      <c r="C5069" s="119">
        <v>9473</v>
      </c>
    </row>
    <row r="5070" spans="2:3">
      <c r="B5070" s="118" t="s">
        <v>3563</v>
      </c>
      <c r="C5070" s="119">
        <v>9470</v>
      </c>
    </row>
    <row r="5071" spans="2:3">
      <c r="B5071" s="118" t="s">
        <v>1833</v>
      </c>
      <c r="C5071" s="119">
        <v>9475</v>
      </c>
    </row>
    <row r="5072" spans="2:3">
      <c r="B5072" s="118" t="s">
        <v>3569</v>
      </c>
      <c r="C5072" s="119">
        <v>9476</v>
      </c>
    </row>
    <row r="5073" spans="2:3">
      <c r="B5073" s="118" t="s">
        <v>1829</v>
      </c>
      <c r="C5073" s="119">
        <v>7320</v>
      </c>
    </row>
    <row r="5074" spans="2:3">
      <c r="B5074" s="118" t="s">
        <v>3569</v>
      </c>
      <c r="C5074" s="119">
        <v>9476</v>
      </c>
    </row>
    <row r="5075" spans="2:3">
      <c r="B5075" s="118" t="s">
        <v>3570</v>
      </c>
      <c r="C5075" s="119">
        <v>9476</v>
      </c>
    </row>
    <row r="5076" spans="2:3">
      <c r="B5076" s="118" t="s">
        <v>3571</v>
      </c>
      <c r="C5076" s="119">
        <v>9477</v>
      </c>
    </row>
    <row r="5077" spans="2:3">
      <c r="B5077" s="118" t="s">
        <v>3572</v>
      </c>
      <c r="C5077" s="119">
        <v>9478</v>
      </c>
    </row>
    <row r="5078" spans="2:3">
      <c r="B5078" s="118" t="s">
        <v>3573</v>
      </c>
      <c r="C5078" s="119">
        <v>9479</v>
      </c>
    </row>
    <row r="5079" spans="2:3">
      <c r="B5079" s="118" t="s">
        <v>3574</v>
      </c>
      <c r="C5079" s="119">
        <v>9479</v>
      </c>
    </row>
    <row r="5080" spans="2:3">
      <c r="B5080" s="118" t="s">
        <v>3575</v>
      </c>
      <c r="C5080" s="119">
        <v>9479</v>
      </c>
    </row>
    <row r="5081" spans="2:3">
      <c r="B5081" s="118" t="s">
        <v>2636</v>
      </c>
      <c r="C5081" s="119">
        <v>7310</v>
      </c>
    </row>
    <row r="5082" spans="2:3">
      <c r="B5082" s="118" t="s">
        <v>3576</v>
      </c>
      <c r="C5082" s="119">
        <v>7317</v>
      </c>
    </row>
    <row r="5083" spans="2:3">
      <c r="B5083" s="118" t="s">
        <v>3577</v>
      </c>
      <c r="C5083" s="119">
        <v>8888</v>
      </c>
    </row>
    <row r="5084" spans="2:3">
      <c r="B5084" s="118" t="s">
        <v>1835</v>
      </c>
      <c r="C5084" s="119">
        <v>8890</v>
      </c>
    </row>
    <row r="5085" spans="2:3">
      <c r="B5085" s="118" t="s">
        <v>3578</v>
      </c>
      <c r="C5085" s="119">
        <v>8892</v>
      </c>
    </row>
    <row r="5086" spans="2:3">
      <c r="B5086" s="118" t="s">
        <v>3579</v>
      </c>
      <c r="C5086" s="119">
        <v>8893</v>
      </c>
    </row>
    <row r="5087" spans="2:3">
      <c r="B5087" s="118" t="s">
        <v>3580</v>
      </c>
      <c r="C5087" s="119">
        <v>8894</v>
      </c>
    </row>
    <row r="5088" spans="2:3">
      <c r="B5088" s="118" t="s">
        <v>3581</v>
      </c>
      <c r="C5088" s="119">
        <v>8895</v>
      </c>
    </row>
    <row r="5089" spans="2:3">
      <c r="B5089" s="118" t="s">
        <v>3582</v>
      </c>
      <c r="C5089" s="119">
        <v>8896</v>
      </c>
    </row>
    <row r="5090" spans="2:3">
      <c r="B5090" s="118" t="s">
        <v>3583</v>
      </c>
      <c r="C5090" s="119">
        <v>8897</v>
      </c>
    </row>
    <row r="5091" spans="2:3">
      <c r="B5091" s="118" t="s">
        <v>3584</v>
      </c>
      <c r="C5091" s="119">
        <v>8898</v>
      </c>
    </row>
    <row r="5092" spans="2:3">
      <c r="B5092" s="118" t="s">
        <v>3585</v>
      </c>
      <c r="C5092" s="119">
        <v>7325</v>
      </c>
    </row>
    <row r="5093" spans="2:3">
      <c r="B5093" s="118" t="s">
        <v>3586</v>
      </c>
      <c r="C5093" s="119">
        <v>7326</v>
      </c>
    </row>
    <row r="5094" spans="2:3">
      <c r="B5094" s="118" t="s">
        <v>3587</v>
      </c>
      <c r="C5094" s="119">
        <v>8886</v>
      </c>
    </row>
    <row r="5095" spans="2:3">
      <c r="B5095" s="118" t="s">
        <v>2646</v>
      </c>
      <c r="C5095" s="119">
        <v>8887</v>
      </c>
    </row>
    <row r="5096" spans="2:3">
      <c r="B5096" s="118" t="s">
        <v>3577</v>
      </c>
      <c r="C5096" s="119">
        <v>8888</v>
      </c>
    </row>
    <row r="5097" spans="2:3">
      <c r="B5097" s="118" t="s">
        <v>3588</v>
      </c>
      <c r="C5097" s="119">
        <v>8889</v>
      </c>
    </row>
    <row r="5098" spans="2:3">
      <c r="B5098" s="118" t="s">
        <v>1866</v>
      </c>
      <c r="C5098" s="119">
        <v>7312</v>
      </c>
    </row>
    <row r="5099" spans="2:3">
      <c r="B5099" s="118" t="s">
        <v>3589</v>
      </c>
      <c r="C5099" s="119">
        <v>7313</v>
      </c>
    </row>
    <row r="5100" spans="2:3">
      <c r="B5100" s="118" t="s">
        <v>3590</v>
      </c>
      <c r="C5100" s="119">
        <v>7314</v>
      </c>
    </row>
    <row r="5101" spans="2:3">
      <c r="B5101" s="118" t="s">
        <v>3591</v>
      </c>
      <c r="C5101" s="119">
        <v>7315</v>
      </c>
    </row>
    <row r="5102" spans="2:3">
      <c r="B5102" s="118" t="s">
        <v>3576</v>
      </c>
      <c r="C5102" s="119">
        <v>7317</v>
      </c>
    </row>
    <row r="5103" spans="2:3">
      <c r="B5103" s="118" t="s">
        <v>3592</v>
      </c>
      <c r="C5103" s="119">
        <v>7317</v>
      </c>
    </row>
    <row r="5104" spans="2:3">
      <c r="B5104" s="118" t="s">
        <v>3593</v>
      </c>
      <c r="C5104" s="119">
        <v>8877</v>
      </c>
    </row>
    <row r="5105" spans="2:3">
      <c r="B5105" s="118" t="s">
        <v>3594</v>
      </c>
      <c r="C5105" s="119">
        <v>8878</v>
      </c>
    </row>
    <row r="5106" spans="2:3">
      <c r="B5106" s="118" t="s">
        <v>3595</v>
      </c>
      <c r="C5106" s="119">
        <v>8882</v>
      </c>
    </row>
    <row r="5107" spans="2:3">
      <c r="B5107" s="118" t="s">
        <v>2649</v>
      </c>
      <c r="C5107" s="119">
        <v>8883</v>
      </c>
    </row>
    <row r="5108" spans="2:3">
      <c r="B5108" s="118" t="s">
        <v>3596</v>
      </c>
      <c r="C5108" s="119">
        <v>8884</v>
      </c>
    </row>
    <row r="5109" spans="2:3">
      <c r="B5109" s="118" t="s">
        <v>3597</v>
      </c>
      <c r="C5109" s="119">
        <v>8885</v>
      </c>
    </row>
    <row r="5110" spans="2:3">
      <c r="B5110" s="118" t="s">
        <v>3582</v>
      </c>
      <c r="C5110" s="119">
        <v>8896</v>
      </c>
    </row>
    <row r="5111" spans="2:3">
      <c r="B5111" s="118" t="s">
        <v>3584</v>
      </c>
      <c r="C5111" s="119">
        <v>8898</v>
      </c>
    </row>
    <row r="5112" spans="2:3">
      <c r="B5112" s="118" t="s">
        <v>1829</v>
      </c>
      <c r="C5112" s="119">
        <v>7320</v>
      </c>
    </row>
    <row r="5113" spans="2:3">
      <c r="B5113" s="118" t="s">
        <v>3577</v>
      </c>
      <c r="C5113" s="119">
        <v>8888</v>
      </c>
    </row>
    <row r="5114" spans="2:3">
      <c r="B5114" s="118" t="s">
        <v>3598</v>
      </c>
      <c r="C5114" s="119">
        <v>7323</v>
      </c>
    </row>
    <row r="5115" spans="2:3">
      <c r="B5115" s="118" t="s">
        <v>3598</v>
      </c>
      <c r="C5115" s="119">
        <v>7323</v>
      </c>
    </row>
    <row r="5116" spans="2:3">
      <c r="B5116" s="118" t="s">
        <v>3599</v>
      </c>
      <c r="C5116" s="119">
        <v>7324</v>
      </c>
    </row>
    <row r="5117" spans="2:3">
      <c r="B5117" s="118" t="s">
        <v>3594</v>
      </c>
      <c r="C5117" s="119">
        <v>8878</v>
      </c>
    </row>
    <row r="5118" spans="2:3">
      <c r="B5118" s="118" t="s">
        <v>1827</v>
      </c>
      <c r="C5118" s="119">
        <v>8880</v>
      </c>
    </row>
    <row r="5119" spans="2:3">
      <c r="B5119" s="118" t="s">
        <v>3600</v>
      </c>
      <c r="C5119" s="119">
        <v>8881</v>
      </c>
    </row>
    <row r="5120" spans="2:3">
      <c r="B5120" s="118" t="s">
        <v>3601</v>
      </c>
      <c r="C5120" s="119">
        <v>8881</v>
      </c>
    </row>
    <row r="5121" spans="2:3">
      <c r="B5121" s="118" t="s">
        <v>1835</v>
      </c>
      <c r="C5121" s="119">
        <v>8890</v>
      </c>
    </row>
    <row r="5122" spans="2:3">
      <c r="B5122" s="118" t="s">
        <v>3578</v>
      </c>
      <c r="C5122" s="119">
        <v>8892</v>
      </c>
    </row>
    <row r="5123" spans="2:3">
      <c r="B5123" s="118" t="s">
        <v>3579</v>
      </c>
      <c r="C5123" s="119">
        <v>8893</v>
      </c>
    </row>
    <row r="5124" spans="2:3">
      <c r="B5124" s="118" t="s">
        <v>3582</v>
      </c>
      <c r="C5124" s="119">
        <v>8896</v>
      </c>
    </row>
    <row r="5125" spans="2:3">
      <c r="B5125" s="118" t="s">
        <v>1865</v>
      </c>
      <c r="C5125" s="119">
        <v>8872</v>
      </c>
    </row>
    <row r="5126" spans="2:3">
      <c r="B5126" s="118" t="s">
        <v>1864</v>
      </c>
      <c r="C5126" s="119">
        <v>8873</v>
      </c>
    </row>
    <row r="5127" spans="2:3">
      <c r="B5127" s="118" t="s">
        <v>3602</v>
      </c>
      <c r="C5127" s="119">
        <v>8717</v>
      </c>
    </row>
    <row r="5128" spans="2:3">
      <c r="B5128" s="118" t="s">
        <v>3196</v>
      </c>
      <c r="C5128" s="119">
        <v>8863</v>
      </c>
    </row>
    <row r="5129" spans="2:3">
      <c r="B5129" s="118" t="s">
        <v>3602</v>
      </c>
      <c r="C5129" s="119">
        <v>8717</v>
      </c>
    </row>
    <row r="5130" spans="2:3">
      <c r="B5130" s="118" t="s">
        <v>1837</v>
      </c>
      <c r="C5130" s="119">
        <v>8722</v>
      </c>
    </row>
    <row r="5131" spans="2:3">
      <c r="B5131" s="118" t="s">
        <v>1846</v>
      </c>
      <c r="C5131" s="119">
        <v>8718</v>
      </c>
    </row>
    <row r="5132" spans="2:3">
      <c r="B5132" s="118" t="s">
        <v>1837</v>
      </c>
      <c r="C5132" s="119">
        <v>8722</v>
      </c>
    </row>
    <row r="5133" spans="2:3">
      <c r="B5133" s="118" t="s">
        <v>3603</v>
      </c>
      <c r="C5133" s="119">
        <v>8723</v>
      </c>
    </row>
    <row r="5134" spans="2:3">
      <c r="B5134" s="118" t="s">
        <v>3604</v>
      </c>
      <c r="C5134" s="119">
        <v>8723</v>
      </c>
    </row>
    <row r="5135" spans="2:3">
      <c r="B5135" s="118" t="s">
        <v>3232</v>
      </c>
      <c r="C5135" s="119">
        <v>8866</v>
      </c>
    </row>
    <row r="5136" spans="2:3">
      <c r="B5136" s="118" t="s">
        <v>1865</v>
      </c>
      <c r="C5136" s="119">
        <v>8872</v>
      </c>
    </row>
    <row r="5137" spans="2:3">
      <c r="B5137" s="118" t="s">
        <v>1848</v>
      </c>
      <c r="C5137" s="119">
        <v>8716</v>
      </c>
    </row>
    <row r="5138" spans="2:3">
      <c r="B5138" s="118" t="s">
        <v>1825</v>
      </c>
      <c r="C5138" s="119">
        <v>8730</v>
      </c>
    </row>
    <row r="5139" spans="2:3">
      <c r="B5139" s="118" t="s">
        <v>1848</v>
      </c>
      <c r="C5139" s="119">
        <v>8716</v>
      </c>
    </row>
    <row r="5140" spans="2:3">
      <c r="B5140" s="118" t="s">
        <v>1825</v>
      </c>
      <c r="C5140" s="119">
        <v>8730</v>
      </c>
    </row>
    <row r="5141" spans="2:3">
      <c r="B5141" s="118" t="s">
        <v>2779</v>
      </c>
      <c r="C5141" s="119">
        <v>8630</v>
      </c>
    </row>
    <row r="5142" spans="2:3">
      <c r="B5142" s="118" t="s">
        <v>2811</v>
      </c>
      <c r="C5142" s="119">
        <v>8633</v>
      </c>
    </row>
    <row r="5143" spans="2:3">
      <c r="B5143" s="118" t="s">
        <v>1624</v>
      </c>
      <c r="C5143" s="119">
        <v>8640</v>
      </c>
    </row>
    <row r="5144" spans="2:3">
      <c r="B5144" s="118" t="s">
        <v>1623</v>
      </c>
      <c r="C5144" s="119">
        <v>8645</v>
      </c>
    </row>
    <row r="5145" spans="2:3">
      <c r="B5145" s="118" t="s">
        <v>1621</v>
      </c>
      <c r="C5145" s="119">
        <v>8646</v>
      </c>
    </row>
    <row r="5146" spans="2:3">
      <c r="B5146" s="118" t="s">
        <v>2729</v>
      </c>
      <c r="C5146" s="119">
        <v>8714</v>
      </c>
    </row>
    <row r="5147" spans="2:3">
      <c r="B5147" s="118" t="s">
        <v>1622</v>
      </c>
      <c r="C5147" s="119">
        <v>8715</v>
      </c>
    </row>
    <row r="5148" spans="2:3">
      <c r="B5148" s="118" t="s">
        <v>3605</v>
      </c>
      <c r="C5148" s="119">
        <v>8734</v>
      </c>
    </row>
    <row r="5149" spans="2:3">
      <c r="B5149" s="118" t="s">
        <v>3606</v>
      </c>
      <c r="C5149" s="119">
        <v>8725</v>
      </c>
    </row>
    <row r="5150" spans="2:3">
      <c r="B5150" s="118" t="s">
        <v>3607</v>
      </c>
      <c r="C5150" s="119">
        <v>8725</v>
      </c>
    </row>
    <row r="5151" spans="2:3">
      <c r="B5151" s="118" t="s">
        <v>3608</v>
      </c>
      <c r="C5151" s="119">
        <v>8726</v>
      </c>
    </row>
    <row r="5152" spans="2:3">
      <c r="B5152" s="118" t="s">
        <v>1825</v>
      </c>
      <c r="C5152" s="119">
        <v>8730</v>
      </c>
    </row>
    <row r="5153" spans="2:3">
      <c r="B5153" s="118" t="s">
        <v>1832</v>
      </c>
      <c r="C5153" s="119">
        <v>8737</v>
      </c>
    </row>
    <row r="5154" spans="2:3">
      <c r="B5154" s="118" t="s">
        <v>3609</v>
      </c>
      <c r="C5154" s="119">
        <v>8738</v>
      </c>
    </row>
    <row r="5155" spans="2:3">
      <c r="B5155" s="118" t="s">
        <v>3610</v>
      </c>
      <c r="C5155" s="119">
        <v>8739</v>
      </c>
    </row>
    <row r="5156" spans="2:3">
      <c r="B5156" s="118" t="s">
        <v>2799</v>
      </c>
      <c r="C5156" s="119">
        <v>8636</v>
      </c>
    </row>
    <row r="5157" spans="2:3">
      <c r="B5157" s="118" t="s">
        <v>2756</v>
      </c>
      <c r="C5157" s="119">
        <v>8637</v>
      </c>
    </row>
    <row r="5158" spans="2:3">
      <c r="B5158" s="118" t="s">
        <v>3611</v>
      </c>
      <c r="C5158" s="119">
        <v>8638</v>
      </c>
    </row>
    <row r="5159" spans="2:3">
      <c r="B5159" s="118" t="s">
        <v>3607</v>
      </c>
      <c r="C5159" s="119">
        <v>8725</v>
      </c>
    </row>
    <row r="5160" spans="2:3">
      <c r="B5160" s="118" t="s">
        <v>3612</v>
      </c>
      <c r="C5160" s="119">
        <v>8727</v>
      </c>
    </row>
    <row r="5161" spans="2:3">
      <c r="B5161" s="118" t="s">
        <v>3613</v>
      </c>
      <c r="C5161" s="119">
        <v>8732</v>
      </c>
    </row>
    <row r="5162" spans="2:3">
      <c r="B5162" s="118" t="s">
        <v>3614</v>
      </c>
      <c r="C5162" s="119">
        <v>8733</v>
      </c>
    </row>
    <row r="5163" spans="2:3">
      <c r="B5163" s="118" t="s">
        <v>3605</v>
      </c>
      <c r="C5163" s="119">
        <v>8734</v>
      </c>
    </row>
    <row r="5164" spans="2:3">
      <c r="B5164" s="118" t="s">
        <v>3615</v>
      </c>
      <c r="C5164" s="119">
        <v>8735</v>
      </c>
    </row>
    <row r="5165" spans="2:3">
      <c r="B5165" s="118" t="s">
        <v>3616</v>
      </c>
      <c r="C5165" s="119">
        <v>8735</v>
      </c>
    </row>
    <row r="5166" spans="2:3">
      <c r="B5166" s="118" t="s">
        <v>1875</v>
      </c>
      <c r="C5166" s="119">
        <v>9633</v>
      </c>
    </row>
    <row r="5167" spans="2:3">
      <c r="B5167" s="118" t="s">
        <v>1834</v>
      </c>
      <c r="C5167" s="119">
        <v>9642</v>
      </c>
    </row>
    <row r="5168" spans="2:3">
      <c r="B5168" s="118" t="s">
        <v>3617</v>
      </c>
      <c r="C5168" s="119">
        <v>9643</v>
      </c>
    </row>
    <row r="5169" spans="2:3">
      <c r="B5169" s="118" t="s">
        <v>1883</v>
      </c>
      <c r="C5169" s="119">
        <v>9107</v>
      </c>
    </row>
    <row r="5170" spans="2:3">
      <c r="B5170" s="118" t="s">
        <v>3618</v>
      </c>
      <c r="C5170" s="119">
        <v>9656</v>
      </c>
    </row>
    <row r="5171" spans="2:3">
      <c r="B5171" s="118" t="s">
        <v>3619</v>
      </c>
      <c r="C5171" s="119">
        <v>9657</v>
      </c>
    </row>
    <row r="5172" spans="2:3">
      <c r="B5172" s="118" t="s">
        <v>3564</v>
      </c>
      <c r="C5172" s="119">
        <v>9658</v>
      </c>
    </row>
    <row r="5173" spans="2:3">
      <c r="B5173" s="118" t="s">
        <v>1883</v>
      </c>
      <c r="C5173" s="119">
        <v>9107</v>
      </c>
    </row>
    <row r="5174" spans="2:3">
      <c r="B5174" s="118" t="s">
        <v>1875</v>
      </c>
      <c r="C5174" s="119">
        <v>9633</v>
      </c>
    </row>
    <row r="5175" spans="2:3">
      <c r="B5175" s="118" t="s">
        <v>3617</v>
      </c>
      <c r="C5175" s="119">
        <v>9643</v>
      </c>
    </row>
    <row r="5176" spans="2:3">
      <c r="B5176" s="118" t="s">
        <v>1849</v>
      </c>
      <c r="C5176" s="119">
        <v>9650</v>
      </c>
    </row>
    <row r="5177" spans="2:3">
      <c r="B5177" s="118" t="s">
        <v>3620</v>
      </c>
      <c r="C5177" s="119">
        <v>9651</v>
      </c>
    </row>
    <row r="5178" spans="2:3">
      <c r="B5178" s="118" t="s">
        <v>3621</v>
      </c>
      <c r="C5178" s="119">
        <v>9652</v>
      </c>
    </row>
    <row r="5179" spans="2:3">
      <c r="B5179" s="118" t="s">
        <v>3622</v>
      </c>
      <c r="C5179" s="119">
        <v>9655</v>
      </c>
    </row>
    <row r="5180" spans="2:3">
      <c r="B5180" s="118" t="s">
        <v>1863</v>
      </c>
      <c r="C5180" s="119">
        <v>9620</v>
      </c>
    </row>
    <row r="5181" spans="2:3">
      <c r="B5181" s="118" t="s">
        <v>3608</v>
      </c>
      <c r="C5181" s="119">
        <v>8726</v>
      </c>
    </row>
    <row r="5182" spans="2:3">
      <c r="B5182" s="118" t="s">
        <v>3623</v>
      </c>
      <c r="C5182" s="119">
        <v>9615</v>
      </c>
    </row>
    <row r="5183" spans="2:3">
      <c r="B5183" s="118" t="s">
        <v>1863</v>
      </c>
      <c r="C5183" s="119">
        <v>9620</v>
      </c>
    </row>
    <row r="5184" spans="2:3">
      <c r="B5184" s="118" t="s">
        <v>3624</v>
      </c>
      <c r="C5184" s="119">
        <v>9622</v>
      </c>
    </row>
    <row r="5185" spans="2:3">
      <c r="B5185" s="118" t="s">
        <v>2655</v>
      </c>
      <c r="C5185" s="119">
        <v>9630</v>
      </c>
    </row>
    <row r="5186" spans="2:3">
      <c r="B5186" s="118" t="s">
        <v>3625</v>
      </c>
      <c r="C5186" s="119">
        <v>9631</v>
      </c>
    </row>
    <row r="5187" spans="2:3">
      <c r="B5187" s="118" t="s">
        <v>1875</v>
      </c>
      <c r="C5187" s="119">
        <v>9633</v>
      </c>
    </row>
    <row r="5188" spans="2:3">
      <c r="B5188" s="118" t="s">
        <v>1834</v>
      </c>
      <c r="C5188" s="119">
        <v>9642</v>
      </c>
    </row>
    <row r="5189" spans="2:3">
      <c r="B5189" s="118" t="s">
        <v>1937</v>
      </c>
      <c r="C5189" s="119">
        <v>8376</v>
      </c>
    </row>
    <row r="5190" spans="2:3">
      <c r="B5190" s="118" t="s">
        <v>1626</v>
      </c>
      <c r="C5190" s="119">
        <v>9500</v>
      </c>
    </row>
    <row r="5191" spans="2:3">
      <c r="B5191" s="118" t="s">
        <v>3626</v>
      </c>
      <c r="C5191" s="119">
        <v>9532</v>
      </c>
    </row>
    <row r="5192" spans="2:3">
      <c r="B5192" s="118" t="s">
        <v>3627</v>
      </c>
      <c r="C5192" s="119">
        <v>9533</v>
      </c>
    </row>
    <row r="5193" spans="2:3">
      <c r="B5193" s="118" t="s">
        <v>3628</v>
      </c>
      <c r="C5193" s="119">
        <v>9533</v>
      </c>
    </row>
    <row r="5194" spans="2:3">
      <c r="B5194" s="118" t="s">
        <v>3629</v>
      </c>
      <c r="C5194" s="119">
        <v>9534</v>
      </c>
    </row>
    <row r="5195" spans="2:3">
      <c r="B5195" s="118" t="s">
        <v>3630</v>
      </c>
      <c r="C5195" s="119">
        <v>9601</v>
      </c>
    </row>
    <row r="5196" spans="2:3">
      <c r="B5196" s="118" t="s">
        <v>3631</v>
      </c>
      <c r="C5196" s="119">
        <v>9602</v>
      </c>
    </row>
    <row r="5197" spans="2:3">
      <c r="B5197" s="118" t="s">
        <v>3632</v>
      </c>
      <c r="C5197" s="119">
        <v>9602</v>
      </c>
    </row>
    <row r="5198" spans="2:3">
      <c r="B5198" s="118" t="s">
        <v>3633</v>
      </c>
      <c r="C5198" s="119">
        <v>9613</v>
      </c>
    </row>
    <row r="5199" spans="2:3">
      <c r="B5199" s="118" t="s">
        <v>3634</v>
      </c>
      <c r="C5199" s="119">
        <v>9123</v>
      </c>
    </row>
    <row r="5200" spans="2:3">
      <c r="B5200" s="118" t="s">
        <v>1847</v>
      </c>
      <c r="C5200" s="119">
        <v>9243</v>
      </c>
    </row>
    <row r="5201" spans="2:3">
      <c r="B5201" s="118" t="s">
        <v>3630</v>
      </c>
      <c r="C5201" s="119">
        <v>9601</v>
      </c>
    </row>
    <row r="5202" spans="2:3">
      <c r="B5202" s="118" t="s">
        <v>3631</v>
      </c>
      <c r="C5202" s="119">
        <v>9602</v>
      </c>
    </row>
    <row r="5203" spans="2:3">
      <c r="B5203" s="118" t="s">
        <v>1867</v>
      </c>
      <c r="C5203" s="119">
        <v>9604</v>
      </c>
    </row>
    <row r="5204" spans="2:3">
      <c r="B5204" s="118" t="s">
        <v>3635</v>
      </c>
      <c r="C5204" s="119">
        <v>9604</v>
      </c>
    </row>
    <row r="5205" spans="2:3">
      <c r="B5205" s="118" t="s">
        <v>3636</v>
      </c>
      <c r="C5205" s="119">
        <v>9604</v>
      </c>
    </row>
    <row r="5206" spans="2:3">
      <c r="B5206" s="118" t="s">
        <v>3637</v>
      </c>
      <c r="C5206" s="119">
        <v>9608</v>
      </c>
    </row>
    <row r="5207" spans="2:3">
      <c r="B5207" s="118" t="s">
        <v>3638</v>
      </c>
      <c r="C5207" s="119">
        <v>8376</v>
      </c>
    </row>
    <row r="5208" spans="2:3">
      <c r="B5208" s="118" t="s">
        <v>2787</v>
      </c>
      <c r="C5208" s="119">
        <v>8496</v>
      </c>
    </row>
    <row r="5209" spans="2:3">
      <c r="B5209" s="118" t="s">
        <v>3630</v>
      </c>
      <c r="C5209" s="119">
        <v>9601</v>
      </c>
    </row>
    <row r="5210" spans="2:3">
      <c r="B5210" s="118" t="s">
        <v>1857</v>
      </c>
      <c r="C5210" s="119">
        <v>9607</v>
      </c>
    </row>
    <row r="5211" spans="2:3">
      <c r="B5211" s="118" t="s">
        <v>3639</v>
      </c>
      <c r="C5211" s="119">
        <v>9612</v>
      </c>
    </row>
    <row r="5212" spans="2:3">
      <c r="B5212" s="118" t="s">
        <v>3633</v>
      </c>
      <c r="C5212" s="119">
        <v>9613</v>
      </c>
    </row>
    <row r="5213" spans="2:3">
      <c r="B5213" s="118" t="s">
        <v>3640</v>
      </c>
      <c r="C5213" s="119">
        <v>9614</v>
      </c>
    </row>
    <row r="5214" spans="2:3">
      <c r="B5214" s="118" t="s">
        <v>3623</v>
      </c>
      <c r="C5214" s="119">
        <v>9615</v>
      </c>
    </row>
    <row r="5215" spans="2:3">
      <c r="B5215" s="118" t="s">
        <v>2655</v>
      </c>
      <c r="C5215" s="119">
        <v>9630</v>
      </c>
    </row>
    <row r="5216" spans="2:3">
      <c r="B5216" s="118" t="s">
        <v>3630</v>
      </c>
      <c r="C5216" s="119">
        <v>9601</v>
      </c>
    </row>
    <row r="5217" spans="2:3">
      <c r="B5217" s="118" t="s">
        <v>3641</v>
      </c>
      <c r="C5217" s="119">
        <v>9606</v>
      </c>
    </row>
    <row r="5218" spans="2:3">
      <c r="B5218" s="118" t="s">
        <v>3637</v>
      </c>
      <c r="C5218" s="119">
        <v>9608</v>
      </c>
    </row>
    <row r="5219" spans="2:3">
      <c r="B5219" s="118" t="s">
        <v>3640</v>
      </c>
      <c r="C5219" s="119">
        <v>9614</v>
      </c>
    </row>
    <row r="5220" spans="2:3">
      <c r="B5220" s="118" t="s">
        <v>3623</v>
      </c>
      <c r="C5220" s="119">
        <v>9615</v>
      </c>
    </row>
    <row r="5221" spans="2:3">
      <c r="B5221" s="118" t="s">
        <v>1863</v>
      </c>
      <c r="C5221" s="119">
        <v>9620</v>
      </c>
    </row>
    <row r="5222" spans="2:3">
      <c r="B5222" s="118" t="s">
        <v>1872</v>
      </c>
      <c r="C5222" s="119">
        <v>9621</v>
      </c>
    </row>
    <row r="5223" spans="2:3">
      <c r="B5223" s="118" t="s">
        <v>1890</v>
      </c>
      <c r="C5223" s="119">
        <v>9103</v>
      </c>
    </row>
    <row r="5224" spans="2:3">
      <c r="B5224" s="118" t="s">
        <v>1897</v>
      </c>
      <c r="C5224" s="119">
        <v>9105</v>
      </c>
    </row>
    <row r="5225" spans="2:3">
      <c r="B5225" s="118" t="s">
        <v>1883</v>
      </c>
      <c r="C5225" s="119">
        <v>9107</v>
      </c>
    </row>
    <row r="5226" spans="2:3">
      <c r="B5226" s="118" t="s">
        <v>1844</v>
      </c>
      <c r="C5226" s="119">
        <v>9113</v>
      </c>
    </row>
    <row r="5227" spans="2:3">
      <c r="B5227" s="118" t="s">
        <v>3642</v>
      </c>
      <c r="C5227" s="119">
        <v>9114</v>
      </c>
    </row>
    <row r="5228" spans="2:3">
      <c r="B5228" s="118" t="s">
        <v>3643</v>
      </c>
      <c r="C5228" s="119">
        <v>9115</v>
      </c>
    </row>
    <row r="5229" spans="2:3">
      <c r="B5229" s="118" t="s">
        <v>3644</v>
      </c>
      <c r="C5229" s="119">
        <v>9116</v>
      </c>
    </row>
    <row r="5230" spans="2:3">
      <c r="B5230" s="118" t="s">
        <v>3645</v>
      </c>
      <c r="C5230" s="119">
        <v>9122</v>
      </c>
    </row>
    <row r="5231" spans="2:3">
      <c r="B5231" s="118" t="s">
        <v>3646</v>
      </c>
      <c r="C5231" s="119">
        <v>9122</v>
      </c>
    </row>
    <row r="5232" spans="2:3">
      <c r="B5232" s="118" t="s">
        <v>3634</v>
      </c>
      <c r="C5232" s="119">
        <v>9123</v>
      </c>
    </row>
    <row r="5233" spans="2:3">
      <c r="B5233" s="118" t="s">
        <v>3647</v>
      </c>
      <c r="C5233" s="119">
        <v>9125</v>
      </c>
    </row>
    <row r="5234" spans="2:3">
      <c r="B5234" s="118" t="s">
        <v>3648</v>
      </c>
      <c r="C5234" s="119">
        <v>9126</v>
      </c>
    </row>
    <row r="5235" spans="2:3">
      <c r="B5235" s="118" t="s">
        <v>3649</v>
      </c>
      <c r="C5235" s="119">
        <v>9127</v>
      </c>
    </row>
    <row r="5236" spans="2:3">
      <c r="B5236" s="118" t="s">
        <v>1863</v>
      </c>
      <c r="C5236" s="119">
        <v>9620</v>
      </c>
    </row>
    <row r="5237" spans="2:3">
      <c r="B5237" s="118" t="s">
        <v>1872</v>
      </c>
      <c r="C5237" s="119">
        <v>9621</v>
      </c>
    </row>
    <row r="5238" spans="2:3">
      <c r="B5238" s="118" t="s">
        <v>2655</v>
      </c>
      <c r="C5238" s="119">
        <v>9630</v>
      </c>
    </row>
    <row r="5239" spans="2:3">
      <c r="B5239" s="118" t="s">
        <v>1875</v>
      </c>
      <c r="C5239" s="119">
        <v>9633</v>
      </c>
    </row>
    <row r="5240" spans="2:3">
      <c r="B5240" s="118" t="s">
        <v>3650</v>
      </c>
      <c r="C5240" s="119">
        <v>9633</v>
      </c>
    </row>
    <row r="5241" spans="2:3">
      <c r="B5241" s="118" t="s">
        <v>1844</v>
      </c>
      <c r="C5241" s="119">
        <v>9113</v>
      </c>
    </row>
    <row r="5242" spans="2:3">
      <c r="B5242" s="118" t="s">
        <v>3644</v>
      </c>
      <c r="C5242" s="119">
        <v>9116</v>
      </c>
    </row>
    <row r="5243" spans="2:3">
      <c r="B5243" s="118" t="s">
        <v>2640</v>
      </c>
      <c r="C5243" s="119">
        <v>9230</v>
      </c>
    </row>
    <row r="5244" spans="2:3">
      <c r="B5244" s="118" t="s">
        <v>1844</v>
      </c>
      <c r="C5244" s="119">
        <v>9113</v>
      </c>
    </row>
    <row r="5245" spans="2:3">
      <c r="B5245" s="118" t="s">
        <v>1629</v>
      </c>
      <c r="C5245" s="119">
        <v>9200</v>
      </c>
    </row>
    <row r="5246" spans="2:3">
      <c r="B5246" s="118" t="s">
        <v>2640</v>
      </c>
      <c r="C5246" s="119">
        <v>9230</v>
      </c>
    </row>
    <row r="5247" spans="2:3">
      <c r="B5247" s="118" t="s">
        <v>3651</v>
      </c>
      <c r="C5247" s="119">
        <v>9231</v>
      </c>
    </row>
    <row r="5248" spans="2:3">
      <c r="B5248" s="118" t="s">
        <v>2648</v>
      </c>
      <c r="C5248" s="119">
        <v>9242</v>
      </c>
    </row>
    <row r="5249" spans="2:3">
      <c r="B5249" s="118" t="s">
        <v>1847</v>
      </c>
      <c r="C5249" s="119">
        <v>9243</v>
      </c>
    </row>
    <row r="5250" spans="2:3">
      <c r="B5250" s="118" t="s">
        <v>3626</v>
      </c>
      <c r="C5250" s="119">
        <v>9532</v>
      </c>
    </row>
    <row r="5251" spans="2:3">
      <c r="B5251" s="118" t="s">
        <v>3652</v>
      </c>
      <c r="C5251" s="119">
        <v>9536</v>
      </c>
    </row>
    <row r="5252" spans="2:3">
      <c r="B5252" s="118" t="s">
        <v>3635</v>
      </c>
      <c r="C5252" s="119">
        <v>9604</v>
      </c>
    </row>
    <row r="5253" spans="2:3">
      <c r="B5253" s="118" t="s">
        <v>2640</v>
      </c>
      <c r="C5253" s="119">
        <v>9230</v>
      </c>
    </row>
    <row r="5254" spans="2:3">
      <c r="B5254" s="118" t="s">
        <v>3653</v>
      </c>
      <c r="C5254" s="119">
        <v>9240</v>
      </c>
    </row>
    <row r="5255" spans="2:3">
      <c r="B5255" s="118" t="s">
        <v>2648</v>
      </c>
      <c r="C5255" s="119">
        <v>9242</v>
      </c>
    </row>
    <row r="5256" spans="2:3">
      <c r="B5256" s="118" t="s">
        <v>3654</v>
      </c>
      <c r="C5256" s="119">
        <v>9244</v>
      </c>
    </row>
    <row r="5257" spans="2:3">
      <c r="B5257" s="118" t="s">
        <v>3655</v>
      </c>
      <c r="C5257" s="119">
        <v>9248</v>
      </c>
    </row>
    <row r="5258" spans="2:3">
      <c r="B5258" s="118" t="s">
        <v>3635</v>
      </c>
      <c r="C5258" s="119">
        <v>9604</v>
      </c>
    </row>
    <row r="5259" spans="2:3">
      <c r="B5259" s="118" t="s">
        <v>2654</v>
      </c>
      <c r="C5259" s="119">
        <v>9240</v>
      </c>
    </row>
    <row r="5260" spans="2:3">
      <c r="B5260" s="118" t="s">
        <v>2648</v>
      </c>
      <c r="C5260" s="119">
        <v>9242</v>
      </c>
    </row>
    <row r="5261" spans="2:3">
      <c r="B5261" s="118" t="s">
        <v>3654</v>
      </c>
      <c r="C5261" s="119">
        <v>9244</v>
      </c>
    </row>
    <row r="5262" spans="2:3">
      <c r="B5262" s="118" t="s">
        <v>3656</v>
      </c>
      <c r="C5262" s="119">
        <v>9247</v>
      </c>
    </row>
    <row r="5263" spans="2:3">
      <c r="B5263" s="118" t="s">
        <v>3657</v>
      </c>
      <c r="C5263" s="119">
        <v>9249</v>
      </c>
    </row>
    <row r="5264" spans="2:3">
      <c r="B5264" s="118" t="s">
        <v>3658</v>
      </c>
      <c r="C5264" s="119">
        <v>9249</v>
      </c>
    </row>
    <row r="5265" spans="2:3">
      <c r="B5265" s="118" t="s">
        <v>3659</v>
      </c>
      <c r="C5265" s="119">
        <v>9249</v>
      </c>
    </row>
    <row r="5266" spans="2:3">
      <c r="B5266" s="118" t="s">
        <v>3652</v>
      </c>
      <c r="C5266" s="119">
        <v>9536</v>
      </c>
    </row>
    <row r="5267" spans="2:3">
      <c r="B5267" s="118" t="s">
        <v>1629</v>
      </c>
      <c r="C5267" s="119">
        <v>9200</v>
      </c>
    </row>
    <row r="5268" spans="2:3">
      <c r="B5268" s="118" t="s">
        <v>3660</v>
      </c>
      <c r="C5268" s="119">
        <v>9203</v>
      </c>
    </row>
    <row r="5269" spans="2:3">
      <c r="B5269" s="118" t="s">
        <v>1868</v>
      </c>
      <c r="C5269" s="119">
        <v>9246</v>
      </c>
    </row>
    <row r="5270" spans="2:3">
      <c r="B5270" s="118" t="s">
        <v>3661</v>
      </c>
      <c r="C5270" s="119">
        <v>9223</v>
      </c>
    </row>
    <row r="5271" spans="2:3">
      <c r="B5271" s="118" t="s">
        <v>1842</v>
      </c>
      <c r="C5271" s="119">
        <v>9245</v>
      </c>
    </row>
    <row r="5272" spans="2:3">
      <c r="B5272" s="118" t="s">
        <v>3662</v>
      </c>
      <c r="C5272" s="119">
        <v>9245</v>
      </c>
    </row>
    <row r="5273" spans="2:3">
      <c r="B5273" s="118" t="s">
        <v>3663</v>
      </c>
      <c r="C5273" s="119">
        <v>9524</v>
      </c>
    </row>
    <row r="5274" spans="2:3">
      <c r="B5274" s="118" t="s">
        <v>3664</v>
      </c>
      <c r="C5274" s="119">
        <v>9525</v>
      </c>
    </row>
    <row r="5275" spans="2:3">
      <c r="B5275" s="118" t="s">
        <v>3665</v>
      </c>
      <c r="C5275" s="119">
        <v>9526</v>
      </c>
    </row>
    <row r="5276" spans="2:3">
      <c r="B5276" s="118" t="s">
        <v>1855</v>
      </c>
      <c r="C5276" s="119">
        <v>9527</v>
      </c>
    </row>
    <row r="5277" spans="2:3">
      <c r="B5277" s="118" t="s">
        <v>3660</v>
      </c>
      <c r="C5277" s="119">
        <v>9203</v>
      </c>
    </row>
    <row r="5278" spans="2:3">
      <c r="B5278" s="118" t="s">
        <v>2640</v>
      </c>
      <c r="C5278" s="119">
        <v>9230</v>
      </c>
    </row>
    <row r="5279" spans="2:3">
      <c r="B5279" s="118" t="s">
        <v>3653</v>
      </c>
      <c r="C5279" s="119">
        <v>9240</v>
      </c>
    </row>
    <row r="5280" spans="2:3">
      <c r="B5280" s="118" t="s">
        <v>1842</v>
      </c>
      <c r="C5280" s="119">
        <v>9245</v>
      </c>
    </row>
    <row r="5281" spans="2:3">
      <c r="B5281" s="118" t="s">
        <v>3662</v>
      </c>
      <c r="C5281" s="119">
        <v>9245</v>
      </c>
    </row>
    <row r="5282" spans="2:3">
      <c r="B5282" s="118" t="s">
        <v>1626</v>
      </c>
      <c r="C5282" s="119">
        <v>9500</v>
      </c>
    </row>
    <row r="5283" spans="2:3">
      <c r="B5283" s="118" t="s">
        <v>3666</v>
      </c>
      <c r="C5283" s="119">
        <v>9515</v>
      </c>
    </row>
    <row r="5284" spans="2:3">
      <c r="B5284" s="118" t="s">
        <v>3667</v>
      </c>
      <c r="C5284" s="119">
        <v>9523</v>
      </c>
    </row>
    <row r="5285" spans="2:3">
      <c r="B5285" s="118" t="s">
        <v>3663</v>
      </c>
      <c r="C5285" s="119">
        <v>9524</v>
      </c>
    </row>
    <row r="5286" spans="2:3">
      <c r="B5286" s="118" t="s">
        <v>1626</v>
      </c>
      <c r="C5286" s="119">
        <v>9500</v>
      </c>
    </row>
    <row r="5287" spans="2:3">
      <c r="B5287" s="118" t="s">
        <v>1625</v>
      </c>
      <c r="C5287" s="119">
        <v>9512</v>
      </c>
    </row>
    <row r="5288" spans="2:3">
      <c r="B5288" s="118" t="s">
        <v>1969</v>
      </c>
      <c r="C5288" s="119">
        <v>9514</v>
      </c>
    </row>
    <row r="5289" spans="2:3">
      <c r="B5289" s="118" t="s">
        <v>3663</v>
      </c>
      <c r="C5289" s="119">
        <v>9524</v>
      </c>
    </row>
    <row r="5290" spans="2:3">
      <c r="B5290" s="118" t="s">
        <v>3652</v>
      </c>
      <c r="C5290" s="119">
        <v>9536</v>
      </c>
    </row>
    <row r="5291" spans="2:3">
      <c r="B5291" s="118" t="s">
        <v>3668</v>
      </c>
      <c r="C5291" s="119">
        <v>9543</v>
      </c>
    </row>
    <row r="5292" spans="2:3">
      <c r="B5292" s="118" t="s">
        <v>1627</v>
      </c>
      <c r="C5292" s="119">
        <v>9552</v>
      </c>
    </row>
    <row r="5293" spans="2:3">
      <c r="B5293" s="118" t="s">
        <v>3669</v>
      </c>
      <c r="C5293" s="119">
        <v>9204</v>
      </c>
    </row>
    <row r="5294" spans="2:3">
      <c r="B5294" s="118" t="s">
        <v>1628</v>
      </c>
      <c r="C5294" s="119">
        <v>9212</v>
      </c>
    </row>
    <row r="5295" spans="2:3">
      <c r="B5295" s="118" t="s">
        <v>3548</v>
      </c>
      <c r="C5295" s="119">
        <v>9030</v>
      </c>
    </row>
    <row r="5296" spans="2:3">
      <c r="B5296" s="118" t="s">
        <v>3670</v>
      </c>
      <c r="C5296" s="119">
        <v>9030</v>
      </c>
    </row>
    <row r="5297" spans="2:3">
      <c r="B5297" s="118" t="s">
        <v>3671</v>
      </c>
      <c r="C5297" s="119">
        <v>9032</v>
      </c>
    </row>
    <row r="5298" spans="2:3">
      <c r="B5298" s="118" t="s">
        <v>2658</v>
      </c>
      <c r="C5298" s="119">
        <v>9300</v>
      </c>
    </row>
    <row r="5299" spans="2:3">
      <c r="B5299" s="118" t="s">
        <v>170</v>
      </c>
      <c r="C5299" s="119">
        <v>9015</v>
      </c>
    </row>
    <row r="5300" spans="2:3">
      <c r="B5300" s="118" t="s">
        <v>3548</v>
      </c>
      <c r="C5300" s="119">
        <v>9030</v>
      </c>
    </row>
    <row r="5301" spans="2:3">
      <c r="B5301" s="118" t="s">
        <v>1877</v>
      </c>
      <c r="C5301" s="119">
        <v>9100</v>
      </c>
    </row>
    <row r="5302" spans="2:3">
      <c r="B5302" s="118" t="s">
        <v>1629</v>
      </c>
      <c r="C5302" s="119">
        <v>9200</v>
      </c>
    </row>
    <row r="5303" spans="2:3">
      <c r="B5303" s="118" t="s">
        <v>3669</v>
      </c>
      <c r="C5303" s="119">
        <v>9204</v>
      </c>
    </row>
    <row r="5304" spans="2:3">
      <c r="B5304" s="118" t="s">
        <v>1628</v>
      </c>
      <c r="C5304" s="119">
        <v>9212</v>
      </c>
    </row>
    <row r="5305" spans="2:3">
      <c r="B5305" s="118" t="s">
        <v>3671</v>
      </c>
      <c r="C5305" s="119">
        <v>9032</v>
      </c>
    </row>
    <row r="5306" spans="2:3">
      <c r="B5306" s="118" t="s">
        <v>3669</v>
      </c>
      <c r="C5306" s="119">
        <v>9204</v>
      </c>
    </row>
    <row r="5307" spans="2:3">
      <c r="B5307" s="118" t="s">
        <v>1852</v>
      </c>
      <c r="C5307" s="119">
        <v>9205</v>
      </c>
    </row>
    <row r="5308" spans="2:3">
      <c r="B5308" s="118" t="s">
        <v>3672</v>
      </c>
      <c r="C5308" s="119">
        <v>9213</v>
      </c>
    </row>
    <row r="5309" spans="2:3">
      <c r="B5309" s="118" t="s">
        <v>1868</v>
      </c>
      <c r="C5309" s="119">
        <v>9246</v>
      </c>
    </row>
    <row r="5310" spans="2:3">
      <c r="B5310" s="118" t="s">
        <v>2658</v>
      </c>
      <c r="C5310" s="119">
        <v>9300</v>
      </c>
    </row>
    <row r="5311" spans="2:3">
      <c r="B5311" s="118" t="s">
        <v>3673</v>
      </c>
      <c r="C5311" s="119">
        <v>9304</v>
      </c>
    </row>
    <row r="5312" spans="2:3">
      <c r="B5312" s="118" t="s">
        <v>3674</v>
      </c>
      <c r="C5312" s="119">
        <v>7076</v>
      </c>
    </row>
    <row r="5313" spans="2:3">
      <c r="B5313" s="118" t="s">
        <v>3675</v>
      </c>
      <c r="C5313" s="119">
        <v>7077</v>
      </c>
    </row>
    <row r="5314" spans="2:3">
      <c r="B5314" s="118" t="s">
        <v>3676</v>
      </c>
      <c r="C5314" s="119">
        <v>7078</v>
      </c>
    </row>
    <row r="5315" spans="2:3">
      <c r="B5315" s="118" t="s">
        <v>2670</v>
      </c>
      <c r="C5315" s="119">
        <v>7082</v>
      </c>
    </row>
    <row r="5316" spans="2:3">
      <c r="B5316" s="118" t="s">
        <v>3677</v>
      </c>
      <c r="C5316" s="119">
        <v>7450</v>
      </c>
    </row>
    <row r="5317" spans="2:3">
      <c r="B5317" s="118" t="s">
        <v>2667</v>
      </c>
      <c r="C5317" s="119">
        <v>7083</v>
      </c>
    </row>
    <row r="5318" spans="2:3">
      <c r="B5318" s="118" t="s">
        <v>3678</v>
      </c>
      <c r="C5318" s="119">
        <v>7493</v>
      </c>
    </row>
    <row r="5319" spans="2:3">
      <c r="B5319" s="118" t="s">
        <v>3679</v>
      </c>
      <c r="C5319" s="119">
        <v>7084</v>
      </c>
    </row>
    <row r="5320" spans="2:3">
      <c r="B5320" s="118" t="s">
        <v>3677</v>
      </c>
      <c r="C5320" s="119">
        <v>7450</v>
      </c>
    </row>
    <row r="5321" spans="2:3">
      <c r="B5321" s="118" t="s">
        <v>3680</v>
      </c>
      <c r="C5321" s="119">
        <v>7451</v>
      </c>
    </row>
    <row r="5322" spans="2:3">
      <c r="B5322" s="118" t="s">
        <v>3681</v>
      </c>
      <c r="C5322" s="119">
        <v>7458</v>
      </c>
    </row>
    <row r="5323" spans="2:3">
      <c r="B5323" s="118" t="s">
        <v>3682</v>
      </c>
      <c r="C5323" s="119">
        <v>7459</v>
      </c>
    </row>
    <row r="5324" spans="2:3">
      <c r="B5324" s="118" t="s">
        <v>3683</v>
      </c>
      <c r="C5324" s="119">
        <v>7472</v>
      </c>
    </row>
    <row r="5325" spans="2:3">
      <c r="B5325" s="118" t="s">
        <v>3684</v>
      </c>
      <c r="C5325" s="119">
        <v>7473</v>
      </c>
    </row>
    <row r="5326" spans="2:3">
      <c r="B5326" s="118" t="s">
        <v>3685</v>
      </c>
      <c r="C5326" s="119">
        <v>7492</v>
      </c>
    </row>
    <row r="5327" spans="2:3">
      <c r="B5327" s="118" t="s">
        <v>3686</v>
      </c>
      <c r="C5327" s="119">
        <v>7452</v>
      </c>
    </row>
    <row r="5328" spans="2:3">
      <c r="B5328" s="118" t="s">
        <v>3687</v>
      </c>
      <c r="C5328" s="119">
        <v>7453</v>
      </c>
    </row>
    <row r="5329" spans="2:3">
      <c r="B5329" s="118" t="s">
        <v>3688</v>
      </c>
      <c r="C5329" s="119">
        <v>7454</v>
      </c>
    </row>
    <row r="5330" spans="2:3">
      <c r="B5330" s="118" t="s">
        <v>3689</v>
      </c>
      <c r="C5330" s="119">
        <v>7455</v>
      </c>
    </row>
    <row r="5331" spans="2:3">
      <c r="B5331" s="118" t="s">
        <v>3690</v>
      </c>
      <c r="C5331" s="119">
        <v>7456</v>
      </c>
    </row>
    <row r="5332" spans="2:3">
      <c r="B5332" s="118" t="s">
        <v>3691</v>
      </c>
      <c r="C5332" s="119">
        <v>7456</v>
      </c>
    </row>
    <row r="5333" spans="2:3">
      <c r="B5333" s="118" t="s">
        <v>3692</v>
      </c>
      <c r="C5333" s="119">
        <v>7457</v>
      </c>
    </row>
    <row r="5334" spans="2:3">
      <c r="B5334" s="118" t="s">
        <v>3693</v>
      </c>
      <c r="C5334" s="119">
        <v>7460</v>
      </c>
    </row>
    <row r="5335" spans="2:3">
      <c r="B5335" s="118" t="s">
        <v>3694</v>
      </c>
      <c r="C5335" s="119">
        <v>7462</v>
      </c>
    </row>
    <row r="5336" spans="2:3">
      <c r="B5336" s="118" t="s">
        <v>3695</v>
      </c>
      <c r="C5336" s="119">
        <v>7463</v>
      </c>
    </row>
    <row r="5337" spans="2:3">
      <c r="B5337" s="118" t="s">
        <v>3695</v>
      </c>
      <c r="C5337" s="119">
        <v>7463</v>
      </c>
    </row>
    <row r="5338" spans="2:3">
      <c r="B5338" s="118" t="s">
        <v>3696</v>
      </c>
      <c r="C5338" s="119">
        <v>7464</v>
      </c>
    </row>
    <row r="5339" spans="2:3">
      <c r="B5339" s="118" t="s">
        <v>3697</v>
      </c>
      <c r="C5339" s="119">
        <v>7477</v>
      </c>
    </row>
    <row r="5340" spans="2:3">
      <c r="B5340" s="118" t="s">
        <v>3698</v>
      </c>
      <c r="C5340" s="119">
        <v>7482</v>
      </c>
    </row>
    <row r="5341" spans="2:3">
      <c r="B5341" s="118" t="s">
        <v>3699</v>
      </c>
      <c r="C5341" s="119">
        <v>7482</v>
      </c>
    </row>
    <row r="5342" spans="2:3">
      <c r="B5342" s="118" t="s">
        <v>3700</v>
      </c>
      <c r="C5342" s="119">
        <v>7482</v>
      </c>
    </row>
    <row r="5343" spans="2:3">
      <c r="B5343" s="118" t="s">
        <v>3701</v>
      </c>
      <c r="C5343" s="119">
        <v>7484</v>
      </c>
    </row>
    <row r="5344" spans="2:3">
      <c r="B5344" s="118" t="s">
        <v>3702</v>
      </c>
      <c r="C5344" s="119">
        <v>7494</v>
      </c>
    </row>
    <row r="5345" spans="2:3">
      <c r="B5345" s="118" t="s">
        <v>754</v>
      </c>
      <c r="C5345" s="119">
        <v>7743</v>
      </c>
    </row>
    <row r="5346" spans="2:3">
      <c r="B5346" s="118" t="s">
        <v>3703</v>
      </c>
      <c r="C5346" s="119">
        <v>7743</v>
      </c>
    </row>
    <row r="5347" spans="2:3">
      <c r="B5347" s="118" t="s">
        <v>3704</v>
      </c>
      <c r="C5347" s="119">
        <v>7744</v>
      </c>
    </row>
    <row r="5348" spans="2:3">
      <c r="B5348" s="118" t="s">
        <v>3705</v>
      </c>
      <c r="C5348" s="119">
        <v>7747</v>
      </c>
    </row>
    <row r="5349" spans="2:3">
      <c r="B5349" s="118" t="s">
        <v>3706</v>
      </c>
      <c r="C5349" s="119">
        <v>7748</v>
      </c>
    </row>
    <row r="5350" spans="2:3">
      <c r="B5350" s="118" t="s">
        <v>3707</v>
      </c>
      <c r="C5350" s="119">
        <v>7710</v>
      </c>
    </row>
    <row r="5351" spans="2:3">
      <c r="B5351" s="118" t="s">
        <v>3708</v>
      </c>
      <c r="C5351" s="119">
        <v>7710</v>
      </c>
    </row>
    <row r="5352" spans="2:3">
      <c r="B5352" s="118" t="s">
        <v>3709</v>
      </c>
      <c r="C5352" s="119">
        <v>7741</v>
      </c>
    </row>
    <row r="5353" spans="2:3">
      <c r="B5353" s="118" t="s">
        <v>706</v>
      </c>
      <c r="C5353" s="119">
        <v>7742</v>
      </c>
    </row>
    <row r="5354" spans="2:3">
      <c r="B5354" s="118" t="s">
        <v>3710</v>
      </c>
      <c r="C5354" s="119">
        <v>7742</v>
      </c>
    </row>
    <row r="5355" spans="2:3">
      <c r="B5355" s="118" t="s">
        <v>3711</v>
      </c>
      <c r="C5355" s="119">
        <v>7742</v>
      </c>
    </row>
    <row r="5356" spans="2:3">
      <c r="B5356" s="118" t="s">
        <v>3703</v>
      </c>
      <c r="C5356" s="119">
        <v>7743</v>
      </c>
    </row>
    <row r="5357" spans="2:3">
      <c r="B5357" s="118" t="s">
        <v>3712</v>
      </c>
      <c r="C5357" s="119">
        <v>7745</v>
      </c>
    </row>
    <row r="5358" spans="2:3">
      <c r="B5358" s="118" t="s">
        <v>3713</v>
      </c>
      <c r="C5358" s="119">
        <v>7746</v>
      </c>
    </row>
    <row r="5359" spans="2:3">
      <c r="B5359" s="118" t="s">
        <v>3714</v>
      </c>
      <c r="C5359" s="119">
        <v>7032</v>
      </c>
    </row>
    <row r="5360" spans="2:3">
      <c r="B5360" s="118" t="s">
        <v>777</v>
      </c>
      <c r="C5360" s="119">
        <v>7153</v>
      </c>
    </row>
    <row r="5361" spans="2:3">
      <c r="B5361" s="118" t="s">
        <v>3715</v>
      </c>
      <c r="C5361" s="119">
        <v>7031</v>
      </c>
    </row>
    <row r="5362" spans="2:3">
      <c r="B5362" s="118" t="s">
        <v>3714</v>
      </c>
      <c r="C5362" s="119">
        <v>7032</v>
      </c>
    </row>
    <row r="5363" spans="2:3">
      <c r="B5363" s="118" t="s">
        <v>773</v>
      </c>
      <c r="C5363" s="119">
        <v>7152</v>
      </c>
    </row>
    <row r="5364" spans="2:3">
      <c r="B5364" s="118" t="s">
        <v>776</v>
      </c>
      <c r="C5364" s="119">
        <v>7151</v>
      </c>
    </row>
    <row r="5365" spans="2:3">
      <c r="B5365" s="118" t="s">
        <v>3716</v>
      </c>
      <c r="C5365" s="119">
        <v>7116</v>
      </c>
    </row>
    <row r="5366" spans="2:3">
      <c r="B5366" s="118" t="s">
        <v>756</v>
      </c>
      <c r="C5366" s="119">
        <v>7132</v>
      </c>
    </row>
    <row r="5367" spans="2:3">
      <c r="B5367" s="118" t="s">
        <v>3717</v>
      </c>
      <c r="C5367" s="119">
        <v>7110</v>
      </c>
    </row>
    <row r="5368" spans="2:3">
      <c r="B5368" s="118" t="s">
        <v>3718</v>
      </c>
      <c r="C5368" s="119">
        <v>7113</v>
      </c>
    </row>
    <row r="5369" spans="2:3">
      <c r="B5369" s="118" t="s">
        <v>3719</v>
      </c>
      <c r="C5369" s="119">
        <v>7114</v>
      </c>
    </row>
    <row r="5370" spans="2:3">
      <c r="B5370" s="118" t="s">
        <v>3720</v>
      </c>
      <c r="C5370" s="119">
        <v>7115</v>
      </c>
    </row>
    <row r="5371" spans="2:3">
      <c r="B5371" s="118" t="s">
        <v>3721</v>
      </c>
      <c r="C5371" s="119">
        <v>7116</v>
      </c>
    </row>
    <row r="5372" spans="2:3">
      <c r="B5372" s="118" t="s">
        <v>3722</v>
      </c>
      <c r="C5372" s="119">
        <v>7142</v>
      </c>
    </row>
    <row r="5373" spans="2:3">
      <c r="B5373" s="118" t="s">
        <v>3723</v>
      </c>
      <c r="C5373" s="119">
        <v>7143</v>
      </c>
    </row>
    <row r="5374" spans="2:3">
      <c r="B5374" s="118" t="s">
        <v>3724</v>
      </c>
      <c r="C5374" s="119">
        <v>7144</v>
      </c>
    </row>
    <row r="5375" spans="2:3">
      <c r="B5375" s="118" t="s">
        <v>3725</v>
      </c>
      <c r="C5375" s="119">
        <v>7145</v>
      </c>
    </row>
    <row r="5376" spans="2:3">
      <c r="B5376" s="118" t="s">
        <v>3726</v>
      </c>
      <c r="C5376" s="119">
        <v>7146</v>
      </c>
    </row>
    <row r="5377" spans="2:3">
      <c r="B5377" s="118" t="s">
        <v>3727</v>
      </c>
      <c r="C5377" s="119">
        <v>7147</v>
      </c>
    </row>
    <row r="5378" spans="2:3">
      <c r="B5378" s="118" t="s">
        <v>3728</v>
      </c>
      <c r="C5378" s="119">
        <v>7148</v>
      </c>
    </row>
    <row r="5379" spans="2:3">
      <c r="B5379" s="118" t="s">
        <v>3729</v>
      </c>
      <c r="C5379" s="119">
        <v>7149</v>
      </c>
    </row>
    <row r="5380" spans="2:3">
      <c r="B5380" s="118" t="s">
        <v>3730</v>
      </c>
      <c r="C5380" s="119">
        <v>7111</v>
      </c>
    </row>
    <row r="5381" spans="2:3">
      <c r="B5381" s="118" t="s">
        <v>3731</v>
      </c>
      <c r="C5381" s="119">
        <v>7112</v>
      </c>
    </row>
    <row r="5382" spans="2:3">
      <c r="B5382" s="118" t="s">
        <v>3732</v>
      </c>
      <c r="C5382" s="119">
        <v>7122</v>
      </c>
    </row>
    <row r="5383" spans="2:3">
      <c r="B5383" s="118" t="s">
        <v>3733</v>
      </c>
      <c r="C5383" s="119">
        <v>7126</v>
      </c>
    </row>
    <row r="5384" spans="2:3">
      <c r="B5384" s="118" t="s">
        <v>3734</v>
      </c>
      <c r="C5384" s="119">
        <v>7127</v>
      </c>
    </row>
    <row r="5385" spans="2:3">
      <c r="B5385" s="118" t="s">
        <v>3735</v>
      </c>
      <c r="C5385" s="119">
        <v>7128</v>
      </c>
    </row>
    <row r="5386" spans="2:3">
      <c r="B5386" s="118" t="s">
        <v>702</v>
      </c>
      <c r="C5386" s="119">
        <v>7130</v>
      </c>
    </row>
    <row r="5387" spans="2:3">
      <c r="B5387" s="118" t="s">
        <v>3736</v>
      </c>
      <c r="C5387" s="119">
        <v>7130</v>
      </c>
    </row>
    <row r="5388" spans="2:3">
      <c r="B5388" s="118" t="s">
        <v>3736</v>
      </c>
      <c r="C5388" s="119">
        <v>7130</v>
      </c>
    </row>
    <row r="5389" spans="2:3">
      <c r="B5389" s="118" t="s">
        <v>3737</v>
      </c>
      <c r="C5389" s="119">
        <v>7141</v>
      </c>
    </row>
    <row r="5390" spans="2:3">
      <c r="B5390" s="118" t="s">
        <v>3738</v>
      </c>
      <c r="C5390" s="119">
        <v>7154</v>
      </c>
    </row>
    <row r="5391" spans="2:3">
      <c r="B5391" s="118" t="s">
        <v>3739</v>
      </c>
      <c r="C5391" s="119">
        <v>7155</v>
      </c>
    </row>
    <row r="5392" spans="2:3">
      <c r="B5392" s="118" t="s">
        <v>3740</v>
      </c>
      <c r="C5392" s="119">
        <v>7156</v>
      </c>
    </row>
    <row r="5393" spans="2:3">
      <c r="B5393" s="118" t="s">
        <v>3741</v>
      </c>
      <c r="C5393" s="119">
        <v>7156</v>
      </c>
    </row>
    <row r="5394" spans="2:3">
      <c r="B5394" s="118" t="s">
        <v>3742</v>
      </c>
      <c r="C5394" s="119">
        <v>7157</v>
      </c>
    </row>
    <row r="5395" spans="2:3">
      <c r="B5395" s="118" t="s">
        <v>3743</v>
      </c>
      <c r="C5395" s="119">
        <v>7413</v>
      </c>
    </row>
    <row r="5396" spans="2:3">
      <c r="B5396" s="118" t="s">
        <v>787</v>
      </c>
      <c r="C5396" s="119">
        <v>7414</v>
      </c>
    </row>
    <row r="5397" spans="2:3">
      <c r="B5397" s="118" t="s">
        <v>790</v>
      </c>
      <c r="C5397" s="119">
        <v>7405</v>
      </c>
    </row>
    <row r="5398" spans="2:3">
      <c r="B5398" s="118" t="s">
        <v>766</v>
      </c>
      <c r="C5398" s="119">
        <v>7412</v>
      </c>
    </row>
    <row r="5399" spans="2:3">
      <c r="B5399" s="118" t="s">
        <v>759</v>
      </c>
      <c r="C5399" s="119">
        <v>7411</v>
      </c>
    </row>
    <row r="5400" spans="2:3">
      <c r="B5400" s="118" t="s">
        <v>790</v>
      </c>
      <c r="C5400" s="119">
        <v>7405</v>
      </c>
    </row>
    <row r="5401" spans="2:3">
      <c r="B5401" s="118" t="s">
        <v>724</v>
      </c>
      <c r="C5401" s="119">
        <v>7408</v>
      </c>
    </row>
    <row r="5402" spans="2:3">
      <c r="B5402" s="118" t="s">
        <v>3744</v>
      </c>
      <c r="C5402" s="119">
        <v>7415</v>
      </c>
    </row>
    <row r="5403" spans="2:3">
      <c r="B5403" s="118" t="s">
        <v>3745</v>
      </c>
      <c r="C5403" s="119">
        <v>7421</v>
      </c>
    </row>
    <row r="5404" spans="2:3">
      <c r="B5404" s="118" t="s">
        <v>3746</v>
      </c>
      <c r="C5404" s="119">
        <v>7422</v>
      </c>
    </row>
    <row r="5405" spans="2:3">
      <c r="B5405" s="118" t="s">
        <v>3747</v>
      </c>
      <c r="C5405" s="119">
        <v>7423</v>
      </c>
    </row>
    <row r="5406" spans="2:3">
      <c r="B5406" s="118" t="s">
        <v>3748</v>
      </c>
      <c r="C5406" s="119">
        <v>7423</v>
      </c>
    </row>
    <row r="5407" spans="2:3">
      <c r="B5407" s="118" t="s">
        <v>3749</v>
      </c>
      <c r="C5407" s="119">
        <v>7424</v>
      </c>
    </row>
    <row r="5408" spans="2:3">
      <c r="B5408" s="118" t="s">
        <v>3750</v>
      </c>
      <c r="C5408" s="119">
        <v>7424</v>
      </c>
    </row>
    <row r="5409" spans="2:3">
      <c r="B5409" s="118" t="s">
        <v>792</v>
      </c>
      <c r="C5409" s="119">
        <v>7426</v>
      </c>
    </row>
    <row r="5410" spans="2:3">
      <c r="B5410" s="118" t="s">
        <v>792</v>
      </c>
      <c r="C5410" s="119">
        <v>7426</v>
      </c>
    </row>
    <row r="5411" spans="2:3">
      <c r="B5411" s="118" t="s">
        <v>3745</v>
      </c>
      <c r="C5411" s="119">
        <v>7421</v>
      </c>
    </row>
    <row r="5412" spans="2:3">
      <c r="B5412" s="118" t="s">
        <v>784</v>
      </c>
      <c r="C5412" s="119">
        <v>7425</v>
      </c>
    </row>
    <row r="5413" spans="2:3">
      <c r="B5413" s="118" t="s">
        <v>710</v>
      </c>
      <c r="C5413" s="119">
        <v>7430</v>
      </c>
    </row>
    <row r="5414" spans="2:3">
      <c r="B5414" s="118" t="s">
        <v>3751</v>
      </c>
      <c r="C5414" s="119">
        <v>7431</v>
      </c>
    </row>
    <row r="5415" spans="2:3">
      <c r="B5415" s="118" t="s">
        <v>3752</v>
      </c>
      <c r="C5415" s="119">
        <v>7431</v>
      </c>
    </row>
    <row r="5416" spans="2:3">
      <c r="B5416" s="118" t="s">
        <v>803</v>
      </c>
      <c r="C5416" s="119">
        <v>7428</v>
      </c>
    </row>
    <row r="5417" spans="2:3">
      <c r="B5417" s="118" t="s">
        <v>801</v>
      </c>
      <c r="C5417" s="119">
        <v>7427</v>
      </c>
    </row>
    <row r="5418" spans="2:3">
      <c r="B5418" s="118" t="s">
        <v>3753</v>
      </c>
      <c r="C5418" s="119">
        <v>7104</v>
      </c>
    </row>
    <row r="5419" spans="2:3">
      <c r="B5419" s="118" t="s">
        <v>3754</v>
      </c>
      <c r="C5419" s="119">
        <v>7106</v>
      </c>
    </row>
    <row r="5420" spans="2:3">
      <c r="B5420" s="118" t="s">
        <v>3755</v>
      </c>
      <c r="C5420" s="119">
        <v>7107</v>
      </c>
    </row>
    <row r="5421" spans="2:3">
      <c r="B5421" s="118" t="s">
        <v>3756</v>
      </c>
      <c r="C5421" s="119">
        <v>7109</v>
      </c>
    </row>
    <row r="5422" spans="2:3">
      <c r="B5422" s="118" t="s">
        <v>3732</v>
      </c>
      <c r="C5422" s="119">
        <v>7122</v>
      </c>
    </row>
    <row r="5423" spans="2:3">
      <c r="B5423" s="118" t="s">
        <v>708</v>
      </c>
      <c r="C5423" s="119">
        <v>7402</v>
      </c>
    </row>
    <row r="5424" spans="2:3">
      <c r="B5424" s="118" t="s">
        <v>3757</v>
      </c>
      <c r="C5424" s="119">
        <v>7404</v>
      </c>
    </row>
    <row r="5425" spans="2:3">
      <c r="B5425" s="118" t="s">
        <v>3758</v>
      </c>
      <c r="C5425" s="119">
        <v>7407</v>
      </c>
    </row>
    <row r="5426" spans="2:3">
      <c r="B5426" s="118" t="s">
        <v>3744</v>
      </c>
      <c r="C5426" s="119">
        <v>7415</v>
      </c>
    </row>
    <row r="5427" spans="2:3">
      <c r="B5427" s="118" t="s">
        <v>3759</v>
      </c>
      <c r="C5427" s="119">
        <v>7415</v>
      </c>
    </row>
    <row r="5428" spans="2:3">
      <c r="B5428" s="118" t="s">
        <v>3760</v>
      </c>
      <c r="C5428" s="119">
        <v>7416</v>
      </c>
    </row>
    <row r="5429" spans="2:3">
      <c r="B5429" s="118" t="s">
        <v>3761</v>
      </c>
      <c r="C5429" s="119">
        <v>7417</v>
      </c>
    </row>
    <row r="5430" spans="2:3">
      <c r="B5430" s="118" t="s">
        <v>3762</v>
      </c>
      <c r="C5430" s="119">
        <v>7418</v>
      </c>
    </row>
    <row r="5431" spans="2:3">
      <c r="B5431" s="118" t="s">
        <v>3763</v>
      </c>
      <c r="C5431" s="119">
        <v>7419</v>
      </c>
    </row>
    <row r="5432" spans="2:3">
      <c r="B5432" s="118" t="s">
        <v>799</v>
      </c>
      <c r="C5432" s="119">
        <v>7447</v>
      </c>
    </row>
    <row r="5433" spans="2:3">
      <c r="B5433" s="118" t="s">
        <v>3764</v>
      </c>
      <c r="C5433" s="119">
        <v>7448</v>
      </c>
    </row>
    <row r="5434" spans="2:3">
      <c r="B5434" s="118" t="s">
        <v>802</v>
      </c>
      <c r="C5434" s="119">
        <v>7434</v>
      </c>
    </row>
    <row r="5435" spans="2:3">
      <c r="B5435" s="118" t="s">
        <v>758</v>
      </c>
      <c r="C5435" s="119">
        <v>7440</v>
      </c>
    </row>
    <row r="5436" spans="2:3">
      <c r="B5436" s="118" t="s">
        <v>3765</v>
      </c>
      <c r="C5436" s="119">
        <v>7442</v>
      </c>
    </row>
    <row r="5437" spans="2:3">
      <c r="B5437" s="118" t="s">
        <v>3766</v>
      </c>
      <c r="C5437" s="119">
        <v>7443</v>
      </c>
    </row>
    <row r="5438" spans="2:3">
      <c r="B5438" s="118" t="s">
        <v>808</v>
      </c>
      <c r="C5438" s="119">
        <v>7430</v>
      </c>
    </row>
    <row r="5439" spans="2:3">
      <c r="B5439" s="118" t="s">
        <v>3767</v>
      </c>
      <c r="C5439" s="119">
        <v>7432</v>
      </c>
    </row>
    <row r="5440" spans="2:3">
      <c r="B5440" s="118" t="s">
        <v>3768</v>
      </c>
      <c r="C5440" s="119">
        <v>7444</v>
      </c>
    </row>
    <row r="5441" spans="2:3">
      <c r="B5441" s="118" t="s">
        <v>3769</v>
      </c>
      <c r="C5441" s="119">
        <v>7445</v>
      </c>
    </row>
    <row r="5442" spans="2:3">
      <c r="B5442" s="118" t="s">
        <v>3769</v>
      </c>
      <c r="C5442" s="119">
        <v>7445</v>
      </c>
    </row>
    <row r="5443" spans="2:3">
      <c r="B5443" s="118" t="s">
        <v>3770</v>
      </c>
      <c r="C5443" s="119">
        <v>7435</v>
      </c>
    </row>
    <row r="5444" spans="2:3">
      <c r="B5444" s="118" t="s">
        <v>3771</v>
      </c>
      <c r="C5444" s="119">
        <v>7436</v>
      </c>
    </row>
    <row r="5445" spans="2:3">
      <c r="B5445" s="118" t="s">
        <v>3772</v>
      </c>
      <c r="C5445" s="119">
        <v>7437</v>
      </c>
    </row>
    <row r="5446" spans="2:3">
      <c r="B5446" s="118" t="s">
        <v>3773</v>
      </c>
      <c r="C5446" s="119">
        <v>7438</v>
      </c>
    </row>
    <row r="5447" spans="2:3">
      <c r="B5447" s="118" t="s">
        <v>796</v>
      </c>
      <c r="C5447" s="119">
        <v>7433</v>
      </c>
    </row>
    <row r="5448" spans="2:3">
      <c r="B5448" s="118" t="s">
        <v>3774</v>
      </c>
      <c r="C5448" s="119">
        <v>7433</v>
      </c>
    </row>
    <row r="5449" spans="2:3">
      <c r="B5449" s="118" t="s">
        <v>809</v>
      </c>
      <c r="C5449" s="119">
        <v>7433</v>
      </c>
    </row>
    <row r="5450" spans="2:3">
      <c r="B5450" s="118" t="s">
        <v>3775</v>
      </c>
      <c r="C5450" s="119">
        <v>7433</v>
      </c>
    </row>
    <row r="5451" spans="2:3">
      <c r="B5451" s="118" t="s">
        <v>708</v>
      </c>
      <c r="C5451" s="119">
        <v>7402</v>
      </c>
    </row>
    <row r="5452" spans="2:3">
      <c r="B5452" s="118" t="s">
        <v>2663</v>
      </c>
      <c r="C5452" s="119">
        <v>7013</v>
      </c>
    </row>
    <row r="5453" spans="2:3">
      <c r="B5453" s="118" t="s">
        <v>740</v>
      </c>
      <c r="C5453" s="119">
        <v>7403</v>
      </c>
    </row>
    <row r="5454" spans="2:3">
      <c r="B5454" s="118" t="s">
        <v>718</v>
      </c>
      <c r="C5454" s="119">
        <v>7012</v>
      </c>
    </row>
    <row r="5455" spans="2:3">
      <c r="B5455" s="118" t="s">
        <v>3776</v>
      </c>
      <c r="C5455" s="119">
        <v>7017</v>
      </c>
    </row>
    <row r="5456" spans="2:3">
      <c r="B5456" s="118" t="s">
        <v>3777</v>
      </c>
      <c r="C5456" s="119">
        <v>7018</v>
      </c>
    </row>
    <row r="5457" spans="2:3">
      <c r="B5457" s="118" t="s">
        <v>3778</v>
      </c>
      <c r="C5457" s="119">
        <v>7019</v>
      </c>
    </row>
    <row r="5458" spans="2:3">
      <c r="B5458" s="118" t="s">
        <v>748</v>
      </c>
      <c r="C5458" s="119">
        <v>7015</v>
      </c>
    </row>
    <row r="5459" spans="2:3">
      <c r="B5459" s="118" t="s">
        <v>3591</v>
      </c>
      <c r="C5459" s="119">
        <v>7315</v>
      </c>
    </row>
    <row r="5460" spans="2:3">
      <c r="B5460" s="118" t="s">
        <v>741</v>
      </c>
      <c r="C5460" s="119">
        <v>7014</v>
      </c>
    </row>
    <row r="5461" spans="2:3">
      <c r="B5461" s="118" t="s">
        <v>748</v>
      </c>
      <c r="C5461" s="119">
        <v>7015</v>
      </c>
    </row>
    <row r="5462" spans="2:3">
      <c r="B5462" s="118" t="s">
        <v>3779</v>
      </c>
      <c r="C5462" s="119">
        <v>7016</v>
      </c>
    </row>
    <row r="5463" spans="2:3">
      <c r="B5463" s="118" t="s">
        <v>3780</v>
      </c>
      <c r="C5463" s="119">
        <v>7527</v>
      </c>
    </row>
    <row r="5464" spans="2:3">
      <c r="B5464" s="118" t="s">
        <v>735</v>
      </c>
      <c r="C5464" s="119">
        <v>7530</v>
      </c>
    </row>
    <row r="5465" spans="2:3">
      <c r="B5465" s="118" t="s">
        <v>3781</v>
      </c>
      <c r="C5465" s="119">
        <v>7542</v>
      </c>
    </row>
    <row r="5466" spans="2:3">
      <c r="B5466" s="118" t="s">
        <v>3782</v>
      </c>
      <c r="C5466" s="119">
        <v>7543</v>
      </c>
    </row>
    <row r="5467" spans="2:3">
      <c r="B5467" s="118" t="s">
        <v>3783</v>
      </c>
      <c r="C5467" s="119">
        <v>7562</v>
      </c>
    </row>
    <row r="5468" spans="2:3">
      <c r="B5468" s="118" t="s">
        <v>3784</v>
      </c>
      <c r="C5468" s="119">
        <v>7563</v>
      </c>
    </row>
    <row r="5469" spans="2:3">
      <c r="B5469" s="118" t="s">
        <v>3785</v>
      </c>
      <c r="C5469" s="119">
        <v>7545</v>
      </c>
    </row>
    <row r="5470" spans="2:3">
      <c r="B5470" s="118" t="s">
        <v>3786</v>
      </c>
      <c r="C5470" s="119">
        <v>7546</v>
      </c>
    </row>
    <row r="5471" spans="2:3">
      <c r="B5471" s="118" t="s">
        <v>704</v>
      </c>
      <c r="C5471" s="119">
        <v>7550</v>
      </c>
    </row>
    <row r="5472" spans="2:3">
      <c r="B5472" s="118" t="s">
        <v>3787</v>
      </c>
      <c r="C5472" s="119">
        <v>7551</v>
      </c>
    </row>
    <row r="5473" spans="2:3">
      <c r="B5473" s="118" t="s">
        <v>3788</v>
      </c>
      <c r="C5473" s="119">
        <v>7552</v>
      </c>
    </row>
    <row r="5474" spans="2:3">
      <c r="B5474" s="118" t="s">
        <v>3789</v>
      </c>
      <c r="C5474" s="119">
        <v>7553</v>
      </c>
    </row>
    <row r="5475" spans="2:3">
      <c r="B5475" s="118" t="s">
        <v>3790</v>
      </c>
      <c r="C5475" s="119">
        <v>7554</v>
      </c>
    </row>
    <row r="5476" spans="2:3">
      <c r="B5476" s="118" t="s">
        <v>3791</v>
      </c>
      <c r="C5476" s="119">
        <v>7557</v>
      </c>
    </row>
    <row r="5477" spans="2:3">
      <c r="B5477" s="118" t="s">
        <v>3792</v>
      </c>
      <c r="C5477" s="119">
        <v>7556</v>
      </c>
    </row>
    <row r="5478" spans="2:3">
      <c r="B5478" s="118" t="s">
        <v>3792</v>
      </c>
      <c r="C5478" s="119">
        <v>7556</v>
      </c>
    </row>
    <row r="5479" spans="2:3">
      <c r="B5479" s="118" t="s">
        <v>3791</v>
      </c>
      <c r="C5479" s="119">
        <v>7557</v>
      </c>
    </row>
    <row r="5480" spans="2:3">
      <c r="B5480" s="118" t="s">
        <v>3793</v>
      </c>
      <c r="C5480" s="119">
        <v>7558</v>
      </c>
    </row>
    <row r="5481" spans="2:3">
      <c r="B5481" s="118" t="s">
        <v>3794</v>
      </c>
      <c r="C5481" s="119">
        <v>7559</v>
      </c>
    </row>
    <row r="5482" spans="2:3">
      <c r="B5482" s="118" t="s">
        <v>3795</v>
      </c>
      <c r="C5482" s="119">
        <v>7560</v>
      </c>
    </row>
    <row r="5483" spans="2:3">
      <c r="B5483" s="118" t="s">
        <v>779</v>
      </c>
      <c r="C5483" s="119">
        <v>7502</v>
      </c>
    </row>
    <row r="5484" spans="2:3">
      <c r="B5484" s="118" t="s">
        <v>779</v>
      </c>
      <c r="C5484" s="119">
        <v>7502</v>
      </c>
    </row>
    <row r="5485" spans="2:3">
      <c r="B5485" s="118" t="s">
        <v>701</v>
      </c>
      <c r="C5485" s="119">
        <v>7500</v>
      </c>
    </row>
    <row r="5486" spans="2:3">
      <c r="B5486" s="118" t="s">
        <v>723</v>
      </c>
      <c r="C5486" s="119">
        <v>7504</v>
      </c>
    </row>
    <row r="5487" spans="2:3">
      <c r="B5487" s="118" t="s">
        <v>2661</v>
      </c>
      <c r="C5487" s="119">
        <v>7505</v>
      </c>
    </row>
    <row r="5488" spans="2:3">
      <c r="B5488" s="118" t="s">
        <v>797</v>
      </c>
      <c r="C5488" s="119">
        <v>7523</v>
      </c>
    </row>
    <row r="5489" spans="2:3">
      <c r="B5489" s="118" t="s">
        <v>797</v>
      </c>
      <c r="C5489" s="119">
        <v>7523</v>
      </c>
    </row>
    <row r="5490" spans="2:3">
      <c r="B5490" s="118" t="s">
        <v>723</v>
      </c>
      <c r="C5490" s="119">
        <v>7504</v>
      </c>
    </row>
    <row r="5491" spans="2:3">
      <c r="B5491" s="118" t="s">
        <v>2666</v>
      </c>
      <c r="C5491" s="119">
        <v>7522</v>
      </c>
    </row>
    <row r="5492" spans="2:3">
      <c r="B5492" s="118" t="s">
        <v>712</v>
      </c>
      <c r="C5492" s="119">
        <v>7503</v>
      </c>
    </row>
    <row r="5493" spans="2:3">
      <c r="B5493" s="118" t="s">
        <v>723</v>
      </c>
      <c r="C5493" s="119">
        <v>7504</v>
      </c>
    </row>
    <row r="5494" spans="2:3">
      <c r="B5494" s="118" t="s">
        <v>3796</v>
      </c>
      <c r="C5494" s="119">
        <v>7513</v>
      </c>
    </row>
    <row r="5495" spans="2:3">
      <c r="B5495" s="118" t="s">
        <v>701</v>
      </c>
      <c r="C5495" s="119">
        <v>7500</v>
      </c>
    </row>
    <row r="5496" spans="2:3">
      <c r="B5496" s="118" t="s">
        <v>3797</v>
      </c>
      <c r="C5496" s="119">
        <v>7512</v>
      </c>
    </row>
    <row r="5497" spans="2:3">
      <c r="B5497" s="118" t="s">
        <v>774</v>
      </c>
      <c r="C5497" s="119">
        <v>7525</v>
      </c>
    </row>
    <row r="5498" spans="2:3">
      <c r="B5498" s="118" t="s">
        <v>3798</v>
      </c>
      <c r="C5498" s="119">
        <v>7526</v>
      </c>
    </row>
    <row r="5499" spans="2:3">
      <c r="B5499" s="118" t="s">
        <v>3799</v>
      </c>
      <c r="C5499" s="119">
        <v>7526</v>
      </c>
    </row>
    <row r="5500" spans="2:3">
      <c r="B5500" s="118" t="s">
        <v>3800</v>
      </c>
      <c r="C5500" s="119">
        <v>7514</v>
      </c>
    </row>
    <row r="5501" spans="2:3">
      <c r="B5501" s="118" t="s">
        <v>3801</v>
      </c>
      <c r="C5501" s="119">
        <v>7514</v>
      </c>
    </row>
    <row r="5502" spans="2:3">
      <c r="B5502" s="118" t="s">
        <v>3802</v>
      </c>
      <c r="C5502" s="119">
        <v>7515</v>
      </c>
    </row>
    <row r="5503" spans="2:3">
      <c r="B5503" s="118" t="s">
        <v>3803</v>
      </c>
      <c r="C5503" s="119">
        <v>7517</v>
      </c>
    </row>
    <row r="5504" spans="2:3">
      <c r="B5504" s="118" t="s">
        <v>3797</v>
      </c>
      <c r="C5504" s="119">
        <v>7512</v>
      </c>
    </row>
    <row r="5505" spans="2:3">
      <c r="B5505" s="118" t="s">
        <v>755</v>
      </c>
      <c r="C5505" s="119">
        <v>7513</v>
      </c>
    </row>
    <row r="5506" spans="2:3">
      <c r="B5506" s="118" t="s">
        <v>3796</v>
      </c>
      <c r="C5506" s="119">
        <v>7513</v>
      </c>
    </row>
    <row r="5507" spans="2:3">
      <c r="B5507" s="118" t="s">
        <v>749</v>
      </c>
      <c r="C5507" s="119">
        <v>7524</v>
      </c>
    </row>
    <row r="5508" spans="2:3">
      <c r="B5508" s="118" t="s">
        <v>749</v>
      </c>
      <c r="C5508" s="119">
        <v>7524</v>
      </c>
    </row>
    <row r="5509" spans="2:3">
      <c r="B5509" s="118" t="s">
        <v>799</v>
      </c>
      <c r="C5509" s="119">
        <v>7447</v>
      </c>
    </row>
    <row r="5510" spans="2:3">
      <c r="B5510" s="118" t="s">
        <v>3804</v>
      </c>
      <c r="C5510" s="119">
        <v>7516</v>
      </c>
    </row>
    <row r="5511" spans="2:3">
      <c r="B5511" s="118" t="s">
        <v>3805</v>
      </c>
      <c r="C5511" s="119">
        <v>7602</v>
      </c>
    </row>
    <row r="5512" spans="2:3">
      <c r="B5512" s="118" t="s">
        <v>3806</v>
      </c>
      <c r="C5512" s="119">
        <v>7603</v>
      </c>
    </row>
    <row r="5513" spans="2:3">
      <c r="B5513" s="118" t="s">
        <v>3807</v>
      </c>
      <c r="C5513" s="119">
        <v>7604</v>
      </c>
    </row>
    <row r="5514" spans="2:3">
      <c r="B5514" s="118" t="s">
        <v>3808</v>
      </c>
      <c r="C5514" s="119">
        <v>7605</v>
      </c>
    </row>
    <row r="5515" spans="2:3">
      <c r="B5515" s="118" t="s">
        <v>3809</v>
      </c>
      <c r="C5515" s="119">
        <v>7606</v>
      </c>
    </row>
    <row r="5516" spans="2:3">
      <c r="B5516" s="118" t="s">
        <v>3810</v>
      </c>
      <c r="C5516" s="119">
        <v>7606</v>
      </c>
    </row>
    <row r="5517" spans="2:3">
      <c r="B5517" s="118" t="s">
        <v>3811</v>
      </c>
      <c r="C5517" s="119">
        <v>7608</v>
      </c>
    </row>
    <row r="5518" spans="2:3">
      <c r="B5518" s="118" t="s">
        <v>3812</v>
      </c>
      <c r="C5518" s="119">
        <v>7610</v>
      </c>
    </row>
    <row r="5519" spans="2:3">
      <c r="B5519" s="118" t="s">
        <v>805</v>
      </c>
      <c r="C5519" s="119">
        <v>6542</v>
      </c>
    </row>
    <row r="5520" spans="2:3">
      <c r="B5520" s="118" t="s">
        <v>744</v>
      </c>
      <c r="C5520" s="119">
        <v>6537</v>
      </c>
    </row>
    <row r="5521" spans="2:3">
      <c r="B5521" s="118" t="s">
        <v>791</v>
      </c>
      <c r="C5521" s="119">
        <v>6540</v>
      </c>
    </row>
    <row r="5522" spans="2:3">
      <c r="B5522" s="118" t="s">
        <v>3813</v>
      </c>
      <c r="C5522" s="119">
        <v>6541</v>
      </c>
    </row>
    <row r="5523" spans="2:3">
      <c r="B5523" s="118" t="s">
        <v>800</v>
      </c>
      <c r="C5523" s="119">
        <v>6548</v>
      </c>
    </row>
    <row r="5524" spans="2:3">
      <c r="B5524" s="118" t="s">
        <v>3814</v>
      </c>
      <c r="C5524" s="119">
        <v>6548</v>
      </c>
    </row>
    <row r="5525" spans="2:3">
      <c r="B5525" s="118" t="s">
        <v>3815</v>
      </c>
      <c r="C5525" s="119">
        <v>6548</v>
      </c>
    </row>
    <row r="5526" spans="2:3">
      <c r="B5526" s="118" t="s">
        <v>3813</v>
      </c>
      <c r="C5526" s="119">
        <v>6541</v>
      </c>
    </row>
    <row r="5527" spans="2:3">
      <c r="B5527" s="118" t="s">
        <v>769</v>
      </c>
      <c r="C5527" s="119">
        <v>6558</v>
      </c>
    </row>
    <row r="5528" spans="2:3">
      <c r="B5528" s="118" t="s">
        <v>743</v>
      </c>
      <c r="C5528" s="119">
        <v>6563</v>
      </c>
    </row>
    <row r="5529" spans="2:3">
      <c r="B5529" s="118" t="s">
        <v>3816</v>
      </c>
      <c r="C5529" s="119">
        <v>6565</v>
      </c>
    </row>
    <row r="5530" spans="2:3">
      <c r="B5530" s="118" t="s">
        <v>788</v>
      </c>
      <c r="C5530" s="119">
        <v>6562</v>
      </c>
    </row>
    <row r="5531" spans="2:3">
      <c r="B5531" s="118" t="s">
        <v>780</v>
      </c>
      <c r="C5531" s="119">
        <v>6557</v>
      </c>
    </row>
    <row r="5532" spans="2:3">
      <c r="B5532" s="118" t="s">
        <v>744</v>
      </c>
      <c r="C5532" s="119">
        <v>6537</v>
      </c>
    </row>
    <row r="5533" spans="2:3">
      <c r="B5533" s="118" t="s">
        <v>3817</v>
      </c>
      <c r="C5533" s="119">
        <v>6538</v>
      </c>
    </row>
    <row r="5534" spans="2:3">
      <c r="B5534" s="118" t="s">
        <v>3817</v>
      </c>
      <c r="C5534" s="119">
        <v>6538</v>
      </c>
    </row>
    <row r="5535" spans="2:3">
      <c r="B5535" s="118" t="s">
        <v>3818</v>
      </c>
      <c r="C5535" s="119">
        <v>6556</v>
      </c>
    </row>
    <row r="5536" spans="2:3">
      <c r="B5536" s="118" t="s">
        <v>780</v>
      </c>
      <c r="C5536" s="119">
        <v>6557</v>
      </c>
    </row>
    <row r="5537" spans="2:3">
      <c r="B5537" s="118" t="s">
        <v>3819</v>
      </c>
      <c r="C5537" s="119">
        <v>6535</v>
      </c>
    </row>
    <row r="5538" spans="2:3">
      <c r="B5538" s="118" t="s">
        <v>3820</v>
      </c>
      <c r="C5538" s="119">
        <v>6549</v>
      </c>
    </row>
    <row r="5539" spans="2:3">
      <c r="B5539" s="118" t="s">
        <v>1487</v>
      </c>
      <c r="C5539" s="119">
        <v>6533</v>
      </c>
    </row>
    <row r="5540" spans="2:3">
      <c r="B5540" s="118" t="s">
        <v>3821</v>
      </c>
      <c r="C5540" s="119">
        <v>6534</v>
      </c>
    </row>
    <row r="5541" spans="2:3">
      <c r="B5541" s="118" t="s">
        <v>3821</v>
      </c>
      <c r="C5541" s="119">
        <v>6534</v>
      </c>
    </row>
    <row r="5542" spans="2:3">
      <c r="B5542" s="118" t="s">
        <v>3822</v>
      </c>
      <c r="C5542" s="119">
        <v>6543</v>
      </c>
    </row>
    <row r="5543" spans="2:3">
      <c r="B5543" s="118" t="s">
        <v>3823</v>
      </c>
      <c r="C5543" s="119">
        <v>6544</v>
      </c>
    </row>
    <row r="5544" spans="2:3">
      <c r="B5544" s="118" t="s">
        <v>3824</v>
      </c>
      <c r="C5544" s="119">
        <v>6545</v>
      </c>
    </row>
    <row r="5545" spans="2:3">
      <c r="B5545" s="118" t="s">
        <v>3825</v>
      </c>
      <c r="C5545" s="119">
        <v>6546</v>
      </c>
    </row>
    <row r="5546" spans="2:3">
      <c r="B5546" s="118" t="s">
        <v>3826</v>
      </c>
      <c r="C5546" s="119">
        <v>7532</v>
      </c>
    </row>
    <row r="5547" spans="2:3">
      <c r="B5547" s="118" t="s">
        <v>3827</v>
      </c>
      <c r="C5547" s="119">
        <v>7533</v>
      </c>
    </row>
    <row r="5548" spans="2:3">
      <c r="B5548" s="118" t="s">
        <v>3828</v>
      </c>
      <c r="C5548" s="119">
        <v>7534</v>
      </c>
    </row>
    <row r="5549" spans="2:3">
      <c r="B5549" s="118" t="s">
        <v>3829</v>
      </c>
      <c r="C5549" s="119">
        <v>7535</v>
      </c>
    </row>
    <row r="5550" spans="2:3">
      <c r="B5550" s="118" t="s">
        <v>3830</v>
      </c>
      <c r="C5550" s="119">
        <v>7536</v>
      </c>
    </row>
    <row r="5551" spans="2:3">
      <c r="B5551" s="118" t="s">
        <v>3831</v>
      </c>
      <c r="C5551" s="119">
        <v>7537</v>
      </c>
    </row>
    <row r="5552" spans="2:3">
      <c r="B5552" s="118" t="s">
        <v>3832</v>
      </c>
      <c r="C5552" s="119">
        <v>7260</v>
      </c>
    </row>
    <row r="5553" spans="2:3">
      <c r="B5553" s="118" t="s">
        <v>3833</v>
      </c>
      <c r="C5553" s="119">
        <v>7265</v>
      </c>
    </row>
    <row r="5554" spans="2:3">
      <c r="B5554" s="118" t="s">
        <v>3834</v>
      </c>
      <c r="C5554" s="119">
        <v>7270</v>
      </c>
    </row>
    <row r="5555" spans="2:3">
      <c r="B5555" s="118" t="s">
        <v>3835</v>
      </c>
      <c r="C5555" s="119">
        <v>7272</v>
      </c>
    </row>
    <row r="5556" spans="2:3">
      <c r="B5556" s="118" t="s">
        <v>3836</v>
      </c>
      <c r="C5556" s="119">
        <v>7276</v>
      </c>
    </row>
    <row r="5557" spans="2:3">
      <c r="B5557" s="118" t="s">
        <v>3837</v>
      </c>
      <c r="C5557" s="119">
        <v>7277</v>
      </c>
    </row>
    <row r="5558" spans="2:3">
      <c r="B5558" s="118" t="s">
        <v>3838</v>
      </c>
      <c r="C5558" s="119">
        <v>7278</v>
      </c>
    </row>
    <row r="5559" spans="2:3">
      <c r="B5559" s="118" t="s">
        <v>3702</v>
      </c>
      <c r="C5559" s="119">
        <v>7494</v>
      </c>
    </row>
    <row r="5560" spans="2:3">
      <c r="B5560" s="118" t="s">
        <v>778</v>
      </c>
      <c r="C5560" s="119">
        <v>7235</v>
      </c>
    </row>
    <row r="5561" spans="2:3">
      <c r="B5561" s="118" t="s">
        <v>795</v>
      </c>
      <c r="C5561" s="119">
        <v>7232</v>
      </c>
    </row>
    <row r="5562" spans="2:3">
      <c r="B5562" s="118" t="s">
        <v>3839</v>
      </c>
      <c r="C5562" s="119">
        <v>7231</v>
      </c>
    </row>
    <row r="5563" spans="2:3">
      <c r="B5563" s="118" t="s">
        <v>795</v>
      </c>
      <c r="C5563" s="119">
        <v>7232</v>
      </c>
    </row>
    <row r="5564" spans="2:3">
      <c r="B5564" s="118" t="s">
        <v>752</v>
      </c>
      <c r="C5564" s="119">
        <v>7233</v>
      </c>
    </row>
    <row r="5565" spans="2:3">
      <c r="B5565" s="118" t="s">
        <v>3840</v>
      </c>
      <c r="C5565" s="119">
        <v>7247</v>
      </c>
    </row>
    <row r="5566" spans="2:3">
      <c r="B5566" s="118" t="s">
        <v>3841</v>
      </c>
      <c r="C5566" s="119">
        <v>7249</v>
      </c>
    </row>
    <row r="5567" spans="2:3">
      <c r="B5567" s="118" t="s">
        <v>2665</v>
      </c>
      <c r="C5567" s="119">
        <v>7250</v>
      </c>
    </row>
    <row r="5568" spans="2:3">
      <c r="B5568" s="118" t="s">
        <v>3842</v>
      </c>
      <c r="C5568" s="119">
        <v>7252</v>
      </c>
    </row>
    <row r="5569" spans="2:3">
      <c r="B5569" s="118" t="s">
        <v>3833</v>
      </c>
      <c r="C5569" s="119">
        <v>7265</v>
      </c>
    </row>
    <row r="5570" spans="2:3">
      <c r="B5570" s="118" t="s">
        <v>794</v>
      </c>
      <c r="C5570" s="119">
        <v>7241</v>
      </c>
    </row>
    <row r="5571" spans="2:3">
      <c r="B5571" s="118" t="s">
        <v>764</v>
      </c>
      <c r="C5571" s="119">
        <v>7240</v>
      </c>
    </row>
    <row r="5572" spans="2:3">
      <c r="B5572" s="118" t="s">
        <v>3843</v>
      </c>
      <c r="C5572" s="119">
        <v>7222</v>
      </c>
    </row>
    <row r="5573" spans="2:3">
      <c r="B5573" s="118" t="s">
        <v>3844</v>
      </c>
      <c r="C5573" s="119">
        <v>7223</v>
      </c>
    </row>
    <row r="5574" spans="2:3">
      <c r="B5574" s="118" t="s">
        <v>3845</v>
      </c>
      <c r="C5574" s="119">
        <v>7224</v>
      </c>
    </row>
    <row r="5575" spans="2:3">
      <c r="B5575" s="118" t="s">
        <v>3846</v>
      </c>
      <c r="C5575" s="119">
        <v>7226</v>
      </c>
    </row>
    <row r="5576" spans="2:3">
      <c r="B5576" s="118" t="s">
        <v>764</v>
      </c>
      <c r="C5576" s="119">
        <v>7240</v>
      </c>
    </row>
    <row r="5577" spans="2:3">
      <c r="B5577" s="118" t="s">
        <v>734</v>
      </c>
      <c r="C5577" s="119">
        <v>7242</v>
      </c>
    </row>
    <row r="5578" spans="2:3">
      <c r="B5578" s="118" t="s">
        <v>3847</v>
      </c>
      <c r="C5578" s="119">
        <v>7243</v>
      </c>
    </row>
    <row r="5579" spans="2:3">
      <c r="B5579" s="118" t="s">
        <v>3848</v>
      </c>
      <c r="C5579" s="119">
        <v>7244</v>
      </c>
    </row>
    <row r="5580" spans="2:3">
      <c r="B5580" s="118" t="s">
        <v>3849</v>
      </c>
      <c r="C5580" s="119">
        <v>7245</v>
      </c>
    </row>
    <row r="5581" spans="2:3">
      <c r="B5581" s="118" t="s">
        <v>3850</v>
      </c>
      <c r="C5581" s="119">
        <v>7246</v>
      </c>
    </row>
    <row r="5582" spans="2:3">
      <c r="B5582" s="118" t="s">
        <v>696</v>
      </c>
      <c r="C5582" s="119">
        <v>7000</v>
      </c>
    </row>
    <row r="5583" spans="2:3">
      <c r="B5583" s="118" t="s">
        <v>757</v>
      </c>
      <c r="C5583" s="119">
        <v>7023</v>
      </c>
    </row>
    <row r="5584" spans="2:3">
      <c r="B5584" s="118" t="s">
        <v>783</v>
      </c>
      <c r="C5584" s="119">
        <v>7026</v>
      </c>
    </row>
    <row r="5585" spans="2:3">
      <c r="B5585" s="118" t="s">
        <v>3851</v>
      </c>
      <c r="C5585" s="119">
        <v>7074</v>
      </c>
    </row>
    <row r="5586" spans="2:3">
      <c r="B5586" s="118" t="s">
        <v>696</v>
      </c>
      <c r="C5586" s="119">
        <v>7000</v>
      </c>
    </row>
    <row r="5587" spans="2:3">
      <c r="B5587" s="118" t="s">
        <v>3852</v>
      </c>
      <c r="C5587" s="119">
        <v>7062</v>
      </c>
    </row>
    <row r="5588" spans="2:3">
      <c r="B5588" s="118" t="s">
        <v>3851</v>
      </c>
      <c r="C5588" s="119">
        <v>7074</v>
      </c>
    </row>
    <row r="5589" spans="2:3">
      <c r="B5589" s="118" t="s">
        <v>729</v>
      </c>
      <c r="C5589" s="119">
        <v>7075</v>
      </c>
    </row>
    <row r="5590" spans="2:3">
      <c r="B5590" s="118" t="s">
        <v>3674</v>
      </c>
      <c r="C5590" s="119">
        <v>7076</v>
      </c>
    </row>
    <row r="5591" spans="2:3">
      <c r="B5591" s="118" t="s">
        <v>3853</v>
      </c>
      <c r="C5591" s="119">
        <v>7027</v>
      </c>
    </row>
    <row r="5592" spans="2:3">
      <c r="B5592" s="118" t="s">
        <v>3854</v>
      </c>
      <c r="C5592" s="119">
        <v>7027</v>
      </c>
    </row>
    <row r="5593" spans="2:3">
      <c r="B5593" s="118" t="s">
        <v>3855</v>
      </c>
      <c r="C5593" s="119">
        <v>7027</v>
      </c>
    </row>
    <row r="5594" spans="2:3">
      <c r="B5594" s="118" t="s">
        <v>3856</v>
      </c>
      <c r="C5594" s="119">
        <v>7028</v>
      </c>
    </row>
    <row r="5595" spans="2:3">
      <c r="B5595" s="118" t="s">
        <v>3857</v>
      </c>
      <c r="C5595" s="119">
        <v>7028</v>
      </c>
    </row>
    <row r="5596" spans="2:3">
      <c r="B5596" s="118" t="s">
        <v>3858</v>
      </c>
      <c r="C5596" s="119">
        <v>7029</v>
      </c>
    </row>
    <row r="5597" spans="2:3">
      <c r="B5597" s="118" t="s">
        <v>711</v>
      </c>
      <c r="C5597" s="119">
        <v>7050</v>
      </c>
    </row>
    <row r="5598" spans="2:3">
      <c r="B5598" s="118" t="s">
        <v>3859</v>
      </c>
      <c r="C5598" s="119">
        <v>7056</v>
      </c>
    </row>
    <row r="5599" spans="2:3">
      <c r="B5599" s="118" t="s">
        <v>3860</v>
      </c>
      <c r="C5599" s="119">
        <v>7057</v>
      </c>
    </row>
    <row r="5600" spans="2:3">
      <c r="B5600" s="118" t="s">
        <v>3861</v>
      </c>
      <c r="C5600" s="119">
        <v>7058</v>
      </c>
    </row>
    <row r="5601" spans="2:3">
      <c r="B5601" s="118" t="s">
        <v>3832</v>
      </c>
      <c r="C5601" s="119">
        <v>7260</v>
      </c>
    </row>
    <row r="5602" spans="2:3">
      <c r="B5602" s="118" t="s">
        <v>3862</v>
      </c>
      <c r="C5602" s="119">
        <v>7063</v>
      </c>
    </row>
    <row r="5603" spans="2:3">
      <c r="B5603" s="118" t="s">
        <v>3863</v>
      </c>
      <c r="C5603" s="119">
        <v>7064</v>
      </c>
    </row>
    <row r="5604" spans="2:3">
      <c r="B5604" s="118" t="s">
        <v>3864</v>
      </c>
      <c r="C5604" s="119">
        <v>7202</v>
      </c>
    </row>
    <row r="5605" spans="2:3">
      <c r="B5605" s="118" t="s">
        <v>709</v>
      </c>
      <c r="C5605" s="119">
        <v>7203</v>
      </c>
    </row>
    <row r="5606" spans="2:3">
      <c r="B5606" s="118" t="s">
        <v>3865</v>
      </c>
      <c r="C5606" s="119">
        <v>7213</v>
      </c>
    </row>
    <row r="5607" spans="2:3">
      <c r="B5607" s="118" t="s">
        <v>719</v>
      </c>
      <c r="C5607" s="119">
        <v>7204</v>
      </c>
    </row>
    <row r="5608" spans="2:3">
      <c r="B5608" s="118" t="s">
        <v>707</v>
      </c>
      <c r="C5608" s="119">
        <v>7205</v>
      </c>
    </row>
    <row r="5609" spans="2:3">
      <c r="B5609" s="118" t="s">
        <v>698</v>
      </c>
      <c r="C5609" s="119">
        <v>7302</v>
      </c>
    </row>
    <row r="5610" spans="2:3">
      <c r="B5610" s="118" t="s">
        <v>713</v>
      </c>
      <c r="C5610" s="119">
        <v>7304</v>
      </c>
    </row>
    <row r="5611" spans="2:3">
      <c r="B5611" s="118" t="s">
        <v>767</v>
      </c>
      <c r="C5611" s="119">
        <v>7306</v>
      </c>
    </row>
    <row r="5612" spans="2:3">
      <c r="B5612" s="118" t="s">
        <v>762</v>
      </c>
      <c r="C5612" s="119">
        <v>7307</v>
      </c>
    </row>
    <row r="5613" spans="2:3">
      <c r="B5613" s="118" t="s">
        <v>698</v>
      </c>
      <c r="C5613" s="119">
        <v>7302</v>
      </c>
    </row>
    <row r="5614" spans="2:3">
      <c r="B5614" s="118" t="s">
        <v>713</v>
      </c>
      <c r="C5614" s="119">
        <v>7304</v>
      </c>
    </row>
    <row r="5615" spans="2:3">
      <c r="B5615" s="118" t="s">
        <v>3866</v>
      </c>
      <c r="C5615" s="119">
        <v>7208</v>
      </c>
    </row>
    <row r="5616" spans="2:3">
      <c r="B5616" s="118" t="s">
        <v>719</v>
      </c>
      <c r="C5616" s="119">
        <v>7204</v>
      </c>
    </row>
    <row r="5617" spans="2:3">
      <c r="B5617" s="118" t="s">
        <v>3867</v>
      </c>
      <c r="C5617" s="119">
        <v>7206</v>
      </c>
    </row>
    <row r="5618" spans="2:3">
      <c r="B5618" s="118" t="s">
        <v>698</v>
      </c>
      <c r="C5618" s="119">
        <v>7302</v>
      </c>
    </row>
    <row r="5619" spans="2:3">
      <c r="B5619" s="118" t="s">
        <v>3868</v>
      </c>
      <c r="C5619" s="119">
        <v>7303</v>
      </c>
    </row>
    <row r="5620" spans="2:3">
      <c r="B5620" s="118" t="s">
        <v>3589</v>
      </c>
      <c r="C5620" s="119">
        <v>7313</v>
      </c>
    </row>
    <row r="5621" spans="2:3">
      <c r="B5621" s="118" t="s">
        <v>3865</v>
      </c>
      <c r="C5621" s="119">
        <v>7213</v>
      </c>
    </row>
    <row r="5622" spans="2:3">
      <c r="B5622" s="118" t="s">
        <v>727</v>
      </c>
      <c r="C5622" s="119">
        <v>7214</v>
      </c>
    </row>
    <row r="5623" spans="2:3">
      <c r="B5623" s="118" t="s">
        <v>3869</v>
      </c>
      <c r="C5623" s="119">
        <v>7215</v>
      </c>
    </row>
    <row r="5624" spans="2:3">
      <c r="B5624" s="118" t="s">
        <v>727</v>
      </c>
      <c r="C5624" s="119">
        <v>7214</v>
      </c>
    </row>
    <row r="5625" spans="2:3">
      <c r="B5625" s="118" t="s">
        <v>717</v>
      </c>
      <c r="C5625" s="119">
        <v>7220</v>
      </c>
    </row>
    <row r="5626" spans="2:3">
      <c r="B5626" s="118" t="s">
        <v>717</v>
      </c>
      <c r="C5626" s="119">
        <v>7220</v>
      </c>
    </row>
    <row r="5627" spans="2:3">
      <c r="B5627" s="118" t="s">
        <v>3843</v>
      </c>
      <c r="C5627" s="119">
        <v>7222</v>
      </c>
    </row>
    <row r="5628" spans="2:3">
      <c r="B5628" s="118" t="s">
        <v>3846</v>
      </c>
      <c r="C5628" s="119">
        <v>7226</v>
      </c>
    </row>
    <row r="5629" spans="2:3">
      <c r="B5629" s="118" t="s">
        <v>3846</v>
      </c>
      <c r="C5629" s="119">
        <v>7226</v>
      </c>
    </row>
    <row r="5630" spans="2:3">
      <c r="B5630" s="118" t="s">
        <v>3870</v>
      </c>
      <c r="C5630" s="119">
        <v>7226</v>
      </c>
    </row>
    <row r="5631" spans="2:3">
      <c r="B5631" s="118" t="s">
        <v>3871</v>
      </c>
      <c r="C5631" s="119">
        <v>7228</v>
      </c>
    </row>
    <row r="5632" spans="2:3">
      <c r="B5632" s="118" t="s">
        <v>3872</v>
      </c>
      <c r="C5632" s="119">
        <v>7228</v>
      </c>
    </row>
    <row r="5633" spans="2:3">
      <c r="B5633" s="118" t="s">
        <v>3873</v>
      </c>
      <c r="C5633" s="119">
        <v>7212</v>
      </c>
    </row>
    <row r="5634" spans="2:3">
      <c r="B5634" s="118" t="s">
        <v>3874</v>
      </c>
      <c r="C5634" s="119">
        <v>7212</v>
      </c>
    </row>
    <row r="5635" spans="2:3">
      <c r="B5635" s="118" t="s">
        <v>3875</v>
      </c>
      <c r="C5635" s="119">
        <v>7212</v>
      </c>
    </row>
    <row r="5636" spans="2:3">
      <c r="B5636" s="118" t="s">
        <v>3869</v>
      </c>
      <c r="C5636" s="119">
        <v>7215</v>
      </c>
    </row>
    <row r="5637" spans="2:3">
      <c r="B5637" s="118" t="s">
        <v>3876</v>
      </c>
      <c r="C5637" s="119">
        <v>7134</v>
      </c>
    </row>
    <row r="5638" spans="2:3">
      <c r="B5638" s="118" t="s">
        <v>3877</v>
      </c>
      <c r="C5638" s="119">
        <v>7158</v>
      </c>
    </row>
    <row r="5639" spans="2:3">
      <c r="B5639" s="118" t="s">
        <v>3878</v>
      </c>
      <c r="C5639" s="119">
        <v>7159</v>
      </c>
    </row>
    <row r="5640" spans="2:3">
      <c r="B5640" s="118" t="s">
        <v>3879</v>
      </c>
      <c r="C5640" s="119">
        <v>7162</v>
      </c>
    </row>
    <row r="5641" spans="2:3">
      <c r="B5641" s="118" t="s">
        <v>3880</v>
      </c>
      <c r="C5641" s="119">
        <v>7163</v>
      </c>
    </row>
    <row r="5642" spans="2:3">
      <c r="B5642" s="118" t="s">
        <v>3881</v>
      </c>
      <c r="C5642" s="119">
        <v>7164</v>
      </c>
    </row>
    <row r="5643" spans="2:3">
      <c r="B5643" s="118" t="s">
        <v>2660</v>
      </c>
      <c r="C5643" s="119">
        <v>7165</v>
      </c>
    </row>
    <row r="5644" spans="2:3">
      <c r="B5644" s="118" t="s">
        <v>2662</v>
      </c>
      <c r="C5644" s="119">
        <v>7180</v>
      </c>
    </row>
    <row r="5645" spans="2:3">
      <c r="B5645" s="118" t="s">
        <v>3882</v>
      </c>
      <c r="C5645" s="119">
        <v>7182</v>
      </c>
    </row>
    <row r="5646" spans="2:3">
      <c r="B5646" s="118" t="s">
        <v>3883</v>
      </c>
      <c r="C5646" s="119">
        <v>7183</v>
      </c>
    </row>
    <row r="5647" spans="2:3">
      <c r="B5647" s="118" t="s">
        <v>3884</v>
      </c>
      <c r="C5647" s="119">
        <v>7186</v>
      </c>
    </row>
    <row r="5648" spans="2:3">
      <c r="B5648" s="118" t="s">
        <v>3885</v>
      </c>
      <c r="C5648" s="119">
        <v>7184</v>
      </c>
    </row>
    <row r="5649" spans="2:3">
      <c r="B5649" s="118" t="s">
        <v>3886</v>
      </c>
      <c r="C5649" s="119">
        <v>7185</v>
      </c>
    </row>
    <row r="5650" spans="2:3">
      <c r="B5650" s="118" t="s">
        <v>3887</v>
      </c>
      <c r="C5650" s="119">
        <v>7172</v>
      </c>
    </row>
    <row r="5651" spans="2:3">
      <c r="B5651" s="118" t="s">
        <v>3888</v>
      </c>
      <c r="C5651" s="119">
        <v>7173</v>
      </c>
    </row>
    <row r="5652" spans="2:3">
      <c r="B5652" s="118" t="s">
        <v>3889</v>
      </c>
      <c r="C5652" s="119">
        <v>7174</v>
      </c>
    </row>
    <row r="5653" spans="2:3">
      <c r="B5653" s="118" t="s">
        <v>750</v>
      </c>
      <c r="C5653" s="119">
        <v>7175</v>
      </c>
    </row>
    <row r="5654" spans="2:3">
      <c r="B5654" s="118" t="s">
        <v>3890</v>
      </c>
      <c r="C5654" s="119">
        <v>7176</v>
      </c>
    </row>
    <row r="5655" spans="2:3">
      <c r="B5655" s="118" t="s">
        <v>2662</v>
      </c>
      <c r="C5655" s="119">
        <v>7180</v>
      </c>
    </row>
    <row r="5656" spans="2:3">
      <c r="B5656" s="118" t="s">
        <v>3891</v>
      </c>
      <c r="C5656" s="119">
        <v>7187</v>
      </c>
    </row>
    <row r="5657" spans="2:3">
      <c r="B5657" s="118" t="s">
        <v>3892</v>
      </c>
      <c r="C5657" s="119">
        <v>7188</v>
      </c>
    </row>
    <row r="5658" spans="2:3">
      <c r="B5658" s="118" t="s">
        <v>3893</v>
      </c>
      <c r="C5658" s="119">
        <v>7189</v>
      </c>
    </row>
    <row r="5659" spans="2:3">
      <c r="B5659" s="118" t="s">
        <v>751</v>
      </c>
      <c r="C5659" s="119">
        <v>7166</v>
      </c>
    </row>
    <row r="5660" spans="2:3">
      <c r="B5660" s="118" t="s">
        <v>3894</v>
      </c>
      <c r="C5660" s="119">
        <v>7167</v>
      </c>
    </row>
    <row r="5661" spans="2:3">
      <c r="B5661" s="118" t="s">
        <v>3895</v>
      </c>
      <c r="C5661" s="119">
        <v>7168</v>
      </c>
    </row>
    <row r="5662" spans="2:3">
      <c r="B5662" s="118" t="s">
        <v>3887</v>
      </c>
      <c r="C5662" s="119">
        <v>7172</v>
      </c>
    </row>
    <row r="5663" spans="2:3">
      <c r="B5663" s="118" t="s">
        <v>3876</v>
      </c>
      <c r="C5663" s="119">
        <v>7134</v>
      </c>
    </row>
    <row r="5664" spans="2:3">
      <c r="B5664" s="118" t="s">
        <v>3896</v>
      </c>
      <c r="C5664" s="119">
        <v>7137</v>
      </c>
    </row>
    <row r="5665" spans="2:3">
      <c r="B5665" s="118" t="s">
        <v>3897</v>
      </c>
      <c r="C5665" s="119">
        <v>7138</v>
      </c>
    </row>
    <row r="5666" spans="2:3">
      <c r="B5666" s="118" t="s">
        <v>1615</v>
      </c>
      <c r="C5666" s="119">
        <v>5000</v>
      </c>
    </row>
    <row r="5667" spans="2:3">
      <c r="B5667" s="118" t="s">
        <v>1615</v>
      </c>
      <c r="C5667" s="119">
        <v>5004</v>
      </c>
    </row>
    <row r="5668" spans="2:3">
      <c r="B5668" s="118" t="s">
        <v>1614</v>
      </c>
      <c r="C5668" s="119">
        <v>5032</v>
      </c>
    </row>
    <row r="5669" spans="2:3">
      <c r="B5669" s="118" t="s">
        <v>600</v>
      </c>
      <c r="C5669" s="119">
        <v>5023</v>
      </c>
    </row>
    <row r="5670" spans="2:3">
      <c r="B5670" s="118" t="s">
        <v>3898</v>
      </c>
      <c r="C5670" s="119">
        <v>5033</v>
      </c>
    </row>
    <row r="5671" spans="2:3">
      <c r="B5671" s="118" t="s">
        <v>3899</v>
      </c>
      <c r="C5671" s="119">
        <v>5025</v>
      </c>
    </row>
    <row r="5672" spans="2:3">
      <c r="B5672" s="118" t="s">
        <v>669</v>
      </c>
      <c r="C5672" s="119">
        <v>5026</v>
      </c>
    </row>
    <row r="5673" spans="2:3">
      <c r="B5673" s="118" t="s">
        <v>3473</v>
      </c>
      <c r="C5673" s="119">
        <v>5017</v>
      </c>
    </row>
    <row r="5674" spans="2:3">
      <c r="B5674" s="118" t="s">
        <v>3900</v>
      </c>
      <c r="C5674" s="119">
        <v>5018</v>
      </c>
    </row>
    <row r="5675" spans="2:3">
      <c r="B5675" s="118" t="s">
        <v>506</v>
      </c>
      <c r="C5675" s="119">
        <v>5722</v>
      </c>
    </row>
    <row r="5676" spans="2:3">
      <c r="B5676" s="118" t="s">
        <v>3901</v>
      </c>
      <c r="C5676" s="119">
        <v>5723</v>
      </c>
    </row>
    <row r="5677" spans="2:3">
      <c r="B5677" s="118" t="s">
        <v>601</v>
      </c>
      <c r="C5677" s="119">
        <v>5042</v>
      </c>
    </row>
    <row r="5678" spans="2:3">
      <c r="B5678" s="118" t="s">
        <v>3902</v>
      </c>
      <c r="C5678" s="119">
        <v>5022</v>
      </c>
    </row>
    <row r="5679" spans="2:3">
      <c r="B5679" s="118" t="s">
        <v>512</v>
      </c>
      <c r="C5679" s="119">
        <v>5024</v>
      </c>
    </row>
    <row r="5680" spans="2:3">
      <c r="B5680" s="118" t="s">
        <v>544</v>
      </c>
      <c r="C5680" s="119">
        <v>5037</v>
      </c>
    </row>
    <row r="5681" spans="2:3">
      <c r="B5681" s="118" t="s">
        <v>501</v>
      </c>
      <c r="C5681" s="119">
        <v>5036</v>
      </c>
    </row>
    <row r="5682" spans="2:3">
      <c r="B5682" s="118" t="s">
        <v>1615</v>
      </c>
      <c r="C5682" s="119">
        <v>5000</v>
      </c>
    </row>
    <row r="5683" spans="2:3">
      <c r="B5683" s="118" t="s">
        <v>496</v>
      </c>
      <c r="C5683" s="119">
        <v>5034</v>
      </c>
    </row>
    <row r="5684" spans="2:3">
      <c r="B5684" s="118" t="s">
        <v>535</v>
      </c>
      <c r="C5684" s="119">
        <v>5035</v>
      </c>
    </row>
    <row r="5685" spans="2:3">
      <c r="B5685" s="118" t="s">
        <v>560</v>
      </c>
      <c r="C5685" s="119">
        <v>5300</v>
      </c>
    </row>
    <row r="5686" spans="2:3">
      <c r="B5686" s="118" t="s">
        <v>1616</v>
      </c>
      <c r="C5686" s="119">
        <v>5400</v>
      </c>
    </row>
    <row r="5687" spans="2:3">
      <c r="B5687" s="118" t="s">
        <v>1616</v>
      </c>
      <c r="C5687" s="119">
        <v>5404</v>
      </c>
    </row>
    <row r="5688" spans="2:3">
      <c r="B5688" s="118" t="s">
        <v>1617</v>
      </c>
      <c r="C5688" s="119">
        <v>5405</v>
      </c>
    </row>
    <row r="5689" spans="2:3">
      <c r="B5689" s="118" t="s">
        <v>1618</v>
      </c>
      <c r="C5689" s="119">
        <v>5406</v>
      </c>
    </row>
    <row r="5690" spans="2:3">
      <c r="B5690" s="118" t="s">
        <v>607</v>
      </c>
      <c r="C5690" s="119">
        <v>5454</v>
      </c>
    </row>
    <row r="5691" spans="2:3">
      <c r="B5691" s="118" t="s">
        <v>546</v>
      </c>
      <c r="C5691" s="119">
        <v>8967</v>
      </c>
    </row>
    <row r="5692" spans="2:3">
      <c r="B5692" s="118" t="s">
        <v>566</v>
      </c>
      <c r="C5692" s="119">
        <v>8962</v>
      </c>
    </row>
    <row r="5693" spans="2:3">
      <c r="B5693" s="118" t="s">
        <v>546</v>
      </c>
      <c r="C5693" s="119">
        <v>8967</v>
      </c>
    </row>
    <row r="5694" spans="2:3">
      <c r="B5694" s="118" t="s">
        <v>1618</v>
      </c>
      <c r="C5694" s="119">
        <v>5406</v>
      </c>
    </row>
    <row r="5695" spans="2:3">
      <c r="B5695" s="118" t="s">
        <v>3903</v>
      </c>
      <c r="C5695" s="119">
        <v>5413</v>
      </c>
    </row>
    <row r="5696" spans="2:3">
      <c r="B5696" s="118" t="s">
        <v>551</v>
      </c>
      <c r="C5696" s="119">
        <v>5408</v>
      </c>
    </row>
    <row r="5697" spans="2:3">
      <c r="B5697" s="118" t="s">
        <v>1617</v>
      </c>
      <c r="C5697" s="119">
        <v>5405</v>
      </c>
    </row>
    <row r="5698" spans="2:3">
      <c r="B5698" s="118" t="s">
        <v>515</v>
      </c>
      <c r="C5698" s="119">
        <v>5442</v>
      </c>
    </row>
    <row r="5699" spans="2:3">
      <c r="B5699" s="118" t="s">
        <v>642</v>
      </c>
      <c r="C5699" s="119">
        <v>5423</v>
      </c>
    </row>
    <row r="5700" spans="2:3">
      <c r="B5700" s="118" t="s">
        <v>518</v>
      </c>
      <c r="C5700" s="119">
        <v>5412</v>
      </c>
    </row>
    <row r="5701" spans="2:3">
      <c r="B5701" s="118" t="s">
        <v>3904</v>
      </c>
      <c r="C5701" s="119">
        <v>5412</v>
      </c>
    </row>
    <row r="5702" spans="2:3">
      <c r="B5702" s="118" t="s">
        <v>586</v>
      </c>
      <c r="C5702" s="119">
        <v>8956</v>
      </c>
    </row>
    <row r="5703" spans="2:3">
      <c r="B5703" s="118" t="s">
        <v>594</v>
      </c>
      <c r="C5703" s="119">
        <v>5444</v>
      </c>
    </row>
    <row r="5704" spans="2:3">
      <c r="B5704" s="118" t="s">
        <v>582</v>
      </c>
      <c r="C5704" s="119">
        <v>5506</v>
      </c>
    </row>
    <row r="5705" spans="2:3">
      <c r="B5705" s="118" t="s">
        <v>516</v>
      </c>
      <c r="C5705" s="119">
        <v>5507</v>
      </c>
    </row>
    <row r="5706" spans="2:3">
      <c r="B5706" s="118" t="s">
        <v>498</v>
      </c>
      <c r="C5706" s="119">
        <v>5432</v>
      </c>
    </row>
    <row r="5707" spans="2:3">
      <c r="B5707" s="118" t="s">
        <v>537</v>
      </c>
      <c r="C5707" s="119">
        <v>5443</v>
      </c>
    </row>
    <row r="5708" spans="2:3">
      <c r="B5708" s="118" t="s">
        <v>534</v>
      </c>
      <c r="C5708" s="119">
        <v>5452</v>
      </c>
    </row>
    <row r="5709" spans="2:3">
      <c r="B5709" s="118" t="s">
        <v>3905</v>
      </c>
      <c r="C5709" s="119">
        <v>5415</v>
      </c>
    </row>
    <row r="5710" spans="2:3">
      <c r="B5710" s="118" t="s">
        <v>3906</v>
      </c>
      <c r="C5710" s="119">
        <v>5415</v>
      </c>
    </row>
    <row r="5711" spans="2:3">
      <c r="B5711" s="118" t="s">
        <v>3907</v>
      </c>
      <c r="C5711" s="119">
        <v>5415</v>
      </c>
    </row>
    <row r="5712" spans="2:3">
      <c r="B5712" s="118" t="s">
        <v>3908</v>
      </c>
      <c r="C5712" s="119">
        <v>5416</v>
      </c>
    </row>
    <row r="5713" spans="2:3">
      <c r="B5713" s="118" t="s">
        <v>585</v>
      </c>
      <c r="C5713" s="119">
        <v>5453</v>
      </c>
    </row>
    <row r="5714" spans="2:3">
      <c r="B5714" s="118" t="s">
        <v>1679</v>
      </c>
      <c r="C5714" s="119">
        <v>8953</v>
      </c>
    </row>
    <row r="5715" spans="2:3">
      <c r="B5715" s="118" t="s">
        <v>2676</v>
      </c>
      <c r="C5715" s="119">
        <v>8957</v>
      </c>
    </row>
    <row r="5716" spans="2:3">
      <c r="B5716" s="118" t="s">
        <v>3909</v>
      </c>
      <c r="C5716" s="119">
        <v>5608</v>
      </c>
    </row>
    <row r="5717" spans="2:3">
      <c r="B5717" s="118" t="s">
        <v>560</v>
      </c>
      <c r="C5717" s="119">
        <v>5300</v>
      </c>
    </row>
    <row r="5718" spans="2:3">
      <c r="B5718" s="118" t="s">
        <v>3910</v>
      </c>
      <c r="C5718" s="119">
        <v>5301</v>
      </c>
    </row>
    <row r="5719" spans="2:3">
      <c r="B5719" s="118" t="s">
        <v>3908</v>
      </c>
      <c r="C5719" s="119">
        <v>5416</v>
      </c>
    </row>
    <row r="5720" spans="2:3">
      <c r="B5720" s="118" t="s">
        <v>509</v>
      </c>
      <c r="C5720" s="119">
        <v>5417</v>
      </c>
    </row>
    <row r="5721" spans="2:3">
      <c r="B5721" s="118" t="s">
        <v>2677</v>
      </c>
      <c r="C5721" s="119">
        <v>5430</v>
      </c>
    </row>
    <row r="5722" spans="2:3">
      <c r="B5722" s="118" t="s">
        <v>582</v>
      </c>
      <c r="C5722" s="119">
        <v>5506</v>
      </c>
    </row>
    <row r="5723" spans="2:3">
      <c r="B5723" s="118" t="s">
        <v>606</v>
      </c>
      <c r="C5723" s="119">
        <v>5512</v>
      </c>
    </row>
    <row r="5724" spans="2:3">
      <c r="B5724" s="118" t="s">
        <v>524</v>
      </c>
      <c r="C5724" s="119">
        <v>5303</v>
      </c>
    </row>
    <row r="5725" spans="2:3">
      <c r="B5725" s="118" t="s">
        <v>2677</v>
      </c>
      <c r="C5725" s="119">
        <v>5430</v>
      </c>
    </row>
    <row r="5726" spans="2:3">
      <c r="B5726" s="118" t="s">
        <v>510</v>
      </c>
      <c r="C5726" s="119">
        <v>5436</v>
      </c>
    </row>
    <row r="5727" spans="2:3">
      <c r="B5727" s="118" t="s">
        <v>3911</v>
      </c>
      <c r="C5727" s="119">
        <v>8109</v>
      </c>
    </row>
    <row r="5728" spans="2:3">
      <c r="B5728" s="118" t="s">
        <v>520</v>
      </c>
      <c r="C5728" s="119">
        <v>5420</v>
      </c>
    </row>
    <row r="5729" spans="2:3">
      <c r="B5729" s="118" t="s">
        <v>3912</v>
      </c>
      <c r="C5729" s="119">
        <v>8905</v>
      </c>
    </row>
    <row r="5730" spans="2:3">
      <c r="B5730" s="118" t="s">
        <v>3913</v>
      </c>
      <c r="C5730" s="119">
        <v>8964</v>
      </c>
    </row>
    <row r="5731" spans="2:3">
      <c r="B5731" s="118" t="s">
        <v>523</v>
      </c>
      <c r="C5731" s="119">
        <v>8965</v>
      </c>
    </row>
    <row r="5732" spans="2:3">
      <c r="B5732" s="118" t="s">
        <v>3914</v>
      </c>
      <c r="C5732" s="119">
        <v>5620</v>
      </c>
    </row>
    <row r="5733" spans="2:3">
      <c r="B5733" s="118" t="s">
        <v>3915</v>
      </c>
      <c r="C5733" s="119">
        <v>5626</v>
      </c>
    </row>
    <row r="5734" spans="2:3">
      <c r="B5734" s="118" t="s">
        <v>3916</v>
      </c>
      <c r="C5734" s="119">
        <v>5619</v>
      </c>
    </row>
    <row r="5735" spans="2:3">
      <c r="B5735" s="118" t="s">
        <v>627</v>
      </c>
      <c r="C5735" s="119">
        <v>5604</v>
      </c>
    </row>
    <row r="5736" spans="2:3">
      <c r="B5736" s="118" t="s">
        <v>543</v>
      </c>
      <c r="C5736" s="119">
        <v>5605</v>
      </c>
    </row>
    <row r="5737" spans="2:3">
      <c r="B5737" s="118" t="s">
        <v>646</v>
      </c>
      <c r="C5737" s="119">
        <v>5445</v>
      </c>
    </row>
    <row r="5738" spans="2:3">
      <c r="B5738" s="118" t="s">
        <v>597</v>
      </c>
      <c r="C5738" s="119">
        <v>5525</v>
      </c>
    </row>
    <row r="5739" spans="2:3">
      <c r="B5739" s="118" t="s">
        <v>608</v>
      </c>
      <c r="C5739" s="119">
        <v>5522</v>
      </c>
    </row>
    <row r="5740" spans="2:3">
      <c r="B5740" s="118" t="s">
        <v>573</v>
      </c>
      <c r="C5740" s="119">
        <v>5607</v>
      </c>
    </row>
    <row r="5741" spans="2:3">
      <c r="B5741" s="118" t="s">
        <v>587</v>
      </c>
      <c r="C5741" s="119">
        <v>8916</v>
      </c>
    </row>
    <row r="5742" spans="2:3">
      <c r="B5742" s="118" t="s">
        <v>3917</v>
      </c>
      <c r="C5742" s="119">
        <v>5524</v>
      </c>
    </row>
    <row r="5743" spans="2:3">
      <c r="B5743" s="118" t="s">
        <v>3918</v>
      </c>
      <c r="C5743" s="119">
        <v>5524</v>
      </c>
    </row>
    <row r="5744" spans="2:3">
      <c r="B5744" s="118" t="s">
        <v>589</v>
      </c>
      <c r="C5744" s="119">
        <v>8917</v>
      </c>
    </row>
    <row r="5745" spans="2:3">
      <c r="B5745" s="118" t="s">
        <v>574</v>
      </c>
      <c r="C5745" s="119">
        <v>8966</v>
      </c>
    </row>
    <row r="5746" spans="2:3">
      <c r="B5746" s="118" t="s">
        <v>3913</v>
      </c>
      <c r="C5746" s="119">
        <v>8964</v>
      </c>
    </row>
    <row r="5747" spans="2:3">
      <c r="B5747" s="118" t="s">
        <v>564</v>
      </c>
      <c r="C5747" s="119">
        <v>5614</v>
      </c>
    </row>
    <row r="5748" spans="2:3">
      <c r="B5748" s="118" t="s">
        <v>675</v>
      </c>
      <c r="C5748" s="119">
        <v>5618</v>
      </c>
    </row>
    <row r="5749" spans="2:3">
      <c r="B5749" s="118" t="s">
        <v>608</v>
      </c>
      <c r="C5749" s="119">
        <v>5522</v>
      </c>
    </row>
    <row r="5750" spans="2:3">
      <c r="B5750" s="118" t="s">
        <v>680</v>
      </c>
      <c r="C5750" s="119">
        <v>5619</v>
      </c>
    </row>
    <row r="5751" spans="2:3">
      <c r="B5751" s="118" t="s">
        <v>617</v>
      </c>
      <c r="C5751" s="119">
        <v>8918</v>
      </c>
    </row>
    <row r="5752" spans="2:3">
      <c r="B5752" s="118" t="s">
        <v>543</v>
      </c>
      <c r="C5752" s="119">
        <v>5605</v>
      </c>
    </row>
    <row r="5753" spans="2:3">
      <c r="B5753" s="118" t="s">
        <v>3919</v>
      </c>
      <c r="C5753" s="119">
        <v>5610</v>
      </c>
    </row>
    <row r="5754" spans="2:3">
      <c r="B5754" s="118" t="s">
        <v>3920</v>
      </c>
      <c r="C5754" s="119">
        <v>5611</v>
      </c>
    </row>
    <row r="5755" spans="2:3">
      <c r="B5755" s="118" t="s">
        <v>508</v>
      </c>
      <c r="C5755" s="119">
        <v>5612</v>
      </c>
    </row>
    <row r="5756" spans="2:3">
      <c r="B5756" s="118" t="s">
        <v>3921</v>
      </c>
      <c r="C5756" s="119">
        <v>5613</v>
      </c>
    </row>
    <row r="5757" spans="2:3">
      <c r="B5757" s="118" t="s">
        <v>546</v>
      </c>
      <c r="C5757" s="119">
        <v>8967</v>
      </c>
    </row>
    <row r="5758" spans="2:3">
      <c r="B5758" s="118" t="s">
        <v>3919</v>
      </c>
      <c r="C5758" s="119">
        <v>5610</v>
      </c>
    </row>
    <row r="5759" spans="2:3">
      <c r="B5759" s="118" t="s">
        <v>3920</v>
      </c>
      <c r="C5759" s="119">
        <v>5611</v>
      </c>
    </row>
    <row r="5760" spans="2:3">
      <c r="B5760" s="118" t="s">
        <v>508</v>
      </c>
      <c r="C5760" s="119">
        <v>5612</v>
      </c>
    </row>
    <row r="5761" spans="2:3">
      <c r="B5761" s="118" t="s">
        <v>527</v>
      </c>
      <c r="C5761" s="119">
        <v>5621</v>
      </c>
    </row>
    <row r="5762" spans="2:3">
      <c r="B5762" s="118" t="s">
        <v>676</v>
      </c>
      <c r="C5762" s="119">
        <v>8905</v>
      </c>
    </row>
    <row r="5763" spans="2:3">
      <c r="B5763" s="118" t="s">
        <v>603</v>
      </c>
      <c r="C5763" s="119">
        <v>5105</v>
      </c>
    </row>
    <row r="5764" spans="2:3">
      <c r="B5764" s="118" t="s">
        <v>525</v>
      </c>
      <c r="C5764" s="119">
        <v>5242</v>
      </c>
    </row>
    <row r="5765" spans="2:3">
      <c r="B5765" s="118" t="s">
        <v>670</v>
      </c>
      <c r="C5765" s="119">
        <v>5244</v>
      </c>
    </row>
    <row r="5766" spans="2:3">
      <c r="B5766" s="118" t="s">
        <v>3922</v>
      </c>
      <c r="C5766" s="119">
        <v>5116</v>
      </c>
    </row>
    <row r="5767" spans="2:3">
      <c r="B5767" s="118" t="s">
        <v>3923</v>
      </c>
      <c r="C5767" s="119">
        <v>5200</v>
      </c>
    </row>
    <row r="5768" spans="2:3">
      <c r="B5768" s="118" t="s">
        <v>507</v>
      </c>
      <c r="C5768" s="119">
        <v>5210</v>
      </c>
    </row>
    <row r="5769" spans="2:3">
      <c r="B5769" s="118" t="s">
        <v>3924</v>
      </c>
      <c r="C5769" s="119">
        <v>5222</v>
      </c>
    </row>
    <row r="5770" spans="2:3">
      <c r="B5770" s="118" t="s">
        <v>682</v>
      </c>
      <c r="C5770" s="119">
        <v>5245</v>
      </c>
    </row>
    <row r="5771" spans="2:3">
      <c r="B5771" s="118" t="s">
        <v>507</v>
      </c>
      <c r="C5771" s="119">
        <v>5210</v>
      </c>
    </row>
    <row r="5772" spans="2:3">
      <c r="B5772" s="118" t="s">
        <v>3925</v>
      </c>
      <c r="C5772" s="119">
        <v>5212</v>
      </c>
    </row>
    <row r="5773" spans="2:3">
      <c r="B5773" s="118" t="s">
        <v>3925</v>
      </c>
      <c r="C5773" s="119">
        <v>5212</v>
      </c>
    </row>
    <row r="5774" spans="2:3">
      <c r="B5774" s="118" t="s">
        <v>557</v>
      </c>
      <c r="C5774" s="119">
        <v>5242</v>
      </c>
    </row>
    <row r="5775" spans="2:3">
      <c r="B5775" s="118" t="s">
        <v>3926</v>
      </c>
      <c r="C5775" s="119">
        <v>5246</v>
      </c>
    </row>
    <row r="5776" spans="2:3">
      <c r="B5776" s="118" t="s">
        <v>688</v>
      </c>
      <c r="C5776" s="119">
        <v>5318</v>
      </c>
    </row>
    <row r="5777" spans="2:3">
      <c r="B5777" s="118" t="s">
        <v>678</v>
      </c>
      <c r="C5777" s="119">
        <v>5078</v>
      </c>
    </row>
    <row r="5778" spans="2:3">
      <c r="B5778" s="118" t="s">
        <v>684</v>
      </c>
      <c r="C5778" s="119">
        <v>5237</v>
      </c>
    </row>
    <row r="5779" spans="2:3">
      <c r="B5779" s="118" t="s">
        <v>637</v>
      </c>
      <c r="C5779" s="119">
        <v>5243</v>
      </c>
    </row>
    <row r="5780" spans="2:3">
      <c r="B5780" s="118" t="s">
        <v>639</v>
      </c>
      <c r="C5780" s="119">
        <v>5236</v>
      </c>
    </row>
    <row r="5781" spans="2:3">
      <c r="B5781" s="118" t="s">
        <v>610</v>
      </c>
      <c r="C5781" s="119">
        <v>5223</v>
      </c>
    </row>
    <row r="5782" spans="2:3">
      <c r="B5782" s="118" t="s">
        <v>3923</v>
      </c>
      <c r="C5782" s="119">
        <v>5200</v>
      </c>
    </row>
    <row r="5783" spans="2:3">
      <c r="B5783" s="118" t="s">
        <v>3927</v>
      </c>
      <c r="C5783" s="119">
        <v>5235</v>
      </c>
    </row>
    <row r="5784" spans="2:3">
      <c r="B5784" s="118" t="s">
        <v>3928</v>
      </c>
      <c r="C5784" s="119">
        <v>5112</v>
      </c>
    </row>
    <row r="5785" spans="2:3">
      <c r="B5785" s="118" t="s">
        <v>3929</v>
      </c>
      <c r="C5785" s="119">
        <v>5106</v>
      </c>
    </row>
    <row r="5786" spans="2:3">
      <c r="B5786" s="118" t="s">
        <v>3930</v>
      </c>
      <c r="C5786" s="119">
        <v>5233</v>
      </c>
    </row>
    <row r="5787" spans="2:3">
      <c r="B5787" s="118" t="s">
        <v>584</v>
      </c>
      <c r="C5787" s="119">
        <v>5234</v>
      </c>
    </row>
    <row r="5788" spans="2:3">
      <c r="B5788" s="118" t="s">
        <v>3931</v>
      </c>
      <c r="C5788" s="119">
        <v>5107</v>
      </c>
    </row>
    <row r="5789" spans="2:3">
      <c r="B5789" s="118" t="s">
        <v>596</v>
      </c>
      <c r="C5789" s="119">
        <v>5213</v>
      </c>
    </row>
    <row r="5790" spans="2:3">
      <c r="B5790" s="118" t="s">
        <v>3924</v>
      </c>
      <c r="C5790" s="119">
        <v>5222</v>
      </c>
    </row>
    <row r="5791" spans="2:3">
      <c r="B5791" s="118" t="s">
        <v>604</v>
      </c>
      <c r="C5791" s="119">
        <v>5225</v>
      </c>
    </row>
    <row r="5792" spans="2:3">
      <c r="B5792" s="118" t="s">
        <v>507</v>
      </c>
      <c r="C5792" s="119">
        <v>5210</v>
      </c>
    </row>
    <row r="5793" spans="2:3">
      <c r="B5793" s="118" t="s">
        <v>604</v>
      </c>
      <c r="C5793" s="119">
        <v>5225</v>
      </c>
    </row>
    <row r="5794" spans="2:3">
      <c r="B5794" s="118" t="s">
        <v>639</v>
      </c>
      <c r="C5794" s="119">
        <v>5236</v>
      </c>
    </row>
    <row r="5795" spans="2:3">
      <c r="B5795" s="118" t="s">
        <v>684</v>
      </c>
      <c r="C5795" s="119">
        <v>5237</v>
      </c>
    </row>
    <row r="5796" spans="2:3">
      <c r="B5796" s="118" t="s">
        <v>3931</v>
      </c>
      <c r="C5796" s="119">
        <v>5107</v>
      </c>
    </row>
    <row r="5797" spans="2:3">
      <c r="B5797" s="118" t="s">
        <v>3932</v>
      </c>
      <c r="C5797" s="119">
        <v>5108</v>
      </c>
    </row>
    <row r="5798" spans="2:3">
      <c r="B5798" s="118" t="s">
        <v>555</v>
      </c>
      <c r="C5798" s="119">
        <v>5712</v>
      </c>
    </row>
    <row r="5799" spans="2:3">
      <c r="B5799" s="118" t="s">
        <v>631</v>
      </c>
      <c r="C5799" s="119">
        <v>5708</v>
      </c>
    </row>
    <row r="5800" spans="2:3">
      <c r="B5800" s="118" t="s">
        <v>625</v>
      </c>
      <c r="C5800" s="119">
        <v>5724</v>
      </c>
    </row>
    <row r="5801" spans="2:3">
      <c r="B5801" s="118" t="s">
        <v>556</v>
      </c>
      <c r="C5801" s="119">
        <v>5726</v>
      </c>
    </row>
    <row r="5802" spans="2:3">
      <c r="B5802" s="118" t="s">
        <v>634</v>
      </c>
      <c r="C5802" s="119">
        <v>5046</v>
      </c>
    </row>
    <row r="5803" spans="2:3">
      <c r="B5803" s="118" t="s">
        <v>3933</v>
      </c>
      <c r="C5803" s="119">
        <v>5046</v>
      </c>
    </row>
    <row r="5804" spans="2:3">
      <c r="B5804" s="118" t="s">
        <v>581</v>
      </c>
      <c r="C5804" s="119">
        <v>5728</v>
      </c>
    </row>
    <row r="5805" spans="2:3">
      <c r="B5805" s="118" t="s">
        <v>619</v>
      </c>
      <c r="C5805" s="119">
        <v>5043</v>
      </c>
    </row>
    <row r="5806" spans="2:3">
      <c r="B5806" s="118" t="s">
        <v>3934</v>
      </c>
      <c r="C5806" s="119">
        <v>5733</v>
      </c>
    </row>
    <row r="5807" spans="2:3">
      <c r="B5807" s="118" t="s">
        <v>615</v>
      </c>
      <c r="C5807" s="119">
        <v>5706</v>
      </c>
    </row>
    <row r="5808" spans="2:3">
      <c r="B5808" s="118" t="s">
        <v>666</v>
      </c>
      <c r="C5808" s="119">
        <v>5725</v>
      </c>
    </row>
    <row r="5809" spans="2:3">
      <c r="B5809" s="118" t="s">
        <v>3935</v>
      </c>
      <c r="C5809" s="119">
        <v>5736</v>
      </c>
    </row>
    <row r="5810" spans="2:3">
      <c r="B5810" s="118" t="s">
        <v>511</v>
      </c>
      <c r="C5810" s="119">
        <v>5737</v>
      </c>
    </row>
    <row r="5811" spans="2:3">
      <c r="B5811" s="118" t="s">
        <v>570</v>
      </c>
      <c r="C5811" s="119">
        <v>5727</v>
      </c>
    </row>
    <row r="5812" spans="2:3">
      <c r="B5812" s="118" t="s">
        <v>3936</v>
      </c>
      <c r="C5812" s="119">
        <v>5734</v>
      </c>
    </row>
    <row r="5813" spans="2:3">
      <c r="B5813" s="118" t="s">
        <v>659</v>
      </c>
      <c r="C5813" s="119">
        <v>5044</v>
      </c>
    </row>
    <row r="5814" spans="2:3">
      <c r="B5814" s="118" t="s">
        <v>634</v>
      </c>
      <c r="C5814" s="119">
        <v>5046</v>
      </c>
    </row>
    <row r="5815" spans="2:3">
      <c r="B5815" s="118" t="s">
        <v>3933</v>
      </c>
      <c r="C5815" s="119">
        <v>5046</v>
      </c>
    </row>
    <row r="5816" spans="2:3">
      <c r="B5816" s="118" t="s">
        <v>531</v>
      </c>
      <c r="C5816" s="119">
        <v>5040</v>
      </c>
    </row>
    <row r="5817" spans="2:3">
      <c r="B5817" s="118" t="s">
        <v>3901</v>
      </c>
      <c r="C5817" s="119">
        <v>5723</v>
      </c>
    </row>
    <row r="5818" spans="2:3">
      <c r="B5818" s="118" t="s">
        <v>625</v>
      </c>
      <c r="C5818" s="119">
        <v>5724</v>
      </c>
    </row>
    <row r="5819" spans="2:3">
      <c r="B5819" s="118" t="s">
        <v>506</v>
      </c>
      <c r="C5819" s="119">
        <v>5722</v>
      </c>
    </row>
    <row r="5820" spans="2:3">
      <c r="B5820" s="118" t="s">
        <v>3901</v>
      </c>
      <c r="C5820" s="119">
        <v>5723</v>
      </c>
    </row>
    <row r="5821" spans="2:3">
      <c r="B5821" s="118" t="s">
        <v>556</v>
      </c>
      <c r="C5821" s="119">
        <v>5726</v>
      </c>
    </row>
    <row r="5822" spans="2:3">
      <c r="B5822" s="118" t="s">
        <v>622</v>
      </c>
      <c r="C5822" s="119">
        <v>5732</v>
      </c>
    </row>
    <row r="5823" spans="2:3">
      <c r="B5823" s="118" t="s">
        <v>576</v>
      </c>
      <c r="C5823" s="119">
        <v>5074</v>
      </c>
    </row>
    <row r="5824" spans="2:3">
      <c r="B5824" s="118" t="s">
        <v>514</v>
      </c>
      <c r="C5824" s="119">
        <v>5070</v>
      </c>
    </row>
    <row r="5825" spans="2:3">
      <c r="B5825" s="118" t="s">
        <v>643</v>
      </c>
      <c r="C5825" s="119">
        <v>5272</v>
      </c>
    </row>
    <row r="5826" spans="2:3">
      <c r="B5826" s="118" t="s">
        <v>641</v>
      </c>
      <c r="C5826" s="119">
        <v>5063</v>
      </c>
    </row>
    <row r="5827" spans="2:3">
      <c r="B5827" s="118" t="s">
        <v>550</v>
      </c>
      <c r="C5827" s="119">
        <v>5073</v>
      </c>
    </row>
    <row r="5828" spans="2:3">
      <c r="B5828" s="118" t="s">
        <v>547</v>
      </c>
      <c r="C5828" s="119">
        <v>5080</v>
      </c>
    </row>
    <row r="5829" spans="2:3">
      <c r="B5829" s="118" t="s">
        <v>571</v>
      </c>
      <c r="C5829" s="119">
        <v>5082</v>
      </c>
    </row>
    <row r="5830" spans="2:3">
      <c r="B5830" s="118" t="s">
        <v>3937</v>
      </c>
      <c r="C5830" s="119">
        <v>5083</v>
      </c>
    </row>
    <row r="5831" spans="2:3">
      <c r="B5831" s="118" t="s">
        <v>547</v>
      </c>
      <c r="C5831" s="119">
        <v>5080</v>
      </c>
    </row>
    <row r="5832" spans="2:3">
      <c r="B5832" s="118" t="s">
        <v>3938</v>
      </c>
      <c r="C5832" s="119">
        <v>5084</v>
      </c>
    </row>
    <row r="5833" spans="2:3">
      <c r="B5833" s="118" t="s">
        <v>3939</v>
      </c>
      <c r="C5833" s="119">
        <v>5085</v>
      </c>
    </row>
    <row r="5834" spans="2:3">
      <c r="B5834" s="118" t="s">
        <v>3940</v>
      </c>
      <c r="C5834" s="119">
        <v>4333</v>
      </c>
    </row>
    <row r="5835" spans="2:3">
      <c r="B5835" s="118" t="s">
        <v>677</v>
      </c>
      <c r="C5835" s="119">
        <v>5062</v>
      </c>
    </row>
    <row r="5836" spans="2:3">
      <c r="B5836" s="118" t="s">
        <v>645</v>
      </c>
      <c r="C5836" s="119">
        <v>5072</v>
      </c>
    </row>
    <row r="5837" spans="2:3">
      <c r="B5837" s="118" t="s">
        <v>672</v>
      </c>
      <c r="C5837" s="119">
        <v>5326</v>
      </c>
    </row>
    <row r="5838" spans="2:3">
      <c r="B5838" s="118" t="s">
        <v>3941</v>
      </c>
      <c r="C5838" s="119">
        <v>4334</v>
      </c>
    </row>
    <row r="5839" spans="2:3">
      <c r="B5839" s="118" t="s">
        <v>620</v>
      </c>
      <c r="C5839" s="119">
        <v>5064</v>
      </c>
    </row>
    <row r="5840" spans="2:3">
      <c r="B5840" s="118" t="s">
        <v>669</v>
      </c>
      <c r="C5840" s="119">
        <v>5026</v>
      </c>
    </row>
    <row r="5841" spans="2:3">
      <c r="B5841" s="118" t="s">
        <v>641</v>
      </c>
      <c r="C5841" s="119">
        <v>5063</v>
      </c>
    </row>
    <row r="5842" spans="2:3">
      <c r="B5842" s="118" t="s">
        <v>633</v>
      </c>
      <c r="C5842" s="119">
        <v>5079</v>
      </c>
    </row>
    <row r="5843" spans="2:3">
      <c r="B5843" s="118" t="s">
        <v>3942</v>
      </c>
      <c r="C5843" s="119">
        <v>5273</v>
      </c>
    </row>
    <row r="5844" spans="2:3">
      <c r="B5844" s="118" t="s">
        <v>3943</v>
      </c>
      <c r="C5844" s="119">
        <v>5274</v>
      </c>
    </row>
    <row r="5845" spans="2:3">
      <c r="B5845" s="118" t="s">
        <v>3944</v>
      </c>
      <c r="C5845" s="119">
        <v>5275</v>
      </c>
    </row>
    <row r="5846" spans="2:3">
      <c r="B5846" s="118" t="s">
        <v>3945</v>
      </c>
      <c r="C5846" s="119">
        <v>5276</v>
      </c>
    </row>
    <row r="5847" spans="2:3">
      <c r="B5847" s="118" t="s">
        <v>3946</v>
      </c>
      <c r="C5847" s="119">
        <v>5277</v>
      </c>
    </row>
    <row r="5848" spans="2:3">
      <c r="B5848" s="118" t="s">
        <v>650</v>
      </c>
      <c r="C5848" s="119">
        <v>5075</v>
      </c>
    </row>
    <row r="5849" spans="2:3">
      <c r="B5849" s="118" t="s">
        <v>668</v>
      </c>
      <c r="C5849" s="119">
        <v>5076</v>
      </c>
    </row>
    <row r="5850" spans="2:3">
      <c r="B5850" s="118" t="s">
        <v>690</v>
      </c>
      <c r="C5850" s="119">
        <v>5077</v>
      </c>
    </row>
    <row r="5851" spans="2:3">
      <c r="B5851" s="118" t="s">
        <v>678</v>
      </c>
      <c r="C5851" s="119">
        <v>5078</v>
      </c>
    </row>
    <row r="5852" spans="2:3">
      <c r="B5852" s="118" t="s">
        <v>609</v>
      </c>
      <c r="C5852" s="119">
        <v>5027</v>
      </c>
    </row>
    <row r="5853" spans="2:3">
      <c r="B5853" s="118" t="s">
        <v>653</v>
      </c>
      <c r="C5853" s="119">
        <v>5028</v>
      </c>
    </row>
    <row r="5854" spans="2:3">
      <c r="B5854" s="118" t="s">
        <v>3947</v>
      </c>
      <c r="C5854" s="119">
        <v>5600</v>
      </c>
    </row>
    <row r="5855" spans="2:3">
      <c r="B5855" s="118" t="s">
        <v>615</v>
      </c>
      <c r="C5855" s="119">
        <v>5706</v>
      </c>
    </row>
    <row r="5856" spans="2:3">
      <c r="B5856" s="118" t="s">
        <v>631</v>
      </c>
      <c r="C5856" s="119">
        <v>5708</v>
      </c>
    </row>
    <row r="5857" spans="2:3">
      <c r="B5857" s="118" t="s">
        <v>663</v>
      </c>
      <c r="C5857" s="119">
        <v>5505</v>
      </c>
    </row>
    <row r="5858" spans="2:3">
      <c r="B5858" s="118" t="s">
        <v>579</v>
      </c>
      <c r="C5858" s="119">
        <v>5606</v>
      </c>
    </row>
    <row r="5859" spans="2:3">
      <c r="B5859" s="118" t="s">
        <v>519</v>
      </c>
      <c r="C5859" s="119">
        <v>5703</v>
      </c>
    </row>
    <row r="5860" spans="2:3">
      <c r="B5860" s="118" t="s">
        <v>614</v>
      </c>
      <c r="C5860" s="119">
        <v>5704</v>
      </c>
    </row>
    <row r="5861" spans="2:3">
      <c r="B5861" s="118" t="s">
        <v>588</v>
      </c>
      <c r="C5861" s="119">
        <v>5615</v>
      </c>
    </row>
    <row r="5862" spans="2:3">
      <c r="B5862" s="118" t="s">
        <v>656</v>
      </c>
      <c r="C5862" s="119">
        <v>5705</v>
      </c>
    </row>
    <row r="5863" spans="2:3">
      <c r="B5863" s="118" t="s">
        <v>627</v>
      </c>
      <c r="C5863" s="119">
        <v>5604</v>
      </c>
    </row>
    <row r="5864" spans="2:3">
      <c r="B5864" s="118" t="s">
        <v>3948</v>
      </c>
      <c r="C5864" s="119">
        <v>5113</v>
      </c>
    </row>
    <row r="5865" spans="2:3">
      <c r="B5865" s="118" t="s">
        <v>536</v>
      </c>
      <c r="C5865" s="119">
        <v>5502</v>
      </c>
    </row>
    <row r="5866" spans="2:3">
      <c r="B5866" s="118" t="s">
        <v>495</v>
      </c>
      <c r="C5866" s="119">
        <v>5600</v>
      </c>
    </row>
    <row r="5867" spans="2:3">
      <c r="B5867" s="118" t="s">
        <v>588</v>
      </c>
      <c r="C5867" s="119">
        <v>5615</v>
      </c>
    </row>
    <row r="5868" spans="2:3">
      <c r="B5868" s="118" t="s">
        <v>561</v>
      </c>
      <c r="C5868" s="119">
        <v>5616</v>
      </c>
    </row>
    <row r="5869" spans="2:3">
      <c r="B5869" s="118" t="s">
        <v>3949</v>
      </c>
      <c r="C5869" s="119">
        <v>5617</v>
      </c>
    </row>
    <row r="5870" spans="2:3">
      <c r="B5870" s="118" t="s">
        <v>3950</v>
      </c>
      <c r="C5870" s="119">
        <v>5103</v>
      </c>
    </row>
    <row r="5871" spans="2:3">
      <c r="B5871" s="118" t="s">
        <v>3951</v>
      </c>
      <c r="C5871" s="119">
        <v>5103</v>
      </c>
    </row>
    <row r="5872" spans="2:3">
      <c r="B5872" s="118" t="s">
        <v>3950</v>
      </c>
      <c r="C5872" s="119">
        <v>5103</v>
      </c>
    </row>
    <row r="5873" spans="2:3">
      <c r="B5873" s="118" t="s">
        <v>522</v>
      </c>
      <c r="C5873" s="119">
        <v>5702</v>
      </c>
    </row>
    <row r="5874" spans="2:3">
      <c r="B5874" s="118" t="s">
        <v>567</v>
      </c>
      <c r="C5874" s="119">
        <v>5504</v>
      </c>
    </row>
    <row r="5875" spans="2:3">
      <c r="B5875" s="118" t="s">
        <v>627</v>
      </c>
      <c r="C5875" s="119">
        <v>5604</v>
      </c>
    </row>
    <row r="5876" spans="2:3">
      <c r="B5876" s="118" t="s">
        <v>517</v>
      </c>
      <c r="C5876" s="119">
        <v>5102</v>
      </c>
    </row>
    <row r="5877" spans="2:3">
      <c r="B5877" s="118" t="s">
        <v>3950</v>
      </c>
      <c r="C5877" s="119">
        <v>5103</v>
      </c>
    </row>
    <row r="5878" spans="2:3">
      <c r="B5878" s="118" t="s">
        <v>558</v>
      </c>
      <c r="C5878" s="119">
        <v>5503</v>
      </c>
    </row>
    <row r="5879" spans="2:3">
      <c r="B5879" s="118" t="s">
        <v>539</v>
      </c>
      <c r="C5879" s="119">
        <v>5707</v>
      </c>
    </row>
    <row r="5880" spans="2:3">
      <c r="B5880" s="118" t="s">
        <v>519</v>
      </c>
      <c r="C5880" s="119">
        <v>5703</v>
      </c>
    </row>
    <row r="5881" spans="2:3">
      <c r="B5881" s="118" t="s">
        <v>553</v>
      </c>
      <c r="C5881" s="119">
        <v>5603</v>
      </c>
    </row>
    <row r="5882" spans="2:3">
      <c r="B5882" s="118" t="s">
        <v>3952</v>
      </c>
      <c r="C5882" s="119">
        <v>5646</v>
      </c>
    </row>
    <row r="5883" spans="2:3">
      <c r="B5883" s="118" t="s">
        <v>611</v>
      </c>
      <c r="C5883" s="119">
        <v>5628</v>
      </c>
    </row>
    <row r="5884" spans="2:3">
      <c r="B5884" s="118" t="s">
        <v>3953</v>
      </c>
      <c r="C5884" s="119">
        <v>5630</v>
      </c>
    </row>
    <row r="5885" spans="2:3">
      <c r="B5885" s="118" t="s">
        <v>635</v>
      </c>
      <c r="C5885" s="119">
        <v>5637</v>
      </c>
    </row>
    <row r="5886" spans="2:3">
      <c r="B5886" s="118" t="s">
        <v>632</v>
      </c>
      <c r="C5886" s="119">
        <v>5642</v>
      </c>
    </row>
    <row r="5887" spans="2:3">
      <c r="B5887" s="118" t="s">
        <v>3954</v>
      </c>
      <c r="C5887" s="119">
        <v>5643</v>
      </c>
    </row>
    <row r="5888" spans="2:3">
      <c r="B5888" s="118" t="s">
        <v>583</v>
      </c>
      <c r="C5888" s="119">
        <v>5644</v>
      </c>
    </row>
    <row r="5889" spans="2:3">
      <c r="B5889" s="118" t="s">
        <v>3121</v>
      </c>
      <c r="C5889" s="119">
        <v>6277</v>
      </c>
    </row>
    <row r="5890" spans="2:3">
      <c r="B5890" s="118" t="s">
        <v>635</v>
      </c>
      <c r="C5890" s="119">
        <v>5637</v>
      </c>
    </row>
    <row r="5891" spans="2:3">
      <c r="B5891" s="118" t="s">
        <v>674</v>
      </c>
      <c r="C5891" s="119">
        <v>5627</v>
      </c>
    </row>
    <row r="5892" spans="2:3">
      <c r="B5892" s="118" t="s">
        <v>675</v>
      </c>
      <c r="C5892" s="119">
        <v>5618</v>
      </c>
    </row>
    <row r="5893" spans="2:3">
      <c r="B5893" s="118" t="s">
        <v>628</v>
      </c>
      <c r="C5893" s="119">
        <v>5632</v>
      </c>
    </row>
    <row r="5894" spans="2:3">
      <c r="B5894" s="118" t="s">
        <v>568</v>
      </c>
      <c r="C5894" s="119">
        <v>5623</v>
      </c>
    </row>
    <row r="5895" spans="2:3">
      <c r="B5895" s="118" t="s">
        <v>3953</v>
      </c>
      <c r="C5895" s="119">
        <v>5630</v>
      </c>
    </row>
    <row r="5896" spans="2:3">
      <c r="B5896" s="118" t="s">
        <v>628</v>
      </c>
      <c r="C5896" s="119">
        <v>5632</v>
      </c>
    </row>
    <row r="5897" spans="2:3">
      <c r="B5897" s="118" t="s">
        <v>636</v>
      </c>
      <c r="C5897" s="119">
        <v>5624</v>
      </c>
    </row>
    <row r="5898" spans="2:3">
      <c r="B5898" s="118" t="s">
        <v>3955</v>
      </c>
      <c r="C5898" s="119">
        <v>5624</v>
      </c>
    </row>
    <row r="5899" spans="2:3">
      <c r="B5899" s="118" t="s">
        <v>628</v>
      </c>
      <c r="C5899" s="119">
        <v>5632</v>
      </c>
    </row>
    <row r="5900" spans="2:3">
      <c r="B5900" s="118" t="s">
        <v>1303</v>
      </c>
      <c r="C5900" s="119">
        <v>6034</v>
      </c>
    </row>
    <row r="5901" spans="2:3">
      <c r="B5901" s="118" t="s">
        <v>621</v>
      </c>
      <c r="C5901" s="119">
        <v>6042</v>
      </c>
    </row>
    <row r="5902" spans="2:3">
      <c r="B5902" s="118" t="s">
        <v>693</v>
      </c>
      <c r="C5902" s="119">
        <v>5637</v>
      </c>
    </row>
    <row r="5903" spans="2:3">
      <c r="B5903" s="118" t="s">
        <v>685</v>
      </c>
      <c r="C5903" s="119">
        <v>5625</v>
      </c>
    </row>
    <row r="5904" spans="2:3">
      <c r="B5904" s="118" t="s">
        <v>549</v>
      </c>
      <c r="C5904" s="119">
        <v>5634</v>
      </c>
    </row>
    <row r="5905" spans="2:3">
      <c r="B5905" s="118" t="s">
        <v>3956</v>
      </c>
      <c r="C5905" s="119">
        <v>5636</v>
      </c>
    </row>
    <row r="5906" spans="2:3">
      <c r="B5906" s="118" t="s">
        <v>632</v>
      </c>
      <c r="C5906" s="119">
        <v>5642</v>
      </c>
    </row>
    <row r="5907" spans="2:3">
      <c r="B5907" s="118" t="s">
        <v>3953</v>
      </c>
      <c r="C5907" s="119">
        <v>5630</v>
      </c>
    </row>
    <row r="5908" spans="2:3">
      <c r="B5908" s="118" t="s">
        <v>602</v>
      </c>
      <c r="C5908" s="119">
        <v>5647</v>
      </c>
    </row>
    <row r="5909" spans="2:3">
      <c r="B5909" s="118" t="s">
        <v>662</v>
      </c>
      <c r="C5909" s="119">
        <v>8919</v>
      </c>
    </row>
    <row r="5910" spans="2:3">
      <c r="B5910" s="118" t="s">
        <v>530</v>
      </c>
      <c r="C5910" s="119">
        <v>5643</v>
      </c>
    </row>
    <row r="5911" spans="2:3">
      <c r="B5911" s="118" t="s">
        <v>530</v>
      </c>
      <c r="C5911" s="119">
        <v>5643</v>
      </c>
    </row>
    <row r="5912" spans="2:3">
      <c r="B5912" s="118" t="s">
        <v>3957</v>
      </c>
      <c r="C5912" s="119">
        <v>5643</v>
      </c>
    </row>
    <row r="5913" spans="2:3">
      <c r="B5913" s="118" t="s">
        <v>3954</v>
      </c>
      <c r="C5913" s="119">
        <v>5643</v>
      </c>
    </row>
    <row r="5914" spans="2:3">
      <c r="B5914" s="118" t="s">
        <v>3958</v>
      </c>
      <c r="C5914" s="119">
        <v>5645</v>
      </c>
    </row>
    <row r="5915" spans="2:3">
      <c r="B5915" s="118" t="s">
        <v>3959</v>
      </c>
      <c r="C5915" s="119">
        <v>5645</v>
      </c>
    </row>
    <row r="5916" spans="2:3">
      <c r="B5916" s="118" t="s">
        <v>1303</v>
      </c>
      <c r="C5916" s="119">
        <v>6034</v>
      </c>
    </row>
    <row r="5917" spans="2:3">
      <c r="B5917" s="118" t="s">
        <v>1298</v>
      </c>
      <c r="C5917" s="119">
        <v>6275</v>
      </c>
    </row>
    <row r="5918" spans="2:3">
      <c r="B5918" s="118" t="s">
        <v>563</v>
      </c>
      <c r="C5918" s="119">
        <v>5622</v>
      </c>
    </row>
    <row r="5919" spans="2:3">
      <c r="B5919" s="118" t="s">
        <v>665</v>
      </c>
      <c r="C5919" s="119">
        <v>4316</v>
      </c>
    </row>
    <row r="5920" spans="2:3">
      <c r="B5920" s="118" t="s">
        <v>1118</v>
      </c>
      <c r="C5920" s="119">
        <v>4465</v>
      </c>
    </row>
    <row r="5921" spans="2:3">
      <c r="B5921" s="118" t="s">
        <v>513</v>
      </c>
      <c r="C5921" s="119">
        <v>4303</v>
      </c>
    </row>
    <row r="5922" spans="2:3">
      <c r="B5922" s="118" t="s">
        <v>686</v>
      </c>
      <c r="C5922" s="119">
        <v>4305</v>
      </c>
    </row>
    <row r="5923" spans="2:3">
      <c r="B5923" s="118" t="s">
        <v>540</v>
      </c>
      <c r="C5923" s="119">
        <v>4312</v>
      </c>
    </row>
    <row r="5924" spans="2:3">
      <c r="B5924" s="118" t="s">
        <v>494</v>
      </c>
      <c r="C5924" s="119">
        <v>4313</v>
      </c>
    </row>
    <row r="5925" spans="2:3">
      <c r="B5925" s="118" t="s">
        <v>613</v>
      </c>
      <c r="C5925" s="119">
        <v>4322</v>
      </c>
    </row>
    <row r="5926" spans="2:3">
      <c r="B5926" s="118" t="s">
        <v>640</v>
      </c>
      <c r="C5926" s="119">
        <v>4324</v>
      </c>
    </row>
    <row r="5927" spans="2:3">
      <c r="B5927" s="118" t="s">
        <v>686</v>
      </c>
      <c r="C5927" s="119">
        <v>4305</v>
      </c>
    </row>
    <row r="5928" spans="2:3">
      <c r="B5928" s="118" t="s">
        <v>513</v>
      </c>
      <c r="C5928" s="119">
        <v>4303</v>
      </c>
    </row>
    <row r="5929" spans="2:3">
      <c r="B5929" s="118" t="s">
        <v>2675</v>
      </c>
      <c r="C5929" s="119">
        <v>4310</v>
      </c>
    </row>
    <row r="5930" spans="2:3">
      <c r="B5930" s="118" t="s">
        <v>494</v>
      </c>
      <c r="C5930" s="119">
        <v>4313</v>
      </c>
    </row>
    <row r="5931" spans="2:3">
      <c r="B5931" s="118" t="s">
        <v>661</v>
      </c>
      <c r="C5931" s="119">
        <v>4325</v>
      </c>
    </row>
    <row r="5932" spans="2:3">
      <c r="B5932" s="118" t="s">
        <v>3960</v>
      </c>
      <c r="C5932" s="119">
        <v>4332</v>
      </c>
    </row>
    <row r="5933" spans="2:3">
      <c r="B5933" s="118" t="s">
        <v>591</v>
      </c>
      <c r="C5933" s="119">
        <v>4323</v>
      </c>
    </row>
    <row r="5934" spans="2:3">
      <c r="B5934" s="118" t="s">
        <v>638</v>
      </c>
      <c r="C5934" s="119">
        <v>4317</v>
      </c>
    </row>
    <row r="5935" spans="2:3">
      <c r="B5935" s="118" t="s">
        <v>575</v>
      </c>
      <c r="C5935" s="119">
        <v>4314</v>
      </c>
    </row>
    <row r="5936" spans="2:3">
      <c r="B5936" s="118" t="s">
        <v>654</v>
      </c>
      <c r="C5936" s="119">
        <v>4315</v>
      </c>
    </row>
    <row r="5937" spans="2:3">
      <c r="B5937" s="118" t="s">
        <v>591</v>
      </c>
      <c r="C5937" s="119">
        <v>4323</v>
      </c>
    </row>
    <row r="5938" spans="2:3">
      <c r="B5938" s="118" t="s">
        <v>654</v>
      </c>
      <c r="C5938" s="119">
        <v>4315</v>
      </c>
    </row>
    <row r="5939" spans="2:3">
      <c r="B5939" s="118" t="s">
        <v>2024</v>
      </c>
      <c r="C5939" s="119">
        <v>4600</v>
      </c>
    </row>
    <row r="5940" spans="2:3">
      <c r="B5940" s="118" t="s">
        <v>502</v>
      </c>
      <c r="C5940" s="119">
        <v>4663</v>
      </c>
    </row>
    <row r="5941" spans="2:3">
      <c r="B5941" s="118" t="s">
        <v>2674</v>
      </c>
      <c r="C5941" s="119">
        <v>4665</v>
      </c>
    </row>
    <row r="5942" spans="2:3">
      <c r="B5942" s="118" t="s">
        <v>618</v>
      </c>
      <c r="C5942" s="119">
        <v>4813</v>
      </c>
    </row>
    <row r="5943" spans="2:3">
      <c r="B5943" s="118" t="s">
        <v>664</v>
      </c>
      <c r="C5943" s="119">
        <v>4814</v>
      </c>
    </row>
    <row r="5944" spans="2:3">
      <c r="B5944" s="118" t="s">
        <v>592</v>
      </c>
      <c r="C5944" s="119">
        <v>4803</v>
      </c>
    </row>
    <row r="5945" spans="2:3">
      <c r="B5945" s="118" t="s">
        <v>541</v>
      </c>
      <c r="C5945" s="119">
        <v>4805</v>
      </c>
    </row>
    <row r="5946" spans="2:3">
      <c r="B5946" s="118" t="s">
        <v>1301</v>
      </c>
      <c r="C5946" s="119">
        <v>6264</v>
      </c>
    </row>
    <row r="5947" spans="2:3">
      <c r="B5947" s="118" t="s">
        <v>658</v>
      </c>
      <c r="C5947" s="119">
        <v>5054</v>
      </c>
    </row>
    <row r="5948" spans="2:3">
      <c r="B5948" s="118" t="s">
        <v>618</v>
      </c>
      <c r="C5948" s="119">
        <v>4813</v>
      </c>
    </row>
    <row r="5949" spans="2:3">
      <c r="B5949" s="118" t="s">
        <v>529</v>
      </c>
      <c r="C5949" s="119">
        <v>5742</v>
      </c>
    </row>
    <row r="5950" spans="2:3">
      <c r="B5950" s="118" t="s">
        <v>652</v>
      </c>
      <c r="C5950" s="119">
        <v>5054</v>
      </c>
    </row>
    <row r="5951" spans="2:3">
      <c r="B5951" s="118" t="s">
        <v>562</v>
      </c>
      <c r="C5951" s="119">
        <v>4853</v>
      </c>
    </row>
    <row r="5952" spans="2:3">
      <c r="B5952" s="118" t="s">
        <v>3961</v>
      </c>
      <c r="C5952" s="119">
        <v>4853</v>
      </c>
    </row>
    <row r="5953" spans="2:3">
      <c r="B5953" s="118" t="s">
        <v>3962</v>
      </c>
      <c r="C5953" s="119">
        <v>4856</v>
      </c>
    </row>
    <row r="5954" spans="2:3">
      <c r="B5954" s="118" t="s">
        <v>2842</v>
      </c>
      <c r="C5954" s="119">
        <v>4914</v>
      </c>
    </row>
    <row r="5955" spans="2:3">
      <c r="B5955" s="118" t="s">
        <v>3160</v>
      </c>
      <c r="C5955" s="119">
        <v>4915</v>
      </c>
    </row>
    <row r="5956" spans="2:3">
      <c r="B5956" s="118" t="s">
        <v>2071</v>
      </c>
      <c r="C5956" s="119">
        <v>4656</v>
      </c>
    </row>
    <row r="5957" spans="2:3">
      <c r="B5957" s="118" t="s">
        <v>2674</v>
      </c>
      <c r="C5957" s="119">
        <v>4665</v>
      </c>
    </row>
    <row r="5958" spans="2:3">
      <c r="B5958" s="118" t="s">
        <v>1619</v>
      </c>
      <c r="C5958" s="119">
        <v>4800</v>
      </c>
    </row>
    <row r="5959" spans="2:3">
      <c r="B5959" s="118" t="s">
        <v>3963</v>
      </c>
      <c r="C5959" s="119">
        <v>5056</v>
      </c>
    </row>
    <row r="5960" spans="2:3">
      <c r="B5960" s="118" t="s">
        <v>605</v>
      </c>
      <c r="C5960" s="119">
        <v>5057</v>
      </c>
    </row>
    <row r="5961" spans="2:3">
      <c r="B5961" s="118" t="s">
        <v>521</v>
      </c>
      <c r="C5961" s="119">
        <v>4802</v>
      </c>
    </row>
    <row r="5962" spans="2:3">
      <c r="B5962" s="118" t="s">
        <v>497</v>
      </c>
      <c r="C5962" s="119">
        <v>4852</v>
      </c>
    </row>
    <row r="5963" spans="2:3">
      <c r="B5963" s="118" t="s">
        <v>545</v>
      </c>
      <c r="C5963" s="119">
        <v>5745</v>
      </c>
    </row>
    <row r="5964" spans="2:3">
      <c r="B5964" s="118" t="s">
        <v>626</v>
      </c>
      <c r="C5964" s="119">
        <v>5053</v>
      </c>
    </row>
    <row r="5965" spans="2:3">
      <c r="B5965" s="118" t="s">
        <v>3964</v>
      </c>
      <c r="C5965" s="119">
        <v>5053</v>
      </c>
    </row>
    <row r="5966" spans="2:3">
      <c r="B5966" s="118" t="s">
        <v>521</v>
      </c>
      <c r="C5966" s="119">
        <v>4802</v>
      </c>
    </row>
    <row r="5967" spans="2:3">
      <c r="B5967" s="118" t="s">
        <v>1620</v>
      </c>
      <c r="C5967" s="119">
        <v>4812</v>
      </c>
    </row>
    <row r="5968" spans="2:3">
      <c r="B5968" s="118" t="s">
        <v>618</v>
      </c>
      <c r="C5968" s="119">
        <v>4813</v>
      </c>
    </row>
    <row r="5969" spans="2:3">
      <c r="B5969" s="118" t="s">
        <v>592</v>
      </c>
      <c r="C5969" s="119">
        <v>4803</v>
      </c>
    </row>
    <row r="5970" spans="2:3">
      <c r="B5970" s="118" t="s">
        <v>497</v>
      </c>
      <c r="C5970" s="119">
        <v>4852</v>
      </c>
    </row>
    <row r="5971" spans="2:3">
      <c r="B5971" s="118" t="s">
        <v>695</v>
      </c>
      <c r="C5971" s="119">
        <v>5058</v>
      </c>
    </row>
    <row r="5972" spans="2:3">
      <c r="B5972" s="118" t="s">
        <v>1619</v>
      </c>
      <c r="C5972" s="119">
        <v>4800</v>
      </c>
    </row>
    <row r="5973" spans="2:3">
      <c r="B5973" s="118" t="s">
        <v>1620</v>
      </c>
      <c r="C5973" s="119">
        <v>4812</v>
      </c>
    </row>
    <row r="5974" spans="2:3">
      <c r="B5974" s="118" t="s">
        <v>664</v>
      </c>
      <c r="C5974" s="119">
        <v>4814</v>
      </c>
    </row>
    <row r="5975" spans="2:3">
      <c r="B5975" s="118" t="s">
        <v>3965</v>
      </c>
      <c r="C5975" s="119">
        <v>5314</v>
      </c>
    </row>
    <row r="5976" spans="2:3">
      <c r="B5976" s="118" t="s">
        <v>538</v>
      </c>
      <c r="C5976" s="119">
        <v>5315</v>
      </c>
    </row>
    <row r="5977" spans="2:3">
      <c r="B5977" s="118" t="s">
        <v>542</v>
      </c>
      <c r="C5977" s="119">
        <v>5312</v>
      </c>
    </row>
    <row r="5978" spans="2:3">
      <c r="B5978" s="118" t="s">
        <v>572</v>
      </c>
      <c r="C5978" s="119">
        <v>5304</v>
      </c>
    </row>
    <row r="5979" spans="2:3">
      <c r="B5979" s="118" t="s">
        <v>3966</v>
      </c>
      <c r="C5979" s="119">
        <v>5305</v>
      </c>
    </row>
    <row r="5980" spans="2:3">
      <c r="B5980" s="118" t="s">
        <v>679</v>
      </c>
      <c r="C5980" s="119">
        <v>5467</v>
      </c>
    </row>
    <row r="5981" spans="2:3">
      <c r="B5981" s="118" t="s">
        <v>655</v>
      </c>
      <c r="C5981" s="119">
        <v>5324</v>
      </c>
    </row>
    <row r="5982" spans="2:3">
      <c r="B5982" s="118" t="s">
        <v>552</v>
      </c>
      <c r="C5982" s="119">
        <v>5313</v>
      </c>
    </row>
    <row r="5983" spans="2:3">
      <c r="B5983" s="118" t="s">
        <v>595</v>
      </c>
      <c r="C5983" s="119">
        <v>5322</v>
      </c>
    </row>
    <row r="5984" spans="2:3">
      <c r="B5984" s="118" t="s">
        <v>595</v>
      </c>
      <c r="C5984" s="119">
        <v>5322</v>
      </c>
    </row>
    <row r="5985" spans="2:3">
      <c r="B5985" s="118" t="s">
        <v>624</v>
      </c>
      <c r="C5985" s="119">
        <v>5325</v>
      </c>
    </row>
    <row r="5986" spans="2:3">
      <c r="B5986" s="118" t="s">
        <v>3967</v>
      </c>
      <c r="C5986" s="119">
        <v>5426</v>
      </c>
    </row>
    <row r="5987" spans="2:3">
      <c r="B5987" s="118" t="s">
        <v>580</v>
      </c>
      <c r="C5987" s="119">
        <v>5316</v>
      </c>
    </row>
    <row r="5988" spans="2:3">
      <c r="B5988" s="118" t="s">
        <v>3968</v>
      </c>
      <c r="C5988" s="119">
        <v>5317</v>
      </c>
    </row>
    <row r="5989" spans="2:3">
      <c r="B5989" s="118" t="s">
        <v>692</v>
      </c>
      <c r="C5989" s="119">
        <v>5465</v>
      </c>
    </row>
    <row r="5990" spans="2:3">
      <c r="B5990" s="118" t="s">
        <v>616</v>
      </c>
      <c r="C5990" s="119">
        <v>5425</v>
      </c>
    </row>
    <row r="5991" spans="2:3">
      <c r="B5991" s="118" t="s">
        <v>673</v>
      </c>
      <c r="C5991" s="119">
        <v>5462</v>
      </c>
    </row>
    <row r="5992" spans="2:3">
      <c r="B5992" s="118" t="s">
        <v>630</v>
      </c>
      <c r="C5992" s="119">
        <v>5306</v>
      </c>
    </row>
    <row r="5993" spans="2:3">
      <c r="B5993" s="118" t="s">
        <v>667</v>
      </c>
      <c r="C5993" s="119">
        <v>5323</v>
      </c>
    </row>
    <row r="5994" spans="2:3">
      <c r="B5994" s="118" t="s">
        <v>532</v>
      </c>
      <c r="C5994" s="119">
        <v>5330</v>
      </c>
    </row>
    <row r="5995" spans="2:3">
      <c r="B5995" s="118" t="s">
        <v>3969</v>
      </c>
      <c r="C5995" s="119">
        <v>5332</v>
      </c>
    </row>
    <row r="5996" spans="2:3">
      <c r="B5996" s="118" t="s">
        <v>691</v>
      </c>
      <c r="C5996" s="119">
        <v>5333</v>
      </c>
    </row>
    <row r="5997" spans="2:3">
      <c r="B5997" s="118" t="s">
        <v>694</v>
      </c>
      <c r="C5997" s="119">
        <v>5334</v>
      </c>
    </row>
    <row r="5998" spans="2:3">
      <c r="B5998" s="118" t="s">
        <v>687</v>
      </c>
      <c r="C5998" s="119">
        <v>5463</v>
      </c>
    </row>
    <row r="5999" spans="2:3">
      <c r="B5999" s="118" t="s">
        <v>3970</v>
      </c>
      <c r="C5999" s="119">
        <v>5464</v>
      </c>
    </row>
    <row r="6000" spans="2:3">
      <c r="B6000" s="118" t="s">
        <v>3971</v>
      </c>
      <c r="C6000" s="119">
        <v>5466</v>
      </c>
    </row>
    <row r="6001" spans="2:3">
      <c r="B6001" s="118" t="s">
        <v>1907</v>
      </c>
      <c r="C6001" s="119">
        <v>9320</v>
      </c>
    </row>
    <row r="6002" spans="2:3">
      <c r="B6002" s="118" t="s">
        <v>3972</v>
      </c>
      <c r="C6002" s="119">
        <v>9320</v>
      </c>
    </row>
    <row r="6003" spans="2:3">
      <c r="B6003" s="118" t="s">
        <v>3973</v>
      </c>
      <c r="C6003" s="119">
        <v>9320</v>
      </c>
    </row>
    <row r="6004" spans="2:3">
      <c r="B6004" s="118" t="s">
        <v>1979</v>
      </c>
      <c r="C6004" s="119">
        <v>8582</v>
      </c>
    </row>
    <row r="6005" spans="2:3">
      <c r="B6005" s="118" t="s">
        <v>3974</v>
      </c>
      <c r="C6005" s="119">
        <v>9314</v>
      </c>
    </row>
    <row r="6006" spans="2:3">
      <c r="B6006" s="118" t="s">
        <v>3975</v>
      </c>
      <c r="C6006" s="119">
        <v>9315</v>
      </c>
    </row>
    <row r="6007" spans="2:3">
      <c r="B6007" s="118" t="s">
        <v>3546</v>
      </c>
      <c r="C6007" s="119">
        <v>9315</v>
      </c>
    </row>
    <row r="6008" spans="2:3">
      <c r="B6008" s="118" t="s">
        <v>1915</v>
      </c>
      <c r="C6008" s="119">
        <v>9322</v>
      </c>
    </row>
    <row r="6009" spans="2:3">
      <c r="B6009" s="118" t="s">
        <v>1968</v>
      </c>
      <c r="C6009" s="119">
        <v>8580</v>
      </c>
    </row>
    <row r="6010" spans="2:3">
      <c r="B6010" s="118" t="s">
        <v>1936</v>
      </c>
      <c r="C6010" s="119">
        <v>9326</v>
      </c>
    </row>
    <row r="6011" spans="2:3">
      <c r="B6011" s="118" t="s">
        <v>1974</v>
      </c>
      <c r="C6011" s="119">
        <v>8593</v>
      </c>
    </row>
    <row r="6012" spans="2:3">
      <c r="B6012" s="118" t="s">
        <v>3550</v>
      </c>
      <c r="C6012" s="119">
        <v>9306</v>
      </c>
    </row>
    <row r="6013" spans="2:3">
      <c r="B6013" s="118" t="s">
        <v>3545</v>
      </c>
      <c r="C6013" s="119">
        <v>9308</v>
      </c>
    </row>
    <row r="6014" spans="2:3">
      <c r="B6014" s="118" t="s">
        <v>3975</v>
      </c>
      <c r="C6014" s="119">
        <v>9315</v>
      </c>
    </row>
    <row r="6015" spans="2:3">
      <c r="B6015" s="118" t="s">
        <v>3972</v>
      </c>
      <c r="C6015" s="119">
        <v>9320</v>
      </c>
    </row>
    <row r="6016" spans="2:3">
      <c r="B6016" s="118" t="s">
        <v>3973</v>
      </c>
      <c r="C6016" s="119">
        <v>9320</v>
      </c>
    </row>
    <row r="6017" spans="2:3">
      <c r="B6017" s="118" t="s">
        <v>3976</v>
      </c>
      <c r="C6017" s="119">
        <v>9325</v>
      </c>
    </row>
    <row r="6018" spans="2:3">
      <c r="B6018" s="118" t="s">
        <v>1910</v>
      </c>
      <c r="C6018" s="119">
        <v>8590</v>
      </c>
    </row>
    <row r="6019" spans="2:3">
      <c r="B6019" s="118" t="s">
        <v>1908</v>
      </c>
      <c r="C6019" s="119">
        <v>8580</v>
      </c>
    </row>
    <row r="6020" spans="2:3">
      <c r="B6020" s="118" t="s">
        <v>1959</v>
      </c>
      <c r="C6020" s="119">
        <v>8599</v>
      </c>
    </row>
    <row r="6021" spans="2:3">
      <c r="B6021" s="118" t="s">
        <v>1915</v>
      </c>
      <c r="C6021" s="119">
        <v>9322</v>
      </c>
    </row>
    <row r="6022" spans="2:3">
      <c r="B6022" s="118" t="s">
        <v>1982</v>
      </c>
      <c r="C6022" s="119">
        <v>8580</v>
      </c>
    </row>
    <row r="6023" spans="2:3">
      <c r="B6023" s="118" t="s">
        <v>1910</v>
      </c>
      <c r="C6023" s="119">
        <v>8590</v>
      </c>
    </row>
    <row r="6024" spans="2:3">
      <c r="B6024" s="118" t="s">
        <v>1948</v>
      </c>
      <c r="C6024" s="119">
        <v>8592</v>
      </c>
    </row>
    <row r="6025" spans="2:3">
      <c r="B6025" s="118" t="s">
        <v>1908</v>
      </c>
      <c r="C6025" s="119">
        <v>8580</v>
      </c>
    </row>
    <row r="6026" spans="2:3">
      <c r="B6026" s="118" t="s">
        <v>3547</v>
      </c>
      <c r="C6026" s="119">
        <v>8580</v>
      </c>
    </row>
    <row r="6027" spans="2:3">
      <c r="B6027" s="118" t="s">
        <v>3977</v>
      </c>
      <c r="C6027" s="119">
        <v>8580</v>
      </c>
    </row>
    <row r="6028" spans="2:3">
      <c r="B6028" s="118" t="s">
        <v>3978</v>
      </c>
      <c r="C6028" s="119">
        <v>8581</v>
      </c>
    </row>
    <row r="6029" spans="2:3">
      <c r="B6029" s="118" t="s">
        <v>3979</v>
      </c>
      <c r="C6029" s="119">
        <v>8587</v>
      </c>
    </row>
    <row r="6030" spans="2:3">
      <c r="B6030" s="118" t="s">
        <v>1913</v>
      </c>
      <c r="C6030" s="119">
        <v>9220</v>
      </c>
    </row>
    <row r="6031" spans="2:3">
      <c r="B6031" s="118" t="s">
        <v>3661</v>
      </c>
      <c r="C6031" s="119">
        <v>9223</v>
      </c>
    </row>
    <row r="6032" spans="2:3">
      <c r="B6032" s="118" t="s">
        <v>3980</v>
      </c>
      <c r="C6032" s="119">
        <v>9223</v>
      </c>
    </row>
    <row r="6033" spans="2:3">
      <c r="B6033" s="118" t="s">
        <v>1924</v>
      </c>
      <c r="C6033" s="119">
        <v>8586</v>
      </c>
    </row>
    <row r="6034" spans="2:3">
      <c r="B6034" s="118" t="s">
        <v>3981</v>
      </c>
      <c r="C6034" s="119">
        <v>8586</v>
      </c>
    </row>
    <row r="6035" spans="2:3">
      <c r="B6035" s="118" t="s">
        <v>3982</v>
      </c>
      <c r="C6035" s="119">
        <v>8586</v>
      </c>
    </row>
    <row r="6036" spans="2:3">
      <c r="B6036" s="118" t="s">
        <v>3983</v>
      </c>
      <c r="C6036" s="119">
        <v>8586</v>
      </c>
    </row>
    <row r="6037" spans="2:3">
      <c r="B6037" s="118" t="s">
        <v>3984</v>
      </c>
      <c r="C6037" s="119">
        <v>8586</v>
      </c>
    </row>
    <row r="6038" spans="2:3">
      <c r="B6038" s="118" t="s">
        <v>3985</v>
      </c>
      <c r="C6038" s="119">
        <v>8586</v>
      </c>
    </row>
    <row r="6039" spans="2:3">
      <c r="B6039" s="118" t="s">
        <v>3986</v>
      </c>
      <c r="C6039" s="119">
        <v>9216</v>
      </c>
    </row>
    <row r="6040" spans="2:3">
      <c r="B6040" s="118" t="s">
        <v>3672</v>
      </c>
      <c r="C6040" s="119">
        <v>9213</v>
      </c>
    </row>
    <row r="6041" spans="2:3">
      <c r="B6041" s="118" t="s">
        <v>1913</v>
      </c>
      <c r="C6041" s="119">
        <v>9220</v>
      </c>
    </row>
    <row r="6042" spans="2:3">
      <c r="B6042" s="118" t="s">
        <v>3987</v>
      </c>
      <c r="C6042" s="119">
        <v>9225</v>
      </c>
    </row>
    <row r="6043" spans="2:3">
      <c r="B6043" s="118" t="s">
        <v>3988</v>
      </c>
      <c r="C6043" s="119">
        <v>9225</v>
      </c>
    </row>
    <row r="6044" spans="2:3">
      <c r="B6044" s="118" t="s">
        <v>3986</v>
      </c>
      <c r="C6044" s="119">
        <v>9216</v>
      </c>
    </row>
    <row r="6045" spans="2:3">
      <c r="B6045" s="118" t="s">
        <v>1981</v>
      </c>
      <c r="C6045" s="119">
        <v>9216</v>
      </c>
    </row>
    <row r="6046" spans="2:3">
      <c r="B6046" s="118" t="s">
        <v>3989</v>
      </c>
      <c r="C6046" s="119">
        <v>9214</v>
      </c>
    </row>
    <row r="6047" spans="2:3">
      <c r="B6047" s="118" t="s">
        <v>3990</v>
      </c>
      <c r="C6047" s="119">
        <v>9215</v>
      </c>
    </row>
    <row r="6048" spans="2:3">
      <c r="B6048" s="118" t="s">
        <v>3991</v>
      </c>
      <c r="C6048" s="119">
        <v>9215</v>
      </c>
    </row>
    <row r="6049" spans="2:3">
      <c r="B6049" s="118" t="s">
        <v>3992</v>
      </c>
      <c r="C6049" s="119">
        <v>9217</v>
      </c>
    </row>
    <row r="6050" spans="2:3">
      <c r="B6050" s="118" t="s">
        <v>1923</v>
      </c>
      <c r="C6050" s="119">
        <v>8583</v>
      </c>
    </row>
    <row r="6051" spans="2:3">
      <c r="B6051" s="118" t="s">
        <v>3993</v>
      </c>
      <c r="C6051" s="119">
        <v>8583</v>
      </c>
    </row>
    <row r="6052" spans="2:3">
      <c r="B6052" s="118" t="s">
        <v>3994</v>
      </c>
      <c r="C6052" s="119">
        <v>8583</v>
      </c>
    </row>
    <row r="6053" spans="2:3">
      <c r="B6053" s="118" t="s">
        <v>3989</v>
      </c>
      <c r="C6053" s="119">
        <v>9214</v>
      </c>
    </row>
    <row r="6054" spans="2:3">
      <c r="B6054" s="118" t="s">
        <v>3995</v>
      </c>
      <c r="C6054" s="119">
        <v>8588</v>
      </c>
    </row>
    <row r="6055" spans="2:3">
      <c r="B6055" s="118" t="s">
        <v>3996</v>
      </c>
      <c r="C6055" s="119">
        <v>8589</v>
      </c>
    </row>
    <row r="6056" spans="2:3">
      <c r="B6056" s="118" t="s">
        <v>1913</v>
      </c>
      <c r="C6056" s="119">
        <v>9220</v>
      </c>
    </row>
    <row r="6057" spans="2:3">
      <c r="B6057" s="118" t="s">
        <v>1873</v>
      </c>
      <c r="C6057" s="119">
        <v>9313</v>
      </c>
    </row>
    <row r="6058" spans="2:3">
      <c r="B6058" s="118" t="s">
        <v>3997</v>
      </c>
      <c r="C6058" s="119">
        <v>8254</v>
      </c>
    </row>
    <row r="6059" spans="2:3">
      <c r="B6059" s="118" t="s">
        <v>3998</v>
      </c>
      <c r="C6059" s="119">
        <v>8255</v>
      </c>
    </row>
    <row r="6060" spans="2:3">
      <c r="B6060" s="118" t="s">
        <v>2798</v>
      </c>
      <c r="C6060" s="119">
        <v>8476</v>
      </c>
    </row>
    <row r="6061" spans="2:3">
      <c r="B6061" s="118" t="s">
        <v>3999</v>
      </c>
      <c r="C6061" s="119">
        <v>8252</v>
      </c>
    </row>
    <row r="6062" spans="2:3">
      <c r="B6062" s="118" t="s">
        <v>1920</v>
      </c>
      <c r="C6062" s="119">
        <v>8253</v>
      </c>
    </row>
    <row r="6063" spans="2:3">
      <c r="B6063" s="118" t="s">
        <v>4000</v>
      </c>
      <c r="C6063" s="119">
        <v>8253</v>
      </c>
    </row>
    <row r="6064" spans="2:3">
      <c r="B6064" s="118" t="s">
        <v>3999</v>
      </c>
      <c r="C6064" s="119">
        <v>8252</v>
      </c>
    </row>
    <row r="6065" spans="2:3">
      <c r="B6065" s="118" t="s">
        <v>1911</v>
      </c>
      <c r="C6065" s="119">
        <v>8355</v>
      </c>
    </row>
    <row r="6066" spans="2:3">
      <c r="B6066" s="118" t="s">
        <v>4001</v>
      </c>
      <c r="C6066" s="119">
        <v>8356</v>
      </c>
    </row>
    <row r="6067" spans="2:3">
      <c r="B6067" s="118" t="s">
        <v>4002</v>
      </c>
      <c r="C6067" s="119">
        <v>8357</v>
      </c>
    </row>
    <row r="6068" spans="2:3">
      <c r="B6068" s="118" t="s">
        <v>4003</v>
      </c>
      <c r="C6068" s="119">
        <v>8522</v>
      </c>
    </row>
    <row r="6069" spans="2:3">
      <c r="B6069" s="118" t="s">
        <v>4004</v>
      </c>
      <c r="C6069" s="119">
        <v>8522</v>
      </c>
    </row>
    <row r="6070" spans="2:3">
      <c r="B6070" s="118" t="s">
        <v>4005</v>
      </c>
      <c r="C6070" s="119">
        <v>9547</v>
      </c>
    </row>
    <row r="6071" spans="2:3">
      <c r="B6071" s="118" t="s">
        <v>1905</v>
      </c>
      <c r="C6071" s="119">
        <v>8500</v>
      </c>
    </row>
    <row r="6072" spans="2:3">
      <c r="B6072" s="118" t="s">
        <v>1934</v>
      </c>
      <c r="C6072" s="119">
        <v>8552</v>
      </c>
    </row>
    <row r="6073" spans="2:3">
      <c r="B6073" s="118" t="s">
        <v>1905</v>
      </c>
      <c r="C6073" s="119">
        <v>8500</v>
      </c>
    </row>
    <row r="6074" spans="2:3">
      <c r="B6074" s="118" t="s">
        <v>2732</v>
      </c>
      <c r="C6074" s="119">
        <v>8500</v>
      </c>
    </row>
    <row r="6075" spans="2:3">
      <c r="B6075" s="118" t="s">
        <v>1931</v>
      </c>
      <c r="C6075" s="119">
        <v>9548</v>
      </c>
    </row>
    <row r="6076" spans="2:3">
      <c r="B6076" s="118" t="s">
        <v>1905</v>
      </c>
      <c r="C6076" s="119">
        <v>8500</v>
      </c>
    </row>
    <row r="6077" spans="2:3">
      <c r="B6077" s="118" t="s">
        <v>4006</v>
      </c>
      <c r="C6077" s="119">
        <v>8546</v>
      </c>
    </row>
    <row r="6078" spans="2:3">
      <c r="B6078" s="118" t="s">
        <v>4007</v>
      </c>
      <c r="C6078" s="119">
        <v>8546</v>
      </c>
    </row>
    <row r="6079" spans="2:3">
      <c r="B6079" s="118" t="s">
        <v>1919</v>
      </c>
      <c r="C6079" s="119">
        <v>8547</v>
      </c>
    </row>
    <row r="6080" spans="2:3">
      <c r="B6080" s="118" t="s">
        <v>4008</v>
      </c>
      <c r="C6080" s="119">
        <v>8553</v>
      </c>
    </row>
    <row r="6081" spans="2:3">
      <c r="B6081" s="118" t="s">
        <v>4009</v>
      </c>
      <c r="C6081" s="119">
        <v>8553</v>
      </c>
    </row>
    <row r="6082" spans="2:3">
      <c r="B6082" s="118" t="s">
        <v>1977</v>
      </c>
      <c r="C6082" s="119">
        <v>8553</v>
      </c>
    </row>
    <row r="6083" spans="2:3">
      <c r="B6083" s="118" t="s">
        <v>4010</v>
      </c>
      <c r="C6083" s="119">
        <v>8553</v>
      </c>
    </row>
    <row r="6084" spans="2:3">
      <c r="B6084" s="118" t="s">
        <v>1905</v>
      </c>
      <c r="C6084" s="119">
        <v>8500</v>
      </c>
    </row>
    <row r="6085" spans="2:3">
      <c r="B6085" s="118" t="s">
        <v>1931</v>
      </c>
      <c r="C6085" s="119">
        <v>9548</v>
      </c>
    </row>
    <row r="6086" spans="2:3">
      <c r="B6086" s="118" t="s">
        <v>4011</v>
      </c>
      <c r="C6086" s="119">
        <v>8525</v>
      </c>
    </row>
    <row r="6087" spans="2:3">
      <c r="B6087" s="118" t="s">
        <v>2808</v>
      </c>
      <c r="C6087" s="119">
        <v>8525</v>
      </c>
    </row>
    <row r="6088" spans="2:3">
      <c r="B6088" s="118" t="s">
        <v>4012</v>
      </c>
      <c r="C6088" s="119">
        <v>8526</v>
      </c>
    </row>
    <row r="6089" spans="2:3">
      <c r="B6089" s="118" t="s">
        <v>1967</v>
      </c>
      <c r="C6089" s="119">
        <v>9507</v>
      </c>
    </row>
    <row r="6090" spans="2:3">
      <c r="B6090" s="118" t="s">
        <v>1931</v>
      </c>
      <c r="C6090" s="119">
        <v>9548</v>
      </c>
    </row>
    <row r="6091" spans="2:3">
      <c r="B6091" s="118" t="s">
        <v>1905</v>
      </c>
      <c r="C6091" s="119">
        <v>8500</v>
      </c>
    </row>
    <row r="6092" spans="2:3">
      <c r="B6092" s="118" t="s">
        <v>1958</v>
      </c>
      <c r="C6092" s="119">
        <v>8512</v>
      </c>
    </row>
    <row r="6093" spans="2:3">
      <c r="B6093" s="118" t="s">
        <v>4013</v>
      </c>
      <c r="C6093" s="119">
        <v>8512</v>
      </c>
    </row>
    <row r="6094" spans="2:3">
      <c r="B6094" s="118" t="s">
        <v>4014</v>
      </c>
      <c r="C6094" s="119">
        <v>8512</v>
      </c>
    </row>
    <row r="6095" spans="2:3">
      <c r="B6095" s="118" t="s">
        <v>4015</v>
      </c>
      <c r="C6095" s="119">
        <v>8524</v>
      </c>
    </row>
    <row r="6096" spans="2:3">
      <c r="B6096" s="118" t="s">
        <v>4016</v>
      </c>
      <c r="C6096" s="119">
        <v>8524</v>
      </c>
    </row>
    <row r="6097" spans="2:3">
      <c r="B6097" s="118" t="s">
        <v>4017</v>
      </c>
      <c r="C6097" s="119">
        <v>8532</v>
      </c>
    </row>
    <row r="6098" spans="2:3">
      <c r="B6098" s="118" t="s">
        <v>4018</v>
      </c>
      <c r="C6098" s="119">
        <v>8532</v>
      </c>
    </row>
    <row r="6099" spans="2:3">
      <c r="B6099" s="118" t="s">
        <v>1952</v>
      </c>
      <c r="C6099" s="119">
        <v>8536</v>
      </c>
    </row>
    <row r="6100" spans="2:3">
      <c r="B6100" s="118" t="s">
        <v>1944</v>
      </c>
      <c r="C6100" s="119">
        <v>8595</v>
      </c>
    </row>
    <row r="6101" spans="2:3">
      <c r="B6101" s="118" t="s">
        <v>1906</v>
      </c>
      <c r="C6101" s="119">
        <v>8280</v>
      </c>
    </row>
    <row r="6102" spans="2:3">
      <c r="B6102" s="118" t="s">
        <v>1945</v>
      </c>
      <c r="C6102" s="119">
        <v>8598</v>
      </c>
    </row>
    <row r="6103" spans="2:3">
      <c r="B6103" s="118" t="s">
        <v>1927</v>
      </c>
      <c r="C6103" s="119">
        <v>8272</v>
      </c>
    </row>
    <row r="6104" spans="2:3">
      <c r="B6104" s="118" t="s">
        <v>4019</v>
      </c>
      <c r="C6104" s="119">
        <v>8273</v>
      </c>
    </row>
    <row r="6105" spans="2:3">
      <c r="B6105" s="118" t="s">
        <v>1984</v>
      </c>
      <c r="C6105" s="119">
        <v>8274</v>
      </c>
    </row>
    <row r="6106" spans="2:3">
      <c r="B6106" s="118" t="s">
        <v>1955</v>
      </c>
      <c r="C6106" s="119">
        <v>8594</v>
      </c>
    </row>
    <row r="6107" spans="2:3">
      <c r="B6107" s="118" t="s">
        <v>4020</v>
      </c>
      <c r="C6107" s="119">
        <v>8565</v>
      </c>
    </row>
    <row r="6108" spans="2:3">
      <c r="B6108" s="118" t="s">
        <v>4021</v>
      </c>
      <c r="C6108" s="119">
        <v>8566</v>
      </c>
    </row>
    <row r="6109" spans="2:3">
      <c r="B6109" s="118" t="s">
        <v>4022</v>
      </c>
      <c r="C6109" s="119">
        <v>8566</v>
      </c>
    </row>
    <row r="6110" spans="2:3">
      <c r="B6110" s="118" t="s">
        <v>4023</v>
      </c>
      <c r="C6110" s="119">
        <v>8566</v>
      </c>
    </row>
    <row r="6111" spans="2:3">
      <c r="B6111" s="118" t="s">
        <v>4024</v>
      </c>
      <c r="C6111" s="119">
        <v>8566</v>
      </c>
    </row>
    <row r="6112" spans="2:3">
      <c r="B6112" s="118" t="s">
        <v>4025</v>
      </c>
      <c r="C6112" s="119">
        <v>8573</v>
      </c>
    </row>
    <row r="6113" spans="2:3">
      <c r="B6113" s="118" t="s">
        <v>4026</v>
      </c>
      <c r="C6113" s="119">
        <v>8573</v>
      </c>
    </row>
    <row r="6114" spans="2:3">
      <c r="B6114" s="118" t="s">
        <v>4027</v>
      </c>
      <c r="C6114" s="119">
        <v>8573</v>
      </c>
    </row>
    <row r="6115" spans="2:3">
      <c r="B6115" s="118" t="s">
        <v>1906</v>
      </c>
      <c r="C6115" s="119">
        <v>8280</v>
      </c>
    </row>
    <row r="6116" spans="2:3">
      <c r="B6116" s="118" t="s">
        <v>1945</v>
      </c>
      <c r="C6116" s="119">
        <v>8598</v>
      </c>
    </row>
    <row r="6117" spans="2:3">
      <c r="B6117" s="118" t="s">
        <v>1963</v>
      </c>
      <c r="C6117" s="119">
        <v>8585</v>
      </c>
    </row>
    <row r="6118" spans="2:3">
      <c r="B6118" s="118" t="s">
        <v>4028</v>
      </c>
      <c r="C6118" s="119">
        <v>8585</v>
      </c>
    </row>
    <row r="6119" spans="2:3">
      <c r="B6119" s="118" t="s">
        <v>4029</v>
      </c>
      <c r="C6119" s="119">
        <v>8585</v>
      </c>
    </row>
    <row r="6120" spans="2:3">
      <c r="B6120" s="118" t="s">
        <v>4030</v>
      </c>
      <c r="C6120" s="119">
        <v>8585</v>
      </c>
    </row>
    <row r="6121" spans="2:3">
      <c r="B6121" s="118" t="s">
        <v>3981</v>
      </c>
      <c r="C6121" s="119">
        <v>8586</v>
      </c>
    </row>
    <row r="6122" spans="2:3">
      <c r="B6122" s="118" t="s">
        <v>4031</v>
      </c>
      <c r="C6122" s="119">
        <v>8574</v>
      </c>
    </row>
    <row r="6123" spans="2:3">
      <c r="B6123" s="118" t="s">
        <v>4032</v>
      </c>
      <c r="C6123" s="119">
        <v>8574</v>
      </c>
    </row>
    <row r="6124" spans="2:3">
      <c r="B6124" s="118" t="s">
        <v>1951</v>
      </c>
      <c r="C6124" s="119">
        <v>8574</v>
      </c>
    </row>
    <row r="6125" spans="2:3">
      <c r="B6125" s="118" t="s">
        <v>1951</v>
      </c>
      <c r="C6125" s="119">
        <v>8574</v>
      </c>
    </row>
    <row r="6126" spans="2:3">
      <c r="B6126" s="118" t="s">
        <v>4033</v>
      </c>
      <c r="C6126" s="119">
        <v>8574</v>
      </c>
    </row>
    <row r="6127" spans="2:3">
      <c r="B6127" s="118" t="s">
        <v>4034</v>
      </c>
      <c r="C6127" s="119">
        <v>8596</v>
      </c>
    </row>
    <row r="6128" spans="2:3">
      <c r="B6128" s="118" t="s">
        <v>1926</v>
      </c>
      <c r="C6128" s="119">
        <v>8596</v>
      </c>
    </row>
    <row r="6129" spans="2:3">
      <c r="B6129" s="118" t="s">
        <v>4035</v>
      </c>
      <c r="C6129" s="119">
        <v>8597</v>
      </c>
    </row>
    <row r="6130" spans="2:3">
      <c r="B6130" s="118" t="s">
        <v>1917</v>
      </c>
      <c r="C6130" s="119">
        <v>8274</v>
      </c>
    </row>
    <row r="6131" spans="2:3">
      <c r="B6131" s="118" t="s">
        <v>1906</v>
      </c>
      <c r="C6131" s="119">
        <v>8280</v>
      </c>
    </row>
    <row r="6132" spans="2:3">
      <c r="B6132" s="118" t="s">
        <v>1983</v>
      </c>
      <c r="C6132" s="119">
        <v>8558</v>
      </c>
    </row>
    <row r="6133" spans="2:3">
      <c r="B6133" s="118" t="s">
        <v>4036</v>
      </c>
      <c r="C6133" s="119">
        <v>8564</v>
      </c>
    </row>
    <row r="6134" spans="2:3">
      <c r="B6134" s="118" t="s">
        <v>4037</v>
      </c>
      <c r="C6134" s="119">
        <v>8564</v>
      </c>
    </row>
    <row r="6135" spans="2:3">
      <c r="B6135" s="118" t="s">
        <v>4038</v>
      </c>
      <c r="C6135" s="119">
        <v>8564</v>
      </c>
    </row>
    <row r="6136" spans="2:3">
      <c r="B6136" s="118" t="s">
        <v>1971</v>
      </c>
      <c r="C6136" s="119">
        <v>8564</v>
      </c>
    </row>
    <row r="6137" spans="2:3">
      <c r="B6137" s="118" t="s">
        <v>4039</v>
      </c>
      <c r="C6137" s="119">
        <v>8564</v>
      </c>
    </row>
    <row r="6138" spans="2:3">
      <c r="B6138" s="118" t="s">
        <v>4040</v>
      </c>
      <c r="C6138" s="119">
        <v>8564</v>
      </c>
    </row>
    <row r="6139" spans="2:3">
      <c r="B6139" s="118" t="s">
        <v>4041</v>
      </c>
      <c r="C6139" s="119">
        <v>8564</v>
      </c>
    </row>
    <row r="6140" spans="2:3">
      <c r="B6140" s="118" t="s">
        <v>1961</v>
      </c>
      <c r="C6140" s="119">
        <v>8514</v>
      </c>
    </row>
    <row r="6141" spans="2:3">
      <c r="B6141" s="118" t="s">
        <v>4042</v>
      </c>
      <c r="C6141" s="119">
        <v>9555</v>
      </c>
    </row>
    <row r="6142" spans="2:3">
      <c r="B6142" s="118" t="s">
        <v>1938</v>
      </c>
      <c r="C6142" s="119">
        <v>9556</v>
      </c>
    </row>
    <row r="6143" spans="2:3">
      <c r="B6143" s="118" t="s">
        <v>4043</v>
      </c>
      <c r="C6143" s="119">
        <v>9556</v>
      </c>
    </row>
    <row r="6144" spans="2:3">
      <c r="B6144" s="118" t="s">
        <v>4044</v>
      </c>
      <c r="C6144" s="119">
        <v>9562</v>
      </c>
    </row>
    <row r="6145" spans="2:3">
      <c r="B6145" s="118" t="s">
        <v>4045</v>
      </c>
      <c r="C6145" s="119">
        <v>9562</v>
      </c>
    </row>
    <row r="6146" spans="2:3">
      <c r="B6146" s="118" t="s">
        <v>1965</v>
      </c>
      <c r="C6146" s="119">
        <v>9553</v>
      </c>
    </row>
    <row r="6147" spans="2:3">
      <c r="B6147" s="118" t="s">
        <v>4046</v>
      </c>
      <c r="C6147" s="119">
        <v>8362</v>
      </c>
    </row>
    <row r="6148" spans="2:3">
      <c r="B6148" s="118" t="s">
        <v>2713</v>
      </c>
      <c r="C6148" s="119">
        <v>8363</v>
      </c>
    </row>
    <row r="6149" spans="2:3">
      <c r="B6149" s="118" t="s">
        <v>1978</v>
      </c>
      <c r="C6149" s="119">
        <v>9502</v>
      </c>
    </row>
    <row r="6150" spans="2:3">
      <c r="B6150" s="118" t="s">
        <v>4047</v>
      </c>
      <c r="C6150" s="119">
        <v>8360</v>
      </c>
    </row>
    <row r="6151" spans="2:3">
      <c r="B6151" s="118" t="s">
        <v>4048</v>
      </c>
      <c r="C6151" s="119">
        <v>8360</v>
      </c>
    </row>
    <row r="6152" spans="2:3">
      <c r="B6152" s="118" t="s">
        <v>1912</v>
      </c>
      <c r="C6152" s="119">
        <v>8370</v>
      </c>
    </row>
    <row r="6153" spans="2:3">
      <c r="B6153" s="118" t="s">
        <v>4049</v>
      </c>
      <c r="C6153" s="119">
        <v>8372</v>
      </c>
    </row>
    <row r="6154" spans="2:3">
      <c r="B6154" s="118" t="s">
        <v>4050</v>
      </c>
      <c r="C6154" s="119">
        <v>8374</v>
      </c>
    </row>
    <row r="6155" spans="2:3">
      <c r="B6155" s="118" t="s">
        <v>4051</v>
      </c>
      <c r="C6155" s="119">
        <v>8374</v>
      </c>
    </row>
    <row r="6156" spans="2:3">
      <c r="B6156" s="118" t="s">
        <v>1937</v>
      </c>
      <c r="C6156" s="119">
        <v>8376</v>
      </c>
    </row>
    <row r="6157" spans="2:3">
      <c r="B6157" s="118" t="s">
        <v>3638</v>
      </c>
      <c r="C6157" s="119">
        <v>8376</v>
      </c>
    </row>
    <row r="6158" spans="2:3">
      <c r="B6158" s="118" t="s">
        <v>2784</v>
      </c>
      <c r="C6158" s="119">
        <v>8495</v>
      </c>
    </row>
    <row r="6159" spans="2:3">
      <c r="B6159" s="118" t="s">
        <v>2788</v>
      </c>
      <c r="C6159" s="119">
        <v>8499</v>
      </c>
    </row>
    <row r="6160" spans="2:3">
      <c r="B6160" s="118" t="s">
        <v>1966</v>
      </c>
      <c r="C6160" s="119">
        <v>9506</v>
      </c>
    </row>
    <row r="6161" spans="2:3">
      <c r="B6161" s="118" t="s">
        <v>4052</v>
      </c>
      <c r="C6161" s="119">
        <v>9508</v>
      </c>
    </row>
    <row r="6162" spans="2:3">
      <c r="B6162" s="118" t="s">
        <v>4047</v>
      </c>
      <c r="C6162" s="119">
        <v>8360</v>
      </c>
    </row>
    <row r="6163" spans="2:3">
      <c r="B6163" s="118" t="s">
        <v>1626</v>
      </c>
      <c r="C6163" s="119">
        <v>9500</v>
      </c>
    </row>
    <row r="6164" spans="2:3">
      <c r="B6164" s="118" t="s">
        <v>4053</v>
      </c>
      <c r="C6164" s="119">
        <v>9542</v>
      </c>
    </row>
    <row r="6165" spans="2:3">
      <c r="B6165" s="118" t="s">
        <v>3668</v>
      </c>
      <c r="C6165" s="119">
        <v>9543</v>
      </c>
    </row>
    <row r="6166" spans="2:3">
      <c r="B6166" s="118" t="s">
        <v>3626</v>
      </c>
      <c r="C6166" s="119">
        <v>9532</v>
      </c>
    </row>
    <row r="6167" spans="2:3">
      <c r="B6167" s="118" t="s">
        <v>4054</v>
      </c>
      <c r="C6167" s="119">
        <v>9535</v>
      </c>
    </row>
    <row r="6168" spans="2:3">
      <c r="B6168" s="118" t="s">
        <v>3652</v>
      </c>
      <c r="C6168" s="119">
        <v>9536</v>
      </c>
    </row>
    <row r="6169" spans="2:3">
      <c r="B6169" s="118" t="s">
        <v>1976</v>
      </c>
      <c r="C6169" s="119">
        <v>8577</v>
      </c>
    </row>
    <row r="6170" spans="2:3">
      <c r="B6170" s="118" t="s">
        <v>1912</v>
      </c>
      <c r="C6170" s="119">
        <v>8370</v>
      </c>
    </row>
    <row r="6171" spans="2:3">
      <c r="B6171" s="118" t="s">
        <v>4055</v>
      </c>
      <c r="C6171" s="119">
        <v>8371</v>
      </c>
    </row>
    <row r="6172" spans="2:3">
      <c r="B6172" s="118" t="s">
        <v>4049</v>
      </c>
      <c r="C6172" s="119">
        <v>8372</v>
      </c>
    </row>
    <row r="6173" spans="2:3">
      <c r="B6173" s="118" t="s">
        <v>4056</v>
      </c>
      <c r="C6173" s="119">
        <v>9573</v>
      </c>
    </row>
    <row r="6174" spans="2:3">
      <c r="B6174" s="118" t="s">
        <v>4057</v>
      </c>
      <c r="C6174" s="119">
        <v>9554</v>
      </c>
    </row>
    <row r="6175" spans="2:3">
      <c r="B6175" s="118" t="s">
        <v>4042</v>
      </c>
      <c r="C6175" s="119">
        <v>9555</v>
      </c>
    </row>
    <row r="6176" spans="2:3">
      <c r="B6176" s="118" t="s">
        <v>1916</v>
      </c>
      <c r="C6176" s="119">
        <v>9545</v>
      </c>
    </row>
    <row r="6177" spans="2:3">
      <c r="B6177" s="118" t="s">
        <v>4058</v>
      </c>
      <c r="C6177" s="119">
        <v>9546</v>
      </c>
    </row>
    <row r="6178" spans="2:3">
      <c r="B6178" s="118" t="s">
        <v>4054</v>
      </c>
      <c r="C6178" s="119">
        <v>9535</v>
      </c>
    </row>
    <row r="6179" spans="2:3">
      <c r="B6179" s="118" t="s">
        <v>1969</v>
      </c>
      <c r="C6179" s="119">
        <v>9514</v>
      </c>
    </row>
    <row r="6180" spans="2:3">
      <c r="B6180" s="118" t="s">
        <v>3666</v>
      </c>
      <c r="C6180" s="119">
        <v>9515</v>
      </c>
    </row>
    <row r="6181" spans="2:3">
      <c r="B6181" s="118" t="s">
        <v>1975</v>
      </c>
      <c r="C6181" s="119">
        <v>8267</v>
      </c>
    </row>
    <row r="6182" spans="2:3">
      <c r="B6182" s="118" t="s">
        <v>1950</v>
      </c>
      <c r="C6182" s="119">
        <v>8264</v>
      </c>
    </row>
    <row r="6183" spans="2:3">
      <c r="B6183" s="118" t="s">
        <v>4059</v>
      </c>
      <c r="C6183" s="119">
        <v>8506</v>
      </c>
    </row>
    <row r="6184" spans="2:3">
      <c r="B6184" s="118" t="s">
        <v>4018</v>
      </c>
      <c r="C6184" s="119">
        <v>8532</v>
      </c>
    </row>
    <row r="6185" spans="2:3">
      <c r="B6185" s="118" t="s">
        <v>1972</v>
      </c>
      <c r="C6185" s="119">
        <v>8535</v>
      </c>
    </row>
    <row r="6186" spans="2:3">
      <c r="B6186" s="118" t="s">
        <v>1952</v>
      </c>
      <c r="C6186" s="119">
        <v>8536</v>
      </c>
    </row>
    <row r="6187" spans="2:3">
      <c r="B6187" s="118" t="s">
        <v>4060</v>
      </c>
      <c r="C6187" s="119">
        <v>8507</v>
      </c>
    </row>
    <row r="6188" spans="2:3">
      <c r="B6188" s="118" t="s">
        <v>1957</v>
      </c>
      <c r="C6188" s="119">
        <v>8508</v>
      </c>
    </row>
    <row r="6189" spans="2:3">
      <c r="B6189" s="118" t="s">
        <v>1972</v>
      </c>
      <c r="C6189" s="119">
        <v>8535</v>
      </c>
    </row>
    <row r="6190" spans="2:3">
      <c r="B6190" s="118" t="s">
        <v>1952</v>
      </c>
      <c r="C6190" s="119">
        <v>8536</v>
      </c>
    </row>
    <row r="6191" spans="2:3">
      <c r="B6191" s="118" t="s">
        <v>4061</v>
      </c>
      <c r="C6191" s="119">
        <v>8537</v>
      </c>
    </row>
    <row r="6192" spans="2:3">
      <c r="B6192" s="118" t="s">
        <v>4062</v>
      </c>
      <c r="C6192" s="119">
        <v>8537</v>
      </c>
    </row>
    <row r="6193" spans="2:3">
      <c r="B6193" s="118" t="s">
        <v>1950</v>
      </c>
      <c r="C6193" s="119">
        <v>8264</v>
      </c>
    </row>
    <row r="6194" spans="2:3">
      <c r="B6194" s="118" t="s">
        <v>1980</v>
      </c>
      <c r="C6194" s="119">
        <v>8265</v>
      </c>
    </row>
    <row r="6195" spans="2:3">
      <c r="B6195" s="118" t="s">
        <v>4060</v>
      </c>
      <c r="C6195" s="119">
        <v>8507</v>
      </c>
    </row>
    <row r="6196" spans="2:3">
      <c r="B6196" s="118" t="s">
        <v>4063</v>
      </c>
      <c r="C6196" s="119">
        <v>8555</v>
      </c>
    </row>
    <row r="6197" spans="2:3">
      <c r="B6197" s="118" t="s">
        <v>1946</v>
      </c>
      <c r="C6197" s="119">
        <v>8505</v>
      </c>
    </row>
    <row r="6198" spans="2:3">
      <c r="B6198" s="118" t="s">
        <v>4064</v>
      </c>
      <c r="C6198" s="119">
        <v>8505</v>
      </c>
    </row>
    <row r="6199" spans="2:3">
      <c r="B6199" s="118" t="s">
        <v>1957</v>
      </c>
      <c r="C6199" s="119">
        <v>8508</v>
      </c>
    </row>
    <row r="6200" spans="2:3">
      <c r="B6200" s="118" t="s">
        <v>1983</v>
      </c>
      <c r="C6200" s="119">
        <v>8558</v>
      </c>
    </row>
    <row r="6201" spans="2:3">
      <c r="B6201" s="118" t="s">
        <v>4065</v>
      </c>
      <c r="C6201" s="119">
        <v>8268</v>
      </c>
    </row>
    <row r="6202" spans="2:3">
      <c r="B6202" s="118" t="s">
        <v>1964</v>
      </c>
      <c r="C6202" s="119">
        <v>8268</v>
      </c>
    </row>
    <row r="6203" spans="2:3">
      <c r="B6203" s="118" t="s">
        <v>4066</v>
      </c>
      <c r="C6203" s="119">
        <v>8269</v>
      </c>
    </row>
    <row r="6204" spans="2:3">
      <c r="B6204" s="118" t="s">
        <v>1922</v>
      </c>
      <c r="C6204" s="119">
        <v>8266</v>
      </c>
    </row>
    <row r="6205" spans="2:3">
      <c r="B6205" s="118" t="s">
        <v>4067</v>
      </c>
      <c r="C6205" s="119">
        <v>8259</v>
      </c>
    </row>
    <row r="6206" spans="2:3">
      <c r="B6206" s="118" t="s">
        <v>4068</v>
      </c>
      <c r="C6206" s="119">
        <v>8259</v>
      </c>
    </row>
    <row r="6207" spans="2:3">
      <c r="B6207" s="118" t="s">
        <v>4069</v>
      </c>
      <c r="C6207" s="119">
        <v>8259</v>
      </c>
    </row>
    <row r="6208" spans="2:3">
      <c r="B6208" s="118" t="s">
        <v>1954</v>
      </c>
      <c r="C6208" s="119">
        <v>8259</v>
      </c>
    </row>
    <row r="6209" spans="2:3">
      <c r="B6209" s="118" t="s">
        <v>1961</v>
      </c>
      <c r="C6209" s="119">
        <v>8514</v>
      </c>
    </row>
    <row r="6210" spans="2:3">
      <c r="B6210" s="118" t="s">
        <v>4070</v>
      </c>
      <c r="C6210" s="119">
        <v>8554</v>
      </c>
    </row>
    <row r="6211" spans="2:3">
      <c r="B6211" s="118" t="s">
        <v>1909</v>
      </c>
      <c r="C6211" s="119">
        <v>8570</v>
      </c>
    </row>
    <row r="6212" spans="2:3">
      <c r="B6212" s="118" t="s">
        <v>4071</v>
      </c>
      <c r="C6212" s="119">
        <v>8572</v>
      </c>
    </row>
    <row r="6213" spans="2:3">
      <c r="B6213" s="118" t="s">
        <v>4071</v>
      </c>
      <c r="C6213" s="119">
        <v>8572</v>
      </c>
    </row>
    <row r="6214" spans="2:3">
      <c r="B6214" s="118" t="s">
        <v>4072</v>
      </c>
      <c r="C6214" s="119">
        <v>8572</v>
      </c>
    </row>
    <row r="6215" spans="2:3">
      <c r="B6215" s="118" t="s">
        <v>4073</v>
      </c>
      <c r="C6215" s="119">
        <v>8572</v>
      </c>
    </row>
    <row r="6216" spans="2:3">
      <c r="B6216" s="118" t="s">
        <v>4074</v>
      </c>
      <c r="C6216" s="119">
        <v>8572</v>
      </c>
    </row>
    <row r="6217" spans="2:3">
      <c r="B6217" s="118" t="s">
        <v>4075</v>
      </c>
      <c r="C6217" s="119">
        <v>8576</v>
      </c>
    </row>
    <row r="6218" spans="2:3">
      <c r="B6218" s="118" t="s">
        <v>4076</v>
      </c>
      <c r="C6218" s="119">
        <v>8584</v>
      </c>
    </row>
    <row r="6219" spans="2:3">
      <c r="B6219" s="118" t="s">
        <v>4077</v>
      </c>
      <c r="C6219" s="119">
        <v>8585</v>
      </c>
    </row>
    <row r="6220" spans="2:3">
      <c r="B6220" s="118" t="s">
        <v>4078</v>
      </c>
      <c r="C6220" s="119">
        <v>8585</v>
      </c>
    </row>
    <row r="6221" spans="2:3">
      <c r="B6221" s="118" t="s">
        <v>1960</v>
      </c>
      <c r="C6221" s="119">
        <v>8585</v>
      </c>
    </row>
    <row r="6222" spans="2:3">
      <c r="B6222" s="118" t="s">
        <v>4079</v>
      </c>
      <c r="C6222" s="119">
        <v>8585</v>
      </c>
    </row>
    <row r="6223" spans="2:3">
      <c r="B6223" s="118" t="s">
        <v>4080</v>
      </c>
      <c r="C6223" s="119">
        <v>8586</v>
      </c>
    </row>
    <row r="6224" spans="2:3">
      <c r="B6224" s="118" t="s">
        <v>4081</v>
      </c>
      <c r="C6224" s="119">
        <v>8586</v>
      </c>
    </row>
    <row r="6225" spans="2:3">
      <c r="B6225" s="118" t="s">
        <v>4082</v>
      </c>
      <c r="C6225" s="119">
        <v>8575</v>
      </c>
    </row>
    <row r="6226" spans="2:3">
      <c r="B6226" s="118" t="s">
        <v>4083</v>
      </c>
      <c r="C6226" s="119">
        <v>8575</v>
      </c>
    </row>
    <row r="6227" spans="2:3">
      <c r="B6227" s="118" t="s">
        <v>4084</v>
      </c>
      <c r="C6227" s="119">
        <v>8584</v>
      </c>
    </row>
    <row r="6228" spans="2:3">
      <c r="B6228" s="118" t="s">
        <v>4076</v>
      </c>
      <c r="C6228" s="119">
        <v>8584</v>
      </c>
    </row>
    <row r="6229" spans="2:3">
      <c r="B6229" s="118" t="s">
        <v>4082</v>
      </c>
      <c r="C6229" s="119">
        <v>8575</v>
      </c>
    </row>
    <row r="6230" spans="2:3">
      <c r="B6230" s="118" t="s">
        <v>4085</v>
      </c>
      <c r="C6230" s="119">
        <v>9503</v>
      </c>
    </row>
    <row r="6231" spans="2:3">
      <c r="B6231" s="118" t="s">
        <v>4086</v>
      </c>
      <c r="C6231" s="119">
        <v>9503</v>
      </c>
    </row>
    <row r="6232" spans="2:3">
      <c r="B6232" s="118" t="s">
        <v>4087</v>
      </c>
      <c r="C6232" s="119">
        <v>9504</v>
      </c>
    </row>
    <row r="6233" spans="2:3">
      <c r="B6233" s="118" t="s">
        <v>4088</v>
      </c>
      <c r="C6233" s="119">
        <v>9517</v>
      </c>
    </row>
    <row r="6234" spans="2:3">
      <c r="B6234" s="118" t="s">
        <v>4044</v>
      </c>
      <c r="C6234" s="119">
        <v>9562</v>
      </c>
    </row>
    <row r="6235" spans="2:3">
      <c r="B6235" s="118" t="s">
        <v>1943</v>
      </c>
      <c r="C6235" s="119">
        <v>9565</v>
      </c>
    </row>
    <row r="6236" spans="2:3">
      <c r="B6236" s="118" t="s">
        <v>4089</v>
      </c>
      <c r="C6236" s="119">
        <v>9565</v>
      </c>
    </row>
    <row r="6237" spans="2:3">
      <c r="B6237" s="118" t="s">
        <v>4090</v>
      </c>
      <c r="C6237" s="119">
        <v>9565</v>
      </c>
    </row>
    <row r="6238" spans="2:3">
      <c r="B6238" s="118" t="s">
        <v>4091</v>
      </c>
      <c r="C6238" s="119">
        <v>9565</v>
      </c>
    </row>
    <row r="6239" spans="2:3">
      <c r="B6239" s="118" t="s">
        <v>4092</v>
      </c>
      <c r="C6239" s="119">
        <v>9565</v>
      </c>
    </row>
    <row r="6240" spans="2:3">
      <c r="B6240" s="118" t="s">
        <v>1933</v>
      </c>
      <c r="C6240" s="119">
        <v>8560</v>
      </c>
    </row>
    <row r="6241" spans="2:3">
      <c r="B6241" s="118" t="s">
        <v>4093</v>
      </c>
      <c r="C6241" s="119">
        <v>8561</v>
      </c>
    </row>
    <row r="6242" spans="2:3">
      <c r="B6242" s="118" t="s">
        <v>1909</v>
      </c>
      <c r="C6242" s="119">
        <v>8570</v>
      </c>
    </row>
    <row r="6243" spans="2:3">
      <c r="B6243" s="118" t="s">
        <v>4082</v>
      </c>
      <c r="C6243" s="119">
        <v>8575</v>
      </c>
    </row>
    <row r="6244" spans="2:3">
      <c r="B6244" s="118" t="s">
        <v>4094</v>
      </c>
      <c r="C6244" s="119">
        <v>8554</v>
      </c>
    </row>
    <row r="6245" spans="2:3">
      <c r="B6245" s="118" t="s">
        <v>4070</v>
      </c>
      <c r="C6245" s="119">
        <v>8554</v>
      </c>
    </row>
    <row r="6246" spans="2:3">
      <c r="B6246" s="118" t="s">
        <v>1941</v>
      </c>
      <c r="C6246" s="119">
        <v>8556</v>
      </c>
    </row>
    <row r="6247" spans="2:3">
      <c r="B6247" s="118" t="s">
        <v>4095</v>
      </c>
      <c r="C6247" s="119">
        <v>8556</v>
      </c>
    </row>
    <row r="6248" spans="2:3">
      <c r="B6248" s="118" t="s">
        <v>4096</v>
      </c>
      <c r="C6248" s="119">
        <v>8556</v>
      </c>
    </row>
    <row r="6249" spans="2:3">
      <c r="B6249" s="118" t="s">
        <v>4097</v>
      </c>
      <c r="C6249" s="119">
        <v>8556</v>
      </c>
    </row>
    <row r="6250" spans="2:3">
      <c r="B6250" s="118" t="s">
        <v>1933</v>
      </c>
      <c r="C6250" s="119">
        <v>8560</v>
      </c>
    </row>
    <row r="6251" spans="2:3">
      <c r="B6251" s="118" t="s">
        <v>4037</v>
      </c>
      <c r="C6251" s="119">
        <v>8564</v>
      </c>
    </row>
    <row r="6252" spans="2:3">
      <c r="B6252" s="118" t="s">
        <v>4098</v>
      </c>
      <c r="C6252" s="119">
        <v>8564</v>
      </c>
    </row>
    <row r="6253" spans="2:3">
      <c r="B6253" s="118" t="s">
        <v>4099</v>
      </c>
      <c r="C6253" s="119">
        <v>6517</v>
      </c>
    </row>
    <row r="6254" spans="2:3">
      <c r="B6254" s="118" t="s">
        <v>4100</v>
      </c>
      <c r="C6254" s="119">
        <v>6532</v>
      </c>
    </row>
    <row r="6255" spans="2:3">
      <c r="B6255" s="118" t="s">
        <v>1430</v>
      </c>
      <c r="C6255" s="119">
        <v>6500</v>
      </c>
    </row>
    <row r="6256" spans="2:3">
      <c r="B6256" s="118" t="s">
        <v>1430</v>
      </c>
      <c r="C6256" s="119">
        <v>6503</v>
      </c>
    </row>
    <row r="6257" spans="2:3">
      <c r="B6257" s="118" t="s">
        <v>4101</v>
      </c>
      <c r="C6257" s="119">
        <v>6512</v>
      </c>
    </row>
    <row r="6258" spans="2:3">
      <c r="B6258" s="118" t="s">
        <v>1665</v>
      </c>
      <c r="C6258" s="119">
        <v>6513</v>
      </c>
    </row>
    <row r="6259" spans="2:3">
      <c r="B6259" s="118" t="s">
        <v>1662</v>
      </c>
      <c r="C6259" s="119">
        <v>6514</v>
      </c>
    </row>
    <row r="6260" spans="2:3">
      <c r="B6260" s="118" t="s">
        <v>1666</v>
      </c>
      <c r="C6260" s="119">
        <v>6515</v>
      </c>
    </row>
    <row r="6261" spans="2:3">
      <c r="B6261" s="118" t="s">
        <v>1668</v>
      </c>
      <c r="C6261" s="119">
        <v>6518</v>
      </c>
    </row>
    <row r="6262" spans="2:3">
      <c r="B6262" s="118" t="s">
        <v>4102</v>
      </c>
      <c r="C6262" s="119">
        <v>6523</v>
      </c>
    </row>
    <row r="6263" spans="2:3">
      <c r="B6263" s="118" t="s">
        <v>1670</v>
      </c>
      <c r="C6263" s="119">
        <v>6524</v>
      </c>
    </row>
    <row r="6264" spans="2:3">
      <c r="B6264" s="118" t="s">
        <v>1669</v>
      </c>
      <c r="C6264" s="119">
        <v>6525</v>
      </c>
    </row>
    <row r="6265" spans="2:3">
      <c r="B6265" s="118" t="s">
        <v>4103</v>
      </c>
      <c r="C6265" s="119">
        <v>6528</v>
      </c>
    </row>
    <row r="6266" spans="2:3">
      <c r="B6266" s="118" t="s">
        <v>4100</v>
      </c>
      <c r="C6266" s="119">
        <v>6532</v>
      </c>
    </row>
    <row r="6267" spans="2:3">
      <c r="B6267" s="118" t="s">
        <v>1667</v>
      </c>
      <c r="C6267" s="119">
        <v>6582</v>
      </c>
    </row>
    <row r="6268" spans="2:3">
      <c r="B6268" s="118" t="s">
        <v>1663</v>
      </c>
      <c r="C6268" s="119">
        <v>6583</v>
      </c>
    </row>
    <row r="6269" spans="2:3">
      <c r="B6269" s="118" t="s">
        <v>4104</v>
      </c>
      <c r="C6269" s="119">
        <v>6584</v>
      </c>
    </row>
    <row r="6270" spans="2:3">
      <c r="B6270" s="118" t="s">
        <v>4105</v>
      </c>
      <c r="C6270" s="119">
        <v>6592</v>
      </c>
    </row>
    <row r="6271" spans="2:3">
      <c r="B6271" s="118" t="s">
        <v>1664</v>
      </c>
      <c r="C6271" s="119">
        <v>6702</v>
      </c>
    </row>
    <row r="6272" spans="2:3">
      <c r="B6272" s="118" t="s">
        <v>4105</v>
      </c>
      <c r="C6272" s="119">
        <v>6592</v>
      </c>
    </row>
    <row r="6273" spans="2:3">
      <c r="B6273" s="118" t="s">
        <v>1456</v>
      </c>
      <c r="C6273" s="119">
        <v>6593</v>
      </c>
    </row>
    <row r="6274" spans="2:3">
      <c r="B6274" s="118" t="s">
        <v>4106</v>
      </c>
      <c r="C6274" s="119">
        <v>6599</v>
      </c>
    </row>
    <row r="6275" spans="2:3">
      <c r="B6275" s="118" t="s">
        <v>1526</v>
      </c>
      <c r="C6275" s="119">
        <v>6810</v>
      </c>
    </row>
    <row r="6276" spans="2:3">
      <c r="B6276" s="118" t="s">
        <v>4100</v>
      </c>
      <c r="C6276" s="119">
        <v>6532</v>
      </c>
    </row>
    <row r="6277" spans="2:3">
      <c r="B6277" s="118" t="s">
        <v>1487</v>
      </c>
      <c r="C6277" s="119">
        <v>6533</v>
      </c>
    </row>
    <row r="6278" spans="2:3">
      <c r="B6278" s="118" t="s">
        <v>1666</v>
      </c>
      <c r="C6278" s="119">
        <v>6515</v>
      </c>
    </row>
    <row r="6279" spans="2:3">
      <c r="B6279" s="118" t="s">
        <v>4103</v>
      </c>
      <c r="C6279" s="119">
        <v>6528</v>
      </c>
    </row>
    <row r="6280" spans="2:3">
      <c r="B6280" s="118" t="s">
        <v>4105</v>
      </c>
      <c r="C6280" s="119">
        <v>6592</v>
      </c>
    </row>
    <row r="6281" spans="2:3">
      <c r="B6281" s="118" t="s">
        <v>1456</v>
      </c>
      <c r="C6281" s="119">
        <v>6593</v>
      </c>
    </row>
    <row r="6282" spans="2:3">
      <c r="B6282" s="118" t="s">
        <v>4107</v>
      </c>
      <c r="C6282" s="119">
        <v>6715</v>
      </c>
    </row>
    <row r="6283" spans="2:3">
      <c r="B6283" s="118" t="s">
        <v>1474</v>
      </c>
      <c r="C6283" s="119">
        <v>6716</v>
      </c>
    </row>
    <row r="6284" spans="2:3">
      <c r="B6284" s="118" t="s">
        <v>4108</v>
      </c>
      <c r="C6284" s="119">
        <v>6716</v>
      </c>
    </row>
    <row r="6285" spans="2:3">
      <c r="B6285" s="118" t="s">
        <v>4109</v>
      </c>
      <c r="C6285" s="119">
        <v>6716</v>
      </c>
    </row>
    <row r="6286" spans="2:3">
      <c r="B6286" s="118" t="s">
        <v>4110</v>
      </c>
      <c r="C6286" s="119">
        <v>6721</v>
      </c>
    </row>
    <row r="6287" spans="2:3">
      <c r="B6287" s="118" t="s">
        <v>4111</v>
      </c>
      <c r="C6287" s="119">
        <v>6722</v>
      </c>
    </row>
    <row r="6288" spans="2:3">
      <c r="B6288" s="118" t="s">
        <v>4112</v>
      </c>
      <c r="C6288" s="119">
        <v>6723</v>
      </c>
    </row>
    <row r="6289" spans="2:3">
      <c r="B6289" s="118" t="s">
        <v>4113</v>
      </c>
      <c r="C6289" s="119">
        <v>6723</v>
      </c>
    </row>
    <row r="6290" spans="2:3">
      <c r="B6290" s="118" t="s">
        <v>4114</v>
      </c>
      <c r="C6290" s="119">
        <v>6723</v>
      </c>
    </row>
    <row r="6291" spans="2:3">
      <c r="B6291" s="118" t="s">
        <v>4115</v>
      </c>
      <c r="C6291" s="119">
        <v>6724</v>
      </c>
    </row>
    <row r="6292" spans="2:3">
      <c r="B6292" s="118" t="s">
        <v>4116</v>
      </c>
      <c r="C6292" s="119">
        <v>6724</v>
      </c>
    </row>
    <row r="6293" spans="2:3">
      <c r="B6293" s="118" t="s">
        <v>4117</v>
      </c>
      <c r="C6293" s="119">
        <v>6717</v>
      </c>
    </row>
    <row r="6294" spans="2:3">
      <c r="B6294" s="118" t="s">
        <v>4118</v>
      </c>
      <c r="C6294" s="119">
        <v>6717</v>
      </c>
    </row>
    <row r="6295" spans="2:3">
      <c r="B6295" s="118" t="s">
        <v>4119</v>
      </c>
      <c r="C6295" s="119">
        <v>6718</v>
      </c>
    </row>
    <row r="6296" spans="2:3">
      <c r="B6296" s="118" t="s">
        <v>4120</v>
      </c>
      <c r="C6296" s="119">
        <v>6718</v>
      </c>
    </row>
    <row r="6297" spans="2:3">
      <c r="B6297" s="118" t="s">
        <v>4121</v>
      </c>
      <c r="C6297" s="119">
        <v>6719</v>
      </c>
    </row>
    <row r="6298" spans="2:3">
      <c r="B6298" s="118" t="s">
        <v>4121</v>
      </c>
      <c r="C6298" s="119">
        <v>6719</v>
      </c>
    </row>
    <row r="6299" spans="2:3">
      <c r="B6299" s="118" t="s">
        <v>4122</v>
      </c>
      <c r="C6299" s="119">
        <v>6720</v>
      </c>
    </row>
    <row r="6300" spans="2:3">
      <c r="B6300" s="118" t="s">
        <v>4123</v>
      </c>
      <c r="C6300" s="119">
        <v>6720</v>
      </c>
    </row>
    <row r="6301" spans="2:3">
      <c r="B6301" s="118" t="s">
        <v>4124</v>
      </c>
      <c r="C6301" s="119">
        <v>6713</v>
      </c>
    </row>
    <row r="6302" spans="2:3">
      <c r="B6302" s="118" t="s">
        <v>4125</v>
      </c>
      <c r="C6302" s="119">
        <v>6714</v>
      </c>
    </row>
    <row r="6303" spans="2:3">
      <c r="B6303" s="118" t="s">
        <v>4126</v>
      </c>
      <c r="C6303" s="119">
        <v>6721</v>
      </c>
    </row>
    <row r="6304" spans="2:3">
      <c r="B6304" s="118" t="s">
        <v>1483</v>
      </c>
      <c r="C6304" s="119">
        <v>6780</v>
      </c>
    </row>
    <row r="6305" spans="2:3">
      <c r="B6305" s="118" t="s">
        <v>4127</v>
      </c>
      <c r="C6305" s="119">
        <v>6781</v>
      </c>
    </row>
    <row r="6306" spans="2:3">
      <c r="B6306" s="118" t="s">
        <v>1536</v>
      </c>
      <c r="C6306" s="119">
        <v>6781</v>
      </c>
    </row>
    <row r="6307" spans="2:3">
      <c r="B6307" s="118" t="s">
        <v>4128</v>
      </c>
      <c r="C6307" s="119">
        <v>6743</v>
      </c>
    </row>
    <row r="6308" spans="2:3">
      <c r="B6308" s="118" t="s">
        <v>1535</v>
      </c>
      <c r="C6308" s="119">
        <v>6774</v>
      </c>
    </row>
    <row r="6309" spans="2:3">
      <c r="B6309" s="118" t="s">
        <v>4129</v>
      </c>
      <c r="C6309" s="119">
        <v>6746</v>
      </c>
    </row>
    <row r="6310" spans="2:3">
      <c r="B6310" s="118" t="s">
        <v>4130</v>
      </c>
      <c r="C6310" s="119">
        <v>6746</v>
      </c>
    </row>
    <row r="6311" spans="2:3">
      <c r="B6311" s="118" t="s">
        <v>4131</v>
      </c>
      <c r="C6311" s="119">
        <v>6746</v>
      </c>
    </row>
    <row r="6312" spans="2:3">
      <c r="B6312" s="118" t="s">
        <v>4132</v>
      </c>
      <c r="C6312" s="119">
        <v>6747</v>
      </c>
    </row>
    <row r="6313" spans="2:3">
      <c r="B6313" s="118" t="s">
        <v>4133</v>
      </c>
      <c r="C6313" s="119">
        <v>6748</v>
      </c>
    </row>
    <row r="6314" spans="2:3">
      <c r="B6314" s="118" t="s">
        <v>4134</v>
      </c>
      <c r="C6314" s="119">
        <v>6749</v>
      </c>
    </row>
    <row r="6315" spans="2:3">
      <c r="B6315" s="118" t="s">
        <v>4135</v>
      </c>
      <c r="C6315" s="119">
        <v>6749</v>
      </c>
    </row>
    <row r="6316" spans="2:3">
      <c r="B6316" s="118" t="s">
        <v>1455</v>
      </c>
      <c r="C6316" s="119">
        <v>6760</v>
      </c>
    </row>
    <row r="6317" spans="2:3">
      <c r="B6317" s="118" t="s">
        <v>4136</v>
      </c>
      <c r="C6317" s="119">
        <v>6760</v>
      </c>
    </row>
    <row r="6318" spans="2:3">
      <c r="B6318" s="118" t="s">
        <v>4137</v>
      </c>
      <c r="C6318" s="119">
        <v>6760</v>
      </c>
    </row>
    <row r="6319" spans="2:3">
      <c r="B6319" s="118" t="s">
        <v>4138</v>
      </c>
      <c r="C6319" s="119">
        <v>6760</v>
      </c>
    </row>
    <row r="6320" spans="2:3">
      <c r="B6320" s="118" t="s">
        <v>4139</v>
      </c>
      <c r="C6320" s="119">
        <v>6760</v>
      </c>
    </row>
    <row r="6321" spans="2:3">
      <c r="B6321" s="118" t="s">
        <v>4140</v>
      </c>
      <c r="C6321" s="119">
        <v>6760</v>
      </c>
    </row>
    <row r="6322" spans="2:3">
      <c r="B6322" s="118" t="s">
        <v>4141</v>
      </c>
      <c r="C6322" s="119">
        <v>6763</v>
      </c>
    </row>
    <row r="6323" spans="2:3">
      <c r="B6323" s="118" t="s">
        <v>4142</v>
      </c>
      <c r="C6323" s="119">
        <v>6763</v>
      </c>
    </row>
    <row r="6324" spans="2:3">
      <c r="B6324" s="118" t="s">
        <v>4143</v>
      </c>
      <c r="C6324" s="119">
        <v>6764</v>
      </c>
    </row>
    <row r="6325" spans="2:3">
      <c r="B6325" s="118" t="s">
        <v>1503</v>
      </c>
      <c r="C6325" s="119">
        <v>6745</v>
      </c>
    </row>
    <row r="6326" spans="2:3">
      <c r="B6326" s="118" t="s">
        <v>1528</v>
      </c>
      <c r="C6326" s="119">
        <v>6744</v>
      </c>
    </row>
    <row r="6327" spans="2:3">
      <c r="B6327" s="118" t="s">
        <v>1510</v>
      </c>
      <c r="C6327" s="119">
        <v>6742</v>
      </c>
    </row>
    <row r="6328" spans="2:3">
      <c r="B6328" s="118" t="s">
        <v>4144</v>
      </c>
      <c r="C6328" s="119">
        <v>6772</v>
      </c>
    </row>
    <row r="6329" spans="2:3">
      <c r="B6329" s="118" t="s">
        <v>1524</v>
      </c>
      <c r="C6329" s="119">
        <v>6773</v>
      </c>
    </row>
    <row r="6330" spans="2:3">
      <c r="B6330" s="118" t="s">
        <v>4145</v>
      </c>
      <c r="C6330" s="119">
        <v>6775</v>
      </c>
    </row>
    <row r="6331" spans="2:3">
      <c r="B6331" s="118" t="s">
        <v>4146</v>
      </c>
      <c r="C6331" s="119">
        <v>6776</v>
      </c>
    </row>
    <row r="6332" spans="2:3">
      <c r="B6332" s="118" t="s">
        <v>1498</v>
      </c>
      <c r="C6332" s="119">
        <v>6777</v>
      </c>
    </row>
    <row r="6333" spans="2:3">
      <c r="B6333" s="118" t="s">
        <v>1439</v>
      </c>
      <c r="C6333" s="119">
        <v>6612</v>
      </c>
    </row>
    <row r="6334" spans="2:3">
      <c r="B6334" s="118" t="s">
        <v>4147</v>
      </c>
      <c r="C6334" s="119">
        <v>6618</v>
      </c>
    </row>
    <row r="6335" spans="2:3">
      <c r="B6335" s="118" t="s">
        <v>1522</v>
      </c>
      <c r="C6335" s="119">
        <v>6645</v>
      </c>
    </row>
    <row r="6336" spans="2:3">
      <c r="B6336" s="118" t="s">
        <v>4148</v>
      </c>
      <c r="C6336" s="119">
        <v>6646</v>
      </c>
    </row>
    <row r="6337" spans="2:3">
      <c r="B6337" s="118" t="s">
        <v>1479</v>
      </c>
      <c r="C6337" s="119">
        <v>6614</v>
      </c>
    </row>
    <row r="6338" spans="2:3">
      <c r="B6338" s="118" t="s">
        <v>4149</v>
      </c>
      <c r="C6338" s="119">
        <v>6614</v>
      </c>
    </row>
    <row r="6339" spans="2:3">
      <c r="B6339" s="118" t="s">
        <v>1443</v>
      </c>
      <c r="C6339" s="119">
        <v>6596</v>
      </c>
    </row>
    <row r="6340" spans="2:3">
      <c r="B6340" s="118" t="s">
        <v>4150</v>
      </c>
      <c r="C6340" s="119">
        <v>6595</v>
      </c>
    </row>
    <row r="6341" spans="2:3">
      <c r="B6341" s="118" t="s">
        <v>4151</v>
      </c>
      <c r="C6341" s="119">
        <v>6516</v>
      </c>
    </row>
    <row r="6342" spans="2:3">
      <c r="B6342" s="118" t="s">
        <v>4152</v>
      </c>
      <c r="C6342" s="119">
        <v>6572</v>
      </c>
    </row>
    <row r="6343" spans="2:3">
      <c r="B6343" s="118" t="s">
        <v>4153</v>
      </c>
      <c r="C6343" s="119">
        <v>6594</v>
      </c>
    </row>
    <row r="6344" spans="2:3">
      <c r="B6344" s="118" t="s">
        <v>4150</v>
      </c>
      <c r="C6344" s="119">
        <v>6595</v>
      </c>
    </row>
    <row r="6345" spans="2:3">
      <c r="B6345" s="118" t="s">
        <v>1443</v>
      </c>
      <c r="C6345" s="119">
        <v>6596</v>
      </c>
    </row>
    <row r="6346" spans="2:3">
      <c r="B6346" s="118" t="s">
        <v>1431</v>
      </c>
      <c r="C6346" s="119">
        <v>6600</v>
      </c>
    </row>
    <row r="6347" spans="2:3">
      <c r="B6347" s="118" t="s">
        <v>1431</v>
      </c>
      <c r="C6347" s="119">
        <v>6600</v>
      </c>
    </row>
    <row r="6348" spans="2:3">
      <c r="B6348" s="118" t="s">
        <v>4154</v>
      </c>
      <c r="C6348" s="119">
        <v>6600</v>
      </c>
    </row>
    <row r="6349" spans="2:3">
      <c r="B6349" s="118" t="s">
        <v>1431</v>
      </c>
      <c r="C6349" s="119">
        <v>6605</v>
      </c>
    </row>
    <row r="6350" spans="2:3">
      <c r="B6350" s="118" t="s">
        <v>1439</v>
      </c>
      <c r="C6350" s="119">
        <v>6612</v>
      </c>
    </row>
    <row r="6351" spans="2:3">
      <c r="B6351" s="118" t="s">
        <v>1511</v>
      </c>
      <c r="C6351" s="119">
        <v>6644</v>
      </c>
    </row>
    <row r="6352" spans="2:3">
      <c r="B6352" s="118" t="s">
        <v>4155</v>
      </c>
      <c r="C6352" s="119">
        <v>6652</v>
      </c>
    </row>
    <row r="6353" spans="2:3">
      <c r="B6353" s="118" t="s">
        <v>1436</v>
      </c>
      <c r="C6353" s="119">
        <v>6616</v>
      </c>
    </row>
    <row r="6354" spans="2:3">
      <c r="B6354" s="118" t="s">
        <v>4147</v>
      </c>
      <c r="C6354" s="119">
        <v>6618</v>
      </c>
    </row>
    <row r="6355" spans="2:3">
      <c r="B6355" s="118" t="s">
        <v>1533</v>
      </c>
      <c r="C6355" s="119">
        <v>6647</v>
      </c>
    </row>
    <row r="6356" spans="2:3">
      <c r="B6356" s="118" t="s">
        <v>1459</v>
      </c>
      <c r="C6356" s="119">
        <v>6600</v>
      </c>
    </row>
    <row r="6357" spans="2:3">
      <c r="B6357" s="118" t="s">
        <v>1522</v>
      </c>
      <c r="C6357" s="119">
        <v>6645</v>
      </c>
    </row>
    <row r="6358" spans="2:3">
      <c r="B6358" s="118" t="s">
        <v>4148</v>
      </c>
      <c r="C6358" s="119">
        <v>6646</v>
      </c>
    </row>
    <row r="6359" spans="2:3">
      <c r="B6359" s="118" t="s">
        <v>1434</v>
      </c>
      <c r="C6359" s="119">
        <v>6648</v>
      </c>
    </row>
    <row r="6360" spans="2:3">
      <c r="B6360" s="118" t="s">
        <v>1431</v>
      </c>
      <c r="C6360" s="119">
        <v>6600</v>
      </c>
    </row>
    <row r="6361" spans="2:3">
      <c r="B6361" s="118" t="s">
        <v>1459</v>
      </c>
      <c r="C6361" s="119">
        <v>6600</v>
      </c>
    </row>
    <row r="6362" spans="2:3">
      <c r="B6362" s="118" t="s">
        <v>1459</v>
      </c>
      <c r="C6362" s="119">
        <v>6600</v>
      </c>
    </row>
    <row r="6363" spans="2:3">
      <c r="B6363" s="118" t="s">
        <v>1431</v>
      </c>
      <c r="C6363" s="119">
        <v>6605</v>
      </c>
    </row>
    <row r="6364" spans="2:3">
      <c r="B6364" s="118" t="s">
        <v>1511</v>
      </c>
      <c r="C6364" s="119">
        <v>6644</v>
      </c>
    </row>
    <row r="6365" spans="2:3">
      <c r="B6365" s="118" t="s">
        <v>4156</v>
      </c>
      <c r="C6365" s="119">
        <v>6613</v>
      </c>
    </row>
    <row r="6366" spans="2:3">
      <c r="B6366" s="118" t="s">
        <v>1517</v>
      </c>
      <c r="C6366" s="119">
        <v>6622</v>
      </c>
    </row>
    <row r="6367" spans="2:3">
      <c r="B6367" s="118" t="s">
        <v>4157</v>
      </c>
      <c r="C6367" s="119">
        <v>6598</v>
      </c>
    </row>
    <row r="6368" spans="2:3">
      <c r="B6368" s="118" t="s">
        <v>4148</v>
      </c>
      <c r="C6368" s="119">
        <v>6646</v>
      </c>
    </row>
    <row r="6369" spans="2:3">
      <c r="B6369" s="118" t="s">
        <v>4158</v>
      </c>
      <c r="C6369" s="119">
        <v>6611</v>
      </c>
    </row>
    <row r="6370" spans="2:3">
      <c r="B6370" s="118" t="s">
        <v>4159</v>
      </c>
      <c r="C6370" s="119">
        <v>6611</v>
      </c>
    </row>
    <row r="6371" spans="2:3">
      <c r="B6371" s="118" t="s">
        <v>4160</v>
      </c>
      <c r="C6371" s="119">
        <v>6611</v>
      </c>
    </row>
    <row r="6372" spans="2:3">
      <c r="B6372" s="118" t="s">
        <v>4161</v>
      </c>
      <c r="C6372" s="119">
        <v>6655</v>
      </c>
    </row>
    <row r="6373" spans="2:3">
      <c r="B6373" s="118" t="s">
        <v>4162</v>
      </c>
      <c r="C6373" s="119">
        <v>6661</v>
      </c>
    </row>
    <row r="6374" spans="2:3">
      <c r="B6374" s="118" t="s">
        <v>4163</v>
      </c>
      <c r="C6374" s="119">
        <v>6661</v>
      </c>
    </row>
    <row r="6375" spans="2:3">
      <c r="B6375" s="118" t="s">
        <v>4164</v>
      </c>
      <c r="C6375" s="119">
        <v>6661</v>
      </c>
    </row>
    <row r="6376" spans="2:3">
      <c r="B6376" s="118" t="s">
        <v>4165</v>
      </c>
      <c r="C6376" s="119">
        <v>6662</v>
      </c>
    </row>
    <row r="6377" spans="2:3">
      <c r="B6377" s="118" t="s">
        <v>4166</v>
      </c>
      <c r="C6377" s="119">
        <v>6663</v>
      </c>
    </row>
    <row r="6378" spans="2:3">
      <c r="B6378" s="118" t="s">
        <v>4167</v>
      </c>
      <c r="C6378" s="119">
        <v>6663</v>
      </c>
    </row>
    <row r="6379" spans="2:3">
      <c r="B6379" s="118" t="s">
        <v>4168</v>
      </c>
      <c r="C6379" s="119">
        <v>6664</v>
      </c>
    </row>
    <row r="6380" spans="2:3">
      <c r="B6380" s="118" t="s">
        <v>4151</v>
      </c>
      <c r="C6380" s="119">
        <v>6516</v>
      </c>
    </row>
    <row r="6381" spans="2:3">
      <c r="B6381" s="118" t="s">
        <v>4153</v>
      </c>
      <c r="C6381" s="119">
        <v>6594</v>
      </c>
    </row>
    <row r="6382" spans="2:3">
      <c r="B6382" s="118" t="s">
        <v>4150</v>
      </c>
      <c r="C6382" s="119">
        <v>6595</v>
      </c>
    </row>
    <row r="6383" spans="2:3">
      <c r="B6383" s="118" t="s">
        <v>4169</v>
      </c>
      <c r="C6383" s="119">
        <v>6597</v>
      </c>
    </row>
    <row r="6384" spans="2:3">
      <c r="B6384" s="118" t="s">
        <v>1460</v>
      </c>
      <c r="C6384" s="119">
        <v>6934</v>
      </c>
    </row>
    <row r="6385" spans="2:3">
      <c r="B6385" s="118" t="s">
        <v>1447</v>
      </c>
      <c r="C6385" s="119">
        <v>6982</v>
      </c>
    </row>
    <row r="6386" spans="2:3">
      <c r="B6386" s="118" t="s">
        <v>4170</v>
      </c>
      <c r="C6386" s="119">
        <v>6990</v>
      </c>
    </row>
    <row r="6387" spans="2:3">
      <c r="B6387" s="118" t="s">
        <v>4171</v>
      </c>
      <c r="C6387" s="119">
        <v>6992</v>
      </c>
    </row>
    <row r="6388" spans="2:3">
      <c r="B6388" s="118" t="s">
        <v>1527</v>
      </c>
      <c r="C6388" s="119">
        <v>6994</v>
      </c>
    </row>
    <row r="6389" spans="2:3">
      <c r="B6389" s="118" t="s">
        <v>1500</v>
      </c>
      <c r="C6389" s="119">
        <v>6822</v>
      </c>
    </row>
    <row r="6390" spans="2:3">
      <c r="B6390" s="118" t="s">
        <v>4172</v>
      </c>
      <c r="C6390" s="119">
        <v>6823</v>
      </c>
    </row>
    <row r="6391" spans="2:3">
      <c r="B6391" s="118" t="s">
        <v>1531</v>
      </c>
      <c r="C6391" s="119">
        <v>6999</v>
      </c>
    </row>
    <row r="6392" spans="2:3">
      <c r="B6392" s="118" t="s">
        <v>1482</v>
      </c>
      <c r="C6392" s="119">
        <v>6930</v>
      </c>
    </row>
    <row r="6393" spans="2:3">
      <c r="B6393" s="118" t="s">
        <v>1516</v>
      </c>
      <c r="C6393" s="119">
        <v>6981</v>
      </c>
    </row>
    <row r="6394" spans="2:3">
      <c r="B6394" s="118" t="s">
        <v>1516</v>
      </c>
      <c r="C6394" s="119">
        <v>6981</v>
      </c>
    </row>
    <row r="6395" spans="2:3">
      <c r="B6395" s="118" t="s">
        <v>4173</v>
      </c>
      <c r="C6395" s="119">
        <v>6981</v>
      </c>
    </row>
    <row r="6396" spans="2:3">
      <c r="B6396" s="118" t="s">
        <v>4174</v>
      </c>
      <c r="C6396" s="119">
        <v>6981</v>
      </c>
    </row>
    <row r="6397" spans="2:3">
      <c r="B6397" s="118" t="s">
        <v>1519</v>
      </c>
      <c r="C6397" s="119">
        <v>6986</v>
      </c>
    </row>
    <row r="6398" spans="2:3">
      <c r="B6398" s="118" t="s">
        <v>1460</v>
      </c>
      <c r="C6398" s="119">
        <v>6934</v>
      </c>
    </row>
    <row r="6399" spans="2:3">
      <c r="B6399" s="118" t="s">
        <v>4175</v>
      </c>
      <c r="C6399" s="119">
        <v>6935</v>
      </c>
    </row>
    <row r="6400" spans="2:3">
      <c r="B6400" s="118" t="s">
        <v>1447</v>
      </c>
      <c r="C6400" s="119">
        <v>6982</v>
      </c>
    </row>
    <row r="6401" spans="2:3">
      <c r="B6401" s="118" t="s">
        <v>4171</v>
      </c>
      <c r="C6401" s="119">
        <v>6992</v>
      </c>
    </row>
    <row r="6402" spans="2:3">
      <c r="B6402" s="118" t="s">
        <v>4176</v>
      </c>
      <c r="C6402" s="119">
        <v>6993</v>
      </c>
    </row>
    <row r="6403" spans="2:3">
      <c r="B6403" s="118" t="s">
        <v>1501</v>
      </c>
      <c r="C6403" s="119">
        <v>6816</v>
      </c>
    </row>
    <row r="6404" spans="2:3">
      <c r="B6404" s="118" t="s">
        <v>1523</v>
      </c>
      <c r="C6404" s="119">
        <v>6827</v>
      </c>
    </row>
    <row r="6405" spans="2:3">
      <c r="B6405" s="118" t="s">
        <v>4177</v>
      </c>
      <c r="C6405" s="119">
        <v>6867</v>
      </c>
    </row>
    <row r="6406" spans="2:3">
      <c r="B6406" s="118" t="s">
        <v>1460</v>
      </c>
      <c r="C6406" s="119">
        <v>6934</v>
      </c>
    </row>
    <row r="6407" spans="2:3">
      <c r="B6407" s="118" t="s">
        <v>1508</v>
      </c>
      <c r="C6407" s="119">
        <v>6936</v>
      </c>
    </row>
    <row r="6408" spans="2:3">
      <c r="B6408" s="118" t="s">
        <v>4171</v>
      </c>
      <c r="C6408" s="119">
        <v>6992</v>
      </c>
    </row>
    <row r="6409" spans="2:3">
      <c r="B6409" s="118" t="s">
        <v>1477</v>
      </c>
      <c r="C6409" s="119">
        <v>6814</v>
      </c>
    </row>
    <row r="6410" spans="2:3">
      <c r="B6410" s="118" t="s">
        <v>1484</v>
      </c>
      <c r="C6410" s="119">
        <v>6814</v>
      </c>
    </row>
    <row r="6411" spans="2:3">
      <c r="B6411" s="118" t="s">
        <v>1468</v>
      </c>
      <c r="C6411" s="119">
        <v>6952</v>
      </c>
    </row>
    <row r="6412" spans="2:3">
      <c r="B6412" s="118" t="s">
        <v>1448</v>
      </c>
      <c r="C6412" s="119">
        <v>6987</v>
      </c>
    </row>
    <row r="6413" spans="2:3">
      <c r="B6413" s="118" t="s">
        <v>1490</v>
      </c>
      <c r="C6413" s="119">
        <v>6944</v>
      </c>
    </row>
    <row r="6414" spans="2:3">
      <c r="B6414" s="118" t="s">
        <v>1471</v>
      </c>
      <c r="C6414" s="119">
        <v>6949</v>
      </c>
    </row>
    <row r="6415" spans="2:3">
      <c r="B6415" s="118" t="s">
        <v>1490</v>
      </c>
      <c r="C6415" s="119">
        <v>6944</v>
      </c>
    </row>
    <row r="6416" spans="2:3">
      <c r="B6416" s="118" t="s">
        <v>4178</v>
      </c>
      <c r="C6416" s="119">
        <v>6981</v>
      </c>
    </row>
    <row r="6417" spans="2:3">
      <c r="B6417" s="118" t="s">
        <v>1519</v>
      </c>
      <c r="C6417" s="119">
        <v>6986</v>
      </c>
    </row>
    <row r="6418" spans="2:3">
      <c r="B6418" s="118" t="s">
        <v>1521</v>
      </c>
      <c r="C6418" s="119">
        <v>6916</v>
      </c>
    </row>
    <row r="6419" spans="2:3">
      <c r="B6419" s="118" t="s">
        <v>1495</v>
      </c>
      <c r="C6419" s="119">
        <v>6929</v>
      </c>
    </row>
    <row r="6420" spans="2:3">
      <c r="B6420" s="118" t="s">
        <v>4179</v>
      </c>
      <c r="C6420" s="119">
        <v>6807</v>
      </c>
    </row>
    <row r="6421" spans="2:3">
      <c r="B6421" s="118" t="s">
        <v>1477</v>
      </c>
      <c r="C6421" s="119">
        <v>6814</v>
      </c>
    </row>
    <row r="6422" spans="2:3">
      <c r="B6422" s="118" t="s">
        <v>1484</v>
      </c>
      <c r="C6422" s="119">
        <v>6814</v>
      </c>
    </row>
    <row r="6423" spans="2:3">
      <c r="B6423" s="118" t="s">
        <v>1482</v>
      </c>
      <c r="C6423" s="119">
        <v>6930</v>
      </c>
    </row>
    <row r="6424" spans="2:3">
      <c r="B6424" s="118" t="s">
        <v>1490</v>
      </c>
      <c r="C6424" s="119">
        <v>6944</v>
      </c>
    </row>
    <row r="6425" spans="2:3">
      <c r="B6425" s="118" t="s">
        <v>1486</v>
      </c>
      <c r="C6425" s="119">
        <v>6945</v>
      </c>
    </row>
    <row r="6426" spans="2:3">
      <c r="B6426" s="118" t="s">
        <v>4172</v>
      </c>
      <c r="C6426" s="119">
        <v>6823</v>
      </c>
    </row>
    <row r="6427" spans="2:3">
      <c r="B6427" s="118" t="s">
        <v>1429</v>
      </c>
      <c r="C6427" s="119">
        <v>6900</v>
      </c>
    </row>
    <row r="6428" spans="2:3">
      <c r="B6428" s="118" t="s">
        <v>1450</v>
      </c>
      <c r="C6428" s="119">
        <v>6900</v>
      </c>
    </row>
    <row r="6429" spans="2:3">
      <c r="B6429" s="118" t="s">
        <v>1637</v>
      </c>
      <c r="C6429" s="119">
        <v>6912</v>
      </c>
    </row>
    <row r="6430" spans="2:3">
      <c r="B6430" s="118" t="s">
        <v>1644</v>
      </c>
      <c r="C6430" s="119">
        <v>6913</v>
      </c>
    </row>
    <row r="6431" spans="2:3">
      <c r="B6431" s="118" t="s">
        <v>1661</v>
      </c>
      <c r="C6431" s="119">
        <v>6914</v>
      </c>
    </row>
    <row r="6432" spans="2:3">
      <c r="B6432" s="118" t="s">
        <v>1634</v>
      </c>
      <c r="C6432" s="119">
        <v>6915</v>
      </c>
    </row>
    <row r="6433" spans="2:3">
      <c r="B6433" s="118" t="s">
        <v>1648</v>
      </c>
      <c r="C6433" s="119">
        <v>6917</v>
      </c>
    </row>
    <row r="6434" spans="2:3">
      <c r="B6434" s="118" t="s">
        <v>1646</v>
      </c>
      <c r="C6434" s="119">
        <v>6918</v>
      </c>
    </row>
    <row r="6435" spans="2:3">
      <c r="B6435" s="118" t="s">
        <v>1478</v>
      </c>
      <c r="C6435" s="119">
        <v>6924</v>
      </c>
    </row>
    <row r="6436" spans="2:3">
      <c r="B6436" s="118" t="s">
        <v>1641</v>
      </c>
      <c r="C6436" s="119">
        <v>6932</v>
      </c>
    </row>
    <row r="6437" spans="2:3">
      <c r="B6437" s="118" t="s">
        <v>1472</v>
      </c>
      <c r="C6437" s="119">
        <v>6943</v>
      </c>
    </row>
    <row r="6438" spans="2:3">
      <c r="B6438" s="118" t="s">
        <v>1640</v>
      </c>
      <c r="C6438" s="119">
        <v>6951</v>
      </c>
    </row>
    <row r="6439" spans="2:3">
      <c r="B6439" s="118" t="s">
        <v>1655</v>
      </c>
      <c r="C6439" s="119">
        <v>6951</v>
      </c>
    </row>
    <row r="6440" spans="2:3">
      <c r="B6440" s="118" t="s">
        <v>1653</v>
      </c>
      <c r="C6440" s="119">
        <v>6951</v>
      </c>
    </row>
    <row r="6441" spans="2:3">
      <c r="B6441" s="118" t="s">
        <v>1649</v>
      </c>
      <c r="C6441" s="119">
        <v>6951</v>
      </c>
    </row>
    <row r="6442" spans="2:3">
      <c r="B6442" s="118" t="s">
        <v>1642</v>
      </c>
      <c r="C6442" s="119">
        <v>6951</v>
      </c>
    </row>
    <row r="6443" spans="2:3">
      <c r="B6443" s="118" t="s">
        <v>1657</v>
      </c>
      <c r="C6443" s="119">
        <v>6951</v>
      </c>
    </row>
    <row r="6444" spans="2:3">
      <c r="B6444" s="118" t="s">
        <v>1658</v>
      </c>
      <c r="C6444" s="119">
        <v>6959</v>
      </c>
    </row>
    <row r="6445" spans="2:3">
      <c r="B6445" s="118" t="s">
        <v>1651</v>
      </c>
      <c r="C6445" s="119">
        <v>6959</v>
      </c>
    </row>
    <row r="6446" spans="2:3">
      <c r="B6446" s="118" t="s">
        <v>1647</v>
      </c>
      <c r="C6446" s="119">
        <v>6959</v>
      </c>
    </row>
    <row r="6447" spans="2:3">
      <c r="B6447" s="118" t="s">
        <v>1659</v>
      </c>
      <c r="C6447" s="119">
        <v>6959</v>
      </c>
    </row>
    <row r="6448" spans="2:3">
      <c r="B6448" s="118" t="s">
        <v>1633</v>
      </c>
      <c r="C6448" s="119">
        <v>6959</v>
      </c>
    </row>
    <row r="6449" spans="2:3">
      <c r="B6449" s="118" t="s">
        <v>1633</v>
      </c>
      <c r="C6449" s="119">
        <v>6959</v>
      </c>
    </row>
    <row r="6450" spans="2:3">
      <c r="B6450" s="118" t="s">
        <v>1650</v>
      </c>
      <c r="C6450" s="119">
        <v>6962</v>
      </c>
    </row>
    <row r="6451" spans="2:3">
      <c r="B6451" s="118" t="s">
        <v>1656</v>
      </c>
      <c r="C6451" s="119">
        <v>6963</v>
      </c>
    </row>
    <row r="6452" spans="2:3">
      <c r="B6452" s="118" t="s">
        <v>1636</v>
      </c>
      <c r="C6452" s="119">
        <v>6963</v>
      </c>
    </row>
    <row r="6453" spans="2:3">
      <c r="B6453" s="118" t="s">
        <v>1654</v>
      </c>
      <c r="C6453" s="119">
        <v>6964</v>
      </c>
    </row>
    <row r="6454" spans="2:3">
      <c r="B6454" s="118" t="s">
        <v>1660</v>
      </c>
      <c r="C6454" s="119">
        <v>6965</v>
      </c>
    </row>
    <row r="6455" spans="2:3">
      <c r="B6455" s="118" t="s">
        <v>1645</v>
      </c>
      <c r="C6455" s="119">
        <v>6966</v>
      </c>
    </row>
    <row r="6456" spans="2:3">
      <c r="B6456" s="118" t="s">
        <v>1632</v>
      </c>
      <c r="C6456" s="119">
        <v>6967</v>
      </c>
    </row>
    <row r="6457" spans="2:3">
      <c r="B6457" s="118" t="s">
        <v>1635</v>
      </c>
      <c r="C6457" s="119">
        <v>6968</v>
      </c>
    </row>
    <row r="6458" spans="2:3">
      <c r="B6458" s="118" t="s">
        <v>1639</v>
      </c>
      <c r="C6458" s="119">
        <v>6974</v>
      </c>
    </row>
    <row r="6459" spans="2:3">
      <c r="B6459" s="118" t="s">
        <v>1638</v>
      </c>
      <c r="C6459" s="119">
        <v>6976</v>
      </c>
    </row>
    <row r="6460" spans="2:3">
      <c r="B6460" s="118" t="s">
        <v>1652</v>
      </c>
      <c r="C6460" s="119">
        <v>6977</v>
      </c>
    </row>
    <row r="6461" spans="2:3">
      <c r="B6461" s="118" t="s">
        <v>1630</v>
      </c>
      <c r="C6461" s="119">
        <v>6978</v>
      </c>
    </row>
    <row r="6462" spans="2:3">
      <c r="B6462" s="118" t="s">
        <v>1631</v>
      </c>
      <c r="C6462" s="119">
        <v>6979</v>
      </c>
    </row>
    <row r="6463" spans="2:3">
      <c r="B6463" s="118" t="s">
        <v>1480</v>
      </c>
      <c r="C6463" s="119">
        <v>6983</v>
      </c>
    </row>
    <row r="6464" spans="2:3">
      <c r="B6464" s="118" t="s">
        <v>1493</v>
      </c>
      <c r="C6464" s="119">
        <v>6928</v>
      </c>
    </row>
    <row r="6465" spans="2:3">
      <c r="B6465" s="118" t="s">
        <v>1460</v>
      </c>
      <c r="C6465" s="119">
        <v>6934</v>
      </c>
    </row>
    <row r="6466" spans="2:3">
      <c r="B6466" s="118" t="s">
        <v>1429</v>
      </c>
      <c r="C6466" s="119">
        <v>6900</v>
      </c>
    </row>
    <row r="6467" spans="2:3">
      <c r="B6467" s="118" t="s">
        <v>1437</v>
      </c>
      <c r="C6467" s="119">
        <v>6900</v>
      </c>
    </row>
    <row r="6468" spans="2:3">
      <c r="B6468" s="118" t="s">
        <v>1476</v>
      </c>
      <c r="C6468" s="119">
        <v>6815</v>
      </c>
    </row>
    <row r="6469" spans="2:3">
      <c r="B6469" s="118" t="s">
        <v>4180</v>
      </c>
      <c r="C6469" s="119">
        <v>6805</v>
      </c>
    </row>
    <row r="6470" spans="2:3">
      <c r="B6470" s="118" t="s">
        <v>4180</v>
      </c>
      <c r="C6470" s="119">
        <v>6805</v>
      </c>
    </row>
    <row r="6471" spans="2:3">
      <c r="B6471" s="118" t="s">
        <v>1530</v>
      </c>
      <c r="C6471" s="119">
        <v>6986</v>
      </c>
    </row>
    <row r="6472" spans="2:3">
      <c r="B6472" s="118" t="s">
        <v>1512</v>
      </c>
      <c r="C6472" s="119">
        <v>6922</v>
      </c>
    </row>
    <row r="6473" spans="2:3">
      <c r="B6473" s="118" t="s">
        <v>1507</v>
      </c>
      <c r="C6473" s="119">
        <v>6933</v>
      </c>
    </row>
    <row r="6474" spans="2:3">
      <c r="B6474" s="118" t="s">
        <v>1447</v>
      </c>
      <c r="C6474" s="119">
        <v>6982</v>
      </c>
    </row>
    <row r="6475" spans="2:3">
      <c r="B6475" s="118" t="s">
        <v>1480</v>
      </c>
      <c r="C6475" s="119">
        <v>6983</v>
      </c>
    </row>
    <row r="6476" spans="2:3">
      <c r="B6476" s="118" t="s">
        <v>1529</v>
      </c>
      <c r="C6476" s="119">
        <v>6991</v>
      </c>
    </row>
    <row r="6477" spans="2:3">
      <c r="B6477" s="118" t="s">
        <v>4173</v>
      </c>
      <c r="C6477" s="119">
        <v>6981</v>
      </c>
    </row>
    <row r="6478" spans="2:3">
      <c r="B6478" s="118" t="s">
        <v>1506</v>
      </c>
      <c r="C6478" s="119">
        <v>6986</v>
      </c>
    </row>
    <row r="6479" spans="2:3">
      <c r="B6479" s="118" t="s">
        <v>1486</v>
      </c>
      <c r="C6479" s="119">
        <v>6945</v>
      </c>
    </row>
    <row r="6480" spans="2:3">
      <c r="B6480" s="118" t="s">
        <v>1450</v>
      </c>
      <c r="C6480" s="119">
        <v>6900</v>
      </c>
    </row>
    <row r="6481" spans="2:3">
      <c r="B6481" s="118" t="s">
        <v>1486</v>
      </c>
      <c r="C6481" s="119">
        <v>6945</v>
      </c>
    </row>
    <row r="6482" spans="2:3">
      <c r="B6482" s="118" t="s">
        <v>1473</v>
      </c>
      <c r="C6482" s="119">
        <v>6946</v>
      </c>
    </row>
    <row r="6483" spans="2:3">
      <c r="B6483" s="118" t="s">
        <v>1473</v>
      </c>
      <c r="C6483" s="119">
        <v>6946</v>
      </c>
    </row>
    <row r="6484" spans="2:3">
      <c r="B6484" s="118" t="s">
        <v>1466</v>
      </c>
      <c r="C6484" s="119">
        <v>6942</v>
      </c>
    </row>
    <row r="6485" spans="2:3">
      <c r="B6485" s="118" t="s">
        <v>1481</v>
      </c>
      <c r="C6485" s="119">
        <v>6948</v>
      </c>
    </row>
    <row r="6486" spans="2:3">
      <c r="B6486" s="118" t="s">
        <v>1491</v>
      </c>
      <c r="C6486" s="119">
        <v>6984</v>
      </c>
    </row>
    <row r="6487" spans="2:3">
      <c r="B6487" s="118" t="s">
        <v>1466</v>
      </c>
      <c r="C6487" s="119">
        <v>6942</v>
      </c>
    </row>
    <row r="6488" spans="2:3">
      <c r="B6488" s="118" t="s">
        <v>1481</v>
      </c>
      <c r="C6488" s="119">
        <v>6948</v>
      </c>
    </row>
    <row r="6489" spans="2:3">
      <c r="B6489" s="118" t="s">
        <v>1478</v>
      </c>
      <c r="C6489" s="119">
        <v>6924</v>
      </c>
    </row>
    <row r="6490" spans="2:3">
      <c r="B6490" s="118" t="s">
        <v>4179</v>
      </c>
      <c r="C6490" s="119">
        <v>6807</v>
      </c>
    </row>
    <row r="6491" spans="2:3">
      <c r="B6491" s="118" t="s">
        <v>4181</v>
      </c>
      <c r="C6491" s="119">
        <v>6947</v>
      </c>
    </row>
    <row r="6492" spans="2:3">
      <c r="B6492" s="118" t="s">
        <v>4182</v>
      </c>
      <c r="C6492" s="119">
        <v>6950</v>
      </c>
    </row>
    <row r="6493" spans="2:3">
      <c r="B6493" s="118" t="s">
        <v>4183</v>
      </c>
      <c r="C6493" s="119">
        <v>6953</v>
      </c>
    </row>
    <row r="6494" spans="2:3">
      <c r="B6494" s="118" t="s">
        <v>4184</v>
      </c>
      <c r="C6494" s="119">
        <v>6954</v>
      </c>
    </row>
    <row r="6495" spans="2:3">
      <c r="B6495" s="118" t="s">
        <v>4185</v>
      </c>
      <c r="C6495" s="119">
        <v>6954</v>
      </c>
    </row>
    <row r="6496" spans="2:3">
      <c r="B6496" s="118" t="s">
        <v>4186</v>
      </c>
      <c r="C6496" s="119">
        <v>6955</v>
      </c>
    </row>
    <row r="6497" spans="2:3">
      <c r="B6497" s="118" t="s">
        <v>4187</v>
      </c>
      <c r="C6497" s="119">
        <v>6955</v>
      </c>
    </row>
    <row r="6498" spans="2:3">
      <c r="B6498" s="118" t="s">
        <v>4188</v>
      </c>
      <c r="C6498" s="119">
        <v>6956</v>
      </c>
    </row>
    <row r="6499" spans="2:3">
      <c r="B6499" s="118" t="s">
        <v>4189</v>
      </c>
      <c r="C6499" s="119">
        <v>6957</v>
      </c>
    </row>
    <row r="6500" spans="2:3">
      <c r="B6500" s="118" t="s">
        <v>4190</v>
      </c>
      <c r="C6500" s="119">
        <v>6958</v>
      </c>
    </row>
    <row r="6501" spans="2:3">
      <c r="B6501" s="118" t="s">
        <v>4191</v>
      </c>
      <c r="C6501" s="119">
        <v>6958</v>
      </c>
    </row>
    <row r="6502" spans="2:3">
      <c r="B6502" s="118" t="s">
        <v>4191</v>
      </c>
      <c r="C6502" s="119">
        <v>6958</v>
      </c>
    </row>
    <row r="6503" spans="2:3">
      <c r="B6503" s="118" t="s">
        <v>1647</v>
      </c>
      <c r="C6503" s="119">
        <v>6959</v>
      </c>
    </row>
    <row r="6504" spans="2:3">
      <c r="B6504" s="118" t="s">
        <v>4192</v>
      </c>
      <c r="C6504" s="119">
        <v>6960</v>
      </c>
    </row>
    <row r="6505" spans="2:3">
      <c r="B6505" s="118" t="s">
        <v>4179</v>
      </c>
      <c r="C6505" s="119">
        <v>6807</v>
      </c>
    </row>
    <row r="6506" spans="2:3">
      <c r="B6506" s="118" t="s">
        <v>4193</v>
      </c>
      <c r="C6506" s="119">
        <v>6808</v>
      </c>
    </row>
    <row r="6507" spans="2:3">
      <c r="B6507" s="118" t="s">
        <v>1518</v>
      </c>
      <c r="C6507" s="119">
        <v>6992</v>
      </c>
    </row>
    <row r="6508" spans="2:3">
      <c r="B6508" s="118" t="s">
        <v>1472</v>
      </c>
      <c r="C6508" s="119">
        <v>6943</v>
      </c>
    </row>
    <row r="6509" spans="2:3">
      <c r="B6509" s="118" t="s">
        <v>1525</v>
      </c>
      <c r="C6509" s="119">
        <v>6921</v>
      </c>
    </row>
    <row r="6510" spans="2:3">
      <c r="B6510" s="118" t="s">
        <v>1521</v>
      </c>
      <c r="C6510" s="119">
        <v>6916</v>
      </c>
    </row>
    <row r="6511" spans="2:3">
      <c r="B6511" s="118" t="s">
        <v>4194</v>
      </c>
      <c r="C6511" s="119">
        <v>6919</v>
      </c>
    </row>
    <row r="6512" spans="2:3">
      <c r="B6512" s="118" t="s">
        <v>4195</v>
      </c>
      <c r="C6512" s="119">
        <v>6925</v>
      </c>
    </row>
    <row r="6513" spans="2:3">
      <c r="B6513" s="118" t="s">
        <v>4196</v>
      </c>
      <c r="C6513" s="119">
        <v>6926</v>
      </c>
    </row>
    <row r="6514" spans="2:3">
      <c r="B6514" s="118" t="s">
        <v>4197</v>
      </c>
      <c r="C6514" s="119">
        <v>6927</v>
      </c>
    </row>
    <row r="6515" spans="2:3">
      <c r="B6515" s="118" t="s">
        <v>4198</v>
      </c>
      <c r="C6515" s="119">
        <v>6937</v>
      </c>
    </row>
    <row r="6516" spans="2:3">
      <c r="B6516" s="118" t="s">
        <v>4199</v>
      </c>
      <c r="C6516" s="119">
        <v>6938</v>
      </c>
    </row>
    <row r="6517" spans="2:3">
      <c r="B6517" s="118" t="s">
        <v>4200</v>
      </c>
      <c r="C6517" s="119">
        <v>6938</v>
      </c>
    </row>
    <row r="6518" spans="2:3">
      <c r="B6518" s="118" t="s">
        <v>4201</v>
      </c>
      <c r="C6518" s="119">
        <v>6939</v>
      </c>
    </row>
    <row r="6519" spans="2:3">
      <c r="B6519" s="118" t="s">
        <v>4202</v>
      </c>
      <c r="C6519" s="119">
        <v>6939</v>
      </c>
    </row>
    <row r="6520" spans="2:3">
      <c r="B6520" s="118" t="s">
        <v>4203</v>
      </c>
      <c r="C6520" s="119">
        <v>6802</v>
      </c>
    </row>
    <row r="6521" spans="2:3">
      <c r="B6521" s="118" t="s">
        <v>4204</v>
      </c>
      <c r="C6521" s="119">
        <v>6803</v>
      </c>
    </row>
    <row r="6522" spans="2:3">
      <c r="B6522" s="118" t="s">
        <v>4205</v>
      </c>
      <c r="C6522" s="119">
        <v>6804</v>
      </c>
    </row>
    <row r="6523" spans="2:3">
      <c r="B6523" s="118" t="s">
        <v>4206</v>
      </c>
      <c r="C6523" s="119">
        <v>6806</v>
      </c>
    </row>
    <row r="6524" spans="2:3">
      <c r="B6524" s="118" t="s">
        <v>4207</v>
      </c>
      <c r="C6524" s="119">
        <v>6809</v>
      </c>
    </row>
    <row r="6525" spans="2:3">
      <c r="B6525" s="118" t="s">
        <v>4208</v>
      </c>
      <c r="C6525" s="119">
        <v>6980</v>
      </c>
    </row>
    <row r="6526" spans="2:3">
      <c r="B6526" s="118" t="s">
        <v>1509</v>
      </c>
      <c r="C6526" s="119">
        <v>6988</v>
      </c>
    </row>
    <row r="6527" spans="2:3">
      <c r="B6527" s="118" t="s">
        <v>4209</v>
      </c>
      <c r="C6527" s="119">
        <v>6989</v>
      </c>
    </row>
    <row r="6528" spans="2:3">
      <c r="B6528" s="118" t="s">
        <v>4210</v>
      </c>
      <c r="C6528" s="119">
        <v>6995</v>
      </c>
    </row>
    <row r="6529" spans="2:3">
      <c r="B6529" s="118" t="s">
        <v>1515</v>
      </c>
      <c r="C6529" s="119">
        <v>6997</v>
      </c>
    </row>
    <row r="6530" spans="2:3">
      <c r="B6530" s="118" t="s">
        <v>1502</v>
      </c>
      <c r="C6530" s="119">
        <v>6998</v>
      </c>
    </row>
    <row r="6531" spans="2:3">
      <c r="B6531" s="118" t="s">
        <v>1514</v>
      </c>
      <c r="C6531" s="119">
        <v>6817</v>
      </c>
    </row>
    <row r="6532" spans="2:3">
      <c r="B6532" s="118" t="s">
        <v>1488</v>
      </c>
      <c r="C6532" s="119">
        <v>6818</v>
      </c>
    </row>
    <row r="6533" spans="2:3">
      <c r="B6533" s="118" t="s">
        <v>1505</v>
      </c>
      <c r="C6533" s="119">
        <v>6821</v>
      </c>
    </row>
    <row r="6534" spans="2:3">
      <c r="B6534" s="118" t="s">
        <v>4211</v>
      </c>
      <c r="C6534" s="119">
        <v>6825</v>
      </c>
    </row>
    <row r="6535" spans="2:3">
      <c r="B6535" s="118" t="s">
        <v>1452</v>
      </c>
      <c r="C6535" s="119">
        <v>6828</v>
      </c>
    </row>
    <row r="6536" spans="2:3">
      <c r="B6536" s="118" t="s">
        <v>1433</v>
      </c>
      <c r="C6536" s="119">
        <v>6830</v>
      </c>
    </row>
    <row r="6537" spans="2:3">
      <c r="B6537" s="118" t="s">
        <v>4211</v>
      </c>
      <c r="C6537" s="119">
        <v>6825</v>
      </c>
    </row>
    <row r="6538" spans="2:3">
      <c r="B6538" s="118" t="s">
        <v>1432</v>
      </c>
      <c r="C6538" s="119">
        <v>6850</v>
      </c>
    </row>
    <row r="6539" spans="2:3">
      <c r="B6539" s="118" t="s">
        <v>4212</v>
      </c>
      <c r="C6539" s="119">
        <v>6872</v>
      </c>
    </row>
    <row r="6540" spans="2:3">
      <c r="B6540" s="118" t="s">
        <v>4213</v>
      </c>
      <c r="C6540" s="119">
        <v>6873</v>
      </c>
    </row>
    <row r="6541" spans="2:3">
      <c r="B6541" s="118" t="s">
        <v>1467</v>
      </c>
      <c r="C6541" s="119">
        <v>6874</v>
      </c>
    </row>
    <row r="6542" spans="2:3">
      <c r="B6542" s="118" t="s">
        <v>4214</v>
      </c>
      <c r="C6542" s="119">
        <v>6875</v>
      </c>
    </row>
    <row r="6543" spans="2:3">
      <c r="B6543" s="118" t="s">
        <v>4215</v>
      </c>
      <c r="C6543" s="119">
        <v>6875</v>
      </c>
    </row>
    <row r="6544" spans="2:3">
      <c r="B6544" s="118" t="s">
        <v>4216</v>
      </c>
      <c r="C6544" s="119">
        <v>6875</v>
      </c>
    </row>
    <row r="6545" spans="2:3">
      <c r="B6545" s="118" t="s">
        <v>1457</v>
      </c>
      <c r="C6545" s="119">
        <v>6877</v>
      </c>
    </row>
    <row r="6546" spans="2:3">
      <c r="B6546" s="118" t="s">
        <v>1433</v>
      </c>
      <c r="C6546" s="119">
        <v>6830</v>
      </c>
    </row>
    <row r="6547" spans="2:3">
      <c r="B6547" s="118" t="s">
        <v>4217</v>
      </c>
      <c r="C6547" s="119">
        <v>6832</v>
      </c>
    </row>
    <row r="6548" spans="2:3">
      <c r="B6548" s="118" t="s">
        <v>4218</v>
      </c>
      <c r="C6548" s="119">
        <v>6832</v>
      </c>
    </row>
    <row r="6549" spans="2:3">
      <c r="B6549" s="118" t="s">
        <v>1457</v>
      </c>
      <c r="C6549" s="119">
        <v>6877</v>
      </c>
    </row>
    <row r="6550" spans="2:3">
      <c r="B6550" s="118" t="s">
        <v>4211</v>
      </c>
      <c r="C6550" s="119">
        <v>6825</v>
      </c>
    </row>
    <row r="6551" spans="2:3">
      <c r="B6551" s="118" t="s">
        <v>1432</v>
      </c>
      <c r="C6551" s="119">
        <v>6850</v>
      </c>
    </row>
    <row r="6552" spans="2:3">
      <c r="B6552" s="118" t="s">
        <v>4219</v>
      </c>
      <c r="C6552" s="119">
        <v>6852</v>
      </c>
    </row>
    <row r="6553" spans="2:3">
      <c r="B6553" s="118" t="s">
        <v>4220</v>
      </c>
      <c r="C6553" s="119">
        <v>6853</v>
      </c>
    </row>
    <row r="6554" spans="2:3">
      <c r="B6554" s="118" t="s">
        <v>1444</v>
      </c>
      <c r="C6554" s="119">
        <v>6855</v>
      </c>
    </row>
    <row r="6555" spans="2:3">
      <c r="B6555" s="118" t="s">
        <v>4221</v>
      </c>
      <c r="C6555" s="119">
        <v>6862</v>
      </c>
    </row>
    <row r="6556" spans="2:3">
      <c r="B6556" s="118" t="s">
        <v>4222</v>
      </c>
      <c r="C6556" s="119">
        <v>6863</v>
      </c>
    </row>
    <row r="6557" spans="2:3">
      <c r="B6557" s="118" t="s">
        <v>4223</v>
      </c>
      <c r="C6557" s="119">
        <v>6864</v>
      </c>
    </row>
    <row r="6558" spans="2:3">
      <c r="B6558" s="118" t="s">
        <v>4224</v>
      </c>
      <c r="C6558" s="119">
        <v>6865</v>
      </c>
    </row>
    <row r="6559" spans="2:3">
      <c r="B6559" s="118" t="s">
        <v>4225</v>
      </c>
      <c r="C6559" s="119">
        <v>6866</v>
      </c>
    </row>
    <row r="6560" spans="2:3">
      <c r="B6560" s="118" t="s">
        <v>4226</v>
      </c>
      <c r="C6560" s="119">
        <v>6872</v>
      </c>
    </row>
    <row r="6561" spans="2:3">
      <c r="B6561" s="118" t="s">
        <v>4212</v>
      </c>
      <c r="C6561" s="119">
        <v>6872</v>
      </c>
    </row>
    <row r="6562" spans="2:3">
      <c r="B6562" s="118" t="s">
        <v>1467</v>
      </c>
      <c r="C6562" s="119">
        <v>6874</v>
      </c>
    </row>
    <row r="6563" spans="2:3">
      <c r="B6563" s="118" t="s">
        <v>1445</v>
      </c>
      <c r="C6563" s="119">
        <v>6834</v>
      </c>
    </row>
    <row r="6564" spans="2:3">
      <c r="B6564" s="118" t="s">
        <v>1452</v>
      </c>
      <c r="C6564" s="119">
        <v>6828</v>
      </c>
    </row>
    <row r="6565" spans="2:3">
      <c r="B6565" s="118" t="s">
        <v>1465</v>
      </c>
      <c r="C6565" s="119">
        <v>6883</v>
      </c>
    </row>
    <row r="6566" spans="2:3">
      <c r="B6566" s="118" t="s">
        <v>1461</v>
      </c>
      <c r="C6566" s="119">
        <v>6826</v>
      </c>
    </row>
    <row r="6567" spans="2:3">
      <c r="B6567" s="118" t="s">
        <v>4220</v>
      </c>
      <c r="C6567" s="119">
        <v>6853</v>
      </c>
    </row>
    <row r="6568" spans="2:3">
      <c r="B6568" s="118" t="s">
        <v>4227</v>
      </c>
      <c r="C6568" s="119">
        <v>6854</v>
      </c>
    </row>
    <row r="6569" spans="2:3">
      <c r="B6569" s="118" t="s">
        <v>1444</v>
      </c>
      <c r="C6569" s="119">
        <v>6855</v>
      </c>
    </row>
    <row r="6570" spans="2:3">
      <c r="B6570" s="118" t="s">
        <v>1451</v>
      </c>
      <c r="C6570" s="119">
        <v>6833</v>
      </c>
    </row>
    <row r="6571" spans="2:3">
      <c r="B6571" s="118" t="s">
        <v>4228</v>
      </c>
      <c r="C6571" s="119">
        <v>6835</v>
      </c>
    </row>
    <row r="6572" spans="2:3">
      <c r="B6572" s="118" t="s">
        <v>4229</v>
      </c>
      <c r="C6572" s="119">
        <v>6837</v>
      </c>
    </row>
    <row r="6573" spans="2:3">
      <c r="B6573" s="118" t="s">
        <v>4230</v>
      </c>
      <c r="C6573" s="119">
        <v>6837</v>
      </c>
    </row>
    <row r="6574" spans="2:3">
      <c r="B6574" s="118" t="s">
        <v>4231</v>
      </c>
      <c r="C6574" s="119">
        <v>6838</v>
      </c>
    </row>
    <row r="6575" spans="2:3">
      <c r="B6575" s="118" t="s">
        <v>4232</v>
      </c>
      <c r="C6575" s="119">
        <v>6838</v>
      </c>
    </row>
    <row r="6576" spans="2:3">
      <c r="B6576" s="118" t="s">
        <v>4233</v>
      </c>
      <c r="C6576" s="119">
        <v>6839</v>
      </c>
    </row>
    <row r="6577" spans="2:3">
      <c r="B6577" s="118" t="s">
        <v>1438</v>
      </c>
      <c r="C6577" s="119">
        <v>6710</v>
      </c>
    </row>
    <row r="6578" spans="2:3">
      <c r="B6578" s="118" t="s">
        <v>1510</v>
      </c>
      <c r="C6578" s="119">
        <v>6742</v>
      </c>
    </row>
    <row r="6579" spans="2:3">
      <c r="B6579" s="118" t="s">
        <v>4234</v>
      </c>
      <c r="C6579" s="119">
        <v>6526</v>
      </c>
    </row>
    <row r="6580" spans="2:3">
      <c r="B6580" s="118" t="s">
        <v>4235</v>
      </c>
      <c r="C6580" s="119">
        <v>6527</v>
      </c>
    </row>
    <row r="6581" spans="2:3">
      <c r="B6581" s="118" t="s">
        <v>4236</v>
      </c>
      <c r="C6581" s="119">
        <v>6703</v>
      </c>
    </row>
    <row r="6582" spans="2:3">
      <c r="B6582" s="118" t="s">
        <v>4237</v>
      </c>
      <c r="C6582" s="119">
        <v>6705</v>
      </c>
    </row>
    <row r="6583" spans="2:3">
      <c r="B6583" s="118" t="s">
        <v>4238</v>
      </c>
      <c r="C6583" s="119">
        <v>6707</v>
      </c>
    </row>
    <row r="6584" spans="2:3">
      <c r="B6584" s="118" t="s">
        <v>2680</v>
      </c>
      <c r="C6584" s="119">
        <v>6685</v>
      </c>
    </row>
    <row r="6585" spans="2:3">
      <c r="B6585" s="118" t="s">
        <v>4239</v>
      </c>
      <c r="C6585" s="119">
        <v>6683</v>
      </c>
    </row>
    <row r="6586" spans="2:3">
      <c r="B6586" s="118" t="s">
        <v>1539</v>
      </c>
      <c r="C6586" s="119">
        <v>6684</v>
      </c>
    </row>
    <row r="6587" spans="2:3">
      <c r="B6587" s="118" t="s">
        <v>4240</v>
      </c>
      <c r="C6587" s="119">
        <v>6684</v>
      </c>
    </row>
    <row r="6588" spans="2:3">
      <c r="B6588" s="118" t="s">
        <v>1543</v>
      </c>
      <c r="C6588" s="119">
        <v>6682</v>
      </c>
    </row>
    <row r="6589" spans="2:3">
      <c r="B6589" s="118" t="s">
        <v>1542</v>
      </c>
      <c r="C6589" s="119">
        <v>6683</v>
      </c>
    </row>
    <row r="6590" spans="2:3">
      <c r="B6590" s="118" t="s">
        <v>1496</v>
      </c>
      <c r="C6590" s="119">
        <v>6675</v>
      </c>
    </row>
    <row r="6591" spans="2:3">
      <c r="B6591" s="118" t="s">
        <v>4241</v>
      </c>
      <c r="C6591" s="119">
        <v>6676</v>
      </c>
    </row>
    <row r="6592" spans="2:3">
      <c r="B6592" s="118" t="s">
        <v>4242</v>
      </c>
      <c r="C6592" s="119">
        <v>6690</v>
      </c>
    </row>
    <row r="6593" spans="2:3">
      <c r="B6593" s="118" t="s">
        <v>4243</v>
      </c>
      <c r="C6593" s="119">
        <v>6690</v>
      </c>
    </row>
    <row r="6594" spans="2:3">
      <c r="B6594" s="118" t="s">
        <v>1543</v>
      </c>
      <c r="C6594" s="119">
        <v>6682</v>
      </c>
    </row>
    <row r="6595" spans="2:3">
      <c r="B6595" s="118" t="s">
        <v>4244</v>
      </c>
      <c r="C6595" s="119">
        <v>6670</v>
      </c>
    </row>
    <row r="6596" spans="2:3">
      <c r="B6596" s="118" t="s">
        <v>1463</v>
      </c>
      <c r="C6596" s="119">
        <v>6673</v>
      </c>
    </row>
    <row r="6597" spans="2:3">
      <c r="B6597" s="118" t="s">
        <v>4245</v>
      </c>
      <c r="C6597" s="119">
        <v>6674</v>
      </c>
    </row>
    <row r="6598" spans="2:3">
      <c r="B6598" s="118" t="s">
        <v>4246</v>
      </c>
      <c r="C6598" s="119">
        <v>6674</v>
      </c>
    </row>
    <row r="6599" spans="2:3">
      <c r="B6599" s="118" t="s">
        <v>4247</v>
      </c>
      <c r="C6599" s="119">
        <v>6677</v>
      </c>
    </row>
    <row r="6600" spans="2:3">
      <c r="B6600" s="118" t="s">
        <v>4248</v>
      </c>
      <c r="C6600" s="119">
        <v>6677</v>
      </c>
    </row>
    <row r="6601" spans="2:3">
      <c r="B6601" s="118" t="s">
        <v>4249</v>
      </c>
      <c r="C6601" s="119">
        <v>6678</v>
      </c>
    </row>
    <row r="6602" spans="2:3">
      <c r="B6602" s="118" t="s">
        <v>4250</v>
      </c>
      <c r="C6602" s="119">
        <v>6678</v>
      </c>
    </row>
    <row r="6603" spans="2:3">
      <c r="B6603" s="118" t="s">
        <v>4251</v>
      </c>
      <c r="C6603" s="119">
        <v>6678</v>
      </c>
    </row>
    <row r="6604" spans="2:3">
      <c r="B6604" s="118" t="s">
        <v>4252</v>
      </c>
      <c r="C6604" s="119">
        <v>6692</v>
      </c>
    </row>
    <row r="6605" spans="2:3">
      <c r="B6605" s="118" t="s">
        <v>4253</v>
      </c>
      <c r="C6605" s="119">
        <v>6692</v>
      </c>
    </row>
    <row r="6606" spans="2:3">
      <c r="B6606" s="118" t="s">
        <v>4254</v>
      </c>
      <c r="C6606" s="119">
        <v>6693</v>
      </c>
    </row>
    <row r="6607" spans="2:3">
      <c r="B6607" s="118" t="s">
        <v>4255</v>
      </c>
      <c r="C6607" s="119">
        <v>6694</v>
      </c>
    </row>
    <row r="6608" spans="2:3">
      <c r="B6608" s="118" t="s">
        <v>4256</v>
      </c>
      <c r="C6608" s="119">
        <v>6695</v>
      </c>
    </row>
    <row r="6609" spans="2:3">
      <c r="B6609" s="118" t="s">
        <v>4257</v>
      </c>
      <c r="C6609" s="119">
        <v>6695</v>
      </c>
    </row>
    <row r="6610" spans="2:3">
      <c r="B6610" s="118" t="s">
        <v>4258</v>
      </c>
      <c r="C6610" s="119">
        <v>6696</v>
      </c>
    </row>
    <row r="6611" spans="2:3">
      <c r="B6611" s="118" t="s">
        <v>4244</v>
      </c>
      <c r="C6611" s="119">
        <v>6670</v>
      </c>
    </row>
    <row r="6612" spans="2:3">
      <c r="B6612" s="118" t="s">
        <v>4259</v>
      </c>
      <c r="C6612" s="119">
        <v>6672</v>
      </c>
    </row>
    <row r="6613" spans="2:3">
      <c r="B6613" s="118" t="s">
        <v>4207</v>
      </c>
      <c r="C6613" s="119">
        <v>6809</v>
      </c>
    </row>
    <row r="6614" spans="2:3">
      <c r="B6614" s="118" t="s">
        <v>4155</v>
      </c>
      <c r="C6614" s="119">
        <v>6652</v>
      </c>
    </row>
    <row r="6615" spans="2:3">
      <c r="B6615" s="118" t="s">
        <v>4260</v>
      </c>
      <c r="C6615" s="119">
        <v>6653</v>
      </c>
    </row>
    <row r="6616" spans="2:3">
      <c r="B6616" s="118" t="s">
        <v>4261</v>
      </c>
      <c r="C6616" s="119">
        <v>6654</v>
      </c>
    </row>
    <row r="6617" spans="2:3">
      <c r="B6617" s="118" t="s">
        <v>4161</v>
      </c>
      <c r="C6617" s="119">
        <v>6655</v>
      </c>
    </row>
    <row r="6618" spans="2:3">
      <c r="B6618" s="118" t="s">
        <v>4262</v>
      </c>
      <c r="C6618" s="119">
        <v>6655</v>
      </c>
    </row>
    <row r="6619" spans="2:3">
      <c r="B6619" s="118" t="s">
        <v>4263</v>
      </c>
      <c r="C6619" s="119">
        <v>6655</v>
      </c>
    </row>
    <row r="6620" spans="2:3">
      <c r="B6620" s="118" t="s">
        <v>4264</v>
      </c>
      <c r="C6620" s="119">
        <v>6656</v>
      </c>
    </row>
    <row r="6621" spans="2:3">
      <c r="B6621" s="118" t="s">
        <v>4265</v>
      </c>
      <c r="C6621" s="119">
        <v>6657</v>
      </c>
    </row>
    <row r="6622" spans="2:3">
      <c r="B6622" s="118" t="s">
        <v>4266</v>
      </c>
      <c r="C6622" s="119">
        <v>6658</v>
      </c>
    </row>
    <row r="6623" spans="2:3">
      <c r="B6623" s="118" t="s">
        <v>4267</v>
      </c>
      <c r="C6623" s="119">
        <v>6659</v>
      </c>
    </row>
    <row r="6624" spans="2:3">
      <c r="B6624" s="118" t="s">
        <v>4268</v>
      </c>
      <c r="C6624" s="119">
        <v>6659</v>
      </c>
    </row>
    <row r="6625" spans="2:3">
      <c r="B6625" s="118" t="s">
        <v>4269</v>
      </c>
      <c r="C6625" s="119">
        <v>6571</v>
      </c>
    </row>
    <row r="6626" spans="2:3">
      <c r="B6626" s="118" t="s">
        <v>4152</v>
      </c>
      <c r="C6626" s="119">
        <v>6572</v>
      </c>
    </row>
    <row r="6627" spans="2:3">
      <c r="B6627" s="118" t="s">
        <v>4270</v>
      </c>
      <c r="C6627" s="119">
        <v>6573</v>
      </c>
    </row>
    <row r="6628" spans="2:3">
      <c r="B6628" s="118" t="s">
        <v>4271</v>
      </c>
      <c r="C6628" s="119">
        <v>6574</v>
      </c>
    </row>
    <row r="6629" spans="2:3">
      <c r="B6629" s="118" t="s">
        <v>4272</v>
      </c>
      <c r="C6629" s="119">
        <v>6575</v>
      </c>
    </row>
    <row r="6630" spans="2:3">
      <c r="B6630" s="118" t="s">
        <v>4273</v>
      </c>
      <c r="C6630" s="119">
        <v>6575</v>
      </c>
    </row>
    <row r="6631" spans="2:3">
      <c r="B6631" s="118" t="s">
        <v>4274</v>
      </c>
      <c r="C6631" s="119">
        <v>6576</v>
      </c>
    </row>
    <row r="6632" spans="2:3">
      <c r="B6632" s="118" t="s">
        <v>4275</v>
      </c>
      <c r="C6632" s="119">
        <v>6577</v>
      </c>
    </row>
    <row r="6633" spans="2:3">
      <c r="B6633" s="118" t="s">
        <v>4276</v>
      </c>
      <c r="C6633" s="119">
        <v>6578</v>
      </c>
    </row>
    <row r="6634" spans="2:3">
      <c r="B6634" s="118" t="s">
        <v>4277</v>
      </c>
      <c r="C6634" s="119">
        <v>6579</v>
      </c>
    </row>
    <row r="6635" spans="2:3">
      <c r="B6635" s="118" t="s">
        <v>1456</v>
      </c>
      <c r="C6635" s="119">
        <v>6593</v>
      </c>
    </row>
    <row r="6636" spans="2:3">
      <c r="B6636" s="118" t="s">
        <v>4153</v>
      </c>
      <c r="C6636" s="119">
        <v>6594</v>
      </c>
    </row>
    <row r="6637" spans="2:3">
      <c r="B6637" s="118" t="s">
        <v>1544</v>
      </c>
      <c r="C6637" s="119">
        <v>6631</v>
      </c>
    </row>
    <row r="6638" spans="2:3">
      <c r="B6638" s="118" t="s">
        <v>1532</v>
      </c>
      <c r="C6638" s="119">
        <v>6632</v>
      </c>
    </row>
    <row r="6639" spans="2:3">
      <c r="B6639" s="118" t="s">
        <v>1494</v>
      </c>
      <c r="C6639" s="119">
        <v>6633</v>
      </c>
    </row>
    <row r="6640" spans="2:3">
      <c r="B6640" s="118" t="s">
        <v>1534</v>
      </c>
      <c r="C6640" s="119">
        <v>6634</v>
      </c>
    </row>
    <row r="6641" spans="2:3">
      <c r="B6641" s="118" t="s">
        <v>4278</v>
      </c>
      <c r="C6641" s="119">
        <v>6635</v>
      </c>
    </row>
    <row r="6642" spans="2:3">
      <c r="B6642" s="118" t="s">
        <v>1537</v>
      </c>
      <c r="C6642" s="119">
        <v>6636</v>
      </c>
    </row>
    <row r="6643" spans="2:3">
      <c r="B6643" s="118" t="s">
        <v>1538</v>
      </c>
      <c r="C6643" s="119">
        <v>6637</v>
      </c>
    </row>
    <row r="6644" spans="2:3">
      <c r="B6644" s="118" t="s">
        <v>197</v>
      </c>
      <c r="C6644" s="119">
        <v>1860</v>
      </c>
    </row>
    <row r="6645" spans="2:3">
      <c r="B6645" s="118" t="s">
        <v>4279</v>
      </c>
      <c r="C6645" s="119">
        <v>1863</v>
      </c>
    </row>
    <row r="6646" spans="2:3">
      <c r="B6646" s="118" t="s">
        <v>204</v>
      </c>
      <c r="C6646" s="119">
        <v>1880</v>
      </c>
    </row>
    <row r="6647" spans="2:3">
      <c r="B6647" s="118" t="s">
        <v>4280</v>
      </c>
      <c r="C6647" s="119">
        <v>1880</v>
      </c>
    </row>
    <row r="6648" spans="2:3">
      <c r="B6648" s="118" t="s">
        <v>4281</v>
      </c>
      <c r="C6648" s="119">
        <v>1880</v>
      </c>
    </row>
    <row r="6649" spans="2:3">
      <c r="B6649" s="118" t="s">
        <v>4282</v>
      </c>
      <c r="C6649" s="119">
        <v>1880</v>
      </c>
    </row>
    <row r="6650" spans="2:3">
      <c r="B6650" s="118" t="s">
        <v>4283</v>
      </c>
      <c r="C6650" s="119">
        <v>1880</v>
      </c>
    </row>
    <row r="6651" spans="2:3">
      <c r="B6651" s="118" t="s">
        <v>286</v>
      </c>
      <c r="C6651" s="119">
        <v>1882</v>
      </c>
    </row>
    <row r="6652" spans="2:3">
      <c r="B6652" s="118" t="s">
        <v>416</v>
      </c>
      <c r="C6652" s="119">
        <v>1846</v>
      </c>
    </row>
    <row r="6653" spans="2:3">
      <c r="B6653" s="118" t="s">
        <v>405</v>
      </c>
      <c r="C6653" s="119">
        <v>1856</v>
      </c>
    </row>
    <row r="6654" spans="2:3">
      <c r="B6654" s="118" t="s">
        <v>4280</v>
      </c>
      <c r="C6654" s="119">
        <v>1880</v>
      </c>
    </row>
    <row r="6655" spans="2:3">
      <c r="B6655" s="118" t="s">
        <v>4283</v>
      </c>
      <c r="C6655" s="119">
        <v>1880</v>
      </c>
    </row>
    <row r="6656" spans="2:3">
      <c r="B6656" s="118" t="s">
        <v>286</v>
      </c>
      <c r="C6656" s="119">
        <v>1882</v>
      </c>
    </row>
    <row r="6657" spans="2:3">
      <c r="B6657" s="118" t="s">
        <v>4284</v>
      </c>
      <c r="C6657" s="119">
        <v>1892</v>
      </c>
    </row>
    <row r="6658" spans="2:3">
      <c r="B6658" s="118" t="s">
        <v>4285</v>
      </c>
      <c r="C6658" s="119">
        <v>1892</v>
      </c>
    </row>
    <row r="6659" spans="2:3">
      <c r="B6659" s="118" t="s">
        <v>4286</v>
      </c>
      <c r="C6659" s="119">
        <v>1892</v>
      </c>
    </row>
    <row r="6660" spans="2:3">
      <c r="B6660" s="118" t="s">
        <v>226</v>
      </c>
      <c r="C6660" s="119">
        <v>1854</v>
      </c>
    </row>
    <row r="6661" spans="2:3">
      <c r="B6661" s="118" t="s">
        <v>310</v>
      </c>
      <c r="C6661" s="119">
        <v>1845</v>
      </c>
    </row>
    <row r="6662" spans="2:3">
      <c r="B6662" s="118" t="s">
        <v>197</v>
      </c>
      <c r="C6662" s="119">
        <v>1860</v>
      </c>
    </row>
    <row r="6663" spans="2:3">
      <c r="B6663" s="118" t="s">
        <v>4287</v>
      </c>
      <c r="C6663" s="119">
        <v>1866</v>
      </c>
    </row>
    <row r="6664" spans="2:3">
      <c r="B6664" s="118" t="s">
        <v>4288</v>
      </c>
      <c r="C6664" s="119">
        <v>1867</v>
      </c>
    </row>
    <row r="6665" spans="2:3">
      <c r="B6665" s="118" t="s">
        <v>4289</v>
      </c>
      <c r="C6665" s="119">
        <v>1867</v>
      </c>
    </row>
    <row r="6666" spans="2:3">
      <c r="B6666" s="118" t="s">
        <v>4290</v>
      </c>
      <c r="C6666" s="119">
        <v>1867</v>
      </c>
    </row>
    <row r="6667" spans="2:3">
      <c r="B6667" s="118" t="s">
        <v>4291</v>
      </c>
      <c r="C6667" s="119">
        <v>1884</v>
      </c>
    </row>
    <row r="6668" spans="2:3">
      <c r="B6668" s="118" t="s">
        <v>4292</v>
      </c>
      <c r="C6668" s="119">
        <v>1884</v>
      </c>
    </row>
    <row r="6669" spans="2:3">
      <c r="B6669" s="118" t="s">
        <v>4293</v>
      </c>
      <c r="C6669" s="119">
        <v>1884</v>
      </c>
    </row>
    <row r="6670" spans="2:3">
      <c r="B6670" s="118" t="s">
        <v>4294</v>
      </c>
      <c r="C6670" s="119">
        <v>1885</v>
      </c>
    </row>
    <row r="6671" spans="2:3">
      <c r="B6671" s="118" t="s">
        <v>4295</v>
      </c>
      <c r="C6671" s="119">
        <v>1660</v>
      </c>
    </row>
    <row r="6672" spans="2:3">
      <c r="B6672" s="118" t="s">
        <v>405</v>
      </c>
      <c r="C6672" s="119">
        <v>1856</v>
      </c>
    </row>
    <row r="6673" spans="2:3">
      <c r="B6673" s="118" t="s">
        <v>4296</v>
      </c>
      <c r="C6673" s="119">
        <v>1862</v>
      </c>
    </row>
    <row r="6674" spans="2:3">
      <c r="B6674" s="118" t="s">
        <v>4297</v>
      </c>
      <c r="C6674" s="119">
        <v>1862</v>
      </c>
    </row>
    <row r="6675" spans="2:3">
      <c r="B6675" s="118" t="s">
        <v>4279</v>
      </c>
      <c r="C6675" s="119">
        <v>1863</v>
      </c>
    </row>
    <row r="6676" spans="2:3">
      <c r="B6676" s="118" t="s">
        <v>4287</v>
      </c>
      <c r="C6676" s="119">
        <v>1866</v>
      </c>
    </row>
    <row r="6677" spans="2:3">
      <c r="B6677" s="118" t="s">
        <v>4298</v>
      </c>
      <c r="C6677" s="119">
        <v>1864</v>
      </c>
    </row>
    <row r="6678" spans="2:3">
      <c r="B6678" s="118" t="s">
        <v>4299</v>
      </c>
      <c r="C6678" s="119">
        <v>1865</v>
      </c>
    </row>
    <row r="6679" spans="2:3">
      <c r="B6679" s="118" t="s">
        <v>4287</v>
      </c>
      <c r="C6679" s="119">
        <v>1866</v>
      </c>
    </row>
    <row r="6680" spans="2:3">
      <c r="B6680" s="118" t="s">
        <v>341</v>
      </c>
      <c r="C6680" s="119">
        <v>1847</v>
      </c>
    </row>
    <row r="6681" spans="2:3">
      <c r="B6681" s="118" t="s">
        <v>4300</v>
      </c>
      <c r="C6681" s="119">
        <v>1852</v>
      </c>
    </row>
    <row r="6682" spans="2:3">
      <c r="B6682" s="118" t="s">
        <v>4301</v>
      </c>
      <c r="C6682" s="119">
        <v>1844</v>
      </c>
    </row>
    <row r="6683" spans="2:3">
      <c r="B6683" s="118" t="s">
        <v>311</v>
      </c>
      <c r="C6683" s="119">
        <v>1853</v>
      </c>
    </row>
    <row r="6684" spans="2:3">
      <c r="B6684" s="118" t="s">
        <v>238</v>
      </c>
      <c r="C6684" s="119">
        <v>1170</v>
      </c>
    </row>
    <row r="6685" spans="2:3">
      <c r="B6685" s="118" t="s">
        <v>391</v>
      </c>
      <c r="C6685" s="119">
        <v>1172</v>
      </c>
    </row>
    <row r="6686" spans="2:3">
      <c r="B6686" s="118" t="s">
        <v>379</v>
      </c>
      <c r="C6686" s="119">
        <v>1174</v>
      </c>
    </row>
    <row r="6687" spans="2:3">
      <c r="B6687" s="118" t="s">
        <v>4302</v>
      </c>
      <c r="C6687" s="119">
        <v>1174</v>
      </c>
    </row>
    <row r="6688" spans="2:3">
      <c r="B6688" s="118" t="s">
        <v>380</v>
      </c>
      <c r="C6688" s="119">
        <v>1144</v>
      </c>
    </row>
    <row r="6689" spans="2:3">
      <c r="B6689" s="118" t="s">
        <v>445</v>
      </c>
      <c r="C6689" s="119">
        <v>1149</v>
      </c>
    </row>
    <row r="6690" spans="2:3">
      <c r="B6690" s="118" t="s">
        <v>275</v>
      </c>
      <c r="C6690" s="119">
        <v>1145</v>
      </c>
    </row>
    <row r="6691" spans="2:3">
      <c r="B6691" s="118" t="s">
        <v>445</v>
      </c>
      <c r="C6691" s="119">
        <v>1149</v>
      </c>
    </row>
    <row r="6692" spans="2:3">
      <c r="B6692" s="118" t="s">
        <v>391</v>
      </c>
      <c r="C6692" s="119">
        <v>1172</v>
      </c>
    </row>
    <row r="6693" spans="2:3">
      <c r="B6693" s="118" t="s">
        <v>278</v>
      </c>
      <c r="C6693" s="119">
        <v>1166</v>
      </c>
    </row>
    <row r="6694" spans="2:3">
      <c r="B6694" s="118" t="s">
        <v>331</v>
      </c>
      <c r="C6694" s="119">
        <v>1173</v>
      </c>
    </row>
    <row r="6695" spans="2:3">
      <c r="B6695" s="118" t="s">
        <v>263</v>
      </c>
      <c r="C6695" s="119">
        <v>1188</v>
      </c>
    </row>
    <row r="6696" spans="2:3">
      <c r="B6696" s="118" t="s">
        <v>396</v>
      </c>
      <c r="C6696" s="119">
        <v>1261</v>
      </c>
    </row>
    <row r="6697" spans="2:3">
      <c r="B6697" s="118" t="s">
        <v>402</v>
      </c>
      <c r="C6697" s="119">
        <v>1261</v>
      </c>
    </row>
    <row r="6698" spans="2:3">
      <c r="B6698" s="118" t="s">
        <v>4303</v>
      </c>
      <c r="C6698" s="119">
        <v>1146</v>
      </c>
    </row>
    <row r="6699" spans="2:3">
      <c r="B6699" s="118" t="s">
        <v>4304</v>
      </c>
      <c r="C6699" s="119">
        <v>1188</v>
      </c>
    </row>
    <row r="6700" spans="2:3">
      <c r="B6700" s="118" t="s">
        <v>275</v>
      </c>
      <c r="C6700" s="119">
        <v>1145</v>
      </c>
    </row>
    <row r="6701" spans="2:3">
      <c r="B6701" s="118" t="s">
        <v>4305</v>
      </c>
      <c r="C6701" s="119">
        <v>1176</v>
      </c>
    </row>
    <row r="6702" spans="2:3">
      <c r="B6702" s="118" t="s">
        <v>4306</v>
      </c>
      <c r="C6702" s="119">
        <v>1187</v>
      </c>
    </row>
    <row r="6703" spans="2:3">
      <c r="B6703" s="118" t="s">
        <v>407</v>
      </c>
      <c r="C6703" s="119">
        <v>1189</v>
      </c>
    </row>
    <row r="6704" spans="2:3">
      <c r="B6704" s="118" t="s">
        <v>3271</v>
      </c>
      <c r="C6704" s="119">
        <v>1564</v>
      </c>
    </row>
    <row r="6705" spans="2:3">
      <c r="B6705" s="118" t="s">
        <v>223</v>
      </c>
      <c r="C6705" s="119">
        <v>1580</v>
      </c>
    </row>
    <row r="6706" spans="2:3">
      <c r="B6706" s="118" t="s">
        <v>3272</v>
      </c>
      <c r="C6706" s="119">
        <v>1580</v>
      </c>
    </row>
    <row r="6707" spans="2:3">
      <c r="B6707" s="118" t="s">
        <v>4307</v>
      </c>
      <c r="C6707" s="119">
        <v>1580</v>
      </c>
    </row>
    <row r="6708" spans="2:3">
      <c r="B6708" s="118" t="s">
        <v>3401</v>
      </c>
      <c r="C6708" s="119">
        <v>1721</v>
      </c>
    </row>
    <row r="6709" spans="2:3">
      <c r="B6709" s="118" t="s">
        <v>274</v>
      </c>
      <c r="C6709" s="119">
        <v>1588</v>
      </c>
    </row>
    <row r="6710" spans="2:3">
      <c r="B6710" s="118" t="s">
        <v>332</v>
      </c>
      <c r="C6710" s="119">
        <v>1595</v>
      </c>
    </row>
    <row r="6711" spans="2:3">
      <c r="B6711" s="118" t="s">
        <v>4308</v>
      </c>
      <c r="C6711" s="119">
        <v>1584</v>
      </c>
    </row>
    <row r="6712" spans="2:3">
      <c r="B6712" s="118" t="s">
        <v>4309</v>
      </c>
      <c r="C6712" s="119">
        <v>1585</v>
      </c>
    </row>
    <row r="6713" spans="2:3">
      <c r="B6713" s="118" t="s">
        <v>4310</v>
      </c>
      <c r="C6713" s="119">
        <v>1585</v>
      </c>
    </row>
    <row r="6714" spans="2:3">
      <c r="B6714" s="118" t="s">
        <v>4311</v>
      </c>
      <c r="C6714" s="119">
        <v>1585</v>
      </c>
    </row>
    <row r="6715" spans="2:3">
      <c r="B6715" s="118" t="s">
        <v>4312</v>
      </c>
      <c r="C6715" s="119">
        <v>1586</v>
      </c>
    </row>
    <row r="6716" spans="2:3">
      <c r="B6716" s="118" t="s">
        <v>4313</v>
      </c>
      <c r="C6716" s="119">
        <v>1587</v>
      </c>
    </row>
    <row r="6717" spans="2:3">
      <c r="B6717" s="118" t="s">
        <v>4314</v>
      </c>
      <c r="C6717" s="119">
        <v>1587</v>
      </c>
    </row>
    <row r="6718" spans="2:3">
      <c r="B6718" s="118" t="s">
        <v>4315</v>
      </c>
      <c r="C6718" s="119">
        <v>1589</v>
      </c>
    </row>
    <row r="6719" spans="2:3">
      <c r="B6719" s="118" t="s">
        <v>4316</v>
      </c>
      <c r="C6719" s="119">
        <v>1787</v>
      </c>
    </row>
    <row r="6720" spans="2:3">
      <c r="B6720" s="118" t="s">
        <v>371</v>
      </c>
      <c r="C6720" s="119">
        <v>1042</v>
      </c>
    </row>
    <row r="6721" spans="2:3">
      <c r="B6721" s="118" t="s">
        <v>319</v>
      </c>
      <c r="C6721" s="119">
        <v>1306</v>
      </c>
    </row>
    <row r="6722" spans="2:3">
      <c r="B6722" s="118" t="s">
        <v>412</v>
      </c>
      <c r="C6722" s="119">
        <v>1035</v>
      </c>
    </row>
    <row r="6723" spans="2:3">
      <c r="B6723" s="118" t="s">
        <v>322</v>
      </c>
      <c r="C6723" s="119">
        <v>1034</v>
      </c>
    </row>
    <row r="6724" spans="2:3">
      <c r="B6724" s="118" t="s">
        <v>482</v>
      </c>
      <c r="C6724" s="119">
        <v>1148</v>
      </c>
    </row>
    <row r="6725" spans="2:3">
      <c r="B6725" s="118" t="s">
        <v>408</v>
      </c>
      <c r="C6725" s="119">
        <v>1308</v>
      </c>
    </row>
    <row r="6726" spans="2:3">
      <c r="B6726" s="118" t="s">
        <v>448</v>
      </c>
      <c r="C6726" s="119">
        <v>1316</v>
      </c>
    </row>
    <row r="6727" spans="2:3">
      <c r="B6727" s="118" t="s">
        <v>482</v>
      </c>
      <c r="C6727" s="119">
        <v>1148</v>
      </c>
    </row>
    <row r="6728" spans="2:3">
      <c r="B6728" s="118" t="s">
        <v>448</v>
      </c>
      <c r="C6728" s="119">
        <v>1316</v>
      </c>
    </row>
    <row r="6729" spans="2:3">
      <c r="B6729" s="118" t="s">
        <v>4317</v>
      </c>
      <c r="C6729" s="119">
        <v>1304</v>
      </c>
    </row>
    <row r="6730" spans="2:3">
      <c r="B6730" s="118" t="s">
        <v>4318</v>
      </c>
      <c r="C6730" s="119">
        <v>1304</v>
      </c>
    </row>
    <row r="6731" spans="2:3">
      <c r="B6731" s="118" t="s">
        <v>392</v>
      </c>
      <c r="C6731" s="119">
        <v>1148</v>
      </c>
    </row>
    <row r="6732" spans="2:3">
      <c r="B6732" s="118" t="s">
        <v>319</v>
      </c>
      <c r="C6732" s="119">
        <v>1306</v>
      </c>
    </row>
    <row r="6733" spans="2:3">
      <c r="B6733" s="118" t="s">
        <v>459</v>
      </c>
      <c r="C6733" s="119">
        <v>1304</v>
      </c>
    </row>
    <row r="6734" spans="2:3">
      <c r="B6734" s="118" t="s">
        <v>304</v>
      </c>
      <c r="C6734" s="119">
        <v>1312</v>
      </c>
    </row>
    <row r="6735" spans="2:3">
      <c r="B6735" s="118" t="s">
        <v>439</v>
      </c>
      <c r="C6735" s="119">
        <v>1313</v>
      </c>
    </row>
    <row r="6736" spans="2:3">
      <c r="B6736" s="118" t="s">
        <v>329</v>
      </c>
      <c r="C6736" s="119">
        <v>1124</v>
      </c>
    </row>
    <row r="6737" spans="2:3">
      <c r="B6737" s="118" t="s">
        <v>415</v>
      </c>
      <c r="C6737" s="119">
        <v>1117</v>
      </c>
    </row>
    <row r="6738" spans="2:3">
      <c r="B6738" s="118" t="s">
        <v>318</v>
      </c>
      <c r="C6738" s="119">
        <v>1148</v>
      </c>
    </row>
    <row r="6739" spans="2:3">
      <c r="B6739" s="118" t="s">
        <v>4319</v>
      </c>
      <c r="C6739" s="119">
        <v>1148</v>
      </c>
    </row>
    <row r="6740" spans="2:3">
      <c r="B6740" s="118" t="s">
        <v>4320</v>
      </c>
      <c r="C6740" s="119">
        <v>1148</v>
      </c>
    </row>
    <row r="6741" spans="2:3">
      <c r="B6741" s="118" t="s">
        <v>399</v>
      </c>
      <c r="C6741" s="119">
        <v>1307</v>
      </c>
    </row>
    <row r="6742" spans="2:3">
      <c r="B6742" s="118" t="s">
        <v>493</v>
      </c>
      <c r="C6742" s="119">
        <v>1148</v>
      </c>
    </row>
    <row r="6743" spans="2:3">
      <c r="B6743" s="118" t="s">
        <v>4321</v>
      </c>
      <c r="C6743" s="119">
        <v>1031</v>
      </c>
    </row>
    <row r="6744" spans="2:3">
      <c r="B6744" s="118" t="s">
        <v>4322</v>
      </c>
      <c r="C6744" s="119">
        <v>1148</v>
      </c>
    </row>
    <row r="6745" spans="2:3">
      <c r="B6745" s="118" t="s">
        <v>410</v>
      </c>
      <c r="C6745" s="119">
        <v>1148</v>
      </c>
    </row>
    <row r="6746" spans="2:3">
      <c r="B6746" s="118" t="s">
        <v>387</v>
      </c>
      <c r="C6746" s="119">
        <v>1325</v>
      </c>
    </row>
    <row r="6747" spans="2:3">
      <c r="B6747" s="118" t="s">
        <v>321</v>
      </c>
      <c r="C6747" s="119">
        <v>1147</v>
      </c>
    </row>
    <row r="6748" spans="2:3">
      <c r="B6748" s="118" t="s">
        <v>433</v>
      </c>
      <c r="C6748" s="119">
        <v>1317</v>
      </c>
    </row>
    <row r="6749" spans="2:3">
      <c r="B6749" s="118" t="s">
        <v>327</v>
      </c>
      <c r="C6749" s="119">
        <v>1372</v>
      </c>
    </row>
    <row r="6750" spans="2:3">
      <c r="B6750" s="118" t="s">
        <v>237</v>
      </c>
      <c r="C6750" s="119">
        <v>1305</v>
      </c>
    </row>
    <row r="6751" spans="2:3">
      <c r="B6751" s="118" t="s">
        <v>269</v>
      </c>
      <c r="C6751" s="119">
        <v>1303</v>
      </c>
    </row>
    <row r="6752" spans="2:3">
      <c r="B6752" s="118" t="s">
        <v>338</v>
      </c>
      <c r="C6752" s="119">
        <v>1318</v>
      </c>
    </row>
    <row r="6753" spans="2:3">
      <c r="B6753" s="118" t="s">
        <v>253</v>
      </c>
      <c r="C6753" s="119">
        <v>1315</v>
      </c>
    </row>
    <row r="6754" spans="2:3">
      <c r="B6754" s="118" t="s">
        <v>382</v>
      </c>
      <c r="C6754" s="119">
        <v>1304</v>
      </c>
    </row>
    <row r="6755" spans="2:3">
      <c r="B6755" s="118" t="s">
        <v>316</v>
      </c>
      <c r="C6755" s="119">
        <v>1036</v>
      </c>
    </row>
    <row r="6756" spans="2:3">
      <c r="B6756" s="118" t="s">
        <v>4321</v>
      </c>
      <c r="C6756" s="119">
        <v>1031</v>
      </c>
    </row>
    <row r="6757" spans="2:3">
      <c r="B6757" s="118" t="s">
        <v>290</v>
      </c>
      <c r="C6757" s="119">
        <v>1302</v>
      </c>
    </row>
    <row r="6758" spans="2:3">
      <c r="B6758" s="118" t="s">
        <v>308</v>
      </c>
      <c r="C6758" s="119">
        <v>1042</v>
      </c>
    </row>
    <row r="6759" spans="2:3">
      <c r="B6759" s="118" t="s">
        <v>385</v>
      </c>
      <c r="C6759" s="119">
        <v>1042</v>
      </c>
    </row>
    <row r="6760" spans="2:3">
      <c r="B6760" s="118" t="s">
        <v>294</v>
      </c>
      <c r="C6760" s="119">
        <v>1038</v>
      </c>
    </row>
    <row r="6761" spans="2:3">
      <c r="B6761" s="118" t="s">
        <v>292</v>
      </c>
      <c r="C6761" s="119">
        <v>1041</v>
      </c>
    </row>
    <row r="6762" spans="2:3">
      <c r="B6762" s="118" t="s">
        <v>342</v>
      </c>
      <c r="C6762" s="119">
        <v>1053</v>
      </c>
    </row>
    <row r="6763" spans="2:3">
      <c r="B6763" s="118" t="s">
        <v>4323</v>
      </c>
      <c r="C6763" s="119">
        <v>1053</v>
      </c>
    </row>
    <row r="6764" spans="2:3">
      <c r="B6764" s="118" t="s">
        <v>211</v>
      </c>
      <c r="C6764" s="119">
        <v>1040</v>
      </c>
    </row>
    <row r="6765" spans="2:3">
      <c r="B6765" s="118" t="s">
        <v>323</v>
      </c>
      <c r="C6765" s="119">
        <v>1417</v>
      </c>
    </row>
    <row r="6766" spans="2:3">
      <c r="B6766" s="118" t="s">
        <v>4324</v>
      </c>
      <c r="C6766" s="119">
        <v>1417</v>
      </c>
    </row>
    <row r="6767" spans="2:3">
      <c r="B6767" s="118" t="s">
        <v>301</v>
      </c>
      <c r="C6767" s="119">
        <v>1037</v>
      </c>
    </row>
    <row r="6768" spans="2:3">
      <c r="B6768" s="118" t="s">
        <v>353</v>
      </c>
      <c r="C6768" s="119">
        <v>1044</v>
      </c>
    </row>
    <row r="6769" spans="2:3">
      <c r="B6769" s="118" t="s">
        <v>254</v>
      </c>
      <c r="C6769" s="119">
        <v>1055</v>
      </c>
    </row>
    <row r="6770" spans="2:3">
      <c r="B6770" s="118" t="s">
        <v>4325</v>
      </c>
      <c r="C6770" s="119">
        <v>1054</v>
      </c>
    </row>
    <row r="6771" spans="2:3">
      <c r="B6771" s="118" t="s">
        <v>370</v>
      </c>
      <c r="C6771" s="119">
        <v>1377</v>
      </c>
    </row>
    <row r="6772" spans="2:3">
      <c r="B6772" s="118" t="s">
        <v>377</v>
      </c>
      <c r="C6772" s="119">
        <v>1416</v>
      </c>
    </row>
    <row r="6773" spans="2:3">
      <c r="B6773" s="118" t="s">
        <v>411</v>
      </c>
      <c r="C6773" s="119">
        <v>1375</v>
      </c>
    </row>
    <row r="6774" spans="2:3">
      <c r="B6774" s="118" t="s">
        <v>339</v>
      </c>
      <c r="C6774" s="119">
        <v>1041</v>
      </c>
    </row>
    <row r="6775" spans="2:3">
      <c r="B6775" s="118" t="s">
        <v>452</v>
      </c>
      <c r="C6775" s="119">
        <v>1046</v>
      </c>
    </row>
    <row r="6776" spans="2:3">
      <c r="B6776" s="118" t="s">
        <v>4326</v>
      </c>
      <c r="C6776" s="119">
        <v>1040</v>
      </c>
    </row>
    <row r="6777" spans="2:3">
      <c r="B6777" s="118" t="s">
        <v>298</v>
      </c>
      <c r="C6777" s="119">
        <v>1040</v>
      </c>
    </row>
    <row r="6778" spans="2:3">
      <c r="B6778" s="118" t="s">
        <v>317</v>
      </c>
      <c r="C6778" s="119">
        <v>1418</v>
      </c>
    </row>
    <row r="6779" spans="2:3">
      <c r="B6779" s="118" t="s">
        <v>4327</v>
      </c>
      <c r="C6779" s="119">
        <v>1041</v>
      </c>
    </row>
    <row r="6780" spans="2:3">
      <c r="B6780" s="118" t="s">
        <v>4328</v>
      </c>
      <c r="C6780" s="119">
        <v>1041</v>
      </c>
    </row>
    <row r="6781" spans="2:3">
      <c r="B6781" s="118" t="s">
        <v>4329</v>
      </c>
      <c r="C6781" s="119">
        <v>1041</v>
      </c>
    </row>
    <row r="6782" spans="2:3">
      <c r="B6782" s="118" t="s">
        <v>4330</v>
      </c>
      <c r="C6782" s="119">
        <v>1043</v>
      </c>
    </row>
    <row r="6783" spans="2:3">
      <c r="B6783" s="118" t="s">
        <v>4331</v>
      </c>
      <c r="C6783" s="119">
        <v>1376</v>
      </c>
    </row>
    <row r="6784" spans="2:3">
      <c r="B6784" s="118" t="s">
        <v>4332</v>
      </c>
      <c r="C6784" s="119">
        <v>1376</v>
      </c>
    </row>
    <row r="6785" spans="2:3">
      <c r="B6785" s="118" t="s">
        <v>4333</v>
      </c>
      <c r="C6785" s="119">
        <v>1376</v>
      </c>
    </row>
    <row r="6786" spans="2:3">
      <c r="B6786" s="118" t="s">
        <v>4334</v>
      </c>
      <c r="C6786" s="119">
        <v>1423</v>
      </c>
    </row>
    <row r="6787" spans="2:3">
      <c r="B6787" s="118" t="s">
        <v>384</v>
      </c>
      <c r="C6787" s="119">
        <v>1427</v>
      </c>
    </row>
    <row r="6788" spans="2:3">
      <c r="B6788" s="118" t="s">
        <v>4335</v>
      </c>
      <c r="C6788" s="119">
        <v>1452</v>
      </c>
    </row>
    <row r="6789" spans="2:3">
      <c r="B6789" s="118" t="s">
        <v>359</v>
      </c>
      <c r="C6789" s="119">
        <v>1453</v>
      </c>
    </row>
    <row r="6790" spans="2:3">
      <c r="B6790" s="118" t="s">
        <v>313</v>
      </c>
      <c r="C6790" s="119">
        <v>1424</v>
      </c>
    </row>
    <row r="6791" spans="2:3">
      <c r="B6791" s="118" t="s">
        <v>324</v>
      </c>
      <c r="C6791" s="119">
        <v>1426</v>
      </c>
    </row>
    <row r="6792" spans="2:3">
      <c r="B6792" s="118" t="s">
        <v>4336</v>
      </c>
      <c r="C6792" s="119">
        <v>2028</v>
      </c>
    </row>
    <row r="6793" spans="2:3">
      <c r="B6793" s="118" t="s">
        <v>426</v>
      </c>
      <c r="C6793" s="119">
        <v>1426</v>
      </c>
    </row>
    <row r="6794" spans="2:3">
      <c r="B6794" s="118" t="s">
        <v>406</v>
      </c>
      <c r="C6794" s="119">
        <v>1420</v>
      </c>
    </row>
    <row r="6795" spans="2:3">
      <c r="B6795" s="118" t="s">
        <v>359</v>
      </c>
      <c r="C6795" s="119">
        <v>1453</v>
      </c>
    </row>
    <row r="6796" spans="2:3">
      <c r="B6796" s="118" t="s">
        <v>466</v>
      </c>
      <c r="C6796" s="119">
        <v>1421</v>
      </c>
    </row>
    <row r="6797" spans="2:3">
      <c r="B6797" s="118" t="s">
        <v>489</v>
      </c>
      <c r="C6797" s="119">
        <v>1453</v>
      </c>
    </row>
    <row r="6798" spans="2:3">
      <c r="B6798" s="118" t="s">
        <v>409</v>
      </c>
      <c r="C6798" s="119">
        <v>1429</v>
      </c>
    </row>
    <row r="6799" spans="2:3">
      <c r="B6799" s="118" t="s">
        <v>460</v>
      </c>
      <c r="C6799" s="119">
        <v>1421</v>
      </c>
    </row>
    <row r="6800" spans="2:3">
      <c r="B6800" s="118" t="s">
        <v>359</v>
      </c>
      <c r="C6800" s="119">
        <v>1453</v>
      </c>
    </row>
    <row r="6801" spans="2:3">
      <c r="B6801" s="118" t="s">
        <v>489</v>
      </c>
      <c r="C6801" s="119">
        <v>1453</v>
      </c>
    </row>
    <row r="6802" spans="2:3">
      <c r="B6802" s="118" t="s">
        <v>236</v>
      </c>
      <c r="C6802" s="119">
        <v>1422</v>
      </c>
    </row>
    <row r="6803" spans="2:3">
      <c r="B6803" s="118" t="s">
        <v>489</v>
      </c>
      <c r="C6803" s="119">
        <v>1453</v>
      </c>
    </row>
    <row r="6804" spans="2:3">
      <c r="B6804" s="118" t="s">
        <v>476</v>
      </c>
      <c r="C6804" s="119">
        <v>1428</v>
      </c>
    </row>
    <row r="6805" spans="2:3">
      <c r="B6805" s="118" t="s">
        <v>491</v>
      </c>
      <c r="C6805" s="119">
        <v>1431</v>
      </c>
    </row>
    <row r="6806" spans="2:3">
      <c r="B6806" s="118" t="s">
        <v>4337</v>
      </c>
      <c r="C6806" s="119">
        <v>1425</v>
      </c>
    </row>
    <row r="6807" spans="2:3">
      <c r="B6807" s="118" t="s">
        <v>418</v>
      </c>
      <c r="C6807" s="119">
        <v>1428</v>
      </c>
    </row>
    <row r="6808" spans="2:3">
      <c r="B6808" s="118" t="s">
        <v>4338</v>
      </c>
      <c r="C6808" s="119">
        <v>2108</v>
      </c>
    </row>
    <row r="6809" spans="2:3">
      <c r="B6809" s="118" t="s">
        <v>368</v>
      </c>
      <c r="C6809" s="119">
        <v>1445</v>
      </c>
    </row>
    <row r="6810" spans="2:3">
      <c r="B6810" s="118" t="s">
        <v>4339</v>
      </c>
      <c r="C6810" s="119">
        <v>1450</v>
      </c>
    </row>
    <row r="6811" spans="2:3">
      <c r="B6811" s="118" t="s">
        <v>4340</v>
      </c>
      <c r="C6811" s="119">
        <v>1450</v>
      </c>
    </row>
    <row r="6812" spans="2:3">
      <c r="B6812" s="118" t="s">
        <v>4341</v>
      </c>
      <c r="C6812" s="119">
        <v>1450</v>
      </c>
    </row>
    <row r="6813" spans="2:3">
      <c r="B6813" s="118" t="s">
        <v>4335</v>
      </c>
      <c r="C6813" s="119">
        <v>1452</v>
      </c>
    </row>
    <row r="6814" spans="2:3">
      <c r="B6814" s="118" t="s">
        <v>4342</v>
      </c>
      <c r="C6814" s="119">
        <v>1454</v>
      </c>
    </row>
    <row r="6815" spans="2:3">
      <c r="B6815" s="118" t="s">
        <v>4343</v>
      </c>
      <c r="C6815" s="119">
        <v>1454</v>
      </c>
    </row>
    <row r="6816" spans="2:3">
      <c r="B6816" s="118" t="s">
        <v>4344</v>
      </c>
      <c r="C6816" s="119">
        <v>1423</v>
      </c>
    </row>
    <row r="6817" spans="2:3">
      <c r="B6817" s="118" t="s">
        <v>4334</v>
      </c>
      <c r="C6817" s="119">
        <v>1423</v>
      </c>
    </row>
    <row r="6818" spans="2:3">
      <c r="B6818" s="118" t="s">
        <v>4345</v>
      </c>
      <c r="C6818" s="119">
        <v>1423</v>
      </c>
    </row>
    <row r="6819" spans="2:3">
      <c r="B6819" s="118" t="s">
        <v>4346</v>
      </c>
      <c r="C6819" s="119">
        <v>1423</v>
      </c>
    </row>
    <row r="6820" spans="2:3">
      <c r="B6820" s="118" t="s">
        <v>489</v>
      </c>
      <c r="C6820" s="119">
        <v>1453</v>
      </c>
    </row>
    <row r="6821" spans="2:3">
      <c r="B6821" s="118" t="s">
        <v>230</v>
      </c>
      <c r="C6821" s="119">
        <v>1092</v>
      </c>
    </row>
    <row r="6822" spans="2:3">
      <c r="B6822" s="118" t="s">
        <v>222</v>
      </c>
      <c r="C6822" s="119">
        <v>1033</v>
      </c>
    </row>
    <row r="6823" spans="2:3">
      <c r="B6823" s="118" t="s">
        <v>203</v>
      </c>
      <c r="C6823" s="119">
        <v>1023</v>
      </c>
    </row>
    <row r="6824" spans="2:3">
      <c r="B6824" s="118" t="s">
        <v>222</v>
      </c>
      <c r="C6824" s="119">
        <v>1033</v>
      </c>
    </row>
    <row r="6825" spans="2:3">
      <c r="B6825" s="118" t="s">
        <v>200</v>
      </c>
      <c r="C6825" s="119">
        <v>1066</v>
      </c>
    </row>
    <row r="6826" spans="2:3">
      <c r="B6826" s="118" t="s">
        <v>281</v>
      </c>
      <c r="C6826" s="119">
        <v>1008</v>
      </c>
    </row>
    <row r="6827" spans="2:3">
      <c r="B6827" s="118" t="s">
        <v>4347</v>
      </c>
      <c r="C6827" s="119">
        <v>1000</v>
      </c>
    </row>
    <row r="6828" spans="2:3">
      <c r="B6828" s="118" t="s">
        <v>4348</v>
      </c>
      <c r="C6828" s="119">
        <v>1000</v>
      </c>
    </row>
    <row r="6829" spans="2:3">
      <c r="B6829" s="118" t="s">
        <v>4349</v>
      </c>
      <c r="C6829" s="119">
        <v>1000</v>
      </c>
    </row>
    <row r="6830" spans="2:3">
      <c r="B6830" s="118" t="s">
        <v>182</v>
      </c>
      <c r="C6830" s="119">
        <v>1003</v>
      </c>
    </row>
    <row r="6831" spans="2:3">
      <c r="B6831" s="118" t="s">
        <v>182</v>
      </c>
      <c r="C6831" s="119">
        <v>1004</v>
      </c>
    </row>
    <row r="6832" spans="2:3">
      <c r="B6832" s="118" t="s">
        <v>182</v>
      </c>
      <c r="C6832" s="119">
        <v>1005</v>
      </c>
    </row>
    <row r="6833" spans="2:3">
      <c r="B6833" s="118" t="s">
        <v>182</v>
      </c>
      <c r="C6833" s="119">
        <v>1006</v>
      </c>
    </row>
    <row r="6834" spans="2:3">
      <c r="B6834" s="118" t="s">
        <v>182</v>
      </c>
      <c r="C6834" s="119">
        <v>1007</v>
      </c>
    </row>
    <row r="6835" spans="2:3">
      <c r="B6835" s="118" t="s">
        <v>182</v>
      </c>
      <c r="C6835" s="119">
        <v>1010</v>
      </c>
    </row>
    <row r="6836" spans="2:3">
      <c r="B6836" s="118" t="s">
        <v>182</v>
      </c>
      <c r="C6836" s="119">
        <v>1011</v>
      </c>
    </row>
    <row r="6837" spans="2:3">
      <c r="B6837" s="118" t="s">
        <v>182</v>
      </c>
      <c r="C6837" s="119">
        <v>1012</v>
      </c>
    </row>
    <row r="6838" spans="2:3">
      <c r="B6838" s="118" t="s">
        <v>182</v>
      </c>
      <c r="C6838" s="119">
        <v>1018</v>
      </c>
    </row>
    <row r="6839" spans="2:3">
      <c r="B6839" s="118" t="s">
        <v>203</v>
      </c>
      <c r="C6839" s="119">
        <v>1023</v>
      </c>
    </row>
    <row r="6840" spans="2:3">
      <c r="B6840" s="118" t="s">
        <v>235</v>
      </c>
      <c r="C6840" s="119">
        <v>1032</v>
      </c>
    </row>
    <row r="6841" spans="2:3">
      <c r="B6841" s="118" t="s">
        <v>222</v>
      </c>
      <c r="C6841" s="119">
        <v>1033</v>
      </c>
    </row>
    <row r="6842" spans="2:3">
      <c r="B6842" s="118" t="s">
        <v>202</v>
      </c>
      <c r="C6842" s="119">
        <v>1052</v>
      </c>
    </row>
    <row r="6843" spans="2:3">
      <c r="B6843" s="118" t="s">
        <v>4323</v>
      </c>
      <c r="C6843" s="119">
        <v>1053</v>
      </c>
    </row>
    <row r="6844" spans="2:3">
      <c r="B6844" s="118" t="s">
        <v>202</v>
      </c>
      <c r="C6844" s="119">
        <v>1052</v>
      </c>
    </row>
    <row r="6845" spans="2:3">
      <c r="B6845" s="118" t="s">
        <v>280</v>
      </c>
      <c r="C6845" s="119">
        <v>1094</v>
      </c>
    </row>
    <row r="6846" spans="2:3">
      <c r="B6846" s="118" t="s">
        <v>198</v>
      </c>
      <c r="C6846" s="119">
        <v>1095</v>
      </c>
    </row>
    <row r="6847" spans="2:3">
      <c r="B6847" s="118" t="s">
        <v>195</v>
      </c>
      <c r="C6847" s="119">
        <v>1008</v>
      </c>
    </row>
    <row r="6848" spans="2:3">
      <c r="B6848" s="118" t="s">
        <v>191</v>
      </c>
      <c r="C6848" s="119">
        <v>1009</v>
      </c>
    </row>
    <row r="6849" spans="2:3">
      <c r="B6849" s="118" t="s">
        <v>4350</v>
      </c>
      <c r="C6849" s="119">
        <v>1068</v>
      </c>
    </row>
    <row r="6850" spans="2:3">
      <c r="B6850" s="118" t="s">
        <v>195</v>
      </c>
      <c r="C6850" s="119">
        <v>1008</v>
      </c>
    </row>
    <row r="6851" spans="2:3">
      <c r="B6851" s="118" t="s">
        <v>4351</v>
      </c>
      <c r="C6851" s="119">
        <v>1020</v>
      </c>
    </row>
    <row r="6852" spans="2:3">
      <c r="B6852" s="118" t="s">
        <v>235</v>
      </c>
      <c r="C6852" s="119">
        <v>1032</v>
      </c>
    </row>
    <row r="6853" spans="2:3">
      <c r="B6853" s="118" t="s">
        <v>259</v>
      </c>
      <c r="C6853" s="119">
        <v>1071</v>
      </c>
    </row>
    <row r="6854" spans="2:3">
      <c r="B6854" s="118" t="s">
        <v>261</v>
      </c>
      <c r="C6854" s="119">
        <v>1072</v>
      </c>
    </row>
    <row r="6855" spans="2:3">
      <c r="B6855" s="118" t="s">
        <v>4352</v>
      </c>
      <c r="C6855" s="119">
        <v>1080</v>
      </c>
    </row>
    <row r="6856" spans="2:3">
      <c r="B6856" s="118" t="s">
        <v>4353</v>
      </c>
      <c r="C6856" s="119">
        <v>1091</v>
      </c>
    </row>
    <row r="6857" spans="2:3">
      <c r="B6857" s="118" t="s">
        <v>4354</v>
      </c>
      <c r="C6857" s="119">
        <v>1090</v>
      </c>
    </row>
    <row r="6858" spans="2:3">
      <c r="B6858" s="118" t="s">
        <v>230</v>
      </c>
      <c r="C6858" s="119">
        <v>1092</v>
      </c>
    </row>
    <row r="6859" spans="2:3">
      <c r="B6859" s="118" t="s">
        <v>4355</v>
      </c>
      <c r="C6859" s="119">
        <v>1093</v>
      </c>
    </row>
    <row r="6860" spans="2:3">
      <c r="B6860" s="118" t="s">
        <v>198</v>
      </c>
      <c r="C6860" s="119">
        <v>1095</v>
      </c>
    </row>
    <row r="6861" spans="2:3">
      <c r="B6861" s="118" t="s">
        <v>244</v>
      </c>
      <c r="C6861" s="119">
        <v>1070</v>
      </c>
    </row>
    <row r="6862" spans="2:3">
      <c r="B6862" s="118" t="s">
        <v>434</v>
      </c>
      <c r="C6862" s="119">
        <v>1071</v>
      </c>
    </row>
    <row r="6863" spans="2:3">
      <c r="B6863" s="118" t="s">
        <v>4356</v>
      </c>
      <c r="C6863" s="119">
        <v>1096</v>
      </c>
    </row>
    <row r="6864" spans="2:3">
      <c r="B6864" s="118" t="s">
        <v>4357</v>
      </c>
      <c r="C6864" s="119">
        <v>1098</v>
      </c>
    </row>
    <row r="6865" spans="2:3">
      <c r="B6865" s="118" t="s">
        <v>4358</v>
      </c>
      <c r="C6865" s="119">
        <v>1607</v>
      </c>
    </row>
    <row r="6866" spans="2:3">
      <c r="B6866" s="118" t="s">
        <v>259</v>
      </c>
      <c r="C6866" s="119">
        <v>1071</v>
      </c>
    </row>
    <row r="6867" spans="2:3">
      <c r="B6867" s="118" t="s">
        <v>434</v>
      </c>
      <c r="C6867" s="119">
        <v>1071</v>
      </c>
    </row>
    <row r="6868" spans="2:3">
      <c r="B6868" s="118" t="s">
        <v>4359</v>
      </c>
      <c r="C6868" s="119">
        <v>1071</v>
      </c>
    </row>
    <row r="6869" spans="2:3">
      <c r="B6869" s="118" t="s">
        <v>234</v>
      </c>
      <c r="C6869" s="119">
        <v>1073</v>
      </c>
    </row>
    <row r="6870" spans="2:3">
      <c r="B6870" s="118" t="s">
        <v>4360</v>
      </c>
      <c r="C6870" s="119">
        <v>1073</v>
      </c>
    </row>
    <row r="6871" spans="2:3">
      <c r="B6871" s="118" t="s">
        <v>4354</v>
      </c>
      <c r="C6871" s="119">
        <v>1090</v>
      </c>
    </row>
    <row r="6872" spans="2:3">
      <c r="B6872" s="118" t="s">
        <v>4361</v>
      </c>
      <c r="C6872" s="119">
        <v>1091</v>
      </c>
    </row>
    <row r="6873" spans="2:3">
      <c r="B6873" s="118" t="s">
        <v>244</v>
      </c>
      <c r="C6873" s="119">
        <v>1070</v>
      </c>
    </row>
    <row r="6874" spans="2:3">
      <c r="B6874" s="118" t="s">
        <v>4353</v>
      </c>
      <c r="C6874" s="119">
        <v>1091</v>
      </c>
    </row>
    <row r="6875" spans="2:3">
      <c r="B6875" s="118" t="s">
        <v>4361</v>
      </c>
      <c r="C6875" s="119">
        <v>1091</v>
      </c>
    </row>
    <row r="6876" spans="2:3">
      <c r="B6876" s="118" t="s">
        <v>4362</v>
      </c>
      <c r="C6876" s="119">
        <v>1091</v>
      </c>
    </row>
    <row r="6877" spans="2:3">
      <c r="B6877" s="118" t="s">
        <v>198</v>
      </c>
      <c r="C6877" s="119">
        <v>1095</v>
      </c>
    </row>
    <row r="6878" spans="2:3">
      <c r="B6878" s="118" t="s">
        <v>4356</v>
      </c>
      <c r="C6878" s="119">
        <v>1096</v>
      </c>
    </row>
    <row r="6879" spans="2:3">
      <c r="B6879" s="118" t="s">
        <v>4363</v>
      </c>
      <c r="C6879" s="119">
        <v>1096</v>
      </c>
    </row>
    <row r="6880" spans="2:3">
      <c r="B6880" s="118" t="s">
        <v>4364</v>
      </c>
      <c r="C6880" s="119">
        <v>1097</v>
      </c>
    </row>
    <row r="6881" spans="2:3">
      <c r="B6881" s="118" t="s">
        <v>4357</v>
      </c>
      <c r="C6881" s="119">
        <v>1098</v>
      </c>
    </row>
    <row r="6882" spans="2:3">
      <c r="B6882" s="118" t="s">
        <v>375</v>
      </c>
      <c r="C6882" s="119">
        <v>1123</v>
      </c>
    </row>
    <row r="6883" spans="2:3">
      <c r="B6883" s="118" t="s">
        <v>374</v>
      </c>
      <c r="C6883" s="119">
        <v>1121</v>
      </c>
    </row>
    <row r="6884" spans="2:3">
      <c r="B6884" s="118" t="s">
        <v>361</v>
      </c>
      <c r="C6884" s="119">
        <v>1164</v>
      </c>
    </row>
    <row r="6885" spans="2:3">
      <c r="B6885" s="118" t="s">
        <v>201</v>
      </c>
      <c r="C6885" s="119">
        <v>1030</v>
      </c>
    </row>
    <row r="6886" spans="2:3">
      <c r="B6886" s="118" t="s">
        <v>182</v>
      </c>
      <c r="C6886" s="119">
        <v>1015</v>
      </c>
    </row>
    <row r="6887" spans="2:3">
      <c r="B6887" s="118" t="s">
        <v>205</v>
      </c>
      <c r="C6887" s="119">
        <v>1022</v>
      </c>
    </row>
    <row r="6888" spans="2:3">
      <c r="B6888" s="118" t="s">
        <v>437</v>
      </c>
      <c r="C6888" s="119">
        <v>1134</v>
      </c>
    </row>
    <row r="6889" spans="2:3">
      <c r="B6889" s="118" t="s">
        <v>473</v>
      </c>
      <c r="C6889" s="119">
        <v>1127</v>
      </c>
    </row>
    <row r="6890" spans="2:3">
      <c r="B6890" s="118" t="s">
        <v>346</v>
      </c>
      <c r="C6890" s="119">
        <v>1135</v>
      </c>
    </row>
    <row r="6891" spans="2:3">
      <c r="B6891" s="118" t="s">
        <v>271</v>
      </c>
      <c r="C6891" s="119">
        <v>1026</v>
      </c>
    </row>
    <row r="6892" spans="2:3">
      <c r="B6892" s="118" t="s">
        <v>247</v>
      </c>
      <c r="C6892" s="119">
        <v>1026</v>
      </c>
    </row>
    <row r="6893" spans="2:3">
      <c r="B6893" s="118" t="s">
        <v>250</v>
      </c>
      <c r="C6893" s="119">
        <v>1112</v>
      </c>
    </row>
    <row r="6894" spans="2:3">
      <c r="B6894" s="118" t="s">
        <v>4365</v>
      </c>
      <c r="C6894" s="119">
        <v>1113</v>
      </c>
    </row>
    <row r="6895" spans="2:3">
      <c r="B6895" s="118" t="s">
        <v>4366</v>
      </c>
      <c r="C6895" s="119">
        <v>1114</v>
      </c>
    </row>
    <row r="6896" spans="2:3">
      <c r="B6896" s="118" t="s">
        <v>4367</v>
      </c>
      <c r="C6896" s="119">
        <v>1125</v>
      </c>
    </row>
    <row r="6897" spans="2:3">
      <c r="B6897" s="118" t="s">
        <v>182</v>
      </c>
      <c r="C6897" s="119">
        <v>1015</v>
      </c>
    </row>
    <row r="6898" spans="2:3">
      <c r="B6898" s="118" t="s">
        <v>4368</v>
      </c>
      <c r="C6898" s="119">
        <v>1024</v>
      </c>
    </row>
    <row r="6899" spans="2:3">
      <c r="B6899" s="118" t="s">
        <v>242</v>
      </c>
      <c r="C6899" s="119">
        <v>1163</v>
      </c>
    </row>
    <row r="6900" spans="2:3">
      <c r="B6900" s="118" t="s">
        <v>238</v>
      </c>
      <c r="C6900" s="119">
        <v>1170</v>
      </c>
    </row>
    <row r="6901" spans="2:3">
      <c r="B6901" s="118" t="s">
        <v>315</v>
      </c>
      <c r="C6901" s="119">
        <v>1175</v>
      </c>
    </row>
    <row r="6902" spans="2:3">
      <c r="B6902" s="118" t="s">
        <v>256</v>
      </c>
      <c r="C6902" s="119">
        <v>1027</v>
      </c>
    </row>
    <row r="6903" spans="2:3">
      <c r="B6903" s="118" t="s">
        <v>4369</v>
      </c>
      <c r="C6903" s="119">
        <v>1132</v>
      </c>
    </row>
    <row r="6904" spans="2:3">
      <c r="B6904" s="118" t="s">
        <v>4370</v>
      </c>
      <c r="C6904" s="119">
        <v>1162</v>
      </c>
    </row>
    <row r="6905" spans="2:3">
      <c r="B6905" s="118" t="s">
        <v>357</v>
      </c>
      <c r="C6905" s="119">
        <v>1167</v>
      </c>
    </row>
    <row r="6906" spans="2:3">
      <c r="B6906" s="118" t="s">
        <v>192</v>
      </c>
      <c r="C6906" s="119">
        <v>1110</v>
      </c>
    </row>
    <row r="6907" spans="2:3">
      <c r="B6907" s="118" t="s">
        <v>215</v>
      </c>
      <c r="C6907" s="119">
        <v>1028</v>
      </c>
    </row>
    <row r="6908" spans="2:3">
      <c r="B6908" s="118" t="s">
        <v>397</v>
      </c>
      <c r="C6908" s="119">
        <v>1122</v>
      </c>
    </row>
    <row r="6909" spans="2:3">
      <c r="B6909" s="118" t="s">
        <v>4370</v>
      </c>
      <c r="C6909" s="119">
        <v>1162</v>
      </c>
    </row>
    <row r="6910" spans="2:3">
      <c r="B6910" s="118" t="s">
        <v>182</v>
      </c>
      <c r="C6910" s="119">
        <v>1015</v>
      </c>
    </row>
    <row r="6911" spans="2:3">
      <c r="B6911" s="118" t="s">
        <v>4371</v>
      </c>
      <c r="C6911" s="119">
        <v>1025</v>
      </c>
    </row>
    <row r="6912" spans="2:3">
      <c r="B6912" s="118" t="s">
        <v>267</v>
      </c>
      <c r="C6912" s="119">
        <v>1131</v>
      </c>
    </row>
    <row r="6913" spans="2:3">
      <c r="B6913" s="118" t="s">
        <v>469</v>
      </c>
      <c r="C6913" s="119">
        <v>1126</v>
      </c>
    </row>
    <row r="6914" spans="2:3">
      <c r="B6914" s="118" t="s">
        <v>4372</v>
      </c>
      <c r="C6914" s="119">
        <v>1029</v>
      </c>
    </row>
    <row r="6915" spans="2:3">
      <c r="B6915" s="118" t="s">
        <v>365</v>
      </c>
      <c r="C6915" s="119">
        <v>1168</v>
      </c>
    </row>
    <row r="6916" spans="2:3">
      <c r="B6916" s="118" t="s">
        <v>335</v>
      </c>
      <c r="C6916" s="119">
        <v>1134</v>
      </c>
    </row>
    <row r="6917" spans="2:3">
      <c r="B6917" s="118" t="s">
        <v>383</v>
      </c>
      <c r="C6917" s="119">
        <v>1115</v>
      </c>
    </row>
    <row r="6918" spans="2:3">
      <c r="B6918" s="118" t="s">
        <v>285</v>
      </c>
      <c r="C6918" s="119">
        <v>1169</v>
      </c>
    </row>
    <row r="6919" spans="2:3">
      <c r="B6919" s="118" t="s">
        <v>4373</v>
      </c>
      <c r="C6919" s="119">
        <v>1116</v>
      </c>
    </row>
    <row r="6920" spans="2:3">
      <c r="B6920" s="118" t="s">
        <v>419</v>
      </c>
      <c r="C6920" s="119">
        <v>1128</v>
      </c>
    </row>
    <row r="6921" spans="2:3">
      <c r="B6921" s="118" t="s">
        <v>427</v>
      </c>
      <c r="C6921" s="119">
        <v>1136</v>
      </c>
    </row>
    <row r="6922" spans="2:3">
      <c r="B6922" s="118" t="s">
        <v>457</v>
      </c>
      <c r="C6922" s="119">
        <v>1141</v>
      </c>
    </row>
    <row r="6923" spans="2:3">
      <c r="B6923" s="118" t="s">
        <v>300</v>
      </c>
      <c r="C6923" s="119">
        <v>1142</v>
      </c>
    </row>
    <row r="6924" spans="2:3">
      <c r="B6924" s="118" t="s">
        <v>283</v>
      </c>
      <c r="C6924" s="119">
        <v>1143</v>
      </c>
    </row>
    <row r="6925" spans="2:3">
      <c r="B6925" s="118" t="s">
        <v>294</v>
      </c>
      <c r="C6925" s="119">
        <v>1038</v>
      </c>
    </row>
    <row r="6926" spans="2:3">
      <c r="B6926" s="118" t="s">
        <v>425</v>
      </c>
      <c r="C6926" s="119">
        <v>1063</v>
      </c>
    </row>
    <row r="6927" spans="2:3">
      <c r="B6927" s="118" t="s">
        <v>467</v>
      </c>
      <c r="C6927" s="119">
        <v>1514</v>
      </c>
    </row>
    <row r="6928" spans="2:3">
      <c r="B6928" s="118" t="s">
        <v>210</v>
      </c>
      <c r="C6928" s="119">
        <v>1510</v>
      </c>
    </row>
    <row r="6929" spans="2:3">
      <c r="B6929" s="118" t="s">
        <v>463</v>
      </c>
      <c r="C6929" s="119">
        <v>1512</v>
      </c>
    </row>
    <row r="6930" spans="2:3">
      <c r="B6930" s="118" t="s">
        <v>440</v>
      </c>
      <c r="C6930" s="119">
        <v>1521</v>
      </c>
    </row>
    <row r="6931" spans="2:3">
      <c r="B6931" s="118" t="s">
        <v>4374</v>
      </c>
      <c r="C6931" s="119">
        <v>1682</v>
      </c>
    </row>
    <row r="6932" spans="2:3">
      <c r="B6932" s="118" t="s">
        <v>4375</v>
      </c>
      <c r="C6932" s="119">
        <v>1059</v>
      </c>
    </row>
    <row r="6933" spans="2:3">
      <c r="B6933" s="118" t="s">
        <v>423</v>
      </c>
      <c r="C6933" s="119">
        <v>1513</v>
      </c>
    </row>
    <row r="6934" spans="2:3">
      <c r="B6934" s="118" t="s">
        <v>483</v>
      </c>
      <c r="C6934" s="119">
        <v>1682</v>
      </c>
    </row>
    <row r="6935" spans="2:3">
      <c r="B6935" s="118" t="s">
        <v>224</v>
      </c>
      <c r="C6935" s="119">
        <v>1522</v>
      </c>
    </row>
    <row r="6936" spans="2:3">
      <c r="B6936" s="118" t="s">
        <v>4376</v>
      </c>
      <c r="C6936" s="119">
        <v>1522</v>
      </c>
    </row>
    <row r="6937" spans="2:3">
      <c r="B6937" s="118" t="s">
        <v>4377</v>
      </c>
      <c r="C6937" s="119">
        <v>1526</v>
      </c>
    </row>
    <row r="6938" spans="2:3">
      <c r="B6938" s="118" t="s">
        <v>4378</v>
      </c>
      <c r="C6938" s="119">
        <v>1526</v>
      </c>
    </row>
    <row r="6939" spans="2:3">
      <c r="B6939" s="118" t="s">
        <v>4379</v>
      </c>
      <c r="C6939" s="119">
        <v>1683</v>
      </c>
    </row>
    <row r="6940" spans="2:3">
      <c r="B6940" s="118" t="s">
        <v>4380</v>
      </c>
      <c r="C6940" s="119">
        <v>1683</v>
      </c>
    </row>
    <row r="6941" spans="2:3">
      <c r="B6941" s="118" t="s">
        <v>4381</v>
      </c>
      <c r="C6941" s="119">
        <v>1683</v>
      </c>
    </row>
    <row r="6942" spans="2:3">
      <c r="B6942" s="118" t="s">
        <v>210</v>
      </c>
      <c r="C6942" s="119">
        <v>1510</v>
      </c>
    </row>
    <row r="6943" spans="2:3">
      <c r="B6943" s="118" t="s">
        <v>444</v>
      </c>
      <c r="C6943" s="119">
        <v>1045</v>
      </c>
    </row>
    <row r="6944" spans="2:3">
      <c r="B6944" s="118" t="s">
        <v>478</v>
      </c>
      <c r="C6944" s="119">
        <v>1682</v>
      </c>
    </row>
    <row r="6945" spans="2:3">
      <c r="B6945" s="118" t="s">
        <v>492</v>
      </c>
      <c r="C6945" s="119">
        <v>1513</v>
      </c>
    </row>
    <row r="6946" spans="2:3">
      <c r="B6946" s="118" t="s">
        <v>479</v>
      </c>
      <c r="C6946" s="119">
        <v>1510</v>
      </c>
    </row>
    <row r="6947" spans="2:3">
      <c r="B6947" s="118" t="s">
        <v>481</v>
      </c>
      <c r="C6947" s="119">
        <v>1515</v>
      </c>
    </row>
    <row r="6948" spans="2:3">
      <c r="B6948" s="118" t="s">
        <v>369</v>
      </c>
      <c r="C6948" s="119">
        <v>1509</v>
      </c>
    </row>
    <row r="6949" spans="2:3">
      <c r="B6949" s="118" t="s">
        <v>294</v>
      </c>
      <c r="C6949" s="119">
        <v>1038</v>
      </c>
    </row>
    <row r="6950" spans="2:3">
      <c r="B6950" s="118" t="s">
        <v>4382</v>
      </c>
      <c r="C6950" s="119">
        <v>1063</v>
      </c>
    </row>
    <row r="6951" spans="2:3">
      <c r="B6951" s="118" t="s">
        <v>4383</v>
      </c>
      <c r="C6951" s="119">
        <v>1063</v>
      </c>
    </row>
    <row r="6952" spans="2:3">
      <c r="B6952" s="118" t="s">
        <v>4384</v>
      </c>
      <c r="C6952" s="119">
        <v>1063</v>
      </c>
    </row>
    <row r="6953" spans="2:3">
      <c r="B6953" s="118" t="s">
        <v>4385</v>
      </c>
      <c r="C6953" s="119">
        <v>1409</v>
      </c>
    </row>
    <row r="6954" spans="2:3">
      <c r="B6954" s="118" t="s">
        <v>4386</v>
      </c>
      <c r="C6954" s="119">
        <v>1410</v>
      </c>
    </row>
    <row r="6955" spans="2:3">
      <c r="B6955" s="118" t="s">
        <v>4387</v>
      </c>
      <c r="C6955" s="119">
        <v>1410</v>
      </c>
    </row>
    <row r="6956" spans="2:3">
      <c r="B6956" s="118" t="s">
        <v>4388</v>
      </c>
      <c r="C6956" s="119">
        <v>1410</v>
      </c>
    </row>
    <row r="6957" spans="2:3">
      <c r="B6957" s="118" t="s">
        <v>4389</v>
      </c>
      <c r="C6957" s="119">
        <v>1410</v>
      </c>
    </row>
    <row r="6958" spans="2:3">
      <c r="B6958" s="118" t="s">
        <v>4390</v>
      </c>
      <c r="C6958" s="119">
        <v>1515</v>
      </c>
    </row>
    <row r="6959" spans="2:3">
      <c r="B6959" s="118" t="s">
        <v>462</v>
      </c>
      <c r="C6959" s="119">
        <v>1277</v>
      </c>
    </row>
    <row r="6960" spans="2:3">
      <c r="B6960" s="118" t="s">
        <v>4391</v>
      </c>
      <c r="C6960" s="119">
        <v>1264</v>
      </c>
    </row>
    <row r="6961" spans="2:3">
      <c r="B6961" s="118" t="s">
        <v>251</v>
      </c>
      <c r="C6961" s="119">
        <v>1273</v>
      </c>
    </row>
    <row r="6962" spans="2:3">
      <c r="B6962" s="118" t="s">
        <v>287</v>
      </c>
      <c r="C6962" s="119">
        <v>1269</v>
      </c>
    </row>
    <row r="6963" spans="2:3">
      <c r="B6963" s="118" t="s">
        <v>265</v>
      </c>
      <c r="C6963" s="119">
        <v>1268</v>
      </c>
    </row>
    <row r="6964" spans="2:3">
      <c r="B6964" s="118" t="s">
        <v>330</v>
      </c>
      <c r="C6964" s="119">
        <v>1279</v>
      </c>
    </row>
    <row r="6965" spans="2:3">
      <c r="B6965" s="118" t="s">
        <v>299</v>
      </c>
      <c r="C6965" s="119">
        <v>1277</v>
      </c>
    </row>
    <row r="6966" spans="2:3">
      <c r="B6966" s="118" t="s">
        <v>289</v>
      </c>
      <c r="C6966" s="119">
        <v>1279</v>
      </c>
    </row>
    <row r="6967" spans="2:3">
      <c r="B6967" s="118" t="s">
        <v>325</v>
      </c>
      <c r="C6967" s="119">
        <v>1290</v>
      </c>
    </row>
    <row r="6968" spans="2:3">
      <c r="B6968" s="118" t="s">
        <v>293</v>
      </c>
      <c r="C6968" s="119">
        <v>1275</v>
      </c>
    </row>
    <row r="6969" spans="2:3">
      <c r="B6969" s="118" t="s">
        <v>295</v>
      </c>
      <c r="C6969" s="119">
        <v>1276</v>
      </c>
    </row>
    <row r="6970" spans="2:3">
      <c r="B6970" s="118" t="s">
        <v>389</v>
      </c>
      <c r="C6970" s="119">
        <v>1267</v>
      </c>
    </row>
    <row r="6971" spans="2:3">
      <c r="B6971" s="118" t="s">
        <v>245</v>
      </c>
      <c r="C6971" s="119">
        <v>1291</v>
      </c>
    </row>
    <row r="6972" spans="2:3">
      <c r="B6972" s="118" t="s">
        <v>239</v>
      </c>
      <c r="C6972" s="119">
        <v>1296</v>
      </c>
    </row>
    <row r="6973" spans="2:3">
      <c r="B6973" s="118" t="s">
        <v>229</v>
      </c>
      <c r="C6973" s="119">
        <v>1297</v>
      </c>
    </row>
    <row r="6974" spans="2:3">
      <c r="B6974" s="118" t="s">
        <v>4392</v>
      </c>
      <c r="C6974" s="119">
        <v>1299</v>
      </c>
    </row>
    <row r="6975" spans="2:3">
      <c r="B6975" s="118" t="s">
        <v>297</v>
      </c>
      <c r="C6975" s="119">
        <v>1263</v>
      </c>
    </row>
    <row r="6976" spans="2:3">
      <c r="B6976" s="118" t="s">
        <v>307</v>
      </c>
      <c r="C6976" s="119">
        <v>1266</v>
      </c>
    </row>
    <row r="6977" spans="2:3">
      <c r="B6977" s="118" t="s">
        <v>272</v>
      </c>
      <c r="C6977" s="119">
        <v>1262</v>
      </c>
    </row>
    <row r="6978" spans="2:3">
      <c r="B6978" s="118" t="s">
        <v>229</v>
      </c>
      <c r="C6978" s="119">
        <v>1297</v>
      </c>
    </row>
    <row r="6979" spans="2:3">
      <c r="B6979" s="118" t="s">
        <v>264</v>
      </c>
      <c r="C6979" s="119">
        <v>1272</v>
      </c>
    </row>
    <row r="6980" spans="2:3">
      <c r="B6980" s="118" t="s">
        <v>295</v>
      </c>
      <c r="C6980" s="119">
        <v>1276</v>
      </c>
    </row>
    <row r="6981" spans="2:3">
      <c r="B6981" s="118" t="s">
        <v>320</v>
      </c>
      <c r="C6981" s="119">
        <v>1271</v>
      </c>
    </row>
    <row r="6982" spans="2:3">
      <c r="B6982" s="118" t="s">
        <v>264</v>
      </c>
      <c r="C6982" s="119">
        <v>1272</v>
      </c>
    </row>
    <row r="6983" spans="2:3">
      <c r="B6983" s="118" t="s">
        <v>193</v>
      </c>
      <c r="C6983" s="119">
        <v>1196</v>
      </c>
    </row>
    <row r="6984" spans="2:3">
      <c r="B6984" s="118" t="s">
        <v>420</v>
      </c>
      <c r="C6984" s="119">
        <v>1274</v>
      </c>
    </row>
    <row r="6985" spans="2:3">
      <c r="B6985" s="118" t="s">
        <v>817</v>
      </c>
      <c r="C6985" s="119">
        <v>1290</v>
      </c>
    </row>
    <row r="6986" spans="2:3">
      <c r="B6986" s="118" t="s">
        <v>262</v>
      </c>
      <c r="C6986" s="119">
        <v>1295</v>
      </c>
    </row>
    <row r="6987" spans="2:3">
      <c r="B6987" s="118" t="s">
        <v>188</v>
      </c>
      <c r="C6987" s="119">
        <v>1260</v>
      </c>
    </row>
    <row r="6988" spans="2:3">
      <c r="B6988" s="118" t="s">
        <v>225</v>
      </c>
      <c r="C6988" s="119">
        <v>1197</v>
      </c>
    </row>
    <row r="6989" spans="2:3">
      <c r="B6989" s="118" t="s">
        <v>188</v>
      </c>
      <c r="C6989" s="119">
        <v>1260</v>
      </c>
    </row>
    <row r="6990" spans="2:3">
      <c r="B6990" s="118" t="s">
        <v>293</v>
      </c>
      <c r="C6990" s="119">
        <v>1275</v>
      </c>
    </row>
    <row r="6991" spans="2:3">
      <c r="B6991" s="118" t="s">
        <v>296</v>
      </c>
      <c r="C6991" s="119">
        <v>1278</v>
      </c>
    </row>
    <row r="6992" spans="2:3">
      <c r="B6992" s="118" t="s">
        <v>4391</v>
      </c>
      <c r="C6992" s="119">
        <v>1264</v>
      </c>
    </row>
    <row r="6993" spans="2:3">
      <c r="B6993" s="118" t="s">
        <v>4393</v>
      </c>
      <c r="C6993" s="119">
        <v>1265</v>
      </c>
    </row>
    <row r="6994" spans="2:3">
      <c r="B6994" s="118" t="s">
        <v>295</v>
      </c>
      <c r="C6994" s="119">
        <v>1276</v>
      </c>
    </row>
    <row r="6995" spans="2:3">
      <c r="B6995" s="118" t="s">
        <v>4394</v>
      </c>
      <c r="C6995" s="119">
        <v>1274</v>
      </c>
    </row>
    <row r="6996" spans="2:3">
      <c r="B6996" s="118" t="s">
        <v>273</v>
      </c>
      <c r="C6996" s="119">
        <v>1295</v>
      </c>
    </row>
    <row r="6997" spans="2:3">
      <c r="B6997" s="118" t="s">
        <v>284</v>
      </c>
      <c r="C6997" s="119">
        <v>1270</v>
      </c>
    </row>
    <row r="6998" spans="2:3">
      <c r="B6998" s="118" t="s">
        <v>420</v>
      </c>
      <c r="C6998" s="119">
        <v>1274</v>
      </c>
    </row>
    <row r="6999" spans="2:3">
      <c r="B6999" s="118" t="s">
        <v>291</v>
      </c>
      <c r="C6999" s="119">
        <v>1261</v>
      </c>
    </row>
    <row r="7000" spans="2:3">
      <c r="B7000" s="118" t="s">
        <v>314</v>
      </c>
      <c r="C7000" s="119">
        <v>1267</v>
      </c>
    </row>
    <row r="7001" spans="2:3">
      <c r="B7001" s="118" t="s">
        <v>455</v>
      </c>
      <c r="C7001" s="119">
        <v>1355</v>
      </c>
    </row>
    <row r="7002" spans="2:3">
      <c r="B7002" s="118" t="s">
        <v>413</v>
      </c>
      <c r="C7002" s="119">
        <v>1357</v>
      </c>
    </row>
    <row r="7003" spans="2:3">
      <c r="B7003" s="118" t="s">
        <v>441</v>
      </c>
      <c r="C7003" s="119">
        <v>1352</v>
      </c>
    </row>
    <row r="7004" spans="2:3">
      <c r="B7004" s="118" t="s">
        <v>360</v>
      </c>
      <c r="C7004" s="119">
        <v>1321</v>
      </c>
    </row>
    <row r="7005" spans="2:3">
      <c r="B7005" s="118" t="s">
        <v>305</v>
      </c>
      <c r="C7005" s="119">
        <v>1338</v>
      </c>
    </row>
    <row r="7006" spans="2:3">
      <c r="B7006" s="118" t="s">
        <v>309</v>
      </c>
      <c r="C7006" s="119">
        <v>1446</v>
      </c>
    </row>
    <row r="7007" spans="2:3">
      <c r="B7007" s="118" t="s">
        <v>4342</v>
      </c>
      <c r="C7007" s="119">
        <v>1454</v>
      </c>
    </row>
    <row r="7008" spans="2:3">
      <c r="B7008" s="118" t="s">
        <v>327</v>
      </c>
      <c r="C7008" s="119">
        <v>1372</v>
      </c>
    </row>
    <row r="7009" spans="2:3">
      <c r="B7009" s="118" t="s">
        <v>472</v>
      </c>
      <c r="C7009" s="119">
        <v>1353</v>
      </c>
    </row>
    <row r="7010" spans="2:3">
      <c r="B7010" s="118" t="s">
        <v>450</v>
      </c>
      <c r="C7010" s="119">
        <v>1329</v>
      </c>
    </row>
    <row r="7011" spans="2:3">
      <c r="B7011" s="118" t="s">
        <v>219</v>
      </c>
      <c r="C7011" s="119">
        <v>1373</v>
      </c>
    </row>
    <row r="7012" spans="2:3">
      <c r="B7012" s="118" t="s">
        <v>4395</v>
      </c>
      <c r="C7012" s="119">
        <v>1374</v>
      </c>
    </row>
    <row r="7013" spans="2:3">
      <c r="B7013" s="118" t="s">
        <v>4396</v>
      </c>
      <c r="C7013" s="119">
        <v>1435</v>
      </c>
    </row>
    <row r="7014" spans="2:3">
      <c r="B7014" s="118" t="s">
        <v>475</v>
      </c>
      <c r="C7014" s="119">
        <v>1356</v>
      </c>
    </row>
    <row r="7015" spans="2:3">
      <c r="B7015" s="118" t="s">
        <v>4397</v>
      </c>
      <c r="C7015" s="119">
        <v>1356</v>
      </c>
    </row>
    <row r="7016" spans="2:3">
      <c r="B7016" s="118" t="s">
        <v>422</v>
      </c>
      <c r="C7016" s="119">
        <v>1322</v>
      </c>
    </row>
    <row r="7017" spans="2:3">
      <c r="B7017" s="118" t="s">
        <v>443</v>
      </c>
      <c r="C7017" s="119">
        <v>1326</v>
      </c>
    </row>
    <row r="7018" spans="2:3">
      <c r="B7018" s="118" t="s">
        <v>413</v>
      </c>
      <c r="C7018" s="119">
        <v>1357</v>
      </c>
    </row>
    <row r="7019" spans="2:3">
      <c r="B7019" s="118" t="s">
        <v>390</v>
      </c>
      <c r="C7019" s="119">
        <v>1354</v>
      </c>
    </row>
    <row r="7020" spans="2:3">
      <c r="B7020" s="118" t="s">
        <v>207</v>
      </c>
      <c r="C7020" s="119">
        <v>1350</v>
      </c>
    </row>
    <row r="7021" spans="2:3">
      <c r="B7021" s="118" t="s">
        <v>477</v>
      </c>
      <c r="C7021" s="119">
        <v>1148</v>
      </c>
    </row>
    <row r="7022" spans="2:3">
      <c r="B7022" s="118" t="s">
        <v>465</v>
      </c>
      <c r="C7022" s="119">
        <v>1324</v>
      </c>
    </row>
    <row r="7023" spans="2:3">
      <c r="B7023" s="118" t="s">
        <v>388</v>
      </c>
      <c r="C7023" s="119">
        <v>1439</v>
      </c>
    </row>
    <row r="7024" spans="2:3">
      <c r="B7024" s="118" t="s">
        <v>4398</v>
      </c>
      <c r="C7024" s="119">
        <v>1323</v>
      </c>
    </row>
    <row r="7025" spans="2:3">
      <c r="B7025" s="118" t="s">
        <v>485</v>
      </c>
      <c r="C7025" s="119">
        <v>1355</v>
      </c>
    </row>
    <row r="7026" spans="2:3">
      <c r="B7026" s="118" t="s">
        <v>363</v>
      </c>
      <c r="C7026" s="119">
        <v>1358</v>
      </c>
    </row>
    <row r="7027" spans="2:3">
      <c r="B7027" s="118" t="s">
        <v>227</v>
      </c>
      <c r="C7027" s="119">
        <v>1337</v>
      </c>
    </row>
    <row r="7028" spans="2:3">
      <c r="B7028" s="118" t="s">
        <v>387</v>
      </c>
      <c r="C7028" s="119">
        <v>1325</v>
      </c>
    </row>
    <row r="7029" spans="2:3">
      <c r="B7029" s="118" t="s">
        <v>356</v>
      </c>
      <c r="C7029" s="119">
        <v>1443</v>
      </c>
    </row>
    <row r="7030" spans="2:3">
      <c r="B7030" s="118" t="s">
        <v>368</v>
      </c>
      <c r="C7030" s="119">
        <v>1445</v>
      </c>
    </row>
    <row r="7031" spans="2:3">
      <c r="B7031" s="118" t="s">
        <v>400</v>
      </c>
      <c r="C7031" s="119">
        <v>1082</v>
      </c>
    </row>
    <row r="7032" spans="2:3">
      <c r="B7032" s="118" t="s">
        <v>423</v>
      </c>
      <c r="C7032" s="119">
        <v>1513</v>
      </c>
    </row>
    <row r="7033" spans="2:3">
      <c r="B7033" s="118" t="s">
        <v>395</v>
      </c>
      <c r="C7033" s="119">
        <v>1613</v>
      </c>
    </row>
    <row r="7034" spans="2:3">
      <c r="B7034" s="118" t="s">
        <v>358</v>
      </c>
      <c r="C7034" s="119">
        <v>1081</v>
      </c>
    </row>
    <row r="7035" spans="2:3">
      <c r="B7035" s="118" t="s">
        <v>401</v>
      </c>
      <c r="C7035" s="119">
        <v>1088</v>
      </c>
    </row>
    <row r="7036" spans="2:3">
      <c r="B7036" s="118" t="s">
        <v>266</v>
      </c>
      <c r="C7036" s="119">
        <v>1077</v>
      </c>
    </row>
    <row r="7037" spans="2:3">
      <c r="B7037" s="118" t="s">
        <v>4352</v>
      </c>
      <c r="C7037" s="119">
        <v>1080</v>
      </c>
    </row>
    <row r="7038" spans="2:3">
      <c r="B7038" s="118" t="s">
        <v>4399</v>
      </c>
      <c r="C7038" s="119">
        <v>1084</v>
      </c>
    </row>
    <row r="7039" spans="2:3">
      <c r="B7039" s="118" t="s">
        <v>381</v>
      </c>
      <c r="C7039" s="119">
        <v>1085</v>
      </c>
    </row>
    <row r="7040" spans="2:3">
      <c r="B7040" s="118" t="s">
        <v>4400</v>
      </c>
      <c r="C7040" s="119">
        <v>1041</v>
      </c>
    </row>
    <row r="7041" spans="2:3">
      <c r="B7041" s="118" t="s">
        <v>4401</v>
      </c>
      <c r="C7041" s="119">
        <v>1058</v>
      </c>
    </row>
    <row r="7042" spans="2:3">
      <c r="B7042" s="118" t="s">
        <v>4375</v>
      </c>
      <c r="C7042" s="119">
        <v>1059</v>
      </c>
    </row>
    <row r="7043" spans="2:3">
      <c r="B7043" s="118" t="s">
        <v>4402</v>
      </c>
      <c r="C7043" s="119">
        <v>1061</v>
      </c>
    </row>
    <row r="7044" spans="2:3">
      <c r="B7044" s="118" t="s">
        <v>4403</v>
      </c>
      <c r="C7044" s="119">
        <v>1062</v>
      </c>
    </row>
    <row r="7045" spans="2:3">
      <c r="B7045" s="118" t="s">
        <v>4384</v>
      </c>
      <c r="C7045" s="119">
        <v>1063</v>
      </c>
    </row>
    <row r="7046" spans="2:3">
      <c r="B7046" s="118" t="s">
        <v>436</v>
      </c>
      <c r="C7046" s="119">
        <v>1078</v>
      </c>
    </row>
    <row r="7047" spans="2:3">
      <c r="B7047" s="118" t="s">
        <v>4404</v>
      </c>
      <c r="C7047" s="119">
        <v>1607</v>
      </c>
    </row>
    <row r="7048" spans="2:3">
      <c r="B7048" s="118" t="s">
        <v>4405</v>
      </c>
      <c r="C7048" s="119">
        <v>1607</v>
      </c>
    </row>
    <row r="7049" spans="2:3">
      <c r="B7049" s="118" t="s">
        <v>4406</v>
      </c>
      <c r="C7049" s="119">
        <v>1607</v>
      </c>
    </row>
    <row r="7050" spans="2:3">
      <c r="B7050" s="118" t="s">
        <v>4358</v>
      </c>
      <c r="C7050" s="119">
        <v>1607</v>
      </c>
    </row>
    <row r="7051" spans="2:3">
      <c r="B7051" s="118" t="s">
        <v>4407</v>
      </c>
      <c r="C7051" s="119">
        <v>1608</v>
      </c>
    </row>
    <row r="7052" spans="2:3">
      <c r="B7052" s="118" t="s">
        <v>4408</v>
      </c>
      <c r="C7052" s="119">
        <v>1608</v>
      </c>
    </row>
    <row r="7053" spans="2:3">
      <c r="B7053" s="118" t="s">
        <v>4409</v>
      </c>
      <c r="C7053" s="119">
        <v>1608</v>
      </c>
    </row>
    <row r="7054" spans="2:3">
      <c r="B7054" s="118" t="s">
        <v>4410</v>
      </c>
      <c r="C7054" s="119">
        <v>1610</v>
      </c>
    </row>
    <row r="7055" spans="2:3">
      <c r="B7055" s="118" t="s">
        <v>4411</v>
      </c>
      <c r="C7055" s="119">
        <v>1610</v>
      </c>
    </row>
    <row r="7056" spans="2:3">
      <c r="B7056" s="118" t="s">
        <v>4412</v>
      </c>
      <c r="C7056" s="119">
        <v>1610</v>
      </c>
    </row>
    <row r="7057" spans="2:3">
      <c r="B7057" s="118" t="s">
        <v>4413</v>
      </c>
      <c r="C7057" s="119">
        <v>1612</v>
      </c>
    </row>
    <row r="7058" spans="2:3">
      <c r="B7058" s="118" t="s">
        <v>4414</v>
      </c>
      <c r="C7058" s="119">
        <v>1076</v>
      </c>
    </row>
    <row r="7059" spans="2:3">
      <c r="B7059" s="118" t="s">
        <v>4415</v>
      </c>
      <c r="C7059" s="119">
        <v>1083</v>
      </c>
    </row>
    <row r="7060" spans="2:3">
      <c r="B7060" s="118" t="s">
        <v>4399</v>
      </c>
      <c r="C7060" s="119">
        <v>1084</v>
      </c>
    </row>
    <row r="7061" spans="2:3">
      <c r="B7061" s="118" t="s">
        <v>486</v>
      </c>
      <c r="C7061" s="119">
        <v>1537</v>
      </c>
    </row>
    <row r="7062" spans="2:3">
      <c r="B7062" s="118" t="s">
        <v>398</v>
      </c>
      <c r="C7062" s="119">
        <v>1545</v>
      </c>
    </row>
    <row r="7063" spans="2:3">
      <c r="B7063" s="118" t="s">
        <v>257</v>
      </c>
      <c r="C7063" s="119">
        <v>1562</v>
      </c>
    </row>
    <row r="7064" spans="2:3">
      <c r="B7064" s="118" t="s">
        <v>3252</v>
      </c>
      <c r="C7064" s="119">
        <v>1774</v>
      </c>
    </row>
    <row r="7065" spans="2:3">
      <c r="B7065" s="118" t="s">
        <v>334</v>
      </c>
      <c r="C7065" s="119">
        <v>1543</v>
      </c>
    </row>
    <row r="7066" spans="2:3">
      <c r="B7066" s="118" t="s">
        <v>431</v>
      </c>
      <c r="C7066" s="119">
        <v>1525</v>
      </c>
    </row>
    <row r="7067" spans="2:3">
      <c r="B7067" s="118" t="s">
        <v>435</v>
      </c>
      <c r="C7067" s="119">
        <v>1565</v>
      </c>
    </row>
    <row r="7068" spans="2:3">
      <c r="B7068" s="118" t="s">
        <v>199</v>
      </c>
      <c r="C7068" s="119">
        <v>1530</v>
      </c>
    </row>
    <row r="7069" spans="2:3">
      <c r="B7069" s="118" t="s">
        <v>4416</v>
      </c>
      <c r="C7069" s="119">
        <v>1551</v>
      </c>
    </row>
    <row r="7070" spans="2:3">
      <c r="B7070" s="118" t="s">
        <v>257</v>
      </c>
      <c r="C7070" s="119">
        <v>1562</v>
      </c>
    </row>
    <row r="7071" spans="2:3">
      <c r="B7071" s="118" t="s">
        <v>449</v>
      </c>
      <c r="C7071" s="119">
        <v>1552</v>
      </c>
    </row>
    <row r="7072" spans="2:3">
      <c r="B7072" s="118" t="s">
        <v>488</v>
      </c>
      <c r="C7072" s="119">
        <v>1538</v>
      </c>
    </row>
    <row r="7073" spans="2:3">
      <c r="B7073" s="118" t="s">
        <v>4417</v>
      </c>
      <c r="C7073" s="119">
        <v>1554</v>
      </c>
    </row>
    <row r="7074" spans="2:3">
      <c r="B7074" s="118" t="s">
        <v>4418</v>
      </c>
      <c r="C7074" s="119">
        <v>1554</v>
      </c>
    </row>
    <row r="7075" spans="2:3">
      <c r="B7075" s="118" t="s">
        <v>414</v>
      </c>
      <c r="C7075" s="119">
        <v>1555</v>
      </c>
    </row>
    <row r="7076" spans="2:3">
      <c r="B7076" s="118" t="s">
        <v>1239</v>
      </c>
      <c r="C7076" s="119">
        <v>1485</v>
      </c>
    </row>
    <row r="7077" spans="2:3">
      <c r="B7077" s="118" t="s">
        <v>4419</v>
      </c>
      <c r="C7077" s="119">
        <v>1523</v>
      </c>
    </row>
    <row r="7078" spans="2:3">
      <c r="B7078" s="118" t="s">
        <v>4420</v>
      </c>
      <c r="C7078" s="119">
        <v>1524</v>
      </c>
    </row>
    <row r="7079" spans="2:3">
      <c r="B7079" s="118" t="s">
        <v>3259</v>
      </c>
      <c r="C7079" s="119">
        <v>1525</v>
      </c>
    </row>
    <row r="7080" spans="2:3">
      <c r="B7080" s="118" t="s">
        <v>3267</v>
      </c>
      <c r="C7080" s="119">
        <v>1534</v>
      </c>
    </row>
    <row r="7081" spans="2:3">
      <c r="B7081" s="118" t="s">
        <v>4421</v>
      </c>
      <c r="C7081" s="119">
        <v>1535</v>
      </c>
    </row>
    <row r="7082" spans="2:3">
      <c r="B7082" s="118" t="s">
        <v>4422</v>
      </c>
      <c r="C7082" s="119">
        <v>1536</v>
      </c>
    </row>
    <row r="7083" spans="2:3">
      <c r="B7083" s="118" t="s">
        <v>4423</v>
      </c>
      <c r="C7083" s="119">
        <v>1682</v>
      </c>
    </row>
    <row r="7084" spans="2:3">
      <c r="B7084" s="118" t="s">
        <v>4424</v>
      </c>
      <c r="C7084" s="119">
        <v>1682</v>
      </c>
    </row>
    <row r="7085" spans="2:3">
      <c r="B7085" s="118" t="s">
        <v>333</v>
      </c>
      <c r="C7085" s="119">
        <v>1659</v>
      </c>
    </row>
    <row r="7086" spans="2:3">
      <c r="B7086" s="118" t="s">
        <v>4425</v>
      </c>
      <c r="C7086" s="119">
        <v>1659</v>
      </c>
    </row>
    <row r="7087" spans="2:3">
      <c r="B7087" s="118" t="s">
        <v>231</v>
      </c>
      <c r="C7087" s="119">
        <v>1660</v>
      </c>
    </row>
    <row r="7088" spans="2:3">
      <c r="B7088" s="118" t="s">
        <v>4426</v>
      </c>
      <c r="C7088" s="119">
        <v>1660</v>
      </c>
    </row>
    <row r="7089" spans="2:3">
      <c r="B7089" s="118" t="s">
        <v>4427</v>
      </c>
      <c r="C7089" s="119">
        <v>1660</v>
      </c>
    </row>
    <row r="7090" spans="2:3">
      <c r="B7090" s="118" t="s">
        <v>4295</v>
      </c>
      <c r="C7090" s="119">
        <v>1660</v>
      </c>
    </row>
    <row r="7091" spans="2:3">
      <c r="B7091" s="118" t="s">
        <v>376</v>
      </c>
      <c r="C7091" s="119">
        <v>1658</v>
      </c>
    </row>
    <row r="7092" spans="2:3">
      <c r="B7092" s="118" t="s">
        <v>4428</v>
      </c>
      <c r="C7092" s="119">
        <v>1658</v>
      </c>
    </row>
    <row r="7093" spans="2:3">
      <c r="B7093" s="118" t="s">
        <v>333</v>
      </c>
      <c r="C7093" s="119">
        <v>1659</v>
      </c>
    </row>
    <row r="7094" spans="2:3">
      <c r="B7094" s="118" t="s">
        <v>4425</v>
      </c>
      <c r="C7094" s="119">
        <v>1659</v>
      </c>
    </row>
    <row r="7095" spans="2:3">
      <c r="B7095" s="118" t="s">
        <v>404</v>
      </c>
      <c r="C7095" s="119">
        <v>1165</v>
      </c>
    </row>
    <row r="7096" spans="2:3">
      <c r="B7096" s="118" t="s">
        <v>386</v>
      </c>
      <c r="C7096" s="119">
        <v>1195</v>
      </c>
    </row>
    <row r="7097" spans="2:3">
      <c r="B7097" s="118" t="s">
        <v>348</v>
      </c>
      <c r="C7097" s="119">
        <v>1183</v>
      </c>
    </row>
    <row r="7098" spans="2:3">
      <c r="B7098" s="118" t="s">
        <v>432</v>
      </c>
      <c r="C7098" s="119">
        <v>1268</v>
      </c>
    </row>
    <row r="7099" spans="2:3">
      <c r="B7099" s="118" t="s">
        <v>432</v>
      </c>
      <c r="C7099" s="119">
        <v>1268</v>
      </c>
    </row>
    <row r="7100" spans="2:3">
      <c r="B7100" s="118" t="s">
        <v>362</v>
      </c>
      <c r="C7100" s="119">
        <v>1195</v>
      </c>
    </row>
    <row r="7101" spans="2:3">
      <c r="B7101" s="118" t="s">
        <v>208</v>
      </c>
      <c r="C7101" s="119">
        <v>1180</v>
      </c>
    </row>
    <row r="7102" spans="2:3">
      <c r="B7102" s="118" t="s">
        <v>456</v>
      </c>
      <c r="C7102" s="119">
        <v>1180</v>
      </c>
    </row>
    <row r="7103" spans="2:3">
      <c r="B7103" s="118" t="s">
        <v>249</v>
      </c>
      <c r="C7103" s="119">
        <v>1185</v>
      </c>
    </row>
    <row r="7104" spans="2:3">
      <c r="B7104" s="118" t="s">
        <v>354</v>
      </c>
      <c r="C7104" s="119">
        <v>1186</v>
      </c>
    </row>
    <row r="7105" spans="2:3">
      <c r="B7105" s="118" t="s">
        <v>208</v>
      </c>
      <c r="C7105" s="119">
        <v>1180</v>
      </c>
    </row>
    <row r="7106" spans="2:3">
      <c r="B7106" s="118" t="s">
        <v>288</v>
      </c>
      <c r="C7106" s="119">
        <v>1182</v>
      </c>
    </row>
    <row r="7107" spans="2:3">
      <c r="B7107" s="118" t="s">
        <v>348</v>
      </c>
      <c r="C7107" s="119">
        <v>1183</v>
      </c>
    </row>
    <row r="7108" spans="2:3">
      <c r="B7108" s="118" t="s">
        <v>354</v>
      </c>
      <c r="C7108" s="119">
        <v>1186</v>
      </c>
    </row>
    <row r="7109" spans="2:3">
      <c r="B7109" s="118" t="s">
        <v>386</v>
      </c>
      <c r="C7109" s="119">
        <v>1195</v>
      </c>
    </row>
    <row r="7110" spans="2:3">
      <c r="B7110" s="118" t="s">
        <v>366</v>
      </c>
      <c r="C7110" s="119">
        <v>1184</v>
      </c>
    </row>
    <row r="7111" spans="2:3">
      <c r="B7111" s="118" t="s">
        <v>249</v>
      </c>
      <c r="C7111" s="119">
        <v>1185</v>
      </c>
    </row>
    <row r="7112" spans="2:3">
      <c r="B7112" s="118" t="s">
        <v>278</v>
      </c>
      <c r="C7112" s="119">
        <v>1166</v>
      </c>
    </row>
    <row r="7113" spans="2:3">
      <c r="B7113" s="118" t="s">
        <v>208</v>
      </c>
      <c r="C7113" s="119">
        <v>1180</v>
      </c>
    </row>
    <row r="7114" spans="2:3">
      <c r="B7114" s="118" t="s">
        <v>456</v>
      </c>
      <c r="C7114" s="119">
        <v>1180</v>
      </c>
    </row>
    <row r="7115" spans="2:3">
      <c r="B7115" s="118" t="s">
        <v>428</v>
      </c>
      <c r="C7115" s="119">
        <v>1184</v>
      </c>
    </row>
    <row r="7116" spans="2:3">
      <c r="B7116" s="118" t="s">
        <v>432</v>
      </c>
      <c r="C7116" s="119">
        <v>1268</v>
      </c>
    </row>
    <row r="7117" spans="2:3">
      <c r="B7117" s="118" t="s">
        <v>4429</v>
      </c>
      <c r="C7117" s="119">
        <v>1342</v>
      </c>
    </row>
    <row r="7118" spans="2:3">
      <c r="B7118" s="118" t="s">
        <v>279</v>
      </c>
      <c r="C7118" s="119">
        <v>1344</v>
      </c>
    </row>
    <row r="7119" spans="2:3">
      <c r="B7119" s="118" t="s">
        <v>4430</v>
      </c>
      <c r="C7119" s="119">
        <v>1346</v>
      </c>
    </row>
    <row r="7120" spans="2:3">
      <c r="B7120" s="118" t="s">
        <v>4431</v>
      </c>
      <c r="C7120" s="119">
        <v>1341</v>
      </c>
    </row>
    <row r="7121" spans="2:3">
      <c r="B7121" s="118" t="s">
        <v>4432</v>
      </c>
      <c r="C7121" s="119">
        <v>1347</v>
      </c>
    </row>
    <row r="7122" spans="2:3">
      <c r="B7122" s="118" t="s">
        <v>4433</v>
      </c>
      <c r="C7122" s="119">
        <v>1347</v>
      </c>
    </row>
    <row r="7123" spans="2:3">
      <c r="B7123" s="118" t="s">
        <v>4434</v>
      </c>
      <c r="C7123" s="119">
        <v>1348</v>
      </c>
    </row>
    <row r="7124" spans="2:3">
      <c r="B7124" s="118" t="s">
        <v>4435</v>
      </c>
      <c r="C7124" s="119">
        <v>1343</v>
      </c>
    </row>
    <row r="7125" spans="2:3">
      <c r="B7125" s="118" t="s">
        <v>336</v>
      </c>
      <c r="C7125" s="119">
        <v>1345</v>
      </c>
    </row>
    <row r="7126" spans="2:3">
      <c r="B7126" s="118" t="s">
        <v>4436</v>
      </c>
      <c r="C7126" s="119">
        <v>1345</v>
      </c>
    </row>
    <row r="7127" spans="2:3">
      <c r="B7127" s="118" t="s">
        <v>4437</v>
      </c>
      <c r="C7127" s="119">
        <v>1801</v>
      </c>
    </row>
    <row r="7128" spans="2:3">
      <c r="B7128" s="118" t="s">
        <v>243</v>
      </c>
      <c r="C7128" s="119">
        <v>1803</v>
      </c>
    </row>
    <row r="7129" spans="2:3">
      <c r="B7129" s="118" t="s">
        <v>258</v>
      </c>
      <c r="C7129" s="119">
        <v>1802</v>
      </c>
    </row>
    <row r="7130" spans="2:3">
      <c r="B7130" s="118" t="s">
        <v>232</v>
      </c>
      <c r="C7130" s="119">
        <v>1804</v>
      </c>
    </row>
    <row r="7131" spans="2:3">
      <c r="B7131" s="118" t="s">
        <v>276</v>
      </c>
      <c r="C7131" s="119">
        <v>1805</v>
      </c>
    </row>
    <row r="7132" spans="2:3">
      <c r="B7132" s="118" t="s">
        <v>3424</v>
      </c>
      <c r="C7132" s="119">
        <v>1808</v>
      </c>
    </row>
    <row r="7133" spans="2:3">
      <c r="B7133" s="118" t="s">
        <v>4438</v>
      </c>
      <c r="C7133" s="119">
        <v>1809</v>
      </c>
    </row>
    <row r="7134" spans="2:3">
      <c r="B7134" s="118" t="s">
        <v>243</v>
      </c>
      <c r="C7134" s="119">
        <v>1803</v>
      </c>
    </row>
    <row r="7135" spans="2:3">
      <c r="B7135" s="118" t="s">
        <v>232</v>
      </c>
      <c r="C7135" s="119">
        <v>1804</v>
      </c>
    </row>
    <row r="7136" spans="2:3">
      <c r="B7136" s="118" t="s">
        <v>276</v>
      </c>
      <c r="C7136" s="119">
        <v>1805</v>
      </c>
    </row>
    <row r="7137" spans="2:3">
      <c r="B7137" s="118" t="s">
        <v>209</v>
      </c>
      <c r="C7137" s="119">
        <v>1807</v>
      </c>
    </row>
    <row r="7138" spans="2:3">
      <c r="B7138" s="118" t="s">
        <v>1613</v>
      </c>
      <c r="C7138" s="119">
        <v>1815</v>
      </c>
    </row>
    <row r="7139" spans="2:3">
      <c r="B7139" s="118" t="s">
        <v>1610</v>
      </c>
      <c r="C7139" s="119">
        <v>1816</v>
      </c>
    </row>
    <row r="7140" spans="2:3">
      <c r="B7140" s="118" t="s">
        <v>1605</v>
      </c>
      <c r="C7140" s="119">
        <v>1817</v>
      </c>
    </row>
    <row r="7141" spans="2:3">
      <c r="B7141" s="118" t="s">
        <v>186</v>
      </c>
      <c r="C7141" s="119">
        <v>1820</v>
      </c>
    </row>
    <row r="7142" spans="2:3">
      <c r="B7142" s="118" t="s">
        <v>1606</v>
      </c>
      <c r="C7142" s="119">
        <v>1820</v>
      </c>
    </row>
    <row r="7143" spans="2:3">
      <c r="B7143" s="118" t="s">
        <v>1611</v>
      </c>
      <c r="C7143" s="119">
        <v>1822</v>
      </c>
    </row>
    <row r="7144" spans="2:3">
      <c r="B7144" s="118" t="s">
        <v>703</v>
      </c>
      <c r="C7144" s="119">
        <v>1823</v>
      </c>
    </row>
    <row r="7145" spans="2:3">
      <c r="B7145" s="118" t="s">
        <v>1609</v>
      </c>
      <c r="C7145" s="119">
        <v>1824</v>
      </c>
    </row>
    <row r="7146" spans="2:3">
      <c r="B7146" s="118" t="s">
        <v>1608</v>
      </c>
      <c r="C7146" s="119">
        <v>1832</v>
      </c>
    </row>
    <row r="7147" spans="2:3">
      <c r="B7147" s="118" t="s">
        <v>1612</v>
      </c>
      <c r="C7147" s="119">
        <v>1832</v>
      </c>
    </row>
    <row r="7148" spans="2:3">
      <c r="B7148" s="118" t="s">
        <v>1607</v>
      </c>
      <c r="C7148" s="119">
        <v>1833</v>
      </c>
    </row>
    <row r="7149" spans="2:3">
      <c r="B7149" s="118" t="s">
        <v>196</v>
      </c>
      <c r="C7149" s="119">
        <v>1814</v>
      </c>
    </row>
    <row r="7150" spans="2:3">
      <c r="B7150" s="118" t="s">
        <v>190</v>
      </c>
      <c r="C7150" s="119">
        <v>1800</v>
      </c>
    </row>
    <row r="7151" spans="2:3">
      <c r="B7151" s="118" t="s">
        <v>337</v>
      </c>
      <c r="C7151" s="119">
        <v>1820</v>
      </c>
    </row>
    <row r="7152" spans="2:3">
      <c r="B7152" s="118" t="s">
        <v>4439</v>
      </c>
      <c r="C7152" s="119">
        <v>1806</v>
      </c>
    </row>
    <row r="7153" spans="2:3">
      <c r="B7153" s="118" t="s">
        <v>209</v>
      </c>
      <c r="C7153" s="119">
        <v>1807</v>
      </c>
    </row>
    <row r="7154" spans="2:3">
      <c r="B7154" s="118" t="s">
        <v>424</v>
      </c>
      <c r="C7154" s="119">
        <v>1432</v>
      </c>
    </row>
    <row r="7155" spans="2:3">
      <c r="B7155" s="118" t="s">
        <v>444</v>
      </c>
      <c r="C7155" s="119">
        <v>1045</v>
      </c>
    </row>
    <row r="7156" spans="2:3">
      <c r="B7156" s="118" t="s">
        <v>461</v>
      </c>
      <c r="C7156" s="119">
        <v>1407</v>
      </c>
    </row>
    <row r="7157" spans="2:3">
      <c r="B7157" s="118" t="s">
        <v>378</v>
      </c>
      <c r="C7157" s="119">
        <v>1436</v>
      </c>
    </row>
    <row r="7158" spans="2:3">
      <c r="B7158" s="118" t="s">
        <v>356</v>
      </c>
      <c r="C7158" s="119">
        <v>1443</v>
      </c>
    </row>
    <row r="7159" spans="2:3">
      <c r="B7159" s="118" t="s">
        <v>4440</v>
      </c>
      <c r="C7159" s="119">
        <v>1443</v>
      </c>
    </row>
    <row r="7160" spans="2:3">
      <c r="B7160" s="118" t="s">
        <v>4441</v>
      </c>
      <c r="C7160" s="119">
        <v>1443</v>
      </c>
    </row>
    <row r="7161" spans="2:3">
      <c r="B7161" s="118" t="s">
        <v>447</v>
      </c>
      <c r="C7161" s="119">
        <v>1464</v>
      </c>
    </row>
    <row r="7162" spans="2:3">
      <c r="B7162" s="118" t="s">
        <v>484</v>
      </c>
      <c r="C7162" s="119">
        <v>1464</v>
      </c>
    </row>
    <row r="7163" spans="2:3">
      <c r="B7163" s="118" t="s">
        <v>352</v>
      </c>
      <c r="C7163" s="119">
        <v>1400</v>
      </c>
    </row>
    <row r="7164" spans="2:3">
      <c r="B7164" s="118" t="s">
        <v>421</v>
      </c>
      <c r="C7164" s="119">
        <v>1406</v>
      </c>
    </row>
    <row r="7165" spans="2:3">
      <c r="B7165" s="118" t="s">
        <v>352</v>
      </c>
      <c r="C7165" s="119">
        <v>1400</v>
      </c>
    </row>
    <row r="7166" spans="2:3">
      <c r="B7166" s="118" t="s">
        <v>453</v>
      </c>
      <c r="C7166" s="119">
        <v>1404</v>
      </c>
    </row>
    <row r="7167" spans="2:3">
      <c r="B7167" s="118" t="s">
        <v>480</v>
      </c>
      <c r="C7167" s="119">
        <v>1415</v>
      </c>
    </row>
    <row r="7168" spans="2:3">
      <c r="B7168" s="118" t="s">
        <v>343</v>
      </c>
      <c r="C7168" s="119">
        <v>1407</v>
      </c>
    </row>
    <row r="7169" spans="2:3">
      <c r="B7169" s="118" t="s">
        <v>4442</v>
      </c>
      <c r="C7169" s="119">
        <v>1407</v>
      </c>
    </row>
    <row r="7170" spans="2:3">
      <c r="B7170" s="118" t="s">
        <v>4443</v>
      </c>
      <c r="C7170" s="119">
        <v>1407</v>
      </c>
    </row>
    <row r="7171" spans="2:3">
      <c r="B7171" s="118" t="s">
        <v>4444</v>
      </c>
      <c r="C7171" s="119">
        <v>1408</v>
      </c>
    </row>
    <row r="7172" spans="2:3">
      <c r="B7172" s="118" t="s">
        <v>4445</v>
      </c>
      <c r="C7172" s="119">
        <v>1434</v>
      </c>
    </row>
    <row r="7173" spans="2:3">
      <c r="B7173" s="118" t="s">
        <v>364</v>
      </c>
      <c r="C7173" s="119">
        <v>1438</v>
      </c>
    </row>
    <row r="7174" spans="2:3">
      <c r="B7174" s="118" t="s">
        <v>458</v>
      </c>
      <c r="C7174" s="119">
        <v>1415</v>
      </c>
    </row>
    <row r="7175" spans="2:3">
      <c r="B7175" s="118" t="s">
        <v>350</v>
      </c>
      <c r="C7175" s="119">
        <v>1442</v>
      </c>
    </row>
    <row r="7176" spans="2:3">
      <c r="B7176" s="118" t="s">
        <v>470</v>
      </c>
      <c r="C7176" s="119">
        <v>1047</v>
      </c>
    </row>
    <row r="7177" spans="2:3">
      <c r="B7177" s="118" t="s">
        <v>438</v>
      </c>
      <c r="C7177" s="119">
        <v>1430</v>
      </c>
    </row>
    <row r="7178" spans="2:3">
      <c r="B7178" s="118" t="s">
        <v>471</v>
      </c>
      <c r="C7178" s="119">
        <v>1413</v>
      </c>
    </row>
    <row r="7179" spans="2:3">
      <c r="B7179" s="118" t="s">
        <v>345</v>
      </c>
      <c r="C7179" s="119">
        <v>1405</v>
      </c>
    </row>
    <row r="7180" spans="2:3">
      <c r="B7180" s="118" t="s">
        <v>474</v>
      </c>
      <c r="C7180" s="119">
        <v>1463</v>
      </c>
    </row>
    <row r="7181" spans="2:3">
      <c r="B7181" s="118" t="s">
        <v>367</v>
      </c>
      <c r="C7181" s="119">
        <v>1433</v>
      </c>
    </row>
    <row r="7182" spans="2:3">
      <c r="B7182" s="118" t="s">
        <v>468</v>
      </c>
      <c r="C7182" s="119">
        <v>1437</v>
      </c>
    </row>
    <row r="7183" spans="2:3">
      <c r="B7183" s="118" t="s">
        <v>403</v>
      </c>
      <c r="C7183" s="119">
        <v>1436</v>
      </c>
    </row>
    <row r="7184" spans="2:3">
      <c r="B7184" s="118" t="s">
        <v>464</v>
      </c>
      <c r="C7184" s="119">
        <v>1412</v>
      </c>
    </row>
    <row r="7185" spans="2:3">
      <c r="B7185" s="118" t="s">
        <v>351</v>
      </c>
      <c r="C7185" s="119">
        <v>1441</v>
      </c>
    </row>
    <row r="7186" spans="2:3">
      <c r="B7186" s="118" t="s">
        <v>454</v>
      </c>
      <c r="C7186" s="119">
        <v>1412</v>
      </c>
    </row>
    <row r="7187" spans="2:3">
      <c r="B7187" s="118" t="s">
        <v>490</v>
      </c>
      <c r="C7187" s="119">
        <v>1404</v>
      </c>
    </row>
    <row r="7188" spans="2:3">
      <c r="B7188" s="118" t="s">
        <v>487</v>
      </c>
      <c r="C7188" s="119">
        <v>1431</v>
      </c>
    </row>
    <row r="7189" spans="2:3">
      <c r="B7189" s="118" t="s">
        <v>185</v>
      </c>
      <c r="C7189" s="119">
        <v>1400</v>
      </c>
    </row>
    <row r="7190" spans="2:3">
      <c r="B7190" s="118" t="s">
        <v>4446</v>
      </c>
      <c r="C7190" s="119">
        <v>1432</v>
      </c>
    </row>
    <row r="7191" spans="2:3">
      <c r="B7191" s="118" t="s">
        <v>233</v>
      </c>
      <c r="C7191" s="119">
        <v>1462</v>
      </c>
    </row>
    <row r="7192" spans="2:3">
      <c r="B7192" s="118" t="s">
        <v>4447</v>
      </c>
      <c r="C7192" s="119">
        <v>3900</v>
      </c>
    </row>
    <row r="7193" spans="2:3">
      <c r="B7193" s="118" t="s">
        <v>4448</v>
      </c>
      <c r="C7193" s="119">
        <v>3900</v>
      </c>
    </row>
    <row r="7194" spans="2:3">
      <c r="B7194" s="118" t="s">
        <v>4449</v>
      </c>
      <c r="C7194" s="119">
        <v>3900</v>
      </c>
    </row>
    <row r="7195" spans="2:3">
      <c r="B7195" s="118" t="s">
        <v>4450</v>
      </c>
      <c r="C7195" s="119">
        <v>3902</v>
      </c>
    </row>
    <row r="7196" spans="2:3">
      <c r="B7196" s="118" t="s">
        <v>962</v>
      </c>
      <c r="C7196" s="119">
        <v>3939</v>
      </c>
    </row>
    <row r="7197" spans="2:3">
      <c r="B7197" s="118" t="s">
        <v>4447</v>
      </c>
      <c r="C7197" s="119">
        <v>3900</v>
      </c>
    </row>
    <row r="7198" spans="2:3">
      <c r="B7198" s="118" t="s">
        <v>4451</v>
      </c>
      <c r="C7198" s="119">
        <v>3903</v>
      </c>
    </row>
    <row r="7199" spans="2:3">
      <c r="B7199" s="118" t="s">
        <v>4452</v>
      </c>
      <c r="C7199" s="119">
        <v>3903</v>
      </c>
    </row>
    <row r="7200" spans="2:3">
      <c r="B7200" s="118" t="s">
        <v>861</v>
      </c>
      <c r="C7200" s="119">
        <v>3904</v>
      </c>
    </row>
    <row r="7201" spans="2:3">
      <c r="B7201" s="118" t="s">
        <v>4453</v>
      </c>
      <c r="C7201" s="119">
        <v>3914</v>
      </c>
    </row>
    <row r="7202" spans="2:3">
      <c r="B7202" s="118" t="s">
        <v>4454</v>
      </c>
      <c r="C7202" s="119">
        <v>3914</v>
      </c>
    </row>
    <row r="7203" spans="2:3">
      <c r="B7203" s="118" t="s">
        <v>4447</v>
      </c>
      <c r="C7203" s="119">
        <v>3900</v>
      </c>
    </row>
    <row r="7204" spans="2:3">
      <c r="B7204" s="118" t="s">
        <v>4455</v>
      </c>
      <c r="C7204" s="119">
        <v>3901</v>
      </c>
    </row>
    <row r="7205" spans="2:3">
      <c r="B7205" s="118" t="s">
        <v>893</v>
      </c>
      <c r="C7205" s="119">
        <v>3911</v>
      </c>
    </row>
    <row r="7206" spans="2:3">
      <c r="B7206" s="118" t="s">
        <v>4456</v>
      </c>
      <c r="C7206" s="119">
        <v>3907</v>
      </c>
    </row>
    <row r="7207" spans="2:3">
      <c r="B7207" s="118" t="s">
        <v>4457</v>
      </c>
      <c r="C7207" s="119">
        <v>3907</v>
      </c>
    </row>
    <row r="7208" spans="2:3">
      <c r="B7208" s="118" t="s">
        <v>4458</v>
      </c>
      <c r="C7208" s="119">
        <v>3907</v>
      </c>
    </row>
    <row r="7209" spans="2:3">
      <c r="B7209" s="118" t="s">
        <v>4447</v>
      </c>
      <c r="C7209" s="119">
        <v>3900</v>
      </c>
    </row>
    <row r="7210" spans="2:3">
      <c r="B7210" s="118" t="s">
        <v>930</v>
      </c>
      <c r="C7210" s="119">
        <v>3912</v>
      </c>
    </row>
    <row r="7211" spans="2:3">
      <c r="B7211" s="118" t="s">
        <v>4459</v>
      </c>
      <c r="C7211" s="119">
        <v>3913</v>
      </c>
    </row>
    <row r="7212" spans="2:3">
      <c r="B7212" s="118" t="s">
        <v>926</v>
      </c>
      <c r="C7212" s="119">
        <v>3982</v>
      </c>
    </row>
    <row r="7213" spans="2:3">
      <c r="B7213" s="118" t="s">
        <v>4456</v>
      </c>
      <c r="C7213" s="119">
        <v>3907</v>
      </c>
    </row>
    <row r="7214" spans="2:3">
      <c r="B7214" s="118" t="s">
        <v>4458</v>
      </c>
      <c r="C7214" s="119">
        <v>3907</v>
      </c>
    </row>
    <row r="7215" spans="2:3">
      <c r="B7215" s="118" t="s">
        <v>4460</v>
      </c>
      <c r="C7215" s="119">
        <v>3907</v>
      </c>
    </row>
    <row r="7216" spans="2:3">
      <c r="B7216" s="118" t="s">
        <v>884</v>
      </c>
      <c r="C7216" s="119">
        <v>1957</v>
      </c>
    </row>
    <row r="7217" spans="2:3">
      <c r="B7217" s="118" t="s">
        <v>885</v>
      </c>
      <c r="C7217" s="119">
        <v>1908</v>
      </c>
    </row>
    <row r="7218" spans="2:3">
      <c r="B7218" s="118" t="s">
        <v>879</v>
      </c>
      <c r="C7218" s="119">
        <v>1955</v>
      </c>
    </row>
    <row r="7219" spans="2:3">
      <c r="B7219" s="118" t="s">
        <v>4461</v>
      </c>
      <c r="C7219" s="119">
        <v>1955</v>
      </c>
    </row>
    <row r="7220" spans="2:3">
      <c r="B7220" s="118" t="s">
        <v>4462</v>
      </c>
      <c r="C7220" s="119">
        <v>1955</v>
      </c>
    </row>
    <row r="7221" spans="2:3">
      <c r="B7221" s="118" t="s">
        <v>4463</v>
      </c>
      <c r="C7221" s="119">
        <v>1955</v>
      </c>
    </row>
    <row r="7222" spans="2:3">
      <c r="B7222" s="118" t="s">
        <v>4464</v>
      </c>
      <c r="C7222" s="119">
        <v>1955</v>
      </c>
    </row>
    <row r="7223" spans="2:3">
      <c r="B7223" s="118" t="s">
        <v>4465</v>
      </c>
      <c r="C7223" s="119">
        <v>1955</v>
      </c>
    </row>
    <row r="7224" spans="2:3">
      <c r="B7224" s="118" t="s">
        <v>869</v>
      </c>
      <c r="C7224" s="119">
        <v>1963</v>
      </c>
    </row>
    <row r="7225" spans="2:3">
      <c r="B7225" s="118" t="s">
        <v>864</v>
      </c>
      <c r="C7225" s="119">
        <v>1964</v>
      </c>
    </row>
    <row r="7226" spans="2:3">
      <c r="B7226" s="118" t="s">
        <v>867</v>
      </c>
      <c r="C7226" s="119">
        <v>1965</v>
      </c>
    </row>
    <row r="7227" spans="2:3">
      <c r="B7227" s="118" t="s">
        <v>4466</v>
      </c>
      <c r="C7227" s="119">
        <v>1975</v>
      </c>
    </row>
    <row r="7228" spans="2:3">
      <c r="B7228" s="118" t="s">
        <v>4467</v>
      </c>
      <c r="C7228" s="119">
        <v>1976</v>
      </c>
    </row>
    <row r="7229" spans="2:3">
      <c r="B7229" s="118" t="s">
        <v>4468</v>
      </c>
      <c r="C7229" s="119">
        <v>1976</v>
      </c>
    </row>
    <row r="7230" spans="2:3">
      <c r="B7230" s="118" t="s">
        <v>4469</v>
      </c>
      <c r="C7230" s="119">
        <v>1976</v>
      </c>
    </row>
    <row r="7231" spans="2:3">
      <c r="B7231" s="118" t="s">
        <v>945</v>
      </c>
      <c r="C7231" s="119">
        <v>1993</v>
      </c>
    </row>
    <row r="7232" spans="2:3">
      <c r="B7232" s="118" t="s">
        <v>4470</v>
      </c>
      <c r="C7232" s="119">
        <v>1993</v>
      </c>
    </row>
    <row r="7233" spans="2:3">
      <c r="B7233" s="118" t="s">
        <v>4471</v>
      </c>
      <c r="C7233" s="119">
        <v>1994</v>
      </c>
    </row>
    <row r="7234" spans="2:3">
      <c r="B7234" s="118" t="s">
        <v>4472</v>
      </c>
      <c r="C7234" s="119">
        <v>1996</v>
      </c>
    </row>
    <row r="7235" spans="2:3">
      <c r="B7235" s="118" t="s">
        <v>4473</v>
      </c>
      <c r="C7235" s="119">
        <v>1996</v>
      </c>
    </row>
    <row r="7236" spans="2:3">
      <c r="B7236" s="118" t="s">
        <v>4474</v>
      </c>
      <c r="C7236" s="119">
        <v>1996</v>
      </c>
    </row>
    <row r="7237" spans="2:3">
      <c r="B7237" s="118" t="s">
        <v>4475</v>
      </c>
      <c r="C7237" s="119">
        <v>1996</v>
      </c>
    </row>
    <row r="7238" spans="2:3">
      <c r="B7238" s="118" t="s">
        <v>4476</v>
      </c>
      <c r="C7238" s="119">
        <v>1996</v>
      </c>
    </row>
    <row r="7239" spans="2:3">
      <c r="B7239" s="118" t="s">
        <v>4477</v>
      </c>
      <c r="C7239" s="119">
        <v>1996</v>
      </c>
    </row>
    <row r="7240" spans="2:3">
      <c r="B7240" s="118" t="s">
        <v>4478</v>
      </c>
      <c r="C7240" s="119">
        <v>1996</v>
      </c>
    </row>
    <row r="7241" spans="2:3">
      <c r="B7241" s="118" t="s">
        <v>4479</v>
      </c>
      <c r="C7241" s="119">
        <v>1996</v>
      </c>
    </row>
    <row r="7242" spans="2:3">
      <c r="B7242" s="118" t="s">
        <v>4480</v>
      </c>
      <c r="C7242" s="119">
        <v>1997</v>
      </c>
    </row>
    <row r="7243" spans="2:3">
      <c r="B7243" s="118" t="s">
        <v>4481</v>
      </c>
      <c r="C7243" s="119">
        <v>1997</v>
      </c>
    </row>
    <row r="7244" spans="2:3">
      <c r="B7244" s="118" t="s">
        <v>4482</v>
      </c>
      <c r="C7244" s="119">
        <v>1997</v>
      </c>
    </row>
    <row r="7245" spans="2:3">
      <c r="B7245" s="118" t="s">
        <v>869</v>
      </c>
      <c r="C7245" s="119">
        <v>1963</v>
      </c>
    </row>
    <row r="7246" spans="2:3">
      <c r="B7246" s="118" t="s">
        <v>4468</v>
      </c>
      <c r="C7246" s="119">
        <v>1976</v>
      </c>
    </row>
    <row r="7247" spans="2:3">
      <c r="B7247" s="118" t="s">
        <v>4483</v>
      </c>
      <c r="C7247" s="119">
        <v>1946</v>
      </c>
    </row>
    <row r="7248" spans="2:3">
      <c r="B7248" s="118" t="s">
        <v>935</v>
      </c>
      <c r="C7248" s="119">
        <v>1945</v>
      </c>
    </row>
    <row r="7249" spans="2:3">
      <c r="B7249" s="118" t="s">
        <v>4484</v>
      </c>
      <c r="C7249" s="119">
        <v>1945</v>
      </c>
    </row>
    <row r="7250" spans="2:3">
      <c r="B7250" s="118" t="s">
        <v>4485</v>
      </c>
      <c r="C7250" s="119">
        <v>1945</v>
      </c>
    </row>
    <row r="7251" spans="2:3">
      <c r="B7251" s="118" t="s">
        <v>4486</v>
      </c>
      <c r="C7251" s="119">
        <v>1945</v>
      </c>
    </row>
    <row r="7252" spans="2:3">
      <c r="B7252" s="118" t="s">
        <v>4487</v>
      </c>
      <c r="C7252" s="119">
        <v>1945</v>
      </c>
    </row>
    <row r="7253" spans="2:3">
      <c r="B7253" s="118" t="s">
        <v>4488</v>
      </c>
      <c r="C7253" s="119">
        <v>1945</v>
      </c>
    </row>
    <row r="7254" spans="2:3">
      <c r="B7254" s="118" t="s">
        <v>4489</v>
      </c>
      <c r="C7254" s="119">
        <v>1945</v>
      </c>
    </row>
    <row r="7255" spans="2:3">
      <c r="B7255" s="118" t="s">
        <v>4490</v>
      </c>
      <c r="C7255" s="119">
        <v>1945</v>
      </c>
    </row>
    <row r="7256" spans="2:3">
      <c r="B7256" s="118" t="s">
        <v>4491</v>
      </c>
      <c r="C7256" s="119">
        <v>1945</v>
      </c>
    </row>
    <row r="7257" spans="2:3">
      <c r="B7257" s="118" t="s">
        <v>4492</v>
      </c>
      <c r="C7257" s="119">
        <v>1945</v>
      </c>
    </row>
    <row r="7258" spans="2:3">
      <c r="B7258" s="118" t="s">
        <v>4493</v>
      </c>
      <c r="C7258" s="119">
        <v>1945</v>
      </c>
    </row>
    <row r="7259" spans="2:3">
      <c r="B7259" s="118" t="s">
        <v>4494</v>
      </c>
      <c r="C7259" s="119">
        <v>1945</v>
      </c>
    </row>
    <row r="7260" spans="2:3">
      <c r="B7260" s="118" t="s">
        <v>4483</v>
      </c>
      <c r="C7260" s="119">
        <v>1946</v>
      </c>
    </row>
    <row r="7261" spans="2:3">
      <c r="B7261" s="118" t="s">
        <v>882</v>
      </c>
      <c r="C7261" s="119">
        <v>1937</v>
      </c>
    </row>
    <row r="7262" spans="2:3">
      <c r="B7262" s="118" t="s">
        <v>4495</v>
      </c>
      <c r="C7262" s="119">
        <v>1938</v>
      </c>
    </row>
    <row r="7263" spans="2:3">
      <c r="B7263" s="118" t="s">
        <v>4496</v>
      </c>
      <c r="C7263" s="119">
        <v>1943</v>
      </c>
    </row>
    <row r="7264" spans="2:3">
      <c r="B7264" s="118" t="s">
        <v>4497</v>
      </c>
      <c r="C7264" s="119">
        <v>1944</v>
      </c>
    </row>
    <row r="7265" spans="2:3">
      <c r="B7265" s="118" t="s">
        <v>924</v>
      </c>
      <c r="C7265" s="119">
        <v>1933</v>
      </c>
    </row>
    <row r="7266" spans="2:3">
      <c r="B7266" s="118" t="s">
        <v>4498</v>
      </c>
      <c r="C7266" s="119">
        <v>1933</v>
      </c>
    </row>
    <row r="7267" spans="2:3">
      <c r="B7267" s="118" t="s">
        <v>4499</v>
      </c>
      <c r="C7267" s="119">
        <v>1933</v>
      </c>
    </row>
    <row r="7268" spans="2:3">
      <c r="B7268" s="118" t="s">
        <v>4500</v>
      </c>
      <c r="C7268" s="119">
        <v>1927</v>
      </c>
    </row>
    <row r="7269" spans="2:3">
      <c r="B7269" s="118" t="s">
        <v>4501</v>
      </c>
      <c r="C7269" s="119">
        <v>1933</v>
      </c>
    </row>
    <row r="7270" spans="2:3">
      <c r="B7270" s="118" t="s">
        <v>4502</v>
      </c>
      <c r="C7270" s="119">
        <v>1934</v>
      </c>
    </row>
    <row r="7271" spans="2:3">
      <c r="B7271" s="118" t="s">
        <v>4503</v>
      </c>
      <c r="C7271" s="119">
        <v>1934</v>
      </c>
    </row>
    <row r="7272" spans="2:3">
      <c r="B7272" s="118" t="s">
        <v>4504</v>
      </c>
      <c r="C7272" s="119">
        <v>1936</v>
      </c>
    </row>
    <row r="7273" spans="2:3">
      <c r="B7273" s="118" t="s">
        <v>894</v>
      </c>
      <c r="C7273" s="119">
        <v>1941</v>
      </c>
    </row>
    <row r="7274" spans="2:3">
      <c r="B7274" s="118" t="s">
        <v>4505</v>
      </c>
      <c r="C7274" s="119">
        <v>1941</v>
      </c>
    </row>
    <row r="7275" spans="2:3">
      <c r="B7275" s="118" t="s">
        <v>4506</v>
      </c>
      <c r="C7275" s="119">
        <v>1942</v>
      </c>
    </row>
    <row r="7276" spans="2:3">
      <c r="B7276" s="118" t="s">
        <v>4507</v>
      </c>
      <c r="C7276" s="119">
        <v>1947</v>
      </c>
    </row>
    <row r="7277" spans="2:3">
      <c r="B7277" s="118" t="s">
        <v>4508</v>
      </c>
      <c r="C7277" s="119">
        <v>1947</v>
      </c>
    </row>
    <row r="7278" spans="2:3">
      <c r="B7278" s="118" t="s">
        <v>4509</v>
      </c>
      <c r="C7278" s="119">
        <v>1948</v>
      </c>
    </row>
    <row r="7279" spans="2:3">
      <c r="B7279" s="118" t="s">
        <v>4510</v>
      </c>
      <c r="C7279" s="119">
        <v>1948</v>
      </c>
    </row>
    <row r="7280" spans="2:3">
      <c r="B7280" s="118" t="s">
        <v>4511</v>
      </c>
      <c r="C7280" s="119">
        <v>1948</v>
      </c>
    </row>
    <row r="7281" spans="2:3">
      <c r="B7281" s="118" t="s">
        <v>958</v>
      </c>
      <c r="C7281" s="119">
        <v>3997</v>
      </c>
    </row>
    <row r="7282" spans="2:3">
      <c r="B7282" s="118" t="s">
        <v>976</v>
      </c>
      <c r="C7282" s="119">
        <v>3996</v>
      </c>
    </row>
    <row r="7283" spans="2:3">
      <c r="B7283" s="118" t="s">
        <v>949</v>
      </c>
      <c r="C7283" s="119">
        <v>3995</v>
      </c>
    </row>
    <row r="7284" spans="2:3">
      <c r="B7284" s="118" t="s">
        <v>4512</v>
      </c>
      <c r="C7284" s="119">
        <v>3995</v>
      </c>
    </row>
    <row r="7285" spans="2:3">
      <c r="B7285" s="118" t="s">
        <v>4513</v>
      </c>
      <c r="C7285" s="119">
        <v>3995</v>
      </c>
    </row>
    <row r="7286" spans="2:3">
      <c r="B7286" s="118" t="s">
        <v>4514</v>
      </c>
      <c r="C7286" s="119">
        <v>3995</v>
      </c>
    </row>
    <row r="7287" spans="2:3">
      <c r="B7287" s="118" t="s">
        <v>929</v>
      </c>
      <c r="C7287" s="119">
        <v>3984</v>
      </c>
    </row>
    <row r="7288" spans="2:3">
      <c r="B7288" s="118" t="s">
        <v>2945</v>
      </c>
      <c r="C7288" s="119">
        <v>3801</v>
      </c>
    </row>
    <row r="7289" spans="2:3">
      <c r="B7289" s="118" t="s">
        <v>929</v>
      </c>
      <c r="C7289" s="119">
        <v>3984</v>
      </c>
    </row>
    <row r="7290" spans="2:3">
      <c r="B7290" s="118" t="s">
        <v>963</v>
      </c>
      <c r="C7290" s="119">
        <v>3984</v>
      </c>
    </row>
    <row r="7291" spans="2:3">
      <c r="B7291" s="118" t="s">
        <v>958</v>
      </c>
      <c r="C7291" s="119">
        <v>3997</v>
      </c>
    </row>
    <row r="7292" spans="2:3">
      <c r="B7292" s="118" t="s">
        <v>929</v>
      </c>
      <c r="C7292" s="119">
        <v>3984</v>
      </c>
    </row>
    <row r="7293" spans="2:3">
      <c r="B7293" s="118" t="s">
        <v>955</v>
      </c>
      <c r="C7293" s="119">
        <v>3993</v>
      </c>
    </row>
    <row r="7294" spans="2:3">
      <c r="B7294" s="118" t="s">
        <v>965</v>
      </c>
      <c r="C7294" s="119">
        <v>3994</v>
      </c>
    </row>
    <row r="7295" spans="2:3">
      <c r="B7295" s="118" t="s">
        <v>4515</v>
      </c>
      <c r="C7295" s="119">
        <v>3988</v>
      </c>
    </row>
    <row r="7296" spans="2:3">
      <c r="B7296" s="118" t="s">
        <v>4516</v>
      </c>
      <c r="C7296" s="119">
        <v>3988</v>
      </c>
    </row>
    <row r="7297" spans="2:3">
      <c r="B7297" s="118" t="s">
        <v>4517</v>
      </c>
      <c r="C7297" s="119">
        <v>3999</v>
      </c>
    </row>
    <row r="7298" spans="2:3">
      <c r="B7298" s="118" t="s">
        <v>4518</v>
      </c>
      <c r="C7298" s="119">
        <v>3985</v>
      </c>
    </row>
    <row r="7299" spans="2:3">
      <c r="B7299" s="118" t="s">
        <v>4519</v>
      </c>
      <c r="C7299" s="119">
        <v>3985</v>
      </c>
    </row>
    <row r="7300" spans="2:3">
      <c r="B7300" s="118" t="s">
        <v>4520</v>
      </c>
      <c r="C7300" s="119">
        <v>3989</v>
      </c>
    </row>
    <row r="7301" spans="2:3">
      <c r="B7301" s="118" t="s">
        <v>4521</v>
      </c>
      <c r="C7301" s="119">
        <v>3989</v>
      </c>
    </row>
    <row r="7302" spans="2:3">
      <c r="B7302" s="118" t="s">
        <v>4522</v>
      </c>
      <c r="C7302" s="119">
        <v>3989</v>
      </c>
    </row>
    <row r="7303" spans="2:3">
      <c r="B7303" s="118" t="s">
        <v>4523</v>
      </c>
      <c r="C7303" s="119">
        <v>3989</v>
      </c>
    </row>
    <row r="7304" spans="2:3">
      <c r="B7304" s="118" t="s">
        <v>4524</v>
      </c>
      <c r="C7304" s="119">
        <v>3989</v>
      </c>
    </row>
    <row r="7305" spans="2:3">
      <c r="B7305" s="118" t="s">
        <v>4525</v>
      </c>
      <c r="C7305" s="119">
        <v>3998</v>
      </c>
    </row>
    <row r="7306" spans="2:3">
      <c r="B7306" s="118" t="s">
        <v>4526</v>
      </c>
      <c r="C7306" s="119">
        <v>3998</v>
      </c>
    </row>
    <row r="7307" spans="2:3">
      <c r="B7307" s="118" t="s">
        <v>4527</v>
      </c>
      <c r="C7307" s="119">
        <v>1958</v>
      </c>
    </row>
    <row r="7308" spans="2:3">
      <c r="B7308" s="118" t="s">
        <v>4528</v>
      </c>
      <c r="C7308" s="119">
        <v>1958</v>
      </c>
    </row>
    <row r="7309" spans="2:3">
      <c r="B7309" s="118" t="s">
        <v>4529</v>
      </c>
      <c r="C7309" s="119">
        <v>1966</v>
      </c>
    </row>
    <row r="7310" spans="2:3">
      <c r="B7310" s="118" t="s">
        <v>4530</v>
      </c>
      <c r="C7310" s="119">
        <v>1966</v>
      </c>
    </row>
    <row r="7311" spans="2:3">
      <c r="B7311" s="118" t="s">
        <v>4531</v>
      </c>
      <c r="C7311" s="119">
        <v>1966</v>
      </c>
    </row>
    <row r="7312" spans="2:3">
      <c r="B7312" s="118" t="s">
        <v>4532</v>
      </c>
      <c r="C7312" s="119">
        <v>1966</v>
      </c>
    </row>
    <row r="7313" spans="2:3">
      <c r="B7313" s="118" t="s">
        <v>4533</v>
      </c>
      <c r="C7313" s="119">
        <v>1966</v>
      </c>
    </row>
    <row r="7314" spans="2:3">
      <c r="B7314" s="118" t="s">
        <v>4534</v>
      </c>
      <c r="C7314" s="119">
        <v>1966</v>
      </c>
    </row>
    <row r="7315" spans="2:3">
      <c r="B7315" s="118" t="s">
        <v>4535</v>
      </c>
      <c r="C7315" s="119">
        <v>1966</v>
      </c>
    </row>
    <row r="7316" spans="2:3">
      <c r="B7316" s="118" t="s">
        <v>4536</v>
      </c>
      <c r="C7316" s="119">
        <v>1966</v>
      </c>
    </row>
    <row r="7317" spans="2:3">
      <c r="B7317" s="118" t="s">
        <v>4537</v>
      </c>
      <c r="C7317" s="119">
        <v>1966</v>
      </c>
    </row>
    <row r="7318" spans="2:3">
      <c r="B7318" s="118" t="s">
        <v>4538</v>
      </c>
      <c r="C7318" s="119">
        <v>1966</v>
      </c>
    </row>
    <row r="7319" spans="2:3">
      <c r="B7319" s="118" t="s">
        <v>4539</v>
      </c>
      <c r="C7319" s="119">
        <v>1972</v>
      </c>
    </row>
    <row r="7320" spans="2:3">
      <c r="B7320" s="118" t="s">
        <v>919</v>
      </c>
      <c r="C7320" s="119">
        <v>1974</v>
      </c>
    </row>
    <row r="7321" spans="2:3">
      <c r="B7321" s="118" t="s">
        <v>903</v>
      </c>
      <c r="C7321" s="119">
        <v>1983</v>
      </c>
    </row>
    <row r="7322" spans="2:3">
      <c r="B7322" s="118" t="s">
        <v>4540</v>
      </c>
      <c r="C7322" s="119">
        <v>1983</v>
      </c>
    </row>
    <row r="7323" spans="2:3">
      <c r="B7323" s="118" t="s">
        <v>4541</v>
      </c>
      <c r="C7323" s="119">
        <v>1984</v>
      </c>
    </row>
    <row r="7324" spans="2:3">
      <c r="B7324" s="118" t="s">
        <v>4542</v>
      </c>
      <c r="C7324" s="119">
        <v>1984</v>
      </c>
    </row>
    <row r="7325" spans="2:3">
      <c r="B7325" s="118" t="s">
        <v>4543</v>
      </c>
      <c r="C7325" s="119">
        <v>1985</v>
      </c>
    </row>
    <row r="7326" spans="2:3">
      <c r="B7326" s="118" t="s">
        <v>4544</v>
      </c>
      <c r="C7326" s="119">
        <v>1985</v>
      </c>
    </row>
    <row r="7327" spans="2:3">
      <c r="B7327" s="118" t="s">
        <v>4545</v>
      </c>
      <c r="C7327" s="119">
        <v>1985</v>
      </c>
    </row>
    <row r="7328" spans="2:3">
      <c r="B7328" s="118" t="s">
        <v>4546</v>
      </c>
      <c r="C7328" s="119">
        <v>1986</v>
      </c>
    </row>
    <row r="7329" spans="2:3">
      <c r="B7329" s="118" t="s">
        <v>4547</v>
      </c>
      <c r="C7329" s="119">
        <v>1982</v>
      </c>
    </row>
    <row r="7330" spans="2:3">
      <c r="B7330" s="118" t="s">
        <v>909</v>
      </c>
      <c r="C7330" s="119">
        <v>1987</v>
      </c>
    </row>
    <row r="7331" spans="2:3">
      <c r="B7331" s="118" t="s">
        <v>4548</v>
      </c>
      <c r="C7331" s="119">
        <v>1969</v>
      </c>
    </row>
    <row r="7332" spans="2:3">
      <c r="B7332" s="118" t="s">
        <v>4549</v>
      </c>
      <c r="C7332" s="119">
        <v>1969</v>
      </c>
    </row>
    <row r="7333" spans="2:3">
      <c r="B7333" s="118" t="s">
        <v>4550</v>
      </c>
      <c r="C7333" s="119">
        <v>1969</v>
      </c>
    </row>
    <row r="7334" spans="2:3">
      <c r="B7334" s="118" t="s">
        <v>4551</v>
      </c>
      <c r="C7334" s="119">
        <v>1969</v>
      </c>
    </row>
    <row r="7335" spans="2:3">
      <c r="B7335" s="118" t="s">
        <v>4552</v>
      </c>
      <c r="C7335" s="119">
        <v>1969</v>
      </c>
    </row>
    <row r="7336" spans="2:3">
      <c r="B7336" s="118" t="s">
        <v>4547</v>
      </c>
      <c r="C7336" s="119">
        <v>1982</v>
      </c>
    </row>
    <row r="7337" spans="2:3">
      <c r="B7337" s="118" t="s">
        <v>4553</v>
      </c>
      <c r="C7337" s="119">
        <v>1967</v>
      </c>
    </row>
    <row r="7338" spans="2:3">
      <c r="B7338" s="118" t="s">
        <v>900</v>
      </c>
      <c r="C7338" s="119">
        <v>1981</v>
      </c>
    </row>
    <row r="7339" spans="2:3">
      <c r="B7339" s="118" t="s">
        <v>4554</v>
      </c>
      <c r="C7339" s="119">
        <v>1988</v>
      </c>
    </row>
    <row r="7340" spans="2:3">
      <c r="B7340" s="118" t="s">
        <v>4555</v>
      </c>
      <c r="C7340" s="119">
        <v>1988</v>
      </c>
    </row>
    <row r="7341" spans="2:3">
      <c r="B7341" s="118" t="s">
        <v>4556</v>
      </c>
      <c r="C7341" s="119">
        <v>1992</v>
      </c>
    </row>
    <row r="7342" spans="2:3">
      <c r="B7342" s="118" t="s">
        <v>4557</v>
      </c>
      <c r="C7342" s="119">
        <v>1992</v>
      </c>
    </row>
    <row r="7343" spans="2:3">
      <c r="B7343" s="118" t="s">
        <v>4558</v>
      </c>
      <c r="C7343" s="119">
        <v>1961</v>
      </c>
    </row>
    <row r="7344" spans="2:3">
      <c r="B7344" s="118" t="s">
        <v>4559</v>
      </c>
      <c r="C7344" s="119">
        <v>1968</v>
      </c>
    </row>
    <row r="7345" spans="2:3">
      <c r="B7345" s="118" t="s">
        <v>4560</v>
      </c>
      <c r="C7345" s="119">
        <v>1973</v>
      </c>
    </row>
    <row r="7346" spans="2:3">
      <c r="B7346" s="118" t="s">
        <v>4561</v>
      </c>
      <c r="C7346" s="119">
        <v>3967</v>
      </c>
    </row>
    <row r="7347" spans="2:3">
      <c r="B7347" s="118" t="s">
        <v>4562</v>
      </c>
      <c r="C7347" s="119">
        <v>3948</v>
      </c>
    </row>
    <row r="7348" spans="2:3">
      <c r="B7348" s="118" t="s">
        <v>936</v>
      </c>
      <c r="C7348" s="119">
        <v>3951</v>
      </c>
    </row>
    <row r="7349" spans="2:3">
      <c r="B7349" s="118" t="s">
        <v>971</v>
      </c>
      <c r="C7349" s="119">
        <v>3955</v>
      </c>
    </row>
    <row r="7350" spans="2:3">
      <c r="B7350" s="118" t="s">
        <v>4563</v>
      </c>
      <c r="C7350" s="119">
        <v>3946</v>
      </c>
    </row>
    <row r="7351" spans="2:3">
      <c r="B7351" s="118" t="s">
        <v>973</v>
      </c>
      <c r="C7351" s="119">
        <v>3947</v>
      </c>
    </row>
    <row r="7352" spans="2:3">
      <c r="B7352" s="118" t="s">
        <v>977</v>
      </c>
      <c r="C7352" s="119">
        <v>3948</v>
      </c>
    </row>
    <row r="7353" spans="2:3">
      <c r="B7353" s="118" t="s">
        <v>978</v>
      </c>
      <c r="C7353" s="119">
        <v>3953</v>
      </c>
    </row>
    <row r="7354" spans="2:3">
      <c r="B7354" s="118" t="s">
        <v>4564</v>
      </c>
      <c r="C7354" s="119">
        <v>3945</v>
      </c>
    </row>
    <row r="7355" spans="2:3">
      <c r="B7355" s="118" t="s">
        <v>936</v>
      </c>
      <c r="C7355" s="119">
        <v>3951</v>
      </c>
    </row>
    <row r="7356" spans="2:3">
      <c r="B7356" s="118" t="s">
        <v>4565</v>
      </c>
      <c r="C7356" s="119">
        <v>3952</v>
      </c>
    </row>
    <row r="7357" spans="2:3">
      <c r="B7357" s="118" t="s">
        <v>4566</v>
      </c>
      <c r="C7357" s="119">
        <v>3953</v>
      </c>
    </row>
    <row r="7358" spans="2:3">
      <c r="B7358" s="118" t="s">
        <v>978</v>
      </c>
      <c r="C7358" s="119">
        <v>3953</v>
      </c>
    </row>
    <row r="7359" spans="2:3">
      <c r="B7359" s="118" t="s">
        <v>957</v>
      </c>
      <c r="C7359" s="119">
        <v>3956</v>
      </c>
    </row>
    <row r="7360" spans="2:3">
      <c r="B7360" s="118" t="s">
        <v>4567</v>
      </c>
      <c r="C7360" s="119">
        <v>3957</v>
      </c>
    </row>
    <row r="7361" spans="2:3">
      <c r="B7361" s="118" t="s">
        <v>907</v>
      </c>
      <c r="C7361" s="119">
        <v>3970</v>
      </c>
    </row>
    <row r="7362" spans="2:3">
      <c r="B7362" s="118" t="s">
        <v>978</v>
      </c>
      <c r="C7362" s="119">
        <v>3953</v>
      </c>
    </row>
    <row r="7363" spans="2:3">
      <c r="B7363" s="118" t="s">
        <v>908</v>
      </c>
      <c r="C7363" s="119">
        <v>3954</v>
      </c>
    </row>
    <row r="7364" spans="2:3">
      <c r="B7364" s="118" t="s">
        <v>4563</v>
      </c>
      <c r="C7364" s="119">
        <v>3946</v>
      </c>
    </row>
    <row r="7365" spans="2:3">
      <c r="B7365" s="118" t="s">
        <v>977</v>
      </c>
      <c r="C7365" s="119">
        <v>3948</v>
      </c>
    </row>
    <row r="7366" spans="2:3">
      <c r="B7366" s="118" t="s">
        <v>907</v>
      </c>
      <c r="C7366" s="119">
        <v>3970</v>
      </c>
    </row>
    <row r="7367" spans="2:3">
      <c r="B7367" s="118" t="s">
        <v>4566</v>
      </c>
      <c r="C7367" s="119">
        <v>3953</v>
      </c>
    </row>
    <row r="7368" spans="2:3">
      <c r="B7368" s="118" t="s">
        <v>943</v>
      </c>
      <c r="C7368" s="119">
        <v>3953</v>
      </c>
    </row>
    <row r="7369" spans="2:3">
      <c r="B7369" s="118" t="s">
        <v>907</v>
      </c>
      <c r="C7369" s="119">
        <v>3970</v>
      </c>
    </row>
    <row r="7370" spans="2:3">
      <c r="B7370" s="118" t="s">
        <v>957</v>
      </c>
      <c r="C7370" s="119">
        <v>3956</v>
      </c>
    </row>
    <row r="7371" spans="2:3">
      <c r="B7371" s="118" t="s">
        <v>4568</v>
      </c>
      <c r="C7371" s="119">
        <v>3940</v>
      </c>
    </row>
    <row r="7372" spans="2:3">
      <c r="B7372" s="118" t="s">
        <v>4569</v>
      </c>
      <c r="C7372" s="119">
        <v>3945</v>
      </c>
    </row>
    <row r="7373" spans="2:3">
      <c r="B7373" s="118" t="s">
        <v>4564</v>
      </c>
      <c r="C7373" s="119">
        <v>3945</v>
      </c>
    </row>
    <row r="7374" spans="2:3">
      <c r="B7374" s="118" t="s">
        <v>4570</v>
      </c>
      <c r="C7374" s="119">
        <v>3957</v>
      </c>
    </row>
    <row r="7375" spans="2:3">
      <c r="B7375" s="118" t="s">
        <v>4568</v>
      </c>
      <c r="C7375" s="119">
        <v>3940</v>
      </c>
    </row>
    <row r="7376" spans="2:3">
      <c r="B7376" s="118" t="s">
        <v>954</v>
      </c>
      <c r="C7376" s="119">
        <v>3943</v>
      </c>
    </row>
    <row r="7377" spans="2:3">
      <c r="B7377" s="118" t="s">
        <v>4571</v>
      </c>
      <c r="C7377" s="119">
        <v>3946</v>
      </c>
    </row>
    <row r="7378" spans="2:3">
      <c r="B7378" s="118" t="s">
        <v>4563</v>
      </c>
      <c r="C7378" s="119">
        <v>3946</v>
      </c>
    </row>
    <row r="7379" spans="2:3">
      <c r="B7379" s="118" t="s">
        <v>4562</v>
      </c>
      <c r="C7379" s="119">
        <v>3948</v>
      </c>
    </row>
    <row r="7380" spans="2:3">
      <c r="B7380" s="118" t="s">
        <v>936</v>
      </c>
      <c r="C7380" s="119">
        <v>3951</v>
      </c>
    </row>
    <row r="7381" spans="2:3">
      <c r="B7381" s="118" t="s">
        <v>4500</v>
      </c>
      <c r="C7381" s="119">
        <v>1927</v>
      </c>
    </row>
    <row r="7382" spans="2:3">
      <c r="B7382" s="118" t="s">
        <v>931</v>
      </c>
      <c r="C7382" s="119">
        <v>1932</v>
      </c>
    </row>
    <row r="7383" spans="2:3">
      <c r="B7383" s="118" t="s">
        <v>4572</v>
      </c>
      <c r="C7383" s="119">
        <v>1932</v>
      </c>
    </row>
    <row r="7384" spans="2:3">
      <c r="B7384" s="118" t="s">
        <v>863</v>
      </c>
      <c r="C7384" s="119">
        <v>1926</v>
      </c>
    </row>
    <row r="7385" spans="2:3">
      <c r="B7385" s="118" t="s">
        <v>933</v>
      </c>
      <c r="C7385" s="119">
        <v>1914</v>
      </c>
    </row>
    <row r="7386" spans="2:3">
      <c r="B7386" s="118" t="s">
        <v>4480</v>
      </c>
      <c r="C7386" s="119">
        <v>1997</v>
      </c>
    </row>
    <row r="7387" spans="2:3">
      <c r="B7387" s="118" t="s">
        <v>4573</v>
      </c>
      <c r="C7387" s="119">
        <v>1911</v>
      </c>
    </row>
    <row r="7388" spans="2:3">
      <c r="B7388" s="118" t="s">
        <v>883</v>
      </c>
      <c r="C7388" s="119">
        <v>1912</v>
      </c>
    </row>
    <row r="7389" spans="2:3">
      <c r="B7389" s="118" t="s">
        <v>4574</v>
      </c>
      <c r="C7389" s="119">
        <v>1912</v>
      </c>
    </row>
    <row r="7390" spans="2:3">
      <c r="B7390" s="118" t="s">
        <v>4575</v>
      </c>
      <c r="C7390" s="119">
        <v>1912</v>
      </c>
    </row>
    <row r="7391" spans="2:3">
      <c r="B7391" s="118" t="s">
        <v>4576</v>
      </c>
      <c r="C7391" s="119">
        <v>1912</v>
      </c>
    </row>
    <row r="7392" spans="2:3">
      <c r="B7392" s="118" t="s">
        <v>898</v>
      </c>
      <c r="C7392" s="119">
        <v>1904</v>
      </c>
    </row>
    <row r="7393" spans="2:3">
      <c r="B7393" s="118" t="s">
        <v>902</v>
      </c>
      <c r="C7393" s="119">
        <v>1906</v>
      </c>
    </row>
    <row r="7394" spans="2:3">
      <c r="B7394" s="118" t="s">
        <v>870</v>
      </c>
      <c r="C7394" s="119">
        <v>1907</v>
      </c>
    </row>
    <row r="7395" spans="2:3">
      <c r="B7395" s="118" t="s">
        <v>856</v>
      </c>
      <c r="C7395" s="119">
        <v>1920</v>
      </c>
    </row>
    <row r="7396" spans="2:3">
      <c r="B7396" s="118" t="s">
        <v>4500</v>
      </c>
      <c r="C7396" s="119">
        <v>1927</v>
      </c>
    </row>
    <row r="7397" spans="2:3">
      <c r="B7397" s="118" t="s">
        <v>4577</v>
      </c>
      <c r="C7397" s="119">
        <v>1928</v>
      </c>
    </row>
    <row r="7398" spans="2:3">
      <c r="B7398" s="118" t="s">
        <v>856</v>
      </c>
      <c r="C7398" s="119">
        <v>1920</v>
      </c>
    </row>
    <row r="7399" spans="2:3">
      <c r="B7399" s="118" t="s">
        <v>4578</v>
      </c>
      <c r="C7399" s="119">
        <v>1921</v>
      </c>
    </row>
    <row r="7400" spans="2:3">
      <c r="B7400" s="118" t="s">
        <v>4577</v>
      </c>
      <c r="C7400" s="119">
        <v>1928</v>
      </c>
    </row>
    <row r="7401" spans="2:3">
      <c r="B7401" s="118" t="s">
        <v>885</v>
      </c>
      <c r="C7401" s="119">
        <v>1908</v>
      </c>
    </row>
    <row r="7402" spans="2:3">
      <c r="B7402" s="118" t="s">
        <v>4579</v>
      </c>
      <c r="C7402" s="119">
        <v>1914</v>
      </c>
    </row>
    <row r="7403" spans="2:3">
      <c r="B7403" s="118" t="s">
        <v>4580</v>
      </c>
      <c r="C7403" s="119">
        <v>1918</v>
      </c>
    </row>
    <row r="7404" spans="2:3">
      <c r="B7404" s="118" t="s">
        <v>4573</v>
      </c>
      <c r="C7404" s="119">
        <v>1911</v>
      </c>
    </row>
    <row r="7405" spans="2:3">
      <c r="B7405" s="118" t="s">
        <v>888</v>
      </c>
      <c r="C7405" s="119">
        <v>1913</v>
      </c>
    </row>
    <row r="7406" spans="2:3">
      <c r="B7406" s="118" t="s">
        <v>870</v>
      </c>
      <c r="C7406" s="119">
        <v>1907</v>
      </c>
    </row>
    <row r="7407" spans="2:3">
      <c r="B7407" s="118" t="s">
        <v>974</v>
      </c>
      <c r="C7407" s="119">
        <v>1929</v>
      </c>
    </row>
    <row r="7408" spans="2:3">
      <c r="B7408" s="118" t="s">
        <v>913</v>
      </c>
      <c r="C7408" s="119">
        <v>1874</v>
      </c>
    </row>
    <row r="7409" spans="2:3">
      <c r="B7409" s="118" t="s">
        <v>4581</v>
      </c>
      <c r="C7409" s="119">
        <v>1868</v>
      </c>
    </row>
    <row r="7410" spans="2:3">
      <c r="B7410" s="118" t="s">
        <v>4581</v>
      </c>
      <c r="C7410" s="119">
        <v>1868</v>
      </c>
    </row>
    <row r="7411" spans="2:3">
      <c r="B7411" s="118" t="s">
        <v>872</v>
      </c>
      <c r="C7411" s="119">
        <v>1872</v>
      </c>
    </row>
    <row r="7412" spans="2:3">
      <c r="B7412" s="118" t="s">
        <v>4582</v>
      </c>
      <c r="C7412" s="119">
        <v>1893</v>
      </c>
    </row>
    <row r="7413" spans="2:3">
      <c r="B7413" s="118" t="s">
        <v>857</v>
      </c>
      <c r="C7413" s="119">
        <v>1870</v>
      </c>
    </row>
    <row r="7414" spans="2:3">
      <c r="B7414" s="118" t="s">
        <v>857</v>
      </c>
      <c r="C7414" s="119">
        <v>1870</v>
      </c>
    </row>
    <row r="7415" spans="2:3">
      <c r="B7415" s="118" t="s">
        <v>4583</v>
      </c>
      <c r="C7415" s="119">
        <v>1871</v>
      </c>
    </row>
    <row r="7416" spans="2:3">
      <c r="B7416" s="118" t="s">
        <v>4584</v>
      </c>
      <c r="C7416" s="119">
        <v>1871</v>
      </c>
    </row>
    <row r="7417" spans="2:3">
      <c r="B7417" s="118" t="s">
        <v>4582</v>
      </c>
      <c r="C7417" s="119">
        <v>1893</v>
      </c>
    </row>
    <row r="7418" spans="2:3">
      <c r="B7418" s="118" t="s">
        <v>4585</v>
      </c>
      <c r="C7418" s="119">
        <v>1897</v>
      </c>
    </row>
    <row r="7419" spans="2:3">
      <c r="B7419" s="118" t="s">
        <v>4586</v>
      </c>
      <c r="C7419" s="119">
        <v>1897</v>
      </c>
    </row>
    <row r="7420" spans="2:3">
      <c r="B7420" s="118" t="s">
        <v>4587</v>
      </c>
      <c r="C7420" s="119">
        <v>1898</v>
      </c>
    </row>
    <row r="7421" spans="2:3">
      <c r="B7421" s="118" t="s">
        <v>4587</v>
      </c>
      <c r="C7421" s="119">
        <v>1898</v>
      </c>
    </row>
    <row r="7422" spans="2:3">
      <c r="B7422" s="118" t="s">
        <v>4584</v>
      </c>
      <c r="C7422" s="119">
        <v>1871</v>
      </c>
    </row>
    <row r="7423" spans="2:3">
      <c r="B7423" s="118" t="s">
        <v>872</v>
      </c>
      <c r="C7423" s="119">
        <v>1872</v>
      </c>
    </row>
    <row r="7424" spans="2:3">
      <c r="B7424" s="118" t="s">
        <v>4588</v>
      </c>
      <c r="C7424" s="119">
        <v>1875</v>
      </c>
    </row>
    <row r="7425" spans="2:3">
      <c r="B7425" s="118" t="s">
        <v>897</v>
      </c>
      <c r="C7425" s="119">
        <v>1873</v>
      </c>
    </row>
    <row r="7426" spans="2:3">
      <c r="B7426" s="118" t="s">
        <v>4589</v>
      </c>
      <c r="C7426" s="119">
        <v>1873</v>
      </c>
    </row>
    <row r="7427" spans="2:3">
      <c r="B7427" s="118" t="s">
        <v>4590</v>
      </c>
      <c r="C7427" s="119">
        <v>1873</v>
      </c>
    </row>
    <row r="7428" spans="2:3">
      <c r="B7428" s="118" t="s">
        <v>887</v>
      </c>
      <c r="C7428" s="119">
        <v>1895</v>
      </c>
    </row>
    <row r="7429" spans="2:3">
      <c r="B7429" s="118" t="s">
        <v>4591</v>
      </c>
      <c r="C7429" s="119">
        <v>1899</v>
      </c>
    </row>
    <row r="7430" spans="2:3">
      <c r="B7430" s="118" t="s">
        <v>875</v>
      </c>
      <c r="C7430" s="119">
        <v>1896</v>
      </c>
    </row>
    <row r="7431" spans="2:3">
      <c r="B7431" s="118" t="s">
        <v>4592</v>
      </c>
      <c r="C7431" s="119">
        <v>1896</v>
      </c>
    </row>
    <row r="7432" spans="2:3">
      <c r="B7432" s="118" t="s">
        <v>4586</v>
      </c>
      <c r="C7432" s="119">
        <v>1897</v>
      </c>
    </row>
    <row r="7433" spans="2:3">
      <c r="B7433" s="118" t="s">
        <v>4591</v>
      </c>
      <c r="C7433" s="119">
        <v>1899</v>
      </c>
    </row>
    <row r="7434" spans="2:3">
      <c r="B7434" s="118" t="s">
        <v>980</v>
      </c>
      <c r="C7434" s="119">
        <v>3983</v>
      </c>
    </row>
    <row r="7435" spans="2:3">
      <c r="B7435" s="118" t="s">
        <v>4453</v>
      </c>
      <c r="C7435" s="119">
        <v>3914</v>
      </c>
    </row>
    <row r="7436" spans="2:3">
      <c r="B7436" s="118" t="s">
        <v>926</v>
      </c>
      <c r="C7436" s="119">
        <v>3982</v>
      </c>
    </row>
    <row r="7437" spans="2:3">
      <c r="B7437" s="118" t="s">
        <v>955</v>
      </c>
      <c r="C7437" s="119">
        <v>3993</v>
      </c>
    </row>
    <row r="7438" spans="2:3">
      <c r="B7438" s="118" t="s">
        <v>4593</v>
      </c>
      <c r="C7438" s="119">
        <v>3994</v>
      </c>
    </row>
    <row r="7439" spans="2:3">
      <c r="B7439" s="118" t="s">
        <v>976</v>
      </c>
      <c r="C7439" s="119">
        <v>3996</v>
      </c>
    </row>
    <row r="7440" spans="2:3">
      <c r="B7440" s="118" t="s">
        <v>926</v>
      </c>
      <c r="C7440" s="119">
        <v>3982</v>
      </c>
    </row>
    <row r="7441" spans="2:3">
      <c r="B7441" s="118" t="s">
        <v>4594</v>
      </c>
      <c r="C7441" s="119">
        <v>3983</v>
      </c>
    </row>
    <row r="7442" spans="2:3">
      <c r="B7442" s="118" t="s">
        <v>4595</v>
      </c>
      <c r="C7442" s="119">
        <v>3983</v>
      </c>
    </row>
    <row r="7443" spans="2:3">
      <c r="B7443" s="118" t="s">
        <v>4596</v>
      </c>
      <c r="C7443" s="119">
        <v>3986</v>
      </c>
    </row>
    <row r="7444" spans="2:3">
      <c r="B7444" s="118" t="s">
        <v>950</v>
      </c>
      <c r="C7444" s="119">
        <v>3987</v>
      </c>
    </row>
    <row r="7445" spans="2:3">
      <c r="B7445" s="118" t="s">
        <v>944</v>
      </c>
      <c r="C7445" s="119">
        <v>3938</v>
      </c>
    </row>
    <row r="7446" spans="2:3">
      <c r="B7446" s="118" t="s">
        <v>4597</v>
      </c>
      <c r="C7446" s="119">
        <v>3942</v>
      </c>
    </row>
    <row r="7447" spans="2:3">
      <c r="B7447" s="118" t="s">
        <v>4598</v>
      </c>
      <c r="C7447" s="119">
        <v>3919</v>
      </c>
    </row>
    <row r="7448" spans="2:3">
      <c r="B7448" s="118" t="s">
        <v>938</v>
      </c>
      <c r="C7448" s="119">
        <v>3935</v>
      </c>
    </row>
    <row r="7449" spans="2:3">
      <c r="B7449" s="118" t="s">
        <v>954</v>
      </c>
      <c r="C7449" s="119">
        <v>3943</v>
      </c>
    </row>
    <row r="7450" spans="2:3">
      <c r="B7450" s="118" t="s">
        <v>970</v>
      </c>
      <c r="C7450" s="119">
        <v>3916</v>
      </c>
    </row>
    <row r="7451" spans="2:3">
      <c r="B7451" s="118" t="s">
        <v>4599</v>
      </c>
      <c r="C7451" s="119">
        <v>3917</v>
      </c>
    </row>
    <row r="7452" spans="2:3">
      <c r="B7452" s="118" t="s">
        <v>964</v>
      </c>
      <c r="C7452" s="119">
        <v>3917</v>
      </c>
    </row>
    <row r="7453" spans="2:3">
      <c r="B7453" s="118" t="s">
        <v>4568</v>
      </c>
      <c r="C7453" s="119">
        <v>3940</v>
      </c>
    </row>
    <row r="7454" spans="2:3">
      <c r="B7454" s="118" t="s">
        <v>896</v>
      </c>
      <c r="C7454" s="119">
        <v>3942</v>
      </c>
    </row>
    <row r="7455" spans="2:3">
      <c r="B7455" s="118" t="s">
        <v>939</v>
      </c>
      <c r="C7455" s="119">
        <v>3942</v>
      </c>
    </row>
    <row r="7456" spans="2:3">
      <c r="B7456" s="118" t="s">
        <v>954</v>
      </c>
      <c r="C7456" s="119">
        <v>3943</v>
      </c>
    </row>
    <row r="7457" spans="2:3">
      <c r="B7457" s="118" t="s">
        <v>4600</v>
      </c>
      <c r="C7457" s="119">
        <v>3949</v>
      </c>
    </row>
    <row r="7458" spans="2:3">
      <c r="B7458" s="118" t="s">
        <v>866</v>
      </c>
      <c r="C7458" s="119">
        <v>3930</v>
      </c>
    </row>
    <row r="7459" spans="2:3">
      <c r="B7459" s="118" t="s">
        <v>896</v>
      </c>
      <c r="C7459" s="119">
        <v>3942</v>
      </c>
    </row>
    <row r="7460" spans="2:3">
      <c r="B7460" s="118" t="s">
        <v>939</v>
      </c>
      <c r="C7460" s="119">
        <v>3942</v>
      </c>
    </row>
    <row r="7461" spans="2:3">
      <c r="B7461" s="118" t="s">
        <v>4597</v>
      </c>
      <c r="C7461" s="119">
        <v>3942</v>
      </c>
    </row>
    <row r="7462" spans="2:3">
      <c r="B7462" s="118" t="s">
        <v>896</v>
      </c>
      <c r="C7462" s="119">
        <v>3942</v>
      </c>
    </row>
    <row r="7463" spans="2:3">
      <c r="B7463" s="118" t="s">
        <v>4601</v>
      </c>
      <c r="C7463" s="119">
        <v>3944</v>
      </c>
    </row>
    <row r="7464" spans="2:3">
      <c r="B7464" s="118" t="s">
        <v>946</v>
      </c>
      <c r="C7464" s="119">
        <v>3918</v>
      </c>
    </row>
    <row r="7465" spans="2:3">
      <c r="B7465" s="118" t="s">
        <v>4602</v>
      </c>
      <c r="C7465" s="119">
        <v>3983</v>
      </c>
    </row>
    <row r="7466" spans="2:3">
      <c r="B7466" s="118" t="s">
        <v>4603</v>
      </c>
      <c r="C7466" s="119">
        <v>3983</v>
      </c>
    </row>
    <row r="7467" spans="2:3">
      <c r="B7467" s="118" t="s">
        <v>4568</v>
      </c>
      <c r="C7467" s="119">
        <v>3940</v>
      </c>
    </row>
    <row r="7468" spans="2:3">
      <c r="B7468" s="118" t="s">
        <v>4600</v>
      </c>
      <c r="C7468" s="119">
        <v>3949</v>
      </c>
    </row>
    <row r="7469" spans="2:3">
      <c r="B7469" s="118" t="s">
        <v>4594</v>
      </c>
      <c r="C7469" s="119">
        <v>3983</v>
      </c>
    </row>
    <row r="7470" spans="2:3">
      <c r="B7470" s="118" t="s">
        <v>4604</v>
      </c>
      <c r="C7470" s="119">
        <v>3991</v>
      </c>
    </row>
    <row r="7471" spans="2:3">
      <c r="B7471" s="118" t="s">
        <v>952</v>
      </c>
      <c r="C7471" s="119">
        <v>3992</v>
      </c>
    </row>
    <row r="7472" spans="2:3">
      <c r="B7472" s="118" t="s">
        <v>4593</v>
      </c>
      <c r="C7472" s="119">
        <v>3994</v>
      </c>
    </row>
    <row r="7473" spans="2:3">
      <c r="B7473" s="118" t="s">
        <v>934</v>
      </c>
      <c r="C7473" s="119">
        <v>1903</v>
      </c>
    </row>
    <row r="7474" spans="2:3">
      <c r="B7474" s="118" t="s">
        <v>928</v>
      </c>
      <c r="C7474" s="119">
        <v>1905</v>
      </c>
    </row>
    <row r="7475" spans="2:3">
      <c r="B7475" s="118" t="s">
        <v>918</v>
      </c>
      <c r="C7475" s="119">
        <v>1902</v>
      </c>
    </row>
    <row r="7476" spans="2:3">
      <c r="B7476" s="118" t="s">
        <v>959</v>
      </c>
      <c r="C7476" s="119">
        <v>1925</v>
      </c>
    </row>
    <row r="7477" spans="2:3">
      <c r="B7477" s="118" t="s">
        <v>4605</v>
      </c>
      <c r="C7477" s="119">
        <v>1925</v>
      </c>
    </row>
    <row r="7478" spans="2:3">
      <c r="B7478" s="118" t="s">
        <v>901</v>
      </c>
      <c r="C7478" s="119">
        <v>1869</v>
      </c>
    </row>
    <row r="7479" spans="2:3">
      <c r="B7479" s="118" t="s">
        <v>4584</v>
      </c>
      <c r="C7479" s="119">
        <v>1871</v>
      </c>
    </row>
    <row r="7480" spans="2:3">
      <c r="B7480" s="118" t="s">
        <v>937</v>
      </c>
      <c r="C7480" s="119">
        <v>1891</v>
      </c>
    </row>
    <row r="7481" spans="2:3">
      <c r="B7481" s="118" t="s">
        <v>4606</v>
      </c>
      <c r="C7481" s="119">
        <v>1890</v>
      </c>
    </row>
    <row r="7482" spans="2:3">
      <c r="B7482" s="118" t="s">
        <v>4607</v>
      </c>
      <c r="C7482" s="119">
        <v>1890</v>
      </c>
    </row>
    <row r="7483" spans="2:3">
      <c r="B7483" s="118" t="s">
        <v>918</v>
      </c>
      <c r="C7483" s="119">
        <v>1902</v>
      </c>
    </row>
    <row r="7484" spans="2:3">
      <c r="B7484" s="118" t="s">
        <v>856</v>
      </c>
      <c r="C7484" s="119">
        <v>1920</v>
      </c>
    </row>
    <row r="7485" spans="2:3">
      <c r="B7485" s="118" t="s">
        <v>910</v>
      </c>
      <c r="C7485" s="119">
        <v>1922</v>
      </c>
    </row>
    <row r="7486" spans="2:3">
      <c r="B7486" s="118" t="s">
        <v>4608</v>
      </c>
      <c r="C7486" s="119">
        <v>1922</v>
      </c>
    </row>
    <row r="7487" spans="2:3">
      <c r="B7487" s="118" t="s">
        <v>4609</v>
      </c>
      <c r="C7487" s="119">
        <v>1923</v>
      </c>
    </row>
    <row r="7488" spans="2:3">
      <c r="B7488" s="118" t="s">
        <v>4610</v>
      </c>
      <c r="C7488" s="119">
        <v>1923</v>
      </c>
    </row>
    <row r="7489" spans="2:3">
      <c r="B7489" s="118" t="s">
        <v>898</v>
      </c>
      <c r="C7489" s="119">
        <v>1904</v>
      </c>
    </row>
    <row r="7490" spans="2:3">
      <c r="B7490" s="118" t="s">
        <v>856</v>
      </c>
      <c r="C7490" s="119">
        <v>1920</v>
      </c>
    </row>
    <row r="7491" spans="2:3">
      <c r="B7491" s="118" t="s">
        <v>937</v>
      </c>
      <c r="C7491" s="119">
        <v>1891</v>
      </c>
    </row>
    <row r="7492" spans="2:3">
      <c r="B7492" s="118" t="s">
        <v>880</v>
      </c>
      <c r="C7492" s="119">
        <v>3966</v>
      </c>
    </row>
    <row r="7493" spans="2:3">
      <c r="B7493" s="118" t="s">
        <v>4611</v>
      </c>
      <c r="C7493" s="119">
        <v>3966</v>
      </c>
    </row>
    <row r="7494" spans="2:3">
      <c r="B7494" s="118" t="s">
        <v>4561</v>
      </c>
      <c r="C7494" s="119">
        <v>3967</v>
      </c>
    </row>
    <row r="7495" spans="2:3">
      <c r="B7495" s="118" t="s">
        <v>889</v>
      </c>
      <c r="C7495" s="119">
        <v>3979</v>
      </c>
    </row>
    <row r="7496" spans="2:3">
      <c r="B7496" s="118" t="s">
        <v>905</v>
      </c>
      <c r="C7496" s="119">
        <v>3965</v>
      </c>
    </row>
    <row r="7497" spans="2:3">
      <c r="B7497" s="118" t="s">
        <v>4561</v>
      </c>
      <c r="C7497" s="119">
        <v>3967</v>
      </c>
    </row>
    <row r="7498" spans="2:3">
      <c r="B7498" s="118" t="s">
        <v>889</v>
      </c>
      <c r="C7498" s="119">
        <v>3979</v>
      </c>
    </row>
    <row r="7499" spans="2:3">
      <c r="B7499" s="118" t="s">
        <v>947</v>
      </c>
      <c r="C7499" s="119">
        <v>1977</v>
      </c>
    </row>
    <row r="7500" spans="2:3">
      <c r="B7500" s="118" t="s">
        <v>874</v>
      </c>
      <c r="C7500" s="119">
        <v>1978</v>
      </c>
    </row>
    <row r="7501" spans="2:3">
      <c r="B7501" s="118" t="s">
        <v>860</v>
      </c>
      <c r="C7501" s="119">
        <v>3963</v>
      </c>
    </row>
    <row r="7502" spans="2:3">
      <c r="B7502" s="118" t="s">
        <v>4612</v>
      </c>
      <c r="C7502" s="119">
        <v>3963</v>
      </c>
    </row>
    <row r="7503" spans="2:3">
      <c r="B7503" s="118" t="s">
        <v>874</v>
      </c>
      <c r="C7503" s="119">
        <v>1978</v>
      </c>
    </row>
    <row r="7504" spans="2:3">
      <c r="B7504" s="118" t="s">
        <v>4612</v>
      </c>
      <c r="C7504" s="119">
        <v>3963</v>
      </c>
    </row>
    <row r="7505" spans="2:3">
      <c r="B7505" s="118" t="s">
        <v>4613</v>
      </c>
      <c r="C7505" s="119">
        <v>3971</v>
      </c>
    </row>
    <row r="7506" spans="2:3">
      <c r="B7506" s="118" t="s">
        <v>4614</v>
      </c>
      <c r="C7506" s="119">
        <v>3971</v>
      </c>
    </row>
    <row r="7507" spans="2:3">
      <c r="B7507" s="118" t="s">
        <v>4615</v>
      </c>
      <c r="C7507" s="119">
        <v>3978</v>
      </c>
    </row>
    <row r="7508" spans="2:3">
      <c r="B7508" s="118" t="s">
        <v>4527</v>
      </c>
      <c r="C7508" s="119">
        <v>1958</v>
      </c>
    </row>
    <row r="7509" spans="2:3">
      <c r="B7509" s="118" t="s">
        <v>947</v>
      </c>
      <c r="C7509" s="119">
        <v>1977</v>
      </c>
    </row>
    <row r="7510" spans="2:3">
      <c r="B7510" s="118" t="s">
        <v>4615</v>
      </c>
      <c r="C7510" s="119">
        <v>3978</v>
      </c>
    </row>
    <row r="7511" spans="2:3">
      <c r="B7511" s="118" t="s">
        <v>4527</v>
      </c>
      <c r="C7511" s="119">
        <v>1958</v>
      </c>
    </row>
    <row r="7512" spans="2:3">
      <c r="B7512" s="118" t="s">
        <v>2688</v>
      </c>
      <c r="C7512" s="119">
        <v>3960</v>
      </c>
    </row>
    <row r="7513" spans="2:3">
      <c r="B7513" s="118" t="s">
        <v>4616</v>
      </c>
      <c r="C7513" s="119">
        <v>3960</v>
      </c>
    </row>
    <row r="7514" spans="2:3">
      <c r="B7514" s="118" t="s">
        <v>905</v>
      </c>
      <c r="C7514" s="119">
        <v>3965</v>
      </c>
    </row>
    <row r="7515" spans="2:3">
      <c r="B7515" s="118" t="s">
        <v>880</v>
      </c>
      <c r="C7515" s="119">
        <v>3966</v>
      </c>
    </row>
    <row r="7516" spans="2:3">
      <c r="B7516" s="118" t="s">
        <v>4611</v>
      </c>
      <c r="C7516" s="119">
        <v>3966</v>
      </c>
    </row>
    <row r="7517" spans="2:3">
      <c r="B7517" s="118" t="s">
        <v>4614</v>
      </c>
      <c r="C7517" s="119">
        <v>3971</v>
      </c>
    </row>
    <row r="7518" spans="2:3">
      <c r="B7518" s="118" t="s">
        <v>4617</v>
      </c>
      <c r="C7518" s="119">
        <v>3976</v>
      </c>
    </row>
    <row r="7519" spans="2:3">
      <c r="B7519" s="118" t="s">
        <v>4618</v>
      </c>
      <c r="C7519" s="119">
        <v>3976</v>
      </c>
    </row>
    <row r="7520" spans="2:3">
      <c r="B7520" s="118" t="s">
        <v>4619</v>
      </c>
      <c r="C7520" s="119">
        <v>3977</v>
      </c>
    </row>
    <row r="7521" spans="2:3">
      <c r="B7521" s="118" t="s">
        <v>4620</v>
      </c>
      <c r="C7521" s="119">
        <v>3960</v>
      </c>
    </row>
    <row r="7522" spans="2:3">
      <c r="B7522" s="118" t="s">
        <v>4621</v>
      </c>
      <c r="C7522" s="119">
        <v>3961</v>
      </c>
    </row>
    <row r="7523" spans="2:3">
      <c r="B7523" s="118" t="s">
        <v>4622</v>
      </c>
      <c r="C7523" s="119">
        <v>3961</v>
      </c>
    </row>
    <row r="7524" spans="2:3">
      <c r="B7524" s="118" t="s">
        <v>4623</v>
      </c>
      <c r="C7524" s="119">
        <v>3961</v>
      </c>
    </row>
    <row r="7525" spans="2:3">
      <c r="B7525" s="118" t="s">
        <v>4624</v>
      </c>
      <c r="C7525" s="119">
        <v>3961</v>
      </c>
    </row>
    <row r="7526" spans="2:3">
      <c r="B7526" s="118" t="s">
        <v>4625</v>
      </c>
      <c r="C7526" s="119">
        <v>3961</v>
      </c>
    </row>
    <row r="7527" spans="2:3">
      <c r="B7527" s="118" t="s">
        <v>4626</v>
      </c>
      <c r="C7527" s="119">
        <v>3961</v>
      </c>
    </row>
    <row r="7528" spans="2:3">
      <c r="B7528" s="118" t="s">
        <v>4627</v>
      </c>
      <c r="C7528" s="119">
        <v>3961</v>
      </c>
    </row>
    <row r="7529" spans="2:3">
      <c r="B7529" s="118" t="s">
        <v>4628</v>
      </c>
      <c r="C7529" s="119">
        <v>3961</v>
      </c>
    </row>
    <row r="7530" spans="2:3">
      <c r="B7530" s="118" t="s">
        <v>2688</v>
      </c>
      <c r="C7530" s="119">
        <v>3960</v>
      </c>
    </row>
    <row r="7531" spans="2:3">
      <c r="B7531" s="118" t="s">
        <v>4629</v>
      </c>
      <c r="C7531" s="119">
        <v>3960</v>
      </c>
    </row>
    <row r="7532" spans="2:3">
      <c r="B7532" s="118" t="s">
        <v>4630</v>
      </c>
      <c r="C7532" s="119">
        <v>3960</v>
      </c>
    </row>
    <row r="7533" spans="2:3">
      <c r="B7533" s="118" t="s">
        <v>860</v>
      </c>
      <c r="C7533" s="119">
        <v>3963</v>
      </c>
    </row>
    <row r="7534" spans="2:3">
      <c r="B7534" s="118" t="s">
        <v>4631</v>
      </c>
      <c r="C7534" s="119">
        <v>3963</v>
      </c>
    </row>
    <row r="7535" spans="2:3">
      <c r="B7535" s="118" t="s">
        <v>4632</v>
      </c>
      <c r="C7535" s="119">
        <v>3963</v>
      </c>
    </row>
    <row r="7536" spans="2:3">
      <c r="B7536" s="118" t="s">
        <v>907</v>
      </c>
      <c r="C7536" s="119">
        <v>3970</v>
      </c>
    </row>
    <row r="7537" spans="2:3">
      <c r="B7537" s="118" t="s">
        <v>4633</v>
      </c>
      <c r="C7537" s="119">
        <v>3971</v>
      </c>
    </row>
    <row r="7538" spans="2:3">
      <c r="B7538" s="118" t="s">
        <v>4613</v>
      </c>
      <c r="C7538" s="119">
        <v>3971</v>
      </c>
    </row>
    <row r="7539" spans="2:3">
      <c r="B7539" s="118" t="s">
        <v>4614</v>
      </c>
      <c r="C7539" s="119">
        <v>3971</v>
      </c>
    </row>
    <row r="7540" spans="2:3">
      <c r="B7540" s="118" t="s">
        <v>912</v>
      </c>
      <c r="C7540" s="119">
        <v>3972</v>
      </c>
    </row>
    <row r="7541" spans="2:3">
      <c r="B7541" s="118" t="s">
        <v>917</v>
      </c>
      <c r="C7541" s="119">
        <v>3973</v>
      </c>
    </row>
    <row r="7542" spans="2:3">
      <c r="B7542" s="118" t="s">
        <v>4634</v>
      </c>
      <c r="C7542" s="119">
        <v>3974</v>
      </c>
    </row>
    <row r="7543" spans="2:3">
      <c r="B7543" s="118" t="s">
        <v>4635</v>
      </c>
      <c r="C7543" s="119">
        <v>3975</v>
      </c>
    </row>
    <row r="7544" spans="2:3">
      <c r="B7544" s="118" t="s">
        <v>4617</v>
      </c>
      <c r="C7544" s="119">
        <v>3976</v>
      </c>
    </row>
    <row r="7545" spans="2:3">
      <c r="B7545" s="118" t="s">
        <v>4618</v>
      </c>
      <c r="C7545" s="119">
        <v>3976</v>
      </c>
    </row>
    <row r="7546" spans="2:3">
      <c r="B7546" s="118" t="s">
        <v>2688</v>
      </c>
      <c r="C7546" s="119">
        <v>3960</v>
      </c>
    </row>
    <row r="7547" spans="2:3">
      <c r="B7547" s="118" t="s">
        <v>899</v>
      </c>
      <c r="C7547" s="119">
        <v>3968</v>
      </c>
    </row>
    <row r="7548" spans="2:3">
      <c r="B7548" s="118" t="s">
        <v>907</v>
      </c>
      <c r="C7548" s="119">
        <v>3970</v>
      </c>
    </row>
    <row r="7549" spans="2:3">
      <c r="B7549" s="118" t="s">
        <v>912</v>
      </c>
      <c r="C7549" s="119">
        <v>3972</v>
      </c>
    </row>
    <row r="7550" spans="2:3">
      <c r="B7550" s="118" t="s">
        <v>917</v>
      </c>
      <c r="C7550" s="119">
        <v>3973</v>
      </c>
    </row>
    <row r="7551" spans="2:3">
      <c r="B7551" s="118" t="s">
        <v>4539</v>
      </c>
      <c r="C7551" s="119">
        <v>1972</v>
      </c>
    </row>
    <row r="7552" spans="2:3">
      <c r="B7552" s="118" t="s">
        <v>919</v>
      </c>
      <c r="C7552" s="119">
        <v>1974</v>
      </c>
    </row>
    <row r="7553" spans="2:3">
      <c r="B7553" s="118" t="s">
        <v>2689</v>
      </c>
      <c r="C7553" s="119">
        <v>1950</v>
      </c>
    </row>
    <row r="7554" spans="2:3">
      <c r="B7554" s="118" t="s">
        <v>4538</v>
      </c>
      <c r="C7554" s="119">
        <v>1966</v>
      </c>
    </row>
    <row r="7555" spans="2:3">
      <c r="B7555" s="118" t="s">
        <v>881</v>
      </c>
      <c r="C7555" s="119">
        <v>1971</v>
      </c>
    </row>
    <row r="7556" spans="2:3">
      <c r="B7556" s="118" t="s">
        <v>4636</v>
      </c>
      <c r="C7556" s="119">
        <v>1971</v>
      </c>
    </row>
    <row r="7557" spans="2:3">
      <c r="B7557" s="118" t="s">
        <v>2689</v>
      </c>
      <c r="C7557" s="119">
        <v>1950</v>
      </c>
    </row>
    <row r="7558" spans="2:3">
      <c r="B7558" s="118" t="s">
        <v>4637</v>
      </c>
      <c r="C7558" s="119">
        <v>1962</v>
      </c>
    </row>
    <row r="7559" spans="2:3">
      <c r="B7559" s="118" t="s">
        <v>867</v>
      </c>
      <c r="C7559" s="119">
        <v>1965</v>
      </c>
    </row>
    <row r="7560" spans="2:3">
      <c r="B7560" s="118" t="s">
        <v>2689</v>
      </c>
      <c r="C7560" s="119">
        <v>1950</v>
      </c>
    </row>
    <row r="7561" spans="2:3">
      <c r="B7561" s="118" t="s">
        <v>4528</v>
      </c>
      <c r="C7561" s="119">
        <v>1958</v>
      </c>
    </row>
    <row r="7562" spans="2:3">
      <c r="B7562" s="118" t="s">
        <v>4637</v>
      </c>
      <c r="C7562" s="119">
        <v>1962</v>
      </c>
    </row>
    <row r="7563" spans="2:3">
      <c r="B7563" s="118" t="s">
        <v>4553</v>
      </c>
      <c r="C7563" s="119">
        <v>1967</v>
      </c>
    </row>
    <row r="7564" spans="2:3">
      <c r="B7564" s="118" t="s">
        <v>4636</v>
      </c>
      <c r="C7564" s="119">
        <v>1971</v>
      </c>
    </row>
    <row r="7565" spans="2:3">
      <c r="B7565" s="118" t="s">
        <v>4638</v>
      </c>
      <c r="C7565" s="119">
        <v>1991</v>
      </c>
    </row>
    <row r="7566" spans="2:3">
      <c r="B7566" s="118" t="s">
        <v>4639</v>
      </c>
      <c r="C7566" s="119">
        <v>1991</v>
      </c>
    </row>
    <row r="7567" spans="2:3">
      <c r="B7567" s="118" t="s">
        <v>4640</v>
      </c>
      <c r="C7567" s="119">
        <v>1991</v>
      </c>
    </row>
    <row r="7568" spans="2:3">
      <c r="B7568" s="118" t="s">
        <v>4641</v>
      </c>
      <c r="C7568" s="119">
        <v>1991</v>
      </c>
    </row>
    <row r="7569" spans="2:3">
      <c r="B7569" s="118" t="s">
        <v>4642</v>
      </c>
      <c r="C7569" s="119">
        <v>1991</v>
      </c>
    </row>
    <row r="7570" spans="2:3">
      <c r="B7570" s="118" t="s">
        <v>4556</v>
      </c>
      <c r="C7570" s="119">
        <v>1992</v>
      </c>
    </row>
    <row r="7571" spans="2:3">
      <c r="B7571" s="118" t="s">
        <v>4557</v>
      </c>
      <c r="C7571" s="119">
        <v>1992</v>
      </c>
    </row>
    <row r="7572" spans="2:3">
      <c r="B7572" s="118" t="s">
        <v>4643</v>
      </c>
      <c r="C7572" s="119">
        <v>1992</v>
      </c>
    </row>
    <row r="7573" spans="2:3">
      <c r="B7573" s="118" t="s">
        <v>4644</v>
      </c>
      <c r="C7573" s="119">
        <v>1992</v>
      </c>
    </row>
    <row r="7574" spans="2:3">
      <c r="B7574" s="118" t="s">
        <v>945</v>
      </c>
      <c r="C7574" s="119">
        <v>1993</v>
      </c>
    </row>
    <row r="7575" spans="2:3">
      <c r="B7575" s="118" t="s">
        <v>4471</v>
      </c>
      <c r="C7575" s="119">
        <v>1994</v>
      </c>
    </row>
    <row r="7576" spans="2:3">
      <c r="B7576" s="118" t="s">
        <v>4638</v>
      </c>
      <c r="C7576" s="119">
        <v>1991</v>
      </c>
    </row>
    <row r="7577" spans="2:3">
      <c r="B7577" s="118" t="s">
        <v>945</v>
      </c>
      <c r="C7577" s="119">
        <v>1993</v>
      </c>
    </row>
    <row r="7578" spans="2:3">
      <c r="B7578" s="118" t="s">
        <v>866</v>
      </c>
      <c r="C7578" s="119">
        <v>3930</v>
      </c>
    </row>
    <row r="7579" spans="2:3">
      <c r="B7579" s="118" t="s">
        <v>914</v>
      </c>
      <c r="C7579" s="119">
        <v>3937</v>
      </c>
    </row>
    <row r="7580" spans="2:3">
      <c r="B7580" s="118" t="s">
        <v>914</v>
      </c>
      <c r="C7580" s="119">
        <v>3937</v>
      </c>
    </row>
    <row r="7581" spans="2:3">
      <c r="B7581" s="118" t="s">
        <v>961</v>
      </c>
      <c r="C7581" s="119">
        <v>3908</v>
      </c>
    </row>
    <row r="7582" spans="2:3">
      <c r="B7582" s="118" t="s">
        <v>972</v>
      </c>
      <c r="C7582" s="119">
        <v>3922</v>
      </c>
    </row>
    <row r="7583" spans="2:3">
      <c r="B7583" s="118" t="s">
        <v>4645</v>
      </c>
      <c r="C7583" s="119">
        <v>3922</v>
      </c>
    </row>
    <row r="7584" spans="2:3">
      <c r="B7584" s="118" t="s">
        <v>967</v>
      </c>
      <c r="C7584" s="119">
        <v>3926</v>
      </c>
    </row>
    <row r="7585" spans="2:3">
      <c r="B7585" s="118" t="s">
        <v>916</v>
      </c>
      <c r="C7585" s="119">
        <v>3925</v>
      </c>
    </row>
    <row r="7586" spans="2:3">
      <c r="B7586" s="118" t="s">
        <v>941</v>
      </c>
      <c r="C7586" s="119">
        <v>3931</v>
      </c>
    </row>
    <row r="7587" spans="2:3">
      <c r="B7587" s="118" t="s">
        <v>914</v>
      </c>
      <c r="C7587" s="119">
        <v>3937</v>
      </c>
    </row>
    <row r="7588" spans="2:3">
      <c r="B7588" s="118" t="s">
        <v>953</v>
      </c>
      <c r="C7588" s="119">
        <v>3928</v>
      </c>
    </row>
    <row r="7589" spans="2:3">
      <c r="B7589" s="118" t="s">
        <v>960</v>
      </c>
      <c r="C7589" s="119">
        <v>3905</v>
      </c>
    </row>
    <row r="7590" spans="2:3">
      <c r="B7590" s="118" t="s">
        <v>904</v>
      </c>
      <c r="C7590" s="119">
        <v>3906</v>
      </c>
    </row>
    <row r="7591" spans="2:3">
      <c r="B7591" s="118" t="s">
        <v>961</v>
      </c>
      <c r="C7591" s="119">
        <v>3908</v>
      </c>
    </row>
    <row r="7592" spans="2:3">
      <c r="B7592" s="118" t="s">
        <v>925</v>
      </c>
      <c r="C7592" s="119">
        <v>3910</v>
      </c>
    </row>
    <row r="7593" spans="2:3">
      <c r="B7593" s="118" t="s">
        <v>904</v>
      </c>
      <c r="C7593" s="119">
        <v>3906</v>
      </c>
    </row>
    <row r="7594" spans="2:3">
      <c r="B7594" s="118" t="s">
        <v>925</v>
      </c>
      <c r="C7594" s="119">
        <v>3910</v>
      </c>
    </row>
    <row r="7595" spans="2:3">
      <c r="B7595" s="118" t="s">
        <v>925</v>
      </c>
      <c r="C7595" s="119">
        <v>3910</v>
      </c>
    </row>
    <row r="7596" spans="2:3">
      <c r="B7596" s="118" t="s">
        <v>4646</v>
      </c>
      <c r="C7596" s="119">
        <v>3924</v>
      </c>
    </row>
    <row r="7597" spans="2:3">
      <c r="B7597" s="118" t="s">
        <v>4647</v>
      </c>
      <c r="C7597" s="119">
        <v>3927</v>
      </c>
    </row>
    <row r="7598" spans="2:3">
      <c r="B7598" s="118" t="s">
        <v>4648</v>
      </c>
      <c r="C7598" s="119">
        <v>3922</v>
      </c>
    </row>
    <row r="7599" spans="2:3">
      <c r="B7599" s="118" t="s">
        <v>951</v>
      </c>
      <c r="C7599" s="119">
        <v>3923</v>
      </c>
    </row>
    <row r="7600" spans="2:3">
      <c r="B7600" s="118" t="s">
        <v>972</v>
      </c>
      <c r="C7600" s="119">
        <v>3922</v>
      </c>
    </row>
    <row r="7601" spans="2:3">
      <c r="B7601" s="118" t="s">
        <v>948</v>
      </c>
      <c r="C7601" s="119">
        <v>3933</v>
      </c>
    </row>
    <row r="7602" spans="2:3">
      <c r="B7602" s="118" t="s">
        <v>915</v>
      </c>
      <c r="C7602" s="119">
        <v>3929</v>
      </c>
    </row>
    <row r="7603" spans="2:3">
      <c r="B7603" s="118" t="s">
        <v>4645</v>
      </c>
      <c r="C7603" s="119">
        <v>3922</v>
      </c>
    </row>
    <row r="7604" spans="2:3">
      <c r="B7604" s="118" t="s">
        <v>951</v>
      </c>
      <c r="C7604" s="119">
        <v>3923</v>
      </c>
    </row>
    <row r="7605" spans="2:3">
      <c r="B7605" s="118" t="s">
        <v>866</v>
      </c>
      <c r="C7605" s="119">
        <v>3930</v>
      </c>
    </row>
    <row r="7606" spans="2:3">
      <c r="B7606" s="118" t="s">
        <v>4649</v>
      </c>
      <c r="C7606" s="119">
        <v>3930</v>
      </c>
    </row>
    <row r="7607" spans="2:3">
      <c r="B7607" s="118" t="s">
        <v>4648</v>
      </c>
      <c r="C7607" s="119">
        <v>3922</v>
      </c>
    </row>
    <row r="7608" spans="2:3">
      <c r="B7608" s="118" t="s">
        <v>866</v>
      </c>
      <c r="C7608" s="119">
        <v>3930</v>
      </c>
    </row>
    <row r="7609" spans="2:3">
      <c r="B7609" s="118" t="s">
        <v>911</v>
      </c>
      <c r="C7609" s="119">
        <v>3932</v>
      </c>
    </row>
    <row r="7610" spans="2:3">
      <c r="B7610" s="118" t="s">
        <v>969</v>
      </c>
      <c r="C7610" s="119">
        <v>3934</v>
      </c>
    </row>
    <row r="7611" spans="2:3">
      <c r="B7611" s="118" t="s">
        <v>871</v>
      </c>
      <c r="C7611" s="119">
        <v>3920</v>
      </c>
    </row>
    <row r="7612" spans="2:3">
      <c r="B7612" s="118" t="s">
        <v>4650</v>
      </c>
      <c r="C7612" s="119">
        <v>2013</v>
      </c>
    </row>
    <row r="7613" spans="2:3">
      <c r="B7613" s="118" t="s">
        <v>4651</v>
      </c>
      <c r="C7613" s="119">
        <v>2014</v>
      </c>
    </row>
    <row r="7614" spans="2:3">
      <c r="B7614" s="118" t="s">
        <v>4652</v>
      </c>
      <c r="C7614" s="119">
        <v>2015</v>
      </c>
    </row>
    <row r="7615" spans="2:3">
      <c r="B7615" s="118" t="s">
        <v>1354</v>
      </c>
      <c r="C7615" s="119">
        <v>2016</v>
      </c>
    </row>
    <row r="7616" spans="2:3">
      <c r="B7616" s="118" t="s">
        <v>1351</v>
      </c>
      <c r="C7616" s="119">
        <v>2017</v>
      </c>
    </row>
    <row r="7617" spans="2:3">
      <c r="B7617" s="118" t="s">
        <v>4653</v>
      </c>
      <c r="C7617" s="119">
        <v>2019</v>
      </c>
    </row>
    <row r="7618" spans="2:3">
      <c r="B7618" s="118" t="s">
        <v>4654</v>
      </c>
      <c r="C7618" s="119">
        <v>2022</v>
      </c>
    </row>
    <row r="7619" spans="2:3">
      <c r="B7619" s="118" t="s">
        <v>4655</v>
      </c>
      <c r="C7619" s="119">
        <v>2149</v>
      </c>
    </row>
    <row r="7620" spans="2:3">
      <c r="B7620" s="118" t="s">
        <v>1354</v>
      </c>
      <c r="C7620" s="119">
        <v>2016</v>
      </c>
    </row>
    <row r="7621" spans="2:3">
      <c r="B7621" s="118" t="s">
        <v>4654</v>
      </c>
      <c r="C7621" s="119">
        <v>2022</v>
      </c>
    </row>
    <row r="7622" spans="2:3">
      <c r="B7622" s="118" t="s">
        <v>1362</v>
      </c>
      <c r="C7622" s="119">
        <v>2019</v>
      </c>
    </row>
    <row r="7623" spans="2:3">
      <c r="B7623" s="118" t="s">
        <v>4653</v>
      </c>
      <c r="C7623" s="119">
        <v>2019</v>
      </c>
    </row>
    <row r="7624" spans="2:3">
      <c r="B7624" s="118" t="s">
        <v>4656</v>
      </c>
      <c r="C7624" s="119">
        <v>2035</v>
      </c>
    </row>
    <row r="7625" spans="2:3">
      <c r="B7625" s="118" t="s">
        <v>4657</v>
      </c>
      <c r="C7625" s="119">
        <v>2037</v>
      </c>
    </row>
    <row r="7626" spans="2:3">
      <c r="B7626" s="118" t="s">
        <v>4658</v>
      </c>
      <c r="C7626" s="119">
        <v>2103</v>
      </c>
    </row>
    <row r="7627" spans="2:3">
      <c r="B7627" s="118" t="s">
        <v>4655</v>
      </c>
      <c r="C7627" s="119">
        <v>2149</v>
      </c>
    </row>
    <row r="7628" spans="2:3">
      <c r="B7628" s="118" t="s">
        <v>4659</v>
      </c>
      <c r="C7628" s="119">
        <v>2149</v>
      </c>
    </row>
    <row r="7629" spans="2:3">
      <c r="B7629" s="118" t="s">
        <v>4660</v>
      </c>
      <c r="C7629" s="119">
        <v>2149</v>
      </c>
    </row>
    <row r="7630" spans="2:3">
      <c r="B7630" s="118" t="s">
        <v>1373</v>
      </c>
      <c r="C7630" s="119">
        <v>2318</v>
      </c>
    </row>
    <row r="7631" spans="2:3">
      <c r="B7631" s="118" t="s">
        <v>1345</v>
      </c>
      <c r="C7631" s="119">
        <v>2000</v>
      </c>
    </row>
    <row r="7632" spans="2:3">
      <c r="B7632" s="118" t="s">
        <v>4661</v>
      </c>
      <c r="C7632" s="119">
        <v>2012</v>
      </c>
    </row>
    <row r="7633" spans="2:3">
      <c r="B7633" s="118" t="s">
        <v>4650</v>
      </c>
      <c r="C7633" s="119">
        <v>2013</v>
      </c>
    </row>
    <row r="7634" spans="2:3">
      <c r="B7634" s="118" t="s">
        <v>4651</v>
      </c>
      <c r="C7634" s="119">
        <v>2014</v>
      </c>
    </row>
    <row r="7635" spans="2:3">
      <c r="B7635" s="118" t="s">
        <v>4652</v>
      </c>
      <c r="C7635" s="119">
        <v>2015</v>
      </c>
    </row>
    <row r="7636" spans="2:3">
      <c r="B7636" s="118" t="s">
        <v>4656</v>
      </c>
      <c r="C7636" s="119">
        <v>2035</v>
      </c>
    </row>
    <row r="7637" spans="2:3">
      <c r="B7637" s="118" t="s">
        <v>4662</v>
      </c>
      <c r="C7637" s="119">
        <v>2036</v>
      </c>
    </row>
    <row r="7638" spans="2:3">
      <c r="B7638" s="118" t="s">
        <v>4654</v>
      </c>
      <c r="C7638" s="119">
        <v>2022</v>
      </c>
    </row>
    <row r="7639" spans="2:3">
      <c r="B7639" s="118" t="s">
        <v>4663</v>
      </c>
      <c r="C7639" s="119">
        <v>2023</v>
      </c>
    </row>
    <row r="7640" spans="2:3">
      <c r="B7640" s="118" t="s">
        <v>4664</v>
      </c>
      <c r="C7640" s="119">
        <v>2024</v>
      </c>
    </row>
    <row r="7641" spans="2:3">
      <c r="B7641" s="118" t="s">
        <v>4665</v>
      </c>
      <c r="C7641" s="119">
        <v>2025</v>
      </c>
    </row>
    <row r="7642" spans="2:3">
      <c r="B7642" s="118" t="s">
        <v>4666</v>
      </c>
      <c r="C7642" s="119">
        <v>2027</v>
      </c>
    </row>
    <row r="7643" spans="2:3">
      <c r="B7643" s="118" t="s">
        <v>4667</v>
      </c>
      <c r="C7643" s="119">
        <v>2027</v>
      </c>
    </row>
    <row r="7644" spans="2:3">
      <c r="B7644" s="118" t="s">
        <v>4336</v>
      </c>
      <c r="C7644" s="119">
        <v>2028</v>
      </c>
    </row>
    <row r="7645" spans="2:3">
      <c r="B7645" s="118" t="s">
        <v>4658</v>
      </c>
      <c r="C7645" s="119">
        <v>2103</v>
      </c>
    </row>
    <row r="7646" spans="2:3">
      <c r="B7646" s="118" t="s">
        <v>1344</v>
      </c>
      <c r="C7646" s="119">
        <v>2300</v>
      </c>
    </row>
    <row r="7647" spans="2:3">
      <c r="B7647" s="118" t="s">
        <v>2894</v>
      </c>
      <c r="C7647" s="119">
        <v>2300</v>
      </c>
    </row>
    <row r="7648" spans="2:3">
      <c r="B7648" s="118" t="s">
        <v>4668</v>
      </c>
      <c r="C7648" s="119">
        <v>2314</v>
      </c>
    </row>
    <row r="7649" spans="2:3">
      <c r="B7649" s="118" t="s">
        <v>4669</v>
      </c>
      <c r="C7649" s="119">
        <v>2322</v>
      </c>
    </row>
    <row r="7650" spans="2:3">
      <c r="B7650" s="118" t="s">
        <v>2897</v>
      </c>
      <c r="C7650" s="119">
        <v>2616</v>
      </c>
    </row>
    <row r="7651" spans="2:3">
      <c r="B7651" s="118" t="s">
        <v>1374</v>
      </c>
      <c r="C7651" s="119">
        <v>2325</v>
      </c>
    </row>
    <row r="7652" spans="2:3">
      <c r="B7652" s="118" t="s">
        <v>4668</v>
      </c>
      <c r="C7652" s="119">
        <v>2314</v>
      </c>
    </row>
    <row r="7653" spans="2:3">
      <c r="B7653" s="118" t="s">
        <v>4670</v>
      </c>
      <c r="C7653" s="119">
        <v>2124</v>
      </c>
    </row>
    <row r="7654" spans="2:3">
      <c r="B7654" s="118" t="s">
        <v>1367</v>
      </c>
      <c r="C7654" s="119">
        <v>2406</v>
      </c>
    </row>
    <row r="7655" spans="2:3">
      <c r="B7655" s="118" t="s">
        <v>4671</v>
      </c>
      <c r="C7655" s="119">
        <v>2406</v>
      </c>
    </row>
    <row r="7656" spans="2:3">
      <c r="B7656" s="118" t="s">
        <v>4672</v>
      </c>
      <c r="C7656" s="119">
        <v>2406</v>
      </c>
    </row>
    <row r="7657" spans="2:3">
      <c r="B7657" s="118" t="s">
        <v>4673</v>
      </c>
      <c r="C7657" s="119">
        <v>2406</v>
      </c>
    </row>
    <row r="7658" spans="2:3">
      <c r="B7658" s="118" t="s">
        <v>1373</v>
      </c>
      <c r="C7658" s="119">
        <v>2318</v>
      </c>
    </row>
    <row r="7659" spans="2:3">
      <c r="B7659" s="118" t="s">
        <v>4674</v>
      </c>
      <c r="C7659" s="119">
        <v>2400</v>
      </c>
    </row>
    <row r="7660" spans="2:3">
      <c r="B7660" s="118" t="s">
        <v>1369</v>
      </c>
      <c r="C7660" s="119">
        <v>2405</v>
      </c>
    </row>
    <row r="7661" spans="2:3">
      <c r="B7661" s="118" t="s">
        <v>1367</v>
      </c>
      <c r="C7661" s="119">
        <v>2406</v>
      </c>
    </row>
    <row r="7662" spans="2:3">
      <c r="B7662" s="118" t="s">
        <v>1371</v>
      </c>
      <c r="C7662" s="119">
        <v>2414</v>
      </c>
    </row>
    <row r="7663" spans="2:3">
      <c r="B7663" s="118" t="s">
        <v>4674</v>
      </c>
      <c r="C7663" s="119">
        <v>2400</v>
      </c>
    </row>
    <row r="7664" spans="2:3">
      <c r="B7664" s="118" t="s">
        <v>1369</v>
      </c>
      <c r="C7664" s="119">
        <v>2405</v>
      </c>
    </row>
    <row r="7665" spans="2:3">
      <c r="B7665" s="118" t="s">
        <v>4672</v>
      </c>
      <c r="C7665" s="119">
        <v>2406</v>
      </c>
    </row>
    <row r="7666" spans="2:3">
      <c r="B7666" s="118" t="s">
        <v>4669</v>
      </c>
      <c r="C7666" s="119">
        <v>2322</v>
      </c>
    </row>
    <row r="7667" spans="2:3">
      <c r="B7667" s="118" t="s">
        <v>1348</v>
      </c>
      <c r="C7667" s="119">
        <v>2400</v>
      </c>
    </row>
    <row r="7668" spans="2:3">
      <c r="B7668" s="118" t="s">
        <v>4674</v>
      </c>
      <c r="C7668" s="119">
        <v>2400</v>
      </c>
    </row>
    <row r="7669" spans="2:3">
      <c r="B7669" s="118" t="s">
        <v>1363</v>
      </c>
      <c r="C7669" s="119">
        <v>2416</v>
      </c>
    </row>
    <row r="7670" spans="2:3">
      <c r="B7670" s="118" t="s">
        <v>4675</v>
      </c>
      <c r="C7670" s="119">
        <v>2105</v>
      </c>
    </row>
    <row r="7671" spans="2:3">
      <c r="B7671" s="118" t="s">
        <v>4668</v>
      </c>
      <c r="C7671" s="119">
        <v>2314</v>
      </c>
    </row>
    <row r="7672" spans="2:3">
      <c r="B7672" s="118" t="s">
        <v>1361</v>
      </c>
      <c r="C7672" s="119">
        <v>2316</v>
      </c>
    </row>
    <row r="7673" spans="2:3">
      <c r="B7673" s="118" t="s">
        <v>4676</v>
      </c>
      <c r="C7673" s="119">
        <v>2316</v>
      </c>
    </row>
    <row r="7674" spans="2:3">
      <c r="B7674" s="118" t="s">
        <v>1373</v>
      </c>
      <c r="C7674" s="119">
        <v>2318</v>
      </c>
    </row>
    <row r="7675" spans="2:3">
      <c r="B7675" s="118" t="s">
        <v>4677</v>
      </c>
      <c r="C7675" s="119">
        <v>2072</v>
      </c>
    </row>
    <row r="7676" spans="2:3">
      <c r="B7676" s="118" t="s">
        <v>4678</v>
      </c>
      <c r="C7676" s="119">
        <v>2075</v>
      </c>
    </row>
    <row r="7677" spans="2:3">
      <c r="B7677" s="118" t="s">
        <v>4679</v>
      </c>
      <c r="C7677" s="119">
        <v>2087</v>
      </c>
    </row>
    <row r="7678" spans="2:3">
      <c r="B7678" s="118" t="s">
        <v>4677</v>
      </c>
      <c r="C7678" s="119">
        <v>2072</v>
      </c>
    </row>
    <row r="7679" spans="2:3">
      <c r="B7679" s="118" t="s">
        <v>4679</v>
      </c>
      <c r="C7679" s="119">
        <v>2087</v>
      </c>
    </row>
    <row r="7680" spans="2:3">
      <c r="B7680" s="118" t="s">
        <v>4680</v>
      </c>
      <c r="C7680" s="119">
        <v>2088</v>
      </c>
    </row>
    <row r="7681" spans="2:3">
      <c r="B7681" s="118" t="s">
        <v>4681</v>
      </c>
      <c r="C7681" s="119">
        <v>2067</v>
      </c>
    </row>
    <row r="7682" spans="2:3">
      <c r="B7682" s="118" t="s">
        <v>1372</v>
      </c>
      <c r="C7682" s="119">
        <v>2073</v>
      </c>
    </row>
    <row r="7683" spans="2:3">
      <c r="B7683" s="118" t="s">
        <v>4682</v>
      </c>
      <c r="C7683" s="119">
        <v>2068</v>
      </c>
    </row>
    <row r="7684" spans="2:3">
      <c r="B7684" s="118" t="s">
        <v>1372</v>
      </c>
      <c r="C7684" s="119">
        <v>2073</v>
      </c>
    </row>
    <row r="7685" spans="2:3">
      <c r="B7685" s="118" t="s">
        <v>2247</v>
      </c>
      <c r="C7685" s="119">
        <v>2520</v>
      </c>
    </row>
    <row r="7686" spans="2:3">
      <c r="B7686" s="118" t="s">
        <v>1365</v>
      </c>
      <c r="C7686" s="119">
        <v>2523</v>
      </c>
    </row>
    <row r="7687" spans="2:3">
      <c r="B7687" s="118" t="s">
        <v>1356</v>
      </c>
      <c r="C7687" s="119">
        <v>2525</v>
      </c>
    </row>
    <row r="7688" spans="2:3">
      <c r="B7688" s="118" t="s">
        <v>1365</v>
      </c>
      <c r="C7688" s="119">
        <v>2523</v>
      </c>
    </row>
    <row r="7689" spans="2:3">
      <c r="B7689" s="118" t="s">
        <v>1345</v>
      </c>
      <c r="C7689" s="119">
        <v>2000</v>
      </c>
    </row>
    <row r="7690" spans="2:3">
      <c r="B7690" s="118" t="s">
        <v>1352</v>
      </c>
      <c r="C7690" s="119">
        <v>2034</v>
      </c>
    </row>
    <row r="7691" spans="2:3">
      <c r="B7691" s="118" t="s">
        <v>4656</v>
      </c>
      <c r="C7691" s="119">
        <v>2035</v>
      </c>
    </row>
    <row r="7692" spans="2:3">
      <c r="B7692" s="118" t="s">
        <v>4662</v>
      </c>
      <c r="C7692" s="119">
        <v>2036</v>
      </c>
    </row>
    <row r="7693" spans="2:3">
      <c r="B7693" s="118" t="s">
        <v>4683</v>
      </c>
      <c r="C7693" s="119">
        <v>2037</v>
      </c>
    </row>
    <row r="7694" spans="2:3">
      <c r="B7694" s="118" t="s">
        <v>1368</v>
      </c>
      <c r="C7694" s="119">
        <v>2042</v>
      </c>
    </row>
    <row r="7695" spans="2:3">
      <c r="B7695" s="118" t="s">
        <v>4681</v>
      </c>
      <c r="C7695" s="119">
        <v>2067</v>
      </c>
    </row>
    <row r="7696" spans="2:3">
      <c r="B7696" s="118" t="s">
        <v>4682</v>
      </c>
      <c r="C7696" s="119">
        <v>2068</v>
      </c>
    </row>
    <row r="7697" spans="2:3">
      <c r="B7697" s="118" t="s">
        <v>4677</v>
      </c>
      <c r="C7697" s="119">
        <v>2072</v>
      </c>
    </row>
    <row r="7698" spans="2:3">
      <c r="B7698" s="118" t="s">
        <v>4684</v>
      </c>
      <c r="C7698" s="119">
        <v>2074</v>
      </c>
    </row>
    <row r="7699" spans="2:3">
      <c r="B7699" s="118" t="s">
        <v>4678</v>
      </c>
      <c r="C7699" s="119">
        <v>2075</v>
      </c>
    </row>
    <row r="7700" spans="2:3">
      <c r="B7700" s="118" t="s">
        <v>4685</v>
      </c>
      <c r="C7700" s="119">
        <v>2075</v>
      </c>
    </row>
    <row r="7701" spans="2:3">
      <c r="B7701" s="118" t="s">
        <v>2382</v>
      </c>
      <c r="C7701" s="119">
        <v>3236</v>
      </c>
    </row>
    <row r="7702" spans="2:3">
      <c r="B7702" s="118" t="s">
        <v>1362</v>
      </c>
      <c r="C7702" s="119">
        <v>2019</v>
      </c>
    </row>
    <row r="7703" spans="2:3">
      <c r="B7703" s="118" t="s">
        <v>4683</v>
      </c>
      <c r="C7703" s="119">
        <v>2037</v>
      </c>
    </row>
    <row r="7704" spans="2:3">
      <c r="B7704" s="118" t="s">
        <v>1368</v>
      </c>
      <c r="C7704" s="119">
        <v>2042</v>
      </c>
    </row>
    <row r="7705" spans="2:3">
      <c r="B7705" s="118" t="s">
        <v>4686</v>
      </c>
      <c r="C7705" s="119">
        <v>2043</v>
      </c>
    </row>
    <row r="7706" spans="2:3">
      <c r="B7706" s="118" t="s">
        <v>4687</v>
      </c>
      <c r="C7706" s="119">
        <v>2046</v>
      </c>
    </row>
    <row r="7707" spans="2:3">
      <c r="B7707" s="118" t="s">
        <v>4688</v>
      </c>
      <c r="C7707" s="119">
        <v>2052</v>
      </c>
    </row>
    <row r="7708" spans="2:3">
      <c r="B7708" s="118" t="s">
        <v>4689</v>
      </c>
      <c r="C7708" s="119">
        <v>2052</v>
      </c>
    </row>
    <row r="7709" spans="2:3">
      <c r="B7709" s="118" t="s">
        <v>4690</v>
      </c>
      <c r="C7709" s="119">
        <v>2053</v>
      </c>
    </row>
    <row r="7710" spans="2:3">
      <c r="B7710" s="118" t="s">
        <v>4691</v>
      </c>
      <c r="C7710" s="119">
        <v>2054</v>
      </c>
    </row>
    <row r="7711" spans="2:3">
      <c r="B7711" s="118" t="s">
        <v>4692</v>
      </c>
      <c r="C7711" s="119">
        <v>2054</v>
      </c>
    </row>
    <row r="7712" spans="2:3">
      <c r="B7712" s="118" t="s">
        <v>4693</v>
      </c>
      <c r="C7712" s="119">
        <v>2056</v>
      </c>
    </row>
    <row r="7713" spans="2:3">
      <c r="B7713" s="118" t="s">
        <v>4694</v>
      </c>
      <c r="C7713" s="119">
        <v>2057</v>
      </c>
    </row>
    <row r="7714" spans="2:3">
      <c r="B7714" s="118" t="s">
        <v>4695</v>
      </c>
      <c r="C7714" s="119">
        <v>2058</v>
      </c>
    </row>
    <row r="7715" spans="2:3">
      <c r="B7715" s="118" t="s">
        <v>4696</v>
      </c>
      <c r="C7715" s="119">
        <v>2063</v>
      </c>
    </row>
    <row r="7716" spans="2:3">
      <c r="B7716" s="118" t="s">
        <v>4697</v>
      </c>
      <c r="C7716" s="119">
        <v>2063</v>
      </c>
    </row>
    <row r="7717" spans="2:3">
      <c r="B7717" s="118" t="s">
        <v>4698</v>
      </c>
      <c r="C7717" s="119">
        <v>2063</v>
      </c>
    </row>
    <row r="7718" spans="2:3">
      <c r="B7718" s="118" t="s">
        <v>4699</v>
      </c>
      <c r="C7718" s="119">
        <v>2063</v>
      </c>
    </row>
    <row r="7719" spans="2:3">
      <c r="B7719" s="118" t="s">
        <v>4700</v>
      </c>
      <c r="C7719" s="119">
        <v>2065</v>
      </c>
    </row>
    <row r="7720" spans="2:3">
      <c r="B7720" s="118" t="s">
        <v>4681</v>
      </c>
      <c r="C7720" s="119">
        <v>2067</v>
      </c>
    </row>
    <row r="7721" spans="2:3">
      <c r="B7721" s="118" t="s">
        <v>4701</v>
      </c>
      <c r="C7721" s="119">
        <v>2206</v>
      </c>
    </row>
    <row r="7722" spans="2:3">
      <c r="B7722" s="118" t="s">
        <v>4702</v>
      </c>
      <c r="C7722" s="119">
        <v>2207</v>
      </c>
    </row>
    <row r="7723" spans="2:3">
      <c r="B7723" s="118" t="s">
        <v>4703</v>
      </c>
      <c r="C7723" s="119">
        <v>2208</v>
      </c>
    </row>
    <row r="7724" spans="2:3">
      <c r="B7724" s="118" t="s">
        <v>4668</v>
      </c>
      <c r="C7724" s="119">
        <v>2314</v>
      </c>
    </row>
    <row r="7725" spans="2:3">
      <c r="B7725" s="118" t="s">
        <v>2406</v>
      </c>
      <c r="C7725" s="119">
        <v>2518</v>
      </c>
    </row>
    <row r="7726" spans="2:3">
      <c r="B7726" s="118" t="s">
        <v>1365</v>
      </c>
      <c r="C7726" s="119">
        <v>2523</v>
      </c>
    </row>
    <row r="7727" spans="2:3">
      <c r="B7727" s="118" t="s">
        <v>2897</v>
      </c>
      <c r="C7727" s="119">
        <v>2616</v>
      </c>
    </row>
    <row r="7728" spans="2:3">
      <c r="B7728" s="118" t="s">
        <v>4704</v>
      </c>
      <c r="C7728" s="119">
        <v>2115</v>
      </c>
    </row>
    <row r="7729" spans="2:3">
      <c r="B7729" s="118" t="s">
        <v>1370</v>
      </c>
      <c r="C7729" s="119">
        <v>2117</v>
      </c>
    </row>
    <row r="7730" spans="2:3">
      <c r="B7730" s="118" t="s">
        <v>1366</v>
      </c>
      <c r="C7730" s="119">
        <v>2126</v>
      </c>
    </row>
    <row r="7731" spans="2:3">
      <c r="B7731" s="118" t="s">
        <v>4673</v>
      </c>
      <c r="C7731" s="119">
        <v>2406</v>
      </c>
    </row>
    <row r="7732" spans="2:3">
      <c r="B7732" s="118" t="s">
        <v>4658</v>
      </c>
      <c r="C7732" s="119">
        <v>2103</v>
      </c>
    </row>
    <row r="7733" spans="2:3">
      <c r="B7733" s="118" t="s">
        <v>4675</v>
      </c>
      <c r="C7733" s="119">
        <v>2105</v>
      </c>
    </row>
    <row r="7734" spans="2:3">
      <c r="B7734" s="118" t="s">
        <v>4338</v>
      </c>
      <c r="C7734" s="119">
        <v>2108</v>
      </c>
    </row>
    <row r="7735" spans="2:3">
      <c r="B7735" s="118" t="s">
        <v>4705</v>
      </c>
      <c r="C7735" s="119">
        <v>2112</v>
      </c>
    </row>
    <row r="7736" spans="2:3">
      <c r="B7736" s="118" t="s">
        <v>4706</v>
      </c>
      <c r="C7736" s="119">
        <v>2113</v>
      </c>
    </row>
    <row r="7737" spans="2:3">
      <c r="B7737" s="118" t="s">
        <v>4707</v>
      </c>
      <c r="C7737" s="119">
        <v>2114</v>
      </c>
    </row>
    <row r="7738" spans="2:3">
      <c r="B7738" s="118" t="s">
        <v>4704</v>
      </c>
      <c r="C7738" s="119">
        <v>2115</v>
      </c>
    </row>
    <row r="7739" spans="2:3">
      <c r="B7739" s="118" t="s">
        <v>4708</v>
      </c>
      <c r="C7739" s="119">
        <v>2116</v>
      </c>
    </row>
    <row r="7740" spans="2:3">
      <c r="B7740" s="118" t="s">
        <v>4709</v>
      </c>
      <c r="C7740" s="119">
        <v>2123</v>
      </c>
    </row>
    <row r="7741" spans="2:3">
      <c r="B7741" s="118" t="s">
        <v>4670</v>
      </c>
      <c r="C7741" s="119">
        <v>2124</v>
      </c>
    </row>
    <row r="7742" spans="2:3">
      <c r="B7742" s="118" t="s">
        <v>1366</v>
      </c>
      <c r="C7742" s="119">
        <v>2126</v>
      </c>
    </row>
    <row r="7743" spans="2:3">
      <c r="B7743" s="118" t="s">
        <v>4710</v>
      </c>
      <c r="C7743" s="119">
        <v>2127</v>
      </c>
    </row>
    <row r="7744" spans="2:3">
      <c r="B7744" s="118" t="s">
        <v>1361</v>
      </c>
      <c r="C7744" s="119">
        <v>2316</v>
      </c>
    </row>
    <row r="7745" spans="2:3">
      <c r="B7745" s="118" t="s">
        <v>1373</v>
      </c>
      <c r="C7745" s="119">
        <v>2318</v>
      </c>
    </row>
    <row r="7746" spans="2:3">
      <c r="B7746" s="118" t="s">
        <v>4673</v>
      </c>
      <c r="C7746" s="119">
        <v>2406</v>
      </c>
    </row>
    <row r="7747" spans="2:3">
      <c r="B7747" s="118" t="s">
        <v>845</v>
      </c>
      <c r="C7747" s="119">
        <v>1288</v>
      </c>
    </row>
    <row r="7748" spans="2:3">
      <c r="B7748" s="118" t="s">
        <v>833</v>
      </c>
      <c r="C7748" s="119">
        <v>1247</v>
      </c>
    </row>
    <row r="7749" spans="2:3">
      <c r="B7749" s="118" t="s">
        <v>840</v>
      </c>
      <c r="C7749" s="119">
        <v>1237</v>
      </c>
    </row>
    <row r="7750" spans="2:3">
      <c r="B7750" s="118" t="s">
        <v>848</v>
      </c>
      <c r="C7750" s="119">
        <v>1236</v>
      </c>
    </row>
    <row r="7751" spans="2:3">
      <c r="B7751" s="118" t="s">
        <v>4711</v>
      </c>
      <c r="C7751" s="119">
        <v>1285</v>
      </c>
    </row>
    <row r="7752" spans="2:3">
      <c r="B7752" s="118" t="s">
        <v>4712</v>
      </c>
      <c r="C7752" s="119">
        <v>1257</v>
      </c>
    </row>
    <row r="7753" spans="2:3">
      <c r="B7753" s="118" t="s">
        <v>4713</v>
      </c>
      <c r="C7753" s="119">
        <v>1258</v>
      </c>
    </row>
    <row r="7754" spans="2:3">
      <c r="B7754" s="118" t="s">
        <v>829</v>
      </c>
      <c r="C7754" s="119">
        <v>1293</v>
      </c>
    </row>
    <row r="7755" spans="2:3">
      <c r="B7755" s="118" t="s">
        <v>826</v>
      </c>
      <c r="C7755" s="119">
        <v>1232</v>
      </c>
    </row>
    <row r="7756" spans="2:3">
      <c r="B7756" s="118" t="s">
        <v>822</v>
      </c>
      <c r="C7756" s="119">
        <v>1233</v>
      </c>
    </row>
    <row r="7757" spans="2:3">
      <c r="B7757" s="118" t="s">
        <v>848</v>
      </c>
      <c r="C7757" s="119">
        <v>1236</v>
      </c>
    </row>
    <row r="7758" spans="2:3">
      <c r="B7758" s="118" t="s">
        <v>849</v>
      </c>
      <c r="C7758" s="119">
        <v>1286</v>
      </c>
    </row>
    <row r="7759" spans="2:3">
      <c r="B7759" s="118" t="s">
        <v>4714</v>
      </c>
      <c r="C7759" s="119">
        <v>1227</v>
      </c>
    </row>
    <row r="7760" spans="2:3">
      <c r="B7760" s="118" t="s">
        <v>1597</v>
      </c>
      <c r="C7760" s="119">
        <v>1227</v>
      </c>
    </row>
    <row r="7761" spans="2:3">
      <c r="B7761" s="118" t="s">
        <v>848</v>
      </c>
      <c r="C7761" s="119">
        <v>1236</v>
      </c>
    </row>
    <row r="7762" spans="2:3">
      <c r="B7762" s="118" t="s">
        <v>850</v>
      </c>
      <c r="C7762" s="119">
        <v>1298</v>
      </c>
    </row>
    <row r="7763" spans="2:3">
      <c r="B7763" s="118" t="s">
        <v>850</v>
      </c>
      <c r="C7763" s="119">
        <v>1298</v>
      </c>
    </row>
    <row r="7764" spans="2:3">
      <c r="B7764" s="118" t="s">
        <v>840</v>
      </c>
      <c r="C7764" s="119">
        <v>1237</v>
      </c>
    </row>
    <row r="7765" spans="2:3">
      <c r="B7765" s="118" t="s">
        <v>841</v>
      </c>
      <c r="C7765" s="119">
        <v>1284</v>
      </c>
    </row>
    <row r="7766" spans="2:3">
      <c r="B7766" s="118" t="s">
        <v>4711</v>
      </c>
      <c r="C7766" s="119">
        <v>1285</v>
      </c>
    </row>
    <row r="7767" spans="2:3">
      <c r="B7767" s="118" t="s">
        <v>819</v>
      </c>
      <c r="C7767" s="119">
        <v>1224</v>
      </c>
    </row>
    <row r="7768" spans="2:3">
      <c r="B7768" s="118" t="s">
        <v>4715</v>
      </c>
      <c r="C7768" s="119">
        <v>1231</v>
      </c>
    </row>
    <row r="7769" spans="2:3">
      <c r="B7769" s="118" t="s">
        <v>823</v>
      </c>
      <c r="C7769" s="119">
        <v>1225</v>
      </c>
    </row>
    <row r="7770" spans="2:3">
      <c r="B7770" s="118" t="s">
        <v>846</v>
      </c>
      <c r="C7770" s="119">
        <v>1244</v>
      </c>
    </row>
    <row r="7771" spans="2:3">
      <c r="B7771" s="118" t="s">
        <v>4716</v>
      </c>
      <c r="C7771" s="119">
        <v>1239</v>
      </c>
    </row>
    <row r="7772" spans="2:3">
      <c r="B7772" s="118" t="s">
        <v>817</v>
      </c>
      <c r="C7772" s="119">
        <v>1290</v>
      </c>
    </row>
    <row r="7773" spans="2:3">
      <c r="B7773" s="118" t="s">
        <v>4717</v>
      </c>
      <c r="C7773" s="119">
        <v>1222</v>
      </c>
    </row>
    <row r="7774" spans="2:3">
      <c r="B7774" s="118" t="s">
        <v>824</v>
      </c>
      <c r="C7774" s="119">
        <v>1245</v>
      </c>
    </row>
    <row r="7775" spans="2:3">
      <c r="B7775" s="118" t="s">
        <v>825</v>
      </c>
      <c r="C7775" s="119">
        <v>1223</v>
      </c>
    </row>
    <row r="7776" spans="2:3">
      <c r="B7776" s="118" t="s">
        <v>821</v>
      </c>
      <c r="C7776" s="119">
        <v>1228</v>
      </c>
    </row>
    <row r="7777" spans="2:3">
      <c r="B7777" s="118" t="s">
        <v>826</v>
      </c>
      <c r="C7777" s="119">
        <v>1232</v>
      </c>
    </row>
    <row r="7778" spans="2:3">
      <c r="B7778" s="118" t="s">
        <v>4718</v>
      </c>
      <c r="C7778" s="119">
        <v>1246</v>
      </c>
    </row>
    <row r="7779" spans="2:3">
      <c r="B7779" s="118" t="s">
        <v>4719</v>
      </c>
      <c r="C7779" s="119">
        <v>1283</v>
      </c>
    </row>
    <row r="7780" spans="2:3">
      <c r="B7780" s="118" t="s">
        <v>839</v>
      </c>
      <c r="C7780" s="119">
        <v>1283</v>
      </c>
    </row>
    <row r="7781" spans="2:3">
      <c r="B7781" s="118" t="s">
        <v>2692</v>
      </c>
      <c r="C7781" s="119">
        <v>1201</v>
      </c>
    </row>
    <row r="7782" spans="2:3">
      <c r="B7782" s="118" t="s">
        <v>2692</v>
      </c>
      <c r="C7782" s="119">
        <v>1202</v>
      </c>
    </row>
    <row r="7783" spans="2:3">
      <c r="B7783" s="118" t="s">
        <v>2692</v>
      </c>
      <c r="C7783" s="119">
        <v>1203</v>
      </c>
    </row>
    <row r="7784" spans="2:3">
      <c r="B7784" s="118" t="s">
        <v>2692</v>
      </c>
      <c r="C7784" s="119">
        <v>1204</v>
      </c>
    </row>
    <row r="7785" spans="2:3">
      <c r="B7785" s="118" t="s">
        <v>2692</v>
      </c>
      <c r="C7785" s="119">
        <v>1205</v>
      </c>
    </row>
    <row r="7786" spans="2:3">
      <c r="B7786" s="118" t="s">
        <v>2692</v>
      </c>
      <c r="C7786" s="119">
        <v>1206</v>
      </c>
    </row>
    <row r="7787" spans="2:3">
      <c r="B7787" s="118" t="s">
        <v>2692</v>
      </c>
      <c r="C7787" s="119">
        <v>1207</v>
      </c>
    </row>
    <row r="7788" spans="2:3">
      <c r="B7788" s="118" t="s">
        <v>2692</v>
      </c>
      <c r="C7788" s="119">
        <v>1208</v>
      </c>
    </row>
    <row r="7789" spans="2:3">
      <c r="B7789" s="118" t="s">
        <v>2692</v>
      </c>
      <c r="C7789" s="119">
        <v>1209</v>
      </c>
    </row>
    <row r="7790" spans="2:3">
      <c r="B7790" s="118" t="s">
        <v>1598</v>
      </c>
      <c r="C7790" s="119">
        <v>1213</v>
      </c>
    </row>
    <row r="7791" spans="2:3">
      <c r="B7791" s="118" t="s">
        <v>818</v>
      </c>
      <c r="C7791" s="119">
        <v>1218</v>
      </c>
    </row>
    <row r="7792" spans="2:3">
      <c r="B7792" s="118" t="s">
        <v>4714</v>
      </c>
      <c r="C7792" s="119">
        <v>1227</v>
      </c>
    </row>
    <row r="7793" spans="2:3">
      <c r="B7793" s="118" t="s">
        <v>1597</v>
      </c>
      <c r="C7793" s="119">
        <v>1227</v>
      </c>
    </row>
    <row r="7794" spans="2:3">
      <c r="B7794" s="118" t="s">
        <v>4720</v>
      </c>
      <c r="C7794" s="119">
        <v>1292</v>
      </c>
    </row>
    <row r="7795" spans="2:3">
      <c r="B7795" s="118" t="s">
        <v>831</v>
      </c>
      <c r="C7795" s="119">
        <v>1294</v>
      </c>
    </row>
    <row r="7796" spans="2:3">
      <c r="B7796" s="118" t="s">
        <v>2692</v>
      </c>
      <c r="C7796" s="119">
        <v>1209</v>
      </c>
    </row>
    <row r="7797" spans="2:3">
      <c r="B7797" s="118" t="s">
        <v>2692</v>
      </c>
      <c r="C7797" s="119">
        <v>1215</v>
      </c>
    </row>
    <row r="7798" spans="2:3">
      <c r="B7798" s="118" t="s">
        <v>1600</v>
      </c>
      <c r="C7798" s="119">
        <v>1216</v>
      </c>
    </row>
    <row r="7799" spans="2:3">
      <c r="B7799" s="118" t="s">
        <v>818</v>
      </c>
      <c r="C7799" s="119">
        <v>1218</v>
      </c>
    </row>
    <row r="7800" spans="2:3">
      <c r="B7800" s="118" t="s">
        <v>854</v>
      </c>
      <c r="C7800" s="119">
        <v>1251</v>
      </c>
    </row>
    <row r="7801" spans="2:3">
      <c r="B7801" s="118" t="s">
        <v>844</v>
      </c>
      <c r="C7801" s="119">
        <v>1254</v>
      </c>
    </row>
    <row r="7802" spans="2:3">
      <c r="B7802" s="118" t="s">
        <v>847</v>
      </c>
      <c r="C7802" s="119">
        <v>1248</v>
      </c>
    </row>
    <row r="7803" spans="2:3">
      <c r="B7803" s="118" t="s">
        <v>844</v>
      </c>
      <c r="C7803" s="119">
        <v>1254</v>
      </c>
    </row>
    <row r="7804" spans="2:3">
      <c r="B7804" s="118" t="s">
        <v>848</v>
      </c>
      <c r="C7804" s="119">
        <v>1236</v>
      </c>
    </row>
    <row r="7805" spans="2:3">
      <c r="B7805" s="118" t="s">
        <v>852</v>
      </c>
      <c r="C7805" s="119">
        <v>1287</v>
      </c>
    </row>
    <row r="7806" spans="2:3">
      <c r="B7806" s="118" t="s">
        <v>1599</v>
      </c>
      <c r="C7806" s="119">
        <v>1212</v>
      </c>
    </row>
    <row r="7807" spans="2:3">
      <c r="B7807" s="118" t="s">
        <v>1598</v>
      </c>
      <c r="C7807" s="119">
        <v>1213</v>
      </c>
    </row>
    <row r="7808" spans="2:3">
      <c r="B7808" s="118" t="s">
        <v>815</v>
      </c>
      <c r="C7808" s="119">
        <v>1213</v>
      </c>
    </row>
    <row r="7809" spans="2:3">
      <c r="B7809" s="118" t="s">
        <v>1597</v>
      </c>
      <c r="C7809" s="119">
        <v>1227</v>
      </c>
    </row>
    <row r="7810" spans="2:3">
      <c r="B7810" s="118" t="s">
        <v>821</v>
      </c>
      <c r="C7810" s="119">
        <v>1228</v>
      </c>
    </row>
    <row r="7811" spans="2:3">
      <c r="B7811" s="118" t="s">
        <v>835</v>
      </c>
      <c r="C7811" s="119">
        <v>1256</v>
      </c>
    </row>
    <row r="7812" spans="2:3">
      <c r="B7812" s="118" t="s">
        <v>837</v>
      </c>
      <c r="C7812" s="119">
        <v>1252</v>
      </c>
    </row>
    <row r="7813" spans="2:3">
      <c r="B7813" s="118" t="s">
        <v>811</v>
      </c>
      <c r="C7813" s="119">
        <v>1214</v>
      </c>
    </row>
    <row r="7814" spans="2:3">
      <c r="B7814" s="118" t="s">
        <v>2692</v>
      </c>
      <c r="C7814" s="119">
        <v>1215</v>
      </c>
    </row>
    <row r="7815" spans="2:3">
      <c r="B7815" s="118" t="s">
        <v>1600</v>
      </c>
      <c r="C7815" s="119">
        <v>1216</v>
      </c>
    </row>
    <row r="7816" spans="2:3">
      <c r="B7816" s="118" t="s">
        <v>813</v>
      </c>
      <c r="C7816" s="119">
        <v>1217</v>
      </c>
    </row>
    <row r="7817" spans="2:3">
      <c r="B7817" s="118" t="s">
        <v>1599</v>
      </c>
      <c r="C7817" s="119">
        <v>1212</v>
      </c>
    </row>
    <row r="7818" spans="2:3">
      <c r="B7818" s="118" t="s">
        <v>815</v>
      </c>
      <c r="C7818" s="119">
        <v>1213</v>
      </c>
    </row>
    <row r="7819" spans="2:3">
      <c r="B7819" s="118" t="s">
        <v>4713</v>
      </c>
      <c r="C7819" s="119">
        <v>1258</v>
      </c>
    </row>
    <row r="7820" spans="2:3">
      <c r="B7820" s="118" t="s">
        <v>1599</v>
      </c>
      <c r="C7820" s="119">
        <v>1212</v>
      </c>
    </row>
    <row r="7821" spans="2:3">
      <c r="B7821" s="118" t="s">
        <v>821</v>
      </c>
      <c r="C7821" s="119">
        <v>1228</v>
      </c>
    </row>
    <row r="7822" spans="2:3">
      <c r="B7822" s="118" t="s">
        <v>835</v>
      </c>
      <c r="C7822" s="119">
        <v>1256</v>
      </c>
    </row>
    <row r="7823" spans="2:3">
      <c r="B7823" s="118" t="s">
        <v>4712</v>
      </c>
      <c r="C7823" s="119">
        <v>1257</v>
      </c>
    </row>
    <row r="7824" spans="2:3">
      <c r="B7824" s="118" t="s">
        <v>2692</v>
      </c>
      <c r="C7824" s="119">
        <v>1202</v>
      </c>
    </row>
    <row r="7825" spans="2:3">
      <c r="B7825" s="118" t="s">
        <v>4720</v>
      </c>
      <c r="C7825" s="119">
        <v>1292</v>
      </c>
    </row>
    <row r="7826" spans="2:3">
      <c r="B7826" s="118" t="s">
        <v>851</v>
      </c>
      <c r="C7826" s="119">
        <v>1243</v>
      </c>
    </row>
    <row r="7827" spans="2:3">
      <c r="B7827" s="118" t="s">
        <v>834</v>
      </c>
      <c r="C7827" s="119">
        <v>1241</v>
      </c>
    </row>
    <row r="7828" spans="2:3">
      <c r="B7828" s="118" t="s">
        <v>853</v>
      </c>
      <c r="C7828" s="119">
        <v>1281</v>
      </c>
    </row>
    <row r="7829" spans="2:3">
      <c r="B7829" s="118" t="s">
        <v>811</v>
      </c>
      <c r="C7829" s="119">
        <v>1214</v>
      </c>
    </row>
    <row r="7830" spans="2:3">
      <c r="B7830" s="118" t="s">
        <v>827</v>
      </c>
      <c r="C7830" s="119">
        <v>1242</v>
      </c>
    </row>
    <row r="7831" spans="2:3">
      <c r="B7831" s="118" t="s">
        <v>853</v>
      </c>
      <c r="C7831" s="119">
        <v>1281</v>
      </c>
    </row>
    <row r="7832" spans="2:3">
      <c r="B7832" s="118" t="s">
        <v>849</v>
      </c>
      <c r="C7832" s="119">
        <v>1286</v>
      </c>
    </row>
    <row r="7833" spans="2:3">
      <c r="B7833" s="118" t="s">
        <v>816</v>
      </c>
      <c r="C7833" s="119">
        <v>1226</v>
      </c>
    </row>
    <row r="7834" spans="2:3">
      <c r="B7834" s="118" t="s">
        <v>820</v>
      </c>
      <c r="C7834" s="119">
        <v>1255</v>
      </c>
    </row>
    <row r="7835" spans="2:3">
      <c r="B7835" s="118" t="s">
        <v>835</v>
      </c>
      <c r="C7835" s="119">
        <v>1256</v>
      </c>
    </row>
    <row r="7836" spans="2:3">
      <c r="B7836" s="118" t="s">
        <v>4712</v>
      </c>
      <c r="C7836" s="119">
        <v>1257</v>
      </c>
    </row>
    <row r="7837" spans="2:3">
      <c r="B7837" s="118" t="s">
        <v>832</v>
      </c>
      <c r="C7837" s="119">
        <v>1253</v>
      </c>
    </row>
    <row r="7838" spans="2:3">
      <c r="B7838" s="118" t="s">
        <v>2692</v>
      </c>
      <c r="C7838" s="119">
        <v>1209</v>
      </c>
    </row>
    <row r="7839" spans="2:3">
      <c r="B7839" s="118" t="s">
        <v>811</v>
      </c>
      <c r="C7839" s="119">
        <v>1214</v>
      </c>
    </row>
    <row r="7840" spans="2:3">
      <c r="B7840" s="118" t="s">
        <v>1600</v>
      </c>
      <c r="C7840" s="119">
        <v>1216</v>
      </c>
    </row>
    <row r="7841" spans="2:3">
      <c r="B7841" s="118" t="s">
        <v>1603</v>
      </c>
      <c r="C7841" s="119">
        <v>1219</v>
      </c>
    </row>
    <row r="7842" spans="2:3">
      <c r="B7842" s="118" t="s">
        <v>1604</v>
      </c>
      <c r="C7842" s="119">
        <v>1219</v>
      </c>
    </row>
    <row r="7843" spans="2:3">
      <c r="B7843" s="118" t="s">
        <v>1601</v>
      </c>
      <c r="C7843" s="119">
        <v>1219</v>
      </c>
    </row>
    <row r="7844" spans="2:3">
      <c r="B7844" s="118" t="s">
        <v>1602</v>
      </c>
      <c r="C7844" s="119">
        <v>1220</v>
      </c>
    </row>
    <row r="7845" spans="2:3">
      <c r="B7845" s="118" t="s">
        <v>817</v>
      </c>
      <c r="C7845" s="119">
        <v>1290</v>
      </c>
    </row>
    <row r="7846" spans="2:3">
      <c r="B7846" s="118" t="s">
        <v>4721</v>
      </c>
      <c r="C7846" s="119">
        <v>1234</v>
      </c>
    </row>
    <row r="7847" spans="2:3">
      <c r="B7847" s="118" t="s">
        <v>820</v>
      </c>
      <c r="C7847" s="119">
        <v>1255</v>
      </c>
    </row>
    <row r="7848" spans="2:3">
      <c r="B7848" s="118" t="s">
        <v>835</v>
      </c>
      <c r="C7848" s="119">
        <v>1256</v>
      </c>
    </row>
    <row r="7849" spans="2:3">
      <c r="B7849" s="118" t="s">
        <v>1002</v>
      </c>
      <c r="C7849" s="119">
        <v>2856</v>
      </c>
    </row>
    <row r="7850" spans="2:3">
      <c r="B7850" s="118" t="s">
        <v>4722</v>
      </c>
      <c r="C7850" s="119">
        <v>2857</v>
      </c>
    </row>
    <row r="7851" spans="2:3">
      <c r="B7851" s="118" t="s">
        <v>4723</v>
      </c>
      <c r="C7851" s="119">
        <v>2883</v>
      </c>
    </row>
    <row r="7852" spans="2:3">
      <c r="B7852" s="118" t="s">
        <v>1024</v>
      </c>
      <c r="C7852" s="119">
        <v>2803</v>
      </c>
    </row>
    <row r="7853" spans="2:3">
      <c r="B7853" s="118" t="s">
        <v>4724</v>
      </c>
      <c r="C7853" s="119">
        <v>2843</v>
      </c>
    </row>
    <row r="7854" spans="2:3">
      <c r="B7854" s="118" t="s">
        <v>4725</v>
      </c>
      <c r="C7854" s="119">
        <v>2824</v>
      </c>
    </row>
    <row r="7855" spans="2:3">
      <c r="B7855" s="118" t="s">
        <v>1016</v>
      </c>
      <c r="C7855" s="119">
        <v>2825</v>
      </c>
    </row>
    <row r="7856" spans="2:3">
      <c r="B7856" s="118" t="s">
        <v>981</v>
      </c>
      <c r="C7856" s="119">
        <v>2800</v>
      </c>
    </row>
    <row r="7857" spans="2:3">
      <c r="B7857" s="118" t="s">
        <v>984</v>
      </c>
      <c r="C7857" s="119">
        <v>2830</v>
      </c>
    </row>
    <row r="7858" spans="2:3">
      <c r="B7858" s="118" t="s">
        <v>4726</v>
      </c>
      <c r="C7858" s="119">
        <v>2830</v>
      </c>
    </row>
    <row r="7859" spans="2:3">
      <c r="B7859" s="118" t="s">
        <v>4727</v>
      </c>
      <c r="C7859" s="119">
        <v>2832</v>
      </c>
    </row>
    <row r="7860" spans="2:3">
      <c r="B7860" s="118" t="s">
        <v>1015</v>
      </c>
      <c r="C7860" s="119">
        <v>2805</v>
      </c>
    </row>
    <row r="7861" spans="2:3">
      <c r="B7861" s="118" t="s">
        <v>985</v>
      </c>
      <c r="C7861" s="119">
        <v>2822</v>
      </c>
    </row>
    <row r="7862" spans="2:3">
      <c r="B7862" s="118" t="s">
        <v>4728</v>
      </c>
      <c r="C7862" s="119">
        <v>2823</v>
      </c>
    </row>
    <row r="7863" spans="2:3">
      <c r="B7863" s="118" t="s">
        <v>984</v>
      </c>
      <c r="C7863" s="119">
        <v>2830</v>
      </c>
    </row>
    <row r="7864" spans="2:3">
      <c r="B7864" s="118" t="s">
        <v>987</v>
      </c>
      <c r="C7864" s="119">
        <v>2852</v>
      </c>
    </row>
    <row r="7865" spans="2:3">
      <c r="B7865" s="118" t="s">
        <v>4729</v>
      </c>
      <c r="C7865" s="119">
        <v>2853</v>
      </c>
    </row>
    <row r="7866" spans="2:3">
      <c r="B7866" s="118" t="s">
        <v>981</v>
      </c>
      <c r="C7866" s="119">
        <v>2800</v>
      </c>
    </row>
    <row r="7867" spans="2:3">
      <c r="B7867" s="118" t="s">
        <v>1032</v>
      </c>
      <c r="C7867" s="119">
        <v>2806</v>
      </c>
    </row>
    <row r="7868" spans="2:3">
      <c r="B7868" s="118" t="s">
        <v>987</v>
      </c>
      <c r="C7868" s="119">
        <v>2852</v>
      </c>
    </row>
    <row r="7869" spans="2:3">
      <c r="B7869" s="118" t="s">
        <v>981</v>
      </c>
      <c r="C7869" s="119">
        <v>2800</v>
      </c>
    </row>
    <row r="7870" spans="2:3">
      <c r="B7870" s="118" t="s">
        <v>994</v>
      </c>
      <c r="C7870" s="119">
        <v>2802</v>
      </c>
    </row>
    <row r="7871" spans="2:3">
      <c r="B7871" s="118" t="s">
        <v>1030</v>
      </c>
      <c r="C7871" s="119">
        <v>2813</v>
      </c>
    </row>
    <row r="7872" spans="2:3">
      <c r="B7872" s="118" t="s">
        <v>1115</v>
      </c>
      <c r="C7872" s="119">
        <v>2814</v>
      </c>
    </row>
    <row r="7873" spans="2:3">
      <c r="B7873" s="118" t="s">
        <v>1013</v>
      </c>
      <c r="C7873" s="119">
        <v>2827</v>
      </c>
    </row>
    <row r="7874" spans="2:3">
      <c r="B7874" s="118" t="s">
        <v>1032</v>
      </c>
      <c r="C7874" s="119">
        <v>2806</v>
      </c>
    </row>
    <row r="7875" spans="2:3">
      <c r="B7875" s="118" t="s">
        <v>1017</v>
      </c>
      <c r="C7875" s="119">
        <v>2812</v>
      </c>
    </row>
    <row r="7876" spans="2:3">
      <c r="B7876" s="118" t="s">
        <v>1030</v>
      </c>
      <c r="C7876" s="119">
        <v>2813</v>
      </c>
    </row>
    <row r="7877" spans="2:3">
      <c r="B7877" s="118" t="s">
        <v>1024</v>
      </c>
      <c r="C7877" s="119">
        <v>2803</v>
      </c>
    </row>
    <row r="7878" spans="2:3">
      <c r="B7878" s="118" t="s">
        <v>1032</v>
      </c>
      <c r="C7878" s="119">
        <v>2806</v>
      </c>
    </row>
    <row r="7879" spans="2:3">
      <c r="B7879" s="118" t="s">
        <v>1020</v>
      </c>
      <c r="C7879" s="119">
        <v>2807</v>
      </c>
    </row>
    <row r="7880" spans="2:3">
      <c r="B7880" s="118" t="s">
        <v>4730</v>
      </c>
      <c r="C7880" s="119">
        <v>2807</v>
      </c>
    </row>
    <row r="7881" spans="2:3">
      <c r="B7881" s="118" t="s">
        <v>1030</v>
      </c>
      <c r="C7881" s="119">
        <v>2813</v>
      </c>
    </row>
    <row r="7882" spans="2:3">
      <c r="B7882" s="118" t="s">
        <v>1115</v>
      </c>
      <c r="C7882" s="119">
        <v>2814</v>
      </c>
    </row>
    <row r="7883" spans="2:3">
      <c r="B7883" s="118" t="s">
        <v>1008</v>
      </c>
      <c r="C7883" s="119">
        <v>2842</v>
      </c>
    </row>
    <row r="7884" spans="2:3">
      <c r="B7884" s="118" t="s">
        <v>4731</v>
      </c>
      <c r="C7884" s="119">
        <v>2718</v>
      </c>
    </row>
    <row r="7885" spans="2:3">
      <c r="B7885" s="118" t="s">
        <v>1023</v>
      </c>
      <c r="C7885" s="119">
        <v>2873</v>
      </c>
    </row>
    <row r="7886" spans="2:3">
      <c r="B7886" s="118" t="s">
        <v>1015</v>
      </c>
      <c r="C7886" s="119">
        <v>2805</v>
      </c>
    </row>
    <row r="7887" spans="2:3">
      <c r="B7887" s="118" t="s">
        <v>2988</v>
      </c>
      <c r="C7887" s="119">
        <v>2748</v>
      </c>
    </row>
    <row r="7888" spans="2:3">
      <c r="B7888" s="118" t="s">
        <v>4729</v>
      </c>
      <c r="C7888" s="119">
        <v>2853</v>
      </c>
    </row>
    <row r="7889" spans="2:3">
      <c r="B7889" s="118" t="s">
        <v>4732</v>
      </c>
      <c r="C7889" s="119">
        <v>2854</v>
      </c>
    </row>
    <row r="7890" spans="2:3">
      <c r="B7890" s="118" t="s">
        <v>4733</v>
      </c>
      <c r="C7890" s="119">
        <v>2855</v>
      </c>
    </row>
    <row r="7891" spans="2:3">
      <c r="B7891" s="118" t="s">
        <v>4734</v>
      </c>
      <c r="C7891" s="119">
        <v>2863</v>
      </c>
    </row>
    <row r="7892" spans="2:3">
      <c r="B7892" s="118" t="s">
        <v>4735</v>
      </c>
      <c r="C7892" s="119">
        <v>2864</v>
      </c>
    </row>
    <row r="7893" spans="2:3">
      <c r="B7893" s="118" t="s">
        <v>4725</v>
      </c>
      <c r="C7893" s="119">
        <v>2824</v>
      </c>
    </row>
    <row r="7894" spans="2:3">
      <c r="B7894" s="118" t="s">
        <v>4736</v>
      </c>
      <c r="C7894" s="119">
        <v>2826</v>
      </c>
    </row>
    <row r="7895" spans="2:3">
      <c r="B7895" s="118" t="s">
        <v>4737</v>
      </c>
      <c r="C7895" s="119">
        <v>2828</v>
      </c>
    </row>
    <row r="7896" spans="2:3">
      <c r="B7896" s="118" t="s">
        <v>4738</v>
      </c>
      <c r="C7896" s="119">
        <v>2829</v>
      </c>
    </row>
    <row r="7897" spans="2:3">
      <c r="B7897" s="118" t="s">
        <v>4727</v>
      </c>
      <c r="C7897" s="119">
        <v>2832</v>
      </c>
    </row>
    <row r="7898" spans="2:3">
      <c r="B7898" s="118" t="s">
        <v>4739</v>
      </c>
      <c r="C7898" s="119">
        <v>2360</v>
      </c>
    </row>
    <row r="7899" spans="2:3">
      <c r="B7899" s="118" t="s">
        <v>1009</v>
      </c>
      <c r="C7899" s="119">
        <v>2362</v>
      </c>
    </row>
    <row r="7900" spans="2:3">
      <c r="B7900" s="118" t="s">
        <v>1028</v>
      </c>
      <c r="C7900" s="119">
        <v>2363</v>
      </c>
    </row>
    <row r="7901" spans="2:3">
      <c r="B7901" s="118" t="s">
        <v>2441</v>
      </c>
      <c r="C7901" s="119">
        <v>2333</v>
      </c>
    </row>
    <row r="7902" spans="2:3">
      <c r="B7902" s="118" t="s">
        <v>996</v>
      </c>
      <c r="C7902" s="119">
        <v>2336</v>
      </c>
    </row>
    <row r="7903" spans="2:3">
      <c r="B7903" s="118" t="s">
        <v>993</v>
      </c>
      <c r="C7903" s="119">
        <v>2345</v>
      </c>
    </row>
    <row r="7904" spans="2:3">
      <c r="B7904" s="118" t="s">
        <v>1033</v>
      </c>
      <c r="C7904" s="119">
        <v>2345</v>
      </c>
    </row>
    <row r="7905" spans="2:3">
      <c r="B7905" s="118" t="s">
        <v>4740</v>
      </c>
      <c r="C7905" s="119">
        <v>2353</v>
      </c>
    </row>
    <row r="7906" spans="2:3">
      <c r="B7906" s="118" t="s">
        <v>1028</v>
      </c>
      <c r="C7906" s="119">
        <v>2363</v>
      </c>
    </row>
    <row r="7907" spans="2:3">
      <c r="B7907" s="118" t="s">
        <v>4741</v>
      </c>
      <c r="C7907" s="119">
        <v>2714</v>
      </c>
    </row>
    <row r="7908" spans="2:3">
      <c r="B7908" s="118" t="s">
        <v>4742</v>
      </c>
      <c r="C7908" s="119">
        <v>2714</v>
      </c>
    </row>
    <row r="7909" spans="2:3">
      <c r="B7909" s="118" t="s">
        <v>1009</v>
      </c>
      <c r="C7909" s="119">
        <v>2362</v>
      </c>
    </row>
    <row r="7910" spans="2:3">
      <c r="B7910" s="118" t="s">
        <v>4743</v>
      </c>
      <c r="C7910" s="119">
        <v>2718</v>
      </c>
    </row>
    <row r="7911" spans="2:3">
      <c r="B7911" s="118" t="s">
        <v>4731</v>
      </c>
      <c r="C7911" s="119">
        <v>2718</v>
      </c>
    </row>
    <row r="7912" spans="2:3">
      <c r="B7912" s="118" t="s">
        <v>1009</v>
      </c>
      <c r="C7912" s="119">
        <v>2362</v>
      </c>
    </row>
    <row r="7913" spans="2:3">
      <c r="B7913" s="118" t="s">
        <v>4744</v>
      </c>
      <c r="C7913" s="119">
        <v>2362</v>
      </c>
    </row>
    <row r="7914" spans="2:3">
      <c r="B7914" s="118" t="s">
        <v>4743</v>
      </c>
      <c r="C7914" s="119">
        <v>2718</v>
      </c>
    </row>
    <row r="7915" spans="2:3">
      <c r="B7915" s="118" t="s">
        <v>4745</v>
      </c>
      <c r="C7915" s="119">
        <v>2338</v>
      </c>
    </row>
    <row r="7916" spans="2:3">
      <c r="B7916" s="118" t="s">
        <v>1012</v>
      </c>
      <c r="C7916" s="119">
        <v>2338</v>
      </c>
    </row>
    <row r="7917" spans="2:3">
      <c r="B7917" s="118" t="s">
        <v>993</v>
      </c>
      <c r="C7917" s="119">
        <v>2345</v>
      </c>
    </row>
    <row r="7918" spans="2:3">
      <c r="B7918" s="118" t="s">
        <v>2901</v>
      </c>
      <c r="C7918" s="119">
        <v>2345</v>
      </c>
    </row>
    <row r="7919" spans="2:3">
      <c r="B7919" s="118" t="s">
        <v>996</v>
      </c>
      <c r="C7919" s="119">
        <v>2336</v>
      </c>
    </row>
    <row r="7920" spans="2:3">
      <c r="B7920" s="118" t="s">
        <v>990</v>
      </c>
      <c r="C7920" s="119">
        <v>2340</v>
      </c>
    </row>
    <row r="7921" spans="2:3">
      <c r="B7921" s="118" t="s">
        <v>993</v>
      </c>
      <c r="C7921" s="119">
        <v>2345</v>
      </c>
    </row>
    <row r="7922" spans="2:3">
      <c r="B7922" s="118" t="s">
        <v>988</v>
      </c>
      <c r="C7922" s="119">
        <v>2350</v>
      </c>
    </row>
    <row r="7923" spans="2:3">
      <c r="B7923" s="118" t="s">
        <v>4740</v>
      </c>
      <c r="C7923" s="119">
        <v>2353</v>
      </c>
    </row>
    <row r="7924" spans="2:3">
      <c r="B7924" s="118" t="s">
        <v>4746</v>
      </c>
      <c r="C7924" s="119">
        <v>2354</v>
      </c>
    </row>
    <row r="7925" spans="2:3">
      <c r="B7925" s="118" t="s">
        <v>4747</v>
      </c>
      <c r="C7925" s="119">
        <v>2364</v>
      </c>
    </row>
    <row r="7926" spans="2:3">
      <c r="B7926" s="118" t="s">
        <v>1023</v>
      </c>
      <c r="C7926" s="119">
        <v>2873</v>
      </c>
    </row>
    <row r="7927" spans="2:3">
      <c r="B7927" s="118" t="s">
        <v>4748</v>
      </c>
      <c r="C7927" s="119">
        <v>2882</v>
      </c>
    </row>
    <row r="7928" spans="2:3">
      <c r="B7928" s="118" t="s">
        <v>4723</v>
      </c>
      <c r="C7928" s="119">
        <v>2883</v>
      </c>
    </row>
    <row r="7929" spans="2:3">
      <c r="B7929" s="118" t="s">
        <v>4749</v>
      </c>
      <c r="C7929" s="119">
        <v>2886</v>
      </c>
    </row>
    <row r="7930" spans="2:3">
      <c r="B7930" s="118" t="s">
        <v>1029</v>
      </c>
      <c r="C7930" s="119">
        <v>2887</v>
      </c>
    </row>
    <row r="7931" spans="2:3">
      <c r="B7931" s="118" t="s">
        <v>991</v>
      </c>
      <c r="C7931" s="119">
        <v>2942</v>
      </c>
    </row>
    <row r="7932" spans="2:3">
      <c r="B7932" s="118" t="s">
        <v>998</v>
      </c>
      <c r="C7932" s="119">
        <v>2926</v>
      </c>
    </row>
    <row r="7933" spans="2:3">
      <c r="B7933" s="118" t="s">
        <v>1007</v>
      </c>
      <c r="C7933" s="119">
        <v>2915</v>
      </c>
    </row>
    <row r="7934" spans="2:3">
      <c r="B7934" s="118" t="s">
        <v>1004</v>
      </c>
      <c r="C7934" s="119">
        <v>2932</v>
      </c>
    </row>
    <row r="7935" spans="2:3">
      <c r="B7935" s="118" t="s">
        <v>1001</v>
      </c>
      <c r="C7935" s="119">
        <v>2952</v>
      </c>
    </row>
    <row r="7936" spans="2:3">
      <c r="B7936" s="118" t="s">
        <v>1022</v>
      </c>
      <c r="C7936" s="119">
        <v>2922</v>
      </c>
    </row>
    <row r="7937" spans="2:3">
      <c r="B7937" s="118" t="s">
        <v>989</v>
      </c>
      <c r="C7937" s="119">
        <v>2950</v>
      </c>
    </row>
    <row r="7938" spans="2:3">
      <c r="B7938" s="118" t="s">
        <v>4750</v>
      </c>
      <c r="C7938" s="119">
        <v>2950</v>
      </c>
    </row>
    <row r="7939" spans="2:3">
      <c r="B7939" s="118" t="s">
        <v>983</v>
      </c>
      <c r="C7939" s="119">
        <v>2900</v>
      </c>
    </row>
    <row r="7940" spans="2:3">
      <c r="B7940" s="118" t="s">
        <v>1003</v>
      </c>
      <c r="C7940" s="119">
        <v>2905</v>
      </c>
    </row>
    <row r="7941" spans="2:3">
      <c r="B7941" s="118" t="s">
        <v>1019</v>
      </c>
      <c r="C7941" s="119">
        <v>2916</v>
      </c>
    </row>
    <row r="7942" spans="2:3">
      <c r="B7942" s="118" t="s">
        <v>983</v>
      </c>
      <c r="C7942" s="119">
        <v>2900</v>
      </c>
    </row>
    <row r="7943" spans="2:3">
      <c r="B7943" s="118" t="s">
        <v>992</v>
      </c>
      <c r="C7943" s="119">
        <v>2902</v>
      </c>
    </row>
    <row r="7944" spans="2:3">
      <c r="B7944" s="118" t="s">
        <v>4751</v>
      </c>
      <c r="C7944" s="119">
        <v>2903</v>
      </c>
    </row>
    <row r="7945" spans="2:3">
      <c r="B7945" s="118" t="s">
        <v>4752</v>
      </c>
      <c r="C7945" s="119">
        <v>2904</v>
      </c>
    </row>
    <row r="7946" spans="2:3">
      <c r="B7946" s="118" t="s">
        <v>1018</v>
      </c>
      <c r="C7946" s="119">
        <v>2908</v>
      </c>
    </row>
    <row r="7947" spans="2:3">
      <c r="B7947" s="118" t="s">
        <v>983</v>
      </c>
      <c r="C7947" s="119">
        <v>2900</v>
      </c>
    </row>
    <row r="7948" spans="2:3">
      <c r="B7948" s="118" t="s">
        <v>1010</v>
      </c>
      <c r="C7948" s="119">
        <v>2943</v>
      </c>
    </row>
    <row r="7949" spans="2:3">
      <c r="B7949" s="118" t="s">
        <v>1007</v>
      </c>
      <c r="C7949" s="119">
        <v>2915</v>
      </c>
    </row>
    <row r="7950" spans="2:3">
      <c r="B7950" s="118" t="s">
        <v>4753</v>
      </c>
      <c r="C7950" s="119">
        <v>2923</v>
      </c>
    </row>
    <row r="7951" spans="2:3">
      <c r="B7951" s="118" t="s">
        <v>4754</v>
      </c>
      <c r="C7951" s="119">
        <v>2924</v>
      </c>
    </row>
    <row r="7952" spans="2:3">
      <c r="B7952" s="118" t="s">
        <v>4755</v>
      </c>
      <c r="C7952" s="119">
        <v>2925</v>
      </c>
    </row>
    <row r="7953" spans="2:3">
      <c r="B7953" s="118" t="s">
        <v>4748</v>
      </c>
      <c r="C7953" s="119">
        <v>2882</v>
      </c>
    </row>
    <row r="7954" spans="2:3">
      <c r="B7954" s="118" t="s">
        <v>4723</v>
      </c>
      <c r="C7954" s="119">
        <v>2883</v>
      </c>
    </row>
    <row r="7955" spans="2:3">
      <c r="B7955" s="118" t="s">
        <v>4756</v>
      </c>
      <c r="C7955" s="119">
        <v>2884</v>
      </c>
    </row>
    <row r="7956" spans="2:3">
      <c r="B7956" s="118" t="s">
        <v>4757</v>
      </c>
      <c r="C7956" s="119">
        <v>2885</v>
      </c>
    </row>
    <row r="7957" spans="2:3">
      <c r="B7957" s="118" t="s">
        <v>4749</v>
      </c>
      <c r="C7957" s="119">
        <v>2886</v>
      </c>
    </row>
    <row r="7958" spans="2:3">
      <c r="B7958" s="118" t="s">
        <v>4758</v>
      </c>
      <c r="C7958" s="119">
        <v>2888</v>
      </c>
    </row>
    <row r="7959" spans="2:3">
      <c r="B7959" s="118" t="s">
        <v>4759</v>
      </c>
      <c r="C7959" s="119">
        <v>2889</v>
      </c>
    </row>
    <row r="7960" spans="2:3">
      <c r="B7960" s="118" t="s">
        <v>4760</v>
      </c>
      <c r="C7960" s="119">
        <v>2906</v>
      </c>
    </row>
    <row r="7961" spans="2:3">
      <c r="B7961" s="118" t="s">
        <v>4761</v>
      </c>
      <c r="C7961" s="119">
        <v>2907</v>
      </c>
    </row>
    <row r="7962" spans="2:3">
      <c r="B7962" s="118" t="s">
        <v>4762</v>
      </c>
      <c r="C7962" s="119">
        <v>2912</v>
      </c>
    </row>
    <row r="7963" spans="2:3">
      <c r="B7963" s="118" t="s">
        <v>4763</v>
      </c>
      <c r="C7963" s="119">
        <v>2912</v>
      </c>
    </row>
    <row r="7964" spans="2:3">
      <c r="B7964" s="118" t="s">
        <v>4764</v>
      </c>
      <c r="C7964" s="119">
        <v>2914</v>
      </c>
    </row>
    <row r="7965" spans="2:3">
      <c r="B7965" s="118" t="s">
        <v>4730</v>
      </c>
      <c r="C7965" s="119">
        <v>2807</v>
      </c>
    </row>
    <row r="7966" spans="2:3">
      <c r="B7966" s="118" t="s">
        <v>4765</v>
      </c>
      <c r="C7966" s="119">
        <v>2946</v>
      </c>
    </row>
    <row r="7967" spans="2:3">
      <c r="B7967" s="118" t="s">
        <v>4766</v>
      </c>
      <c r="C7967" s="119">
        <v>2947</v>
      </c>
    </row>
    <row r="7968" spans="2:3">
      <c r="B7968" s="118" t="s">
        <v>4767</v>
      </c>
      <c r="C7968" s="119">
        <v>2953</v>
      </c>
    </row>
    <row r="7969" spans="2:3">
      <c r="B7969" s="118" t="s">
        <v>4768</v>
      </c>
      <c r="C7969" s="119">
        <v>2953</v>
      </c>
    </row>
    <row r="7970" spans="2:3">
      <c r="B7970" s="118" t="s">
        <v>4769</v>
      </c>
      <c r="C7970" s="119">
        <v>2954</v>
      </c>
    </row>
    <row r="7971" spans="2:3">
      <c r="B7971" s="118" t="s">
        <v>1027</v>
      </c>
      <c r="C7971" s="119">
        <v>2933</v>
      </c>
    </row>
    <row r="7972" spans="2:3">
      <c r="B7972" s="118" t="s">
        <v>1026</v>
      </c>
      <c r="C7972" s="119">
        <v>2933</v>
      </c>
    </row>
    <row r="7973" spans="2:3">
      <c r="B7973" s="118" t="s">
        <v>1031</v>
      </c>
      <c r="C7973" s="119">
        <v>2935</v>
      </c>
    </row>
    <row r="7974" spans="2:3">
      <c r="B7974" s="118" t="s">
        <v>1006</v>
      </c>
      <c r="C7974" s="119">
        <v>2944</v>
      </c>
    </row>
    <row r="7975" spans="2:3">
      <c r="B7975" s="118" t="s">
        <v>4770</v>
      </c>
      <c r="C7975" s="119">
        <v>9487</v>
      </c>
    </row>
    <row r="7976" spans="2:3">
      <c r="B7976" s="118" t="s">
        <v>4771</v>
      </c>
      <c r="C7976" s="119">
        <v>9490</v>
      </c>
    </row>
    <row r="7977" spans="2:3">
      <c r="B7977" s="118" t="s">
        <v>4772</v>
      </c>
      <c r="C7977" s="119">
        <v>9494</v>
      </c>
    </row>
    <row r="7978" spans="2:3">
      <c r="B7978" s="118" t="s">
        <v>4773</v>
      </c>
      <c r="C7978" s="119">
        <v>9497</v>
      </c>
    </row>
    <row r="7979" spans="2:3">
      <c r="B7979" s="118" t="s">
        <v>4774</v>
      </c>
      <c r="C7979" s="119">
        <v>9495</v>
      </c>
    </row>
    <row r="7980" spans="2:3">
      <c r="B7980" s="118" t="s">
        <v>4775</v>
      </c>
      <c r="C7980" s="119">
        <v>9496</v>
      </c>
    </row>
    <row r="7981" spans="2:3">
      <c r="B7981" s="118" t="s">
        <v>4773</v>
      </c>
      <c r="C7981" s="119">
        <v>9497</v>
      </c>
    </row>
    <row r="7982" spans="2:3">
      <c r="B7982" s="118" t="s">
        <v>4772</v>
      </c>
      <c r="C7982" s="119">
        <v>9494</v>
      </c>
    </row>
    <row r="7983" spans="2:3">
      <c r="B7983" s="118" t="s">
        <v>4773</v>
      </c>
      <c r="C7983" s="119">
        <v>9497</v>
      </c>
    </row>
    <row r="7984" spans="2:3">
      <c r="B7984" s="118" t="s">
        <v>4776</v>
      </c>
      <c r="C7984" s="119">
        <v>9498</v>
      </c>
    </row>
    <row r="7985" spans="2:3">
      <c r="B7985" s="118" t="s">
        <v>4777</v>
      </c>
      <c r="C7985" s="119">
        <v>9485</v>
      </c>
    </row>
    <row r="7986" spans="2:3">
      <c r="B7986" s="118" t="s">
        <v>4770</v>
      </c>
      <c r="C7986" s="119">
        <v>9487</v>
      </c>
    </row>
    <row r="7987" spans="2:3">
      <c r="B7987" s="118" t="s">
        <v>4778</v>
      </c>
      <c r="C7987" s="119">
        <v>9492</v>
      </c>
    </row>
    <row r="7988" spans="2:3">
      <c r="B7988" s="118" t="s">
        <v>4779</v>
      </c>
      <c r="C7988" s="119">
        <v>9493</v>
      </c>
    </row>
    <row r="7989" spans="2:3">
      <c r="B7989" s="118" t="s">
        <v>4780</v>
      </c>
      <c r="C7989" s="119">
        <v>9486</v>
      </c>
    </row>
    <row r="7990" spans="2:3">
      <c r="B7990" s="118" t="s">
        <v>4779</v>
      </c>
      <c r="C7990" s="119">
        <v>9493</v>
      </c>
    </row>
    <row r="7991" spans="2:3">
      <c r="B7991" s="118" t="s">
        <v>4777</v>
      </c>
      <c r="C7991" s="119">
        <v>9485</v>
      </c>
    </row>
    <row r="7992" spans="2:3">
      <c r="B7992" s="118" t="s">
        <v>4770</v>
      </c>
      <c r="C7992" s="119">
        <v>9487</v>
      </c>
    </row>
    <row r="7993" spans="2:3">
      <c r="B7993" s="118" t="s">
        <v>4781</v>
      </c>
      <c r="C7993" s="119">
        <v>9491</v>
      </c>
    </row>
    <row r="7994" spans="2:3">
      <c r="B7994" s="120" t="s">
        <v>4782</v>
      </c>
      <c r="C7994" s="121">
        <v>9488</v>
      </c>
    </row>
  </sheetData>
  <pageMargins left="0.7" right="0.7" top="0.75" bottom="0.75" header="0.3" footer="0.3"/>
  <tableParts count="3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3CC7-0F3E-3E49-A334-8E8FE7157DD5}">
  <dimension ref="B17:AW114"/>
  <sheetViews>
    <sheetView topLeftCell="AA16" zoomScale="208" zoomScaleNormal="110" workbookViewId="0">
      <selection activeCell="AF20" sqref="AF20"/>
    </sheetView>
  </sheetViews>
  <sheetFormatPr baseColWidth="10" defaultColWidth="11" defaultRowHeight="16"/>
  <cols>
    <col min="2" max="2" width="27.1640625" customWidth="1"/>
    <col min="3" max="3" width="21" customWidth="1"/>
    <col min="8" max="8" width="17" customWidth="1"/>
    <col min="9" max="14" width="18.33203125" customWidth="1"/>
    <col min="15" max="15" width="34.83203125" customWidth="1"/>
    <col min="16" max="16" width="22.33203125" customWidth="1"/>
    <col min="17" max="17" width="6.1640625" customWidth="1"/>
    <col min="18" max="19" width="11.6640625" customWidth="1"/>
    <col min="20" max="24" width="17" customWidth="1"/>
    <col min="25" max="25" width="17.5" customWidth="1"/>
    <col min="27" max="27" width="26.5" customWidth="1"/>
    <col min="28" max="28" width="17.33203125" customWidth="1"/>
    <col min="29" max="29" width="5" customWidth="1"/>
    <col min="32" max="36" width="17" customWidth="1"/>
    <col min="37" max="37" width="17.5" customWidth="1"/>
    <col min="39" max="39" width="25.83203125" customWidth="1"/>
    <col min="40" max="40" width="15.6640625" customWidth="1"/>
    <col min="44" max="44" width="17" customWidth="1"/>
    <col min="45" max="45" width="16.33203125" customWidth="1"/>
    <col min="46" max="46" width="15.83203125" customWidth="1"/>
    <col min="47" max="47" width="16.5" customWidth="1"/>
    <col min="48" max="48" width="15.83203125" customWidth="1"/>
    <col min="49" max="49" width="17.5" customWidth="1"/>
  </cols>
  <sheetData>
    <row r="17" spans="2:49">
      <c r="B17" s="7" t="s">
        <v>4783</v>
      </c>
      <c r="C17" s="21"/>
      <c r="F17" s="23" t="s">
        <v>13</v>
      </c>
      <c r="G17" s="23" t="s">
        <v>16</v>
      </c>
      <c r="H17" s="23" t="s">
        <v>4784</v>
      </c>
      <c r="I17" s="23" t="s">
        <v>4785</v>
      </c>
      <c r="J17" s="23" t="s">
        <v>4786</v>
      </c>
      <c r="K17" s="23" t="s">
        <v>4787</v>
      </c>
      <c r="L17" s="23" t="s">
        <v>4788</v>
      </c>
      <c r="M17" s="82" t="s">
        <v>4789</v>
      </c>
      <c r="N17" s="163"/>
      <c r="O17" s="7" t="s">
        <v>4783</v>
      </c>
      <c r="P17" s="21"/>
      <c r="R17" s="23" t="s">
        <v>13</v>
      </c>
      <c r="S17" s="23" t="s">
        <v>16</v>
      </c>
      <c r="T17" s="23" t="s">
        <v>4784</v>
      </c>
      <c r="U17" s="23" t="s">
        <v>4785</v>
      </c>
      <c r="V17" s="23" t="s">
        <v>4786</v>
      </c>
      <c r="W17" s="23" t="s">
        <v>4787</v>
      </c>
      <c r="X17" s="23" t="s">
        <v>4788</v>
      </c>
      <c r="Y17" s="82" t="s">
        <v>4789</v>
      </c>
      <c r="AA17" s="7" t="s">
        <v>4783</v>
      </c>
      <c r="AB17" s="21"/>
      <c r="AD17" s="23" t="s">
        <v>13</v>
      </c>
      <c r="AE17" s="23" t="s">
        <v>16</v>
      </c>
      <c r="AF17" s="23" t="s">
        <v>4784</v>
      </c>
      <c r="AG17" s="23" t="s">
        <v>4785</v>
      </c>
      <c r="AH17" s="23" t="s">
        <v>4786</v>
      </c>
      <c r="AI17" s="23" t="s">
        <v>4787</v>
      </c>
      <c r="AJ17" s="23" t="s">
        <v>4788</v>
      </c>
      <c r="AK17" s="82" t="s">
        <v>4789</v>
      </c>
      <c r="AM17" s="7" t="s">
        <v>4783</v>
      </c>
      <c r="AN17" s="21"/>
      <c r="AP17" s="23" t="s">
        <v>13</v>
      </c>
      <c r="AQ17" s="23" t="s">
        <v>16</v>
      </c>
      <c r="AR17" s="23" t="s">
        <v>4784</v>
      </c>
      <c r="AS17" s="23" t="s">
        <v>4785</v>
      </c>
      <c r="AT17" s="23" t="s">
        <v>4786</v>
      </c>
      <c r="AU17" s="23" t="s">
        <v>4787</v>
      </c>
      <c r="AV17" s="23" t="s">
        <v>4788</v>
      </c>
      <c r="AW17" s="82" t="s">
        <v>4789</v>
      </c>
    </row>
    <row r="18" spans="2:49">
      <c r="B18" s="13" t="s">
        <v>4790</v>
      </c>
      <c r="C18" s="122"/>
      <c r="F18">
        <f>IFERROR(IF(C22&lt;=$C$21,C22,""),"")</f>
        <v>28</v>
      </c>
      <c r="G18" s="144">
        <f ca="1">YEAR(TODAY())</f>
        <v>2024</v>
      </c>
      <c r="H18">
        <f>IF('General overview'!C39="Yes",1,0)</f>
        <v>1</v>
      </c>
      <c r="I18" s="124">
        <f>IF(F18&lt;=$C$21,-FV(Investments!$E$5/12,'Luxus '!H18*12,'Luxus '!$C$27,0,1),"")</f>
        <v>2021.5545874195627</v>
      </c>
      <c r="J18" s="124">
        <f>IF(F18&lt;=$C$21,-FV($C$31/12,H18*12,$C$27,0,1),"")</f>
        <v>2071.5312904378775</v>
      </c>
      <c r="K18" s="124">
        <f>IF(F18&lt;=$C$21,-FV($C$25/12,H18*12,$C$27,0,1),"")</f>
        <v>2082.8252018271169</v>
      </c>
      <c r="L18" s="124">
        <f>IF(F18&lt;=$C$21,-FV($C$34/12,H18*12,$C$27,0,1),"")</f>
        <v>2105.6213119339723</v>
      </c>
      <c r="M18" s="145">
        <f>IF(F18&lt;=$C$21,$C$29,"")</f>
        <v>100000</v>
      </c>
      <c r="N18" s="145"/>
      <c r="O18" s="13" t="s">
        <v>4790</v>
      </c>
      <c r="P18" s="122"/>
      <c r="R18">
        <f>IFERROR(IF($P$22&lt;=$P$21,$P$22,""),"")</f>
        <v>28</v>
      </c>
      <c r="S18" s="144">
        <f ca="1">YEAR(TODAY())</f>
        <v>2024</v>
      </c>
      <c r="T18">
        <f>IF('General overview'!C40="Yes",1,0)</f>
        <v>1</v>
      </c>
      <c r="U18" s="124">
        <f>IF(R18&lt;=$P$21,-FV(Investments!$E$5/12,'Luxus '!T18*12,'Luxus '!$P$27,0,1),"")</f>
        <v>1525.524165810431</v>
      </c>
      <c r="V18" s="124">
        <f>IF(R18&lt;=$P$21,-FV($P$31/12,T18*12,$P$27,0,1),"")</f>
        <v>1563.2380463340771</v>
      </c>
      <c r="W18" s="124">
        <f>IF(R18&lt;=$P$21,-FV($P$25/12,T18*12,$P$27,0,1),"")</f>
        <v>1571.7607619006149</v>
      </c>
      <c r="X18" s="124">
        <f>IF(R18&lt;=$P$21,-FV($P$34/12,T18*12,$P$27,0,1),"")</f>
        <v>1588.9633727382839</v>
      </c>
      <c r="Y18" s="145">
        <f>IF(R18&lt;=$P$21,$P$29,"")</f>
        <v>30000</v>
      </c>
      <c r="AA18" s="13" t="s">
        <v>4790</v>
      </c>
      <c r="AB18" s="122"/>
      <c r="AD18">
        <f>IFERROR(IF($AB$22&lt;=$AB$21,$AB$22,""),"")</f>
        <v>28</v>
      </c>
      <c r="AE18" s="144">
        <f ca="1">YEAR(TODAY())</f>
        <v>2024</v>
      </c>
      <c r="AF18">
        <f>IF('General overview'!C41="Yes",1,0)</f>
        <v>1</v>
      </c>
      <c r="AG18" s="124">
        <f>IF(AD18&lt;=$AB$21,-FV(Investments!$E$5/12,'Luxus '!AF18*12,'Luxus '!$AB$27,0,1),"")</f>
        <v>3608.8862500171463</v>
      </c>
      <c r="AH18" s="124">
        <f>IF(AD18&lt;=$AB$21,-FV($AB$31/12,AF18*12,$AB$27,0,1),"")</f>
        <v>3628.5010453989853</v>
      </c>
      <c r="AI18" s="124">
        <f>IF(AD18&lt;=$AB$21,-FV($AB$25/12,AF18*12,$AB$27,0,1),"")</f>
        <v>3638.3534935929451</v>
      </c>
      <c r="AJ18" s="124">
        <f>IF(AD18&lt;=$AB$21,-FV($AB$34/12,AF18*12,$AB$27,0,1),"")</f>
        <v>3658.1489612786104</v>
      </c>
      <c r="AK18" s="145">
        <f>IF(AD18&lt;=$AB$21,$AB$29,"")</f>
        <v>15000</v>
      </c>
      <c r="AM18" s="13" t="s">
        <v>4790</v>
      </c>
      <c r="AN18" s="122"/>
      <c r="AP18">
        <f>IFERROR(IF($AN$22&lt;=$AN$21,$AN$22,""),"")</f>
        <v>28</v>
      </c>
      <c r="AQ18" s="144">
        <f ca="1">YEAR(TODAY())</f>
        <v>2024</v>
      </c>
      <c r="AR18">
        <f>IF('General overview'!C42="Yes",1,0)</f>
        <v>1</v>
      </c>
      <c r="AS18" s="124">
        <f>IF(AP18&lt;=$AN$21,-FV(Investments!$E$5/12,'Luxus '!AR18*12,'Luxus '!$AN$27,0,1),"")</f>
        <v>3240.4892122152655</v>
      </c>
      <c r="AT18" s="124">
        <f>IF(AP18&lt;=$AN$21,-FV($AN$31/12,AR18*12,$AN$27,0,1),"")</f>
        <v>3258.1017187979705</v>
      </c>
      <c r="AU18" s="124">
        <f>IF(AP18&lt;=$AN$21,-FV($AN$25/12,AR18*12,$AN$27,0,1),"")</f>
        <v>3266.9484238129276</v>
      </c>
      <c r="AV18" s="124">
        <f>IF(AP18&lt;=$AN$21,-FV($AN$34/12,AR18*12,$AN$27,0,1),"")</f>
        <v>3284.7231595740918</v>
      </c>
      <c r="AW18" s="145">
        <f>IF(AP18&lt;=$AN$21,$AN$29,"")</f>
        <v>10000</v>
      </c>
    </row>
    <row r="19" spans="2:49">
      <c r="B19" s="2" t="s">
        <v>4791</v>
      </c>
      <c r="C19" s="5" t="s">
        <v>9</v>
      </c>
      <c r="F19">
        <f>IFERROR(IF(F18+1&lt;=$C$21,F18+1,""),"")</f>
        <v>29</v>
      </c>
      <c r="G19">
        <f ca="1">IFERROR(IF(F19&lt;=$C$21,G18+1,""),"")</f>
        <v>2025</v>
      </c>
      <c r="H19">
        <f t="shared" ref="H19:H60" si="0">IFERROR(F19-($F$18-1),"")</f>
        <v>2</v>
      </c>
      <c r="I19" s="124">
        <f>IF(F19&lt;=$C$21,-FV(Investments!$E$5/12,'Luxus '!H19*12,'Luxus '!$C$27,0,1),"")</f>
        <v>4053.2401436243849</v>
      </c>
      <c r="J19" s="124">
        <f t="shared" ref="J19:J60" si="1">IF(F19&lt;=$C$21,-FV($C$31/12,H19*12,$C$27,0,1),"")</f>
        <v>4249.0460532159523</v>
      </c>
      <c r="K19" s="124">
        <f t="shared" ref="K19:K60" si="2">IF(F19&lt;=$C$21,-FV($C$25/12,H19*12,$C$27,0,1),"")</f>
        <v>4294.114504599167</v>
      </c>
      <c r="L19" s="124">
        <f t="shared" ref="L19:L60" si="3">IF(F19&lt;=$C$21,-FV($C$34/12,H19*12,$C$27,0,1),"")</f>
        <v>4386.0081542818498</v>
      </c>
      <c r="M19" s="145">
        <f t="shared" ref="M19:M60" si="4">IF(F19&lt;=$C$21,$C$29,"")</f>
        <v>100000</v>
      </c>
      <c r="N19" s="145"/>
      <c r="O19" s="2" t="s">
        <v>4791</v>
      </c>
      <c r="P19" s="5" t="s">
        <v>35</v>
      </c>
      <c r="R19">
        <f>IFERROR(IF(R18+1&lt;=$P$21,R18+1,""),"")</f>
        <v>29</v>
      </c>
      <c r="S19">
        <f ca="1">IFERROR(IF(R19&lt;=$P$21,S18+1,""),"")</f>
        <v>2025</v>
      </c>
      <c r="T19">
        <f t="shared" ref="T19:T50" si="5">IFERROR(R19-($R$18-1),"")</f>
        <v>2</v>
      </c>
      <c r="U19" s="124">
        <f>IF(R19&lt;=$P$21,-FV(Investments!$E$5/12,'Luxus '!T19*12,'Luxus '!$P$27,0,1),"")</f>
        <v>3058.6934567147691</v>
      </c>
      <c r="V19" s="124">
        <f t="shared" ref="V19:V60" si="6">IF(R19&lt;=$P$21,-FV($P$31/12,T19*12,$P$27,0,1),"")</f>
        <v>3206.454317959538</v>
      </c>
      <c r="W19" s="124">
        <f t="shared" ref="W19:W60" si="7">IF(R19&lt;=$P$21,-FV($P$25/12,T19*12,$P$27,0,1),"")</f>
        <v>3240.4642883697393</v>
      </c>
      <c r="X19" s="124">
        <f t="shared" ref="X19:X60" si="8">IF(R19&lt;=$P$21,-FV($P$34/12,T19*12,$P$27,0,1),"")</f>
        <v>3309.8099217490453</v>
      </c>
      <c r="Y19" s="145">
        <f t="shared" ref="Y19:Y60" si="9">IF(R19&lt;=$P$21,$P$29,"")</f>
        <v>30000</v>
      </c>
      <c r="AA19" s="2" t="s">
        <v>4791</v>
      </c>
      <c r="AB19" s="5" t="s">
        <v>32</v>
      </c>
      <c r="AD19">
        <f>IFERROR(IF(AD18+1&lt;=$AB$21,AD18+1,""),"")</f>
        <v>29</v>
      </c>
      <c r="AE19">
        <f ca="1">IFERROR(IF(AD19&lt;=$AB$21,AE18+1,""),"")</f>
        <v>2025</v>
      </c>
      <c r="AF19">
        <f t="shared" ref="AF19:AF60" si="10">IFERROR(AD19-($AD$18-1),"")</f>
        <v>2</v>
      </c>
      <c r="AG19" s="124">
        <f>IF(AD19&lt;=$AB$21,-FV(Investments!$E$5/12,'Luxus '!AF19*12,'Luxus '!$AB$27,0,1),"")</f>
        <v>7235.8583405928421</v>
      </c>
      <c r="AH19" s="124">
        <f t="shared" ref="AH19:AH60" si="11">IF(AD19&lt;=$AB$21,-FV($AB$31/12,AF19*12,$AB$27,0,1),"")</f>
        <v>7311.8053591646085</v>
      </c>
      <c r="AI19" s="124">
        <f t="shared" ref="AI19:AI60" si="12">IF(AD19&lt;=$AB$21,-FV($AB$25/12,AF19*12,$AB$27,0,1),"")</f>
        <v>7350.1448081956742</v>
      </c>
      <c r="AJ19" s="124">
        <f t="shared" ref="AJ19:AJ60" si="13">IF(AD19&lt;=$AB$21,-FV($AB$34/12,AF19*12,$AB$27,0,1),"")</f>
        <v>7427.5640237466523</v>
      </c>
      <c r="AK19" s="145">
        <f t="shared" ref="AK19:AK60" si="14">IF(AD19&lt;=$AB$21,$AB$29,"")</f>
        <v>15000</v>
      </c>
      <c r="AM19" s="2" t="s">
        <v>4791</v>
      </c>
      <c r="AN19" s="5" t="s">
        <v>17</v>
      </c>
      <c r="AP19">
        <f>IFERROR(IF(AP18+1&lt;=$AN$21,AP18+1,""),"")</f>
        <v>29</v>
      </c>
      <c r="AQ19">
        <f ca="1">IFERROR(IF(AP19&lt;=$AN$21,AQ18+1,""),"")</f>
        <v>2025</v>
      </c>
      <c r="AR19" s="9">
        <f t="shared" ref="AR19:AR59" si="15">IFERROR(AP19-($AP$18-1),"")</f>
        <v>2</v>
      </c>
      <c r="AS19" s="124">
        <f>IF(AP19&lt;=$AN$21,-FV(Investments!$E$5/12,'Luxus '!AR19*12,'Luxus '!$AN$27,0,1),"")</f>
        <v>6497.2180527157252</v>
      </c>
      <c r="AT19" s="124">
        <f t="shared" ref="AT19:AT60" si="16">IF(AP19&lt;=$AN$21,-FV($AN$31/12,AR19*12,$AN$27,0,1),"")</f>
        <v>6565.4123590285253</v>
      </c>
      <c r="AU19" s="124">
        <f t="shared" ref="AU19:AU60" si="17">IF(AP19&lt;=$AN$21,-FV($AN$25/12,AR19*12,$AN$27,0,1),"")</f>
        <v>6599.8380966052791</v>
      </c>
      <c r="AV19" s="124">
        <f t="shared" ref="AV19:AV60" si="18">IF(AP19&lt;=$AN$21,-FV($AN$34/12,AR19*12,$AN$27,0,1),"")</f>
        <v>6669.3543172425798</v>
      </c>
      <c r="AW19" s="145">
        <f t="shared" ref="AW19:AW60" si="19">IF(AP19&lt;=$AN$21,$AN$29,"")</f>
        <v>10000</v>
      </c>
    </row>
    <row r="20" spans="2:49">
      <c r="B20" s="2" t="s">
        <v>33</v>
      </c>
      <c r="C20" s="10">
        <f>IF(_xlfn.NUMBERVALUE('General overview'!C45),'General overview'!C45,IF('General overview'!C39="Yes",'General overview'!C44,0))</f>
        <v>100000</v>
      </c>
      <c r="F20">
        <f t="shared" ref="F20:F60" si="20">IFERROR(IF(F19+1&lt;=$C$21,F19+1,""),"")</f>
        <v>30</v>
      </c>
      <c r="G20">
        <f t="shared" ref="G20:G60" ca="1" si="21">IFERROR(IF(F20&lt;=$C$21,G19+1,""),"")</f>
        <v>2026</v>
      </c>
      <c r="H20">
        <f t="shared" si="0"/>
        <v>3</v>
      </c>
      <c r="I20" s="124">
        <f>IF(F20&lt;=$C$21,-FV(Investments!$E$5/12,'Luxus '!H20*12,'Luxus '!$C$27,0,1),"")</f>
        <v>6095.1074397039101</v>
      </c>
      <c r="J20" s="124">
        <f t="shared" si="1"/>
        <v>6537.9666039232416</v>
      </c>
      <c r="K20" s="124">
        <f t="shared" si="2"/>
        <v>6641.791292965554</v>
      </c>
      <c r="L20" s="124">
        <f t="shared" si="3"/>
        <v>6855.6659798749306</v>
      </c>
      <c r="M20" s="145">
        <f t="shared" si="4"/>
        <v>100000</v>
      </c>
      <c r="N20" s="145"/>
      <c r="O20" s="2" t="s">
        <v>33</v>
      </c>
      <c r="P20" s="10">
        <f>IF(_xlfn.NUMBERVALUE('General overview'!C49),'General overview'!C49,IF('General overview'!C40="Yes",'General overview'!C48,0))</f>
        <v>30000</v>
      </c>
      <c r="R20">
        <f t="shared" ref="R20:R60" si="22">IFERROR(IF(R19+1&lt;=$P$21,R19+1,""),"")</f>
        <v>30</v>
      </c>
      <c r="S20">
        <f t="shared" ref="S20:S59" ca="1" si="23">IFERROR(IF(R20&lt;=$P$21,S19+1,""),"")</f>
        <v>2026</v>
      </c>
      <c r="T20">
        <f t="shared" si="5"/>
        <v>3</v>
      </c>
      <c r="U20" s="124">
        <f>IF(R20&lt;=$P$21,-FV(Investments!$E$5/12,'Luxus '!T20*12,'Luxus '!$P$27,0,1),"")</f>
        <v>4599.5461860607475</v>
      </c>
      <c r="V20" s="124">
        <f t="shared" si="6"/>
        <v>4933.7406526715004</v>
      </c>
      <c r="W20" s="124">
        <f t="shared" si="7"/>
        <v>5012.0897970020405</v>
      </c>
      <c r="X20" s="124">
        <f t="shared" si="8"/>
        <v>5173.4858856191022</v>
      </c>
      <c r="Y20" s="145">
        <f t="shared" si="9"/>
        <v>30000</v>
      </c>
      <c r="AA20" s="2" t="s">
        <v>33</v>
      </c>
      <c r="AB20" s="10">
        <f>IF(_xlfn.NUMBERVALUE('General overview'!C53),'General overview'!C53,IF('General overview'!C41="Yes",'General overview'!C52,0))</f>
        <v>15000</v>
      </c>
      <c r="AD20">
        <f t="shared" ref="AD20:AD60" si="24">IFERROR(IF(AD19+1&lt;=$AB$21,AD19+1,""),"")</f>
        <v>30</v>
      </c>
      <c r="AE20">
        <f t="shared" ref="AE20:AE60" ca="1" si="25">IFERROR(IF(AD20&lt;=$AB$21,AE19+1,""),"")</f>
        <v>2026</v>
      </c>
      <c r="AF20">
        <f t="shared" si="10"/>
        <v>3</v>
      </c>
      <c r="AG20" s="124">
        <f>IF(AD20&lt;=$AB$21,-FV(Investments!$E$5/12,'Luxus '!AF20*12,'Luxus '!$AB$27,0,1),"")</f>
        <v>10881.00690845178</v>
      </c>
      <c r="AH20" s="124">
        <f t="shared" si="11"/>
        <v>11050.740665524094</v>
      </c>
      <c r="AI20" s="124">
        <f t="shared" si="12"/>
        <v>11136.856238907782</v>
      </c>
      <c r="AJ20" s="124">
        <f t="shared" si="13"/>
        <v>11311.629452343886</v>
      </c>
      <c r="AK20" s="145">
        <f t="shared" si="14"/>
        <v>15000</v>
      </c>
      <c r="AM20" s="2" t="s">
        <v>33</v>
      </c>
      <c r="AN20" s="10">
        <f>IF(_xlfn.NUMBERVALUE('General overview'!C57),'General overview'!C57,IF('General overview'!C42="Yes",'General overview'!C56,0))</f>
        <v>10000</v>
      </c>
      <c r="AP20">
        <f t="shared" ref="AP20:AP60" si="26">IFERROR(IF(AP19+1&lt;=$AN$21,AP19+1,""),"")</f>
        <v>30</v>
      </c>
      <c r="AQ20">
        <f t="shared" ref="AQ20:AQ60" ca="1" si="27">IFERROR(IF(AP20&lt;=$AN$21,AQ19+1,""),"")</f>
        <v>2026</v>
      </c>
      <c r="AR20" s="9">
        <f t="shared" si="15"/>
        <v>3</v>
      </c>
      <c r="AS20" s="124">
        <f>IF(AP20&lt;=$AN$21,-FV(Investments!$E$5/12,'Luxus '!AR20*12,'Luxus '!$AN$27,0,1),"")</f>
        <v>9770.2679059807579</v>
      </c>
      <c r="AT20" s="124">
        <f t="shared" si="16"/>
        <v>9922.6751503872511</v>
      </c>
      <c r="AU20" s="124">
        <f t="shared" si="17"/>
        <v>10000.000000000409</v>
      </c>
      <c r="AV20" s="124">
        <f t="shared" si="18"/>
        <v>10156.93227037086</v>
      </c>
      <c r="AW20" s="145">
        <f t="shared" si="19"/>
        <v>10000</v>
      </c>
    </row>
    <row r="21" spans="2:49">
      <c r="B21" s="2" t="s">
        <v>13</v>
      </c>
      <c r="C21" s="5">
        <f>'General overview'!C46</f>
        <v>50</v>
      </c>
      <c r="F21">
        <f t="shared" si="20"/>
        <v>31</v>
      </c>
      <c r="G21">
        <f t="shared" ca="1" si="21"/>
        <v>2027</v>
      </c>
      <c r="H21">
        <f t="shared" si="0"/>
        <v>4</v>
      </c>
      <c r="I21" s="124">
        <f>IF(F21&lt;=$C$21,-FV(Investments!$E$5/12,'Luxus '!H21*12,'Luxus '!$C$27,0,1),"")</f>
        <v>8147.2075011852667</v>
      </c>
      <c r="J21" s="124">
        <f t="shared" si="1"/>
        <v>8943.9926741052241</v>
      </c>
      <c r="K21" s="124">
        <f t="shared" si="2"/>
        <v>9134.2676486034597</v>
      </c>
      <c r="L21" s="124">
        <f t="shared" si="3"/>
        <v>9530.3041869755507</v>
      </c>
      <c r="M21" s="145">
        <f t="shared" si="4"/>
        <v>100000</v>
      </c>
      <c r="N21" s="145"/>
      <c r="O21" s="2" t="s">
        <v>13</v>
      </c>
      <c r="P21" s="5">
        <f>'General overview'!C50</f>
        <v>40</v>
      </c>
      <c r="R21">
        <f t="shared" si="22"/>
        <v>31</v>
      </c>
      <c r="S21">
        <f t="shared" ca="1" si="23"/>
        <v>2027</v>
      </c>
      <c r="T21">
        <f t="shared" si="5"/>
        <v>4</v>
      </c>
      <c r="U21" s="124">
        <f>IF(R21&lt;=$P$21,-FV(Investments!$E$5/12,'Luxus '!T21*12,'Luxus '!$P$27,0,1),"")</f>
        <v>6148.120859202214</v>
      </c>
      <c r="V21" s="124">
        <f t="shared" si="6"/>
        <v>6749.3982344525139</v>
      </c>
      <c r="W21" s="124">
        <f t="shared" si="7"/>
        <v>6892.9852904501167</v>
      </c>
      <c r="X21" s="124">
        <f t="shared" si="8"/>
        <v>7191.8460353393875</v>
      </c>
      <c r="Y21" s="145">
        <f t="shared" si="9"/>
        <v>30000</v>
      </c>
      <c r="AA21" s="2" t="s">
        <v>13</v>
      </c>
      <c r="AB21" s="5">
        <f>'General overview'!C54</f>
        <v>31</v>
      </c>
      <c r="AD21">
        <f t="shared" si="24"/>
        <v>31</v>
      </c>
      <c r="AE21">
        <f t="shared" ca="1" si="25"/>
        <v>2027</v>
      </c>
      <c r="AF21">
        <f t="shared" si="10"/>
        <v>4</v>
      </c>
      <c r="AG21" s="124">
        <f>IF(AD21&lt;=$AB$21,-FV(Investments!$E$5/12,'Luxus '!AF21*12,'Luxus '!$AB$27,0,1),"")</f>
        <v>14544.423044541692</v>
      </c>
      <c r="AH21" s="124">
        <f t="shared" si="11"/>
        <v>14846.147190283735</v>
      </c>
      <c r="AI21" s="124">
        <f t="shared" si="12"/>
        <v>15000.000000000653</v>
      </c>
      <c r="AJ21" s="124">
        <f t="shared" si="13"/>
        <v>15313.832447666548</v>
      </c>
      <c r="AK21" s="145">
        <f t="shared" si="14"/>
        <v>15000</v>
      </c>
      <c r="AM21" s="2" t="s">
        <v>13</v>
      </c>
      <c r="AN21" s="5">
        <f>'General overview'!C58</f>
        <v>30</v>
      </c>
      <c r="AP21" t="str">
        <f t="shared" si="26"/>
        <v/>
      </c>
      <c r="AQ21" t="str">
        <f t="shared" si="27"/>
        <v/>
      </c>
      <c r="AR21" s="9" t="str">
        <f t="shared" si="15"/>
        <v/>
      </c>
      <c r="AS21" s="124" t="str">
        <f>IF(AP21&lt;=$AN$21,-FV(Investments!$E$5/12,'Luxus '!AR21*12,'Luxus '!$AN$27,0,1),"")</f>
        <v/>
      </c>
      <c r="AT21" s="124" t="str">
        <f t="shared" si="16"/>
        <v/>
      </c>
      <c r="AU21" s="124" t="str">
        <f t="shared" si="17"/>
        <v/>
      </c>
      <c r="AV21" s="124" t="str">
        <f t="shared" si="18"/>
        <v/>
      </c>
      <c r="AW21" s="145" t="str">
        <f t="shared" si="19"/>
        <v/>
      </c>
    </row>
    <row r="22" spans="2:49">
      <c r="B22" s="2" t="s">
        <v>4792</v>
      </c>
      <c r="C22" s="2">
        <f>'General overview'!$C$5</f>
        <v>28</v>
      </c>
      <c r="F22">
        <f t="shared" si="20"/>
        <v>32</v>
      </c>
      <c r="G22">
        <f t="shared" ca="1" si="21"/>
        <v>2028</v>
      </c>
      <c r="H22">
        <f t="shared" si="0"/>
        <v>5</v>
      </c>
      <c r="I22" s="124">
        <f>IF(F22&lt;=$C$21,-FV(Investments!$E$5/12,'Luxus '!H22*12,'Luxus '!$C$27,0,1),"")</f>
        <v>10209.591609309276</v>
      </c>
      <c r="J22" s="124">
        <f t="shared" si="1"/>
        <v>11473.115604390641</v>
      </c>
      <c r="K22" s="124">
        <f t="shared" si="2"/>
        <v>11780.474491981109</v>
      </c>
      <c r="L22" s="124">
        <f t="shared" si="3"/>
        <v>12426.936046154042</v>
      </c>
      <c r="M22" s="145">
        <f t="shared" si="4"/>
        <v>100000</v>
      </c>
      <c r="N22" s="145"/>
      <c r="O22" s="2" t="s">
        <v>4792</v>
      </c>
      <c r="P22" s="2">
        <f>'General overview'!$C$5</f>
        <v>28</v>
      </c>
      <c r="R22">
        <f t="shared" si="22"/>
        <v>32</v>
      </c>
      <c r="S22">
        <f t="shared" ca="1" si="23"/>
        <v>2028</v>
      </c>
      <c r="T22">
        <f t="shared" si="5"/>
        <v>5</v>
      </c>
      <c r="U22" s="124">
        <f>IF(R22&lt;=$P$21,-FV(Investments!$E$5/12,'Luxus '!T22*12,'Luxus '!$P$27,0,1),"")</f>
        <v>7704.4561744620396</v>
      </c>
      <c r="V22" s="124">
        <f t="shared" si="6"/>
        <v>8657.9483040207997</v>
      </c>
      <c r="W22" s="124">
        <f t="shared" si="7"/>
        <v>8889.890302279864</v>
      </c>
      <c r="X22" s="124">
        <f t="shared" si="8"/>
        <v>9377.7290820463877</v>
      </c>
      <c r="Y22" s="145">
        <f t="shared" si="9"/>
        <v>30000</v>
      </c>
      <c r="AA22" s="2" t="s">
        <v>4792</v>
      </c>
      <c r="AB22" s="2">
        <f>'General overview'!$C$5</f>
        <v>28</v>
      </c>
      <c r="AD22" t="str">
        <f t="shared" si="24"/>
        <v/>
      </c>
      <c r="AE22" t="str">
        <f t="shared" si="25"/>
        <v/>
      </c>
      <c r="AF22" t="str">
        <f t="shared" si="10"/>
        <v/>
      </c>
      <c r="AG22" s="124" t="str">
        <f>IF(AD22&lt;=$AB$21,-FV(Investments!$E$5/12,'Luxus '!AF22*12,'Luxus '!$AB$27,0,1),"")</f>
        <v/>
      </c>
      <c r="AH22" s="124" t="str">
        <f t="shared" si="11"/>
        <v/>
      </c>
      <c r="AI22" s="124" t="str">
        <f t="shared" si="12"/>
        <v/>
      </c>
      <c r="AJ22" s="124" t="str">
        <f t="shared" si="13"/>
        <v/>
      </c>
      <c r="AK22" s="145" t="str">
        <f t="shared" si="14"/>
        <v/>
      </c>
      <c r="AM22" s="2" t="s">
        <v>4792</v>
      </c>
      <c r="AN22" s="2">
        <f>'General overview'!$C$5</f>
        <v>28</v>
      </c>
      <c r="AP22" t="str">
        <f t="shared" si="26"/>
        <v/>
      </c>
      <c r="AQ22" t="str">
        <f t="shared" si="27"/>
        <v/>
      </c>
      <c r="AR22" s="9" t="str">
        <f t="shared" si="15"/>
        <v/>
      </c>
      <c r="AS22" s="124" t="str">
        <f>IF(AP22&lt;=$AN$21,-FV(Investments!$E$5/12,'Luxus '!AR22*12,'Luxus '!$AN$27,0,1),"")</f>
        <v/>
      </c>
      <c r="AT22" s="124" t="str">
        <f t="shared" si="16"/>
        <v/>
      </c>
      <c r="AU22" s="124" t="str">
        <f t="shared" si="17"/>
        <v/>
      </c>
      <c r="AV22" s="124" t="str">
        <f t="shared" si="18"/>
        <v/>
      </c>
      <c r="AW22" s="145" t="str">
        <f t="shared" si="19"/>
        <v/>
      </c>
    </row>
    <row r="23" spans="2:49">
      <c r="B23" s="13" t="s">
        <v>4793</v>
      </c>
      <c r="C23" s="11"/>
      <c r="F23">
        <f t="shared" si="20"/>
        <v>33</v>
      </c>
      <c r="G23">
        <f t="shared" ca="1" si="21"/>
        <v>2029</v>
      </c>
      <c r="H23">
        <f t="shared" si="0"/>
        <v>6</v>
      </c>
      <c r="I23" s="124">
        <f>IF(F23&lt;=$C$21,-FV(Investments!$E$5/12,'Luxus '!H23*12,'Luxus '!$C$27,0,1),"")</f>
        <v>12282.311302310585</v>
      </c>
      <c r="J23" s="124">
        <f t="shared" si="1"/>
        <v>14131.633263765674</v>
      </c>
      <c r="K23" s="124">
        <f t="shared" si="2"/>
        <v>14589.893583199155</v>
      </c>
      <c r="L23" s="124">
        <f t="shared" si="3"/>
        <v>15563.986921047266</v>
      </c>
      <c r="M23" s="145">
        <f t="shared" si="4"/>
        <v>100000</v>
      </c>
      <c r="N23" s="145"/>
      <c r="O23" s="13" t="s">
        <v>4793</v>
      </c>
      <c r="P23" s="11"/>
      <c r="R23">
        <f t="shared" si="22"/>
        <v>33</v>
      </c>
      <c r="S23">
        <f t="shared" ca="1" si="23"/>
        <v>2029</v>
      </c>
      <c r="T23">
        <f t="shared" si="5"/>
        <v>6</v>
      </c>
      <c r="U23" s="124">
        <f>IF(R23&lt;=$P$21,-FV(Investments!$E$5/12,'Luxus '!T23*12,'Luxus '!$P$27,0,1),"")</f>
        <v>9268.591024098143</v>
      </c>
      <c r="V23" s="124">
        <f t="shared" si="6"/>
        <v>10664.143417350515</v>
      </c>
      <c r="W23" s="124">
        <f t="shared" si="7"/>
        <v>11009.960045740521</v>
      </c>
      <c r="X23" s="124">
        <f t="shared" si="8"/>
        <v>11745.039343568964</v>
      </c>
      <c r="Y23" s="145">
        <f t="shared" si="9"/>
        <v>30000</v>
      </c>
      <c r="AA23" s="13" t="s">
        <v>4793</v>
      </c>
      <c r="AB23" s="11"/>
      <c r="AD23" t="str">
        <f t="shared" si="24"/>
        <v/>
      </c>
      <c r="AE23" t="str">
        <f t="shared" si="25"/>
        <v/>
      </c>
      <c r="AF23" t="str">
        <f t="shared" si="10"/>
        <v/>
      </c>
      <c r="AG23" s="124" t="str">
        <f>IF(AD23&lt;=$AB$21,-FV(Investments!$E$5/12,'Luxus '!AF23*12,'Luxus '!$AB$27,0,1),"")</f>
        <v/>
      </c>
      <c r="AH23" s="124" t="str">
        <f t="shared" si="11"/>
        <v/>
      </c>
      <c r="AI23" s="124" t="str">
        <f t="shared" si="12"/>
        <v/>
      </c>
      <c r="AJ23" s="124" t="str">
        <f t="shared" si="13"/>
        <v/>
      </c>
      <c r="AK23" s="145" t="str">
        <f t="shared" si="14"/>
        <v/>
      </c>
      <c r="AM23" s="13" t="s">
        <v>4793</v>
      </c>
      <c r="AN23" s="11"/>
      <c r="AP23" t="str">
        <f t="shared" si="26"/>
        <v/>
      </c>
      <c r="AQ23" t="str">
        <f t="shared" si="27"/>
        <v/>
      </c>
      <c r="AR23" s="9" t="str">
        <f t="shared" si="15"/>
        <v/>
      </c>
      <c r="AS23" s="124" t="str">
        <f>IF(AP23&lt;=$AN$21,-FV(Investments!$E$5/12,'Luxus '!AR23*12,'Luxus '!$AN$27,0,1),"")</f>
        <v/>
      </c>
      <c r="AT23" s="124" t="str">
        <f t="shared" si="16"/>
        <v/>
      </c>
      <c r="AU23" s="124" t="str">
        <f t="shared" si="17"/>
        <v/>
      </c>
      <c r="AV23" s="124" t="str">
        <f t="shared" si="18"/>
        <v/>
      </c>
      <c r="AW23" s="145" t="str">
        <f t="shared" si="19"/>
        <v/>
      </c>
    </row>
    <row r="24" spans="2:49">
      <c r="B24" s="2" t="s">
        <v>4794</v>
      </c>
      <c r="C24" s="2">
        <f>IF(C21-C22&lt;0, "Not possible", C21-(C22-1))</f>
        <v>23</v>
      </c>
      <c r="F24">
        <f t="shared" si="20"/>
        <v>34</v>
      </c>
      <c r="G24">
        <f t="shared" ca="1" si="21"/>
        <v>2030</v>
      </c>
      <c r="H24">
        <f t="shared" si="0"/>
        <v>7</v>
      </c>
      <c r="I24" s="124">
        <f>IF(F24&lt;=$C$21,-FV(Investments!$E$5/12,'Luxus '!H24*12,'Luxus '!$C$27,0,1),"")</f>
        <v>14365.418376707012</v>
      </c>
      <c r="J24" s="124">
        <f t="shared" si="1"/>
        <v>16926.165732146437</v>
      </c>
      <c r="K24" s="124">
        <f t="shared" si="2"/>
        <v>17572.591496573878</v>
      </c>
      <c r="L24" s="124">
        <f t="shared" si="3"/>
        <v>18961.411471386702</v>
      </c>
      <c r="M24" s="145">
        <f t="shared" si="4"/>
        <v>100000</v>
      </c>
      <c r="N24" s="145"/>
      <c r="O24" s="2" t="s">
        <v>4794</v>
      </c>
      <c r="P24" s="2">
        <f>IF(P21-P22&lt;0, "Not possible", P21-(P22-1))</f>
        <v>13</v>
      </c>
      <c r="R24">
        <f t="shared" si="22"/>
        <v>34</v>
      </c>
      <c r="S24">
        <f t="shared" ca="1" si="23"/>
        <v>2030</v>
      </c>
      <c r="T24">
        <f t="shared" si="5"/>
        <v>7</v>
      </c>
      <c r="U24" s="124">
        <f>IF(R24&lt;=$P$21,-FV(Investments!$E$5/12,'Luxus '!T24*12,'Luxus '!$P$27,0,1),"")</f>
        <v>10840.564495276478</v>
      </c>
      <c r="V24" s="124">
        <f t="shared" si="6"/>
        <v>12772.979280199239</v>
      </c>
      <c r="W24" s="124">
        <f t="shared" si="7"/>
        <v>13260.791051977962</v>
      </c>
      <c r="X24" s="124">
        <f t="shared" si="8"/>
        <v>14308.835189258276</v>
      </c>
      <c r="Y24" s="145">
        <f t="shared" si="9"/>
        <v>30000</v>
      </c>
      <c r="AA24" s="2" t="s">
        <v>4794</v>
      </c>
      <c r="AB24" s="2">
        <f>IF(AB21-AB22&lt;0, "Not possible", AB21-(AB22-1))</f>
        <v>4</v>
      </c>
      <c r="AD24" t="str">
        <f t="shared" si="24"/>
        <v/>
      </c>
      <c r="AE24" t="str">
        <f t="shared" si="25"/>
        <v/>
      </c>
      <c r="AF24" t="str">
        <f t="shared" si="10"/>
        <v/>
      </c>
      <c r="AG24" s="124" t="str">
        <f>IF(AD24&lt;=$AB$21,-FV(Investments!$E$5/12,'Luxus '!AF24*12,'Luxus '!$AB$27,0,1),"")</f>
        <v/>
      </c>
      <c r="AH24" s="124" t="str">
        <f t="shared" si="11"/>
        <v/>
      </c>
      <c r="AI24" s="124" t="str">
        <f t="shared" si="12"/>
        <v/>
      </c>
      <c r="AJ24" s="124" t="str">
        <f t="shared" si="13"/>
        <v/>
      </c>
      <c r="AK24" s="145" t="str">
        <f t="shared" si="14"/>
        <v/>
      </c>
      <c r="AM24" s="2" t="s">
        <v>4794</v>
      </c>
      <c r="AN24" s="2">
        <f>IF(AN21-AN22&lt;0, "Not possible", AN21-(AN22-1))</f>
        <v>3</v>
      </c>
      <c r="AP24" t="str">
        <f t="shared" si="26"/>
        <v/>
      </c>
      <c r="AQ24" t="str">
        <f t="shared" si="27"/>
        <v/>
      </c>
      <c r="AR24" s="9" t="str">
        <f t="shared" si="15"/>
        <v/>
      </c>
      <c r="AS24" s="124" t="str">
        <f>IF(AP24&lt;=$AN$21,-FV(Investments!$E$5/12,'Luxus '!AR24*12,'Luxus '!$AN$27,0,1),"")</f>
        <v/>
      </c>
      <c r="AT24" s="124" t="str">
        <f t="shared" si="16"/>
        <v/>
      </c>
      <c r="AU24" s="124" t="str">
        <f t="shared" si="17"/>
        <v/>
      </c>
      <c r="AV24" s="124" t="str">
        <f t="shared" si="18"/>
        <v/>
      </c>
      <c r="AW24" s="145" t="str">
        <f t="shared" si="19"/>
        <v/>
      </c>
    </row>
    <row r="25" spans="2:49">
      <c r="B25" s="2" t="s">
        <v>4795</v>
      </c>
      <c r="C25" s="123">
        <f>IF(C$24&lt;2,Investments!$E$5,IF(C$24&lt;5,Investments!$E$6,IF(C$24&lt;10,Investments!$E$7,IF(C$24&gt;=10,Investments!$E$8))))</f>
        <v>0.06</v>
      </c>
      <c r="D25" t="s">
        <v>4796</v>
      </c>
      <c r="F25">
        <f t="shared" si="20"/>
        <v>35</v>
      </c>
      <c r="G25">
        <f t="shared" ca="1" si="21"/>
        <v>2031</v>
      </c>
      <c r="H25">
        <f t="shared" si="0"/>
        <v>8</v>
      </c>
      <c r="I25" s="124">
        <f>IF(F25&lt;=$C$21,-FV(Investments!$E$5/12,'Luxus '!H25*12,'Luxus '!$C$27,0,1),"")</f>
        <v>16458.964888593109</v>
      </c>
      <c r="J25" s="124">
        <f t="shared" si="1"/>
        <v>19863.671785301678</v>
      </c>
      <c r="K25" s="124">
        <f t="shared" si="2"/>
        <v>20739.255690698345</v>
      </c>
      <c r="L25" s="124">
        <f t="shared" si="3"/>
        <v>22640.820583820037</v>
      </c>
      <c r="M25" s="145">
        <f t="shared" si="4"/>
        <v>100000</v>
      </c>
      <c r="N25" s="145"/>
      <c r="O25" s="2" t="s">
        <v>4795</v>
      </c>
      <c r="P25" s="123">
        <f>IF(P$24&lt;2,Investments!$E$5,IF(P$24&lt;5,Investments!$E$6,IF(P$24&lt;10,Investments!$E$7,IF(P$24&gt;=10,Investments!$E$8))))</f>
        <v>0.06</v>
      </c>
      <c r="R25">
        <f t="shared" si="22"/>
        <v>35</v>
      </c>
      <c r="S25">
        <f t="shared" ca="1" si="23"/>
        <v>2031</v>
      </c>
      <c r="T25">
        <f t="shared" si="5"/>
        <v>8</v>
      </c>
      <c r="U25" s="124">
        <f>IF(R25&lt;=$P$21,-FV(Investments!$E$5/12,'Luxus '!T25*12,'Luxus '!$P$27,0,1),"")</f>
        <v>12420.415871047182</v>
      </c>
      <c r="V25" s="124">
        <f t="shared" si="6"/>
        <v>14989.707188112361</v>
      </c>
      <c r="W25" s="124">
        <f t="shared" si="7"/>
        <v>15650.448389556883</v>
      </c>
      <c r="X25" s="124">
        <f t="shared" si="8"/>
        <v>17085.424825694943</v>
      </c>
      <c r="Y25" s="145">
        <f t="shared" si="9"/>
        <v>30000</v>
      </c>
      <c r="AA25" s="2" t="s">
        <v>4795</v>
      </c>
      <c r="AB25" s="143">
        <f>IF($AB$24&lt;2,Investments!$E$5,IF($AB$24&lt;5,Investments!$E$6,IF($AB$24&lt;10,Investments!$E$7,IF($AB$24&gt;=10,Investments!$E$8))))</f>
        <v>0.02</v>
      </c>
      <c r="AD25" t="str">
        <f t="shared" si="24"/>
        <v/>
      </c>
      <c r="AE25" t="str">
        <f t="shared" si="25"/>
        <v/>
      </c>
      <c r="AF25" t="str">
        <f t="shared" si="10"/>
        <v/>
      </c>
      <c r="AG25" s="124" t="str">
        <f>IF(AD25&lt;=$AB$21,-FV(Investments!$E$5/12,'Luxus '!AF25*12,'Luxus '!$AB$27,0,1),"")</f>
        <v/>
      </c>
      <c r="AH25" s="124" t="str">
        <f t="shared" si="11"/>
        <v/>
      </c>
      <c r="AI25" s="124" t="str">
        <f t="shared" si="12"/>
        <v/>
      </c>
      <c r="AJ25" s="124" t="str">
        <f t="shared" si="13"/>
        <v/>
      </c>
      <c r="AK25" s="145" t="str">
        <f t="shared" si="14"/>
        <v/>
      </c>
      <c r="AM25" s="2" t="s">
        <v>4795</v>
      </c>
      <c r="AN25" s="143">
        <f>IF($AN$24&lt;2,Investments!$E$5,IF($AN$24&lt;5,Investments!$E$6,IF($AN$24&lt;10,Investments!$E$7,IF($AN$24&gt;=10,Investments!$E$8))))</f>
        <v>0.02</v>
      </c>
      <c r="AP25" t="str">
        <f t="shared" si="26"/>
        <v/>
      </c>
      <c r="AQ25" t="str">
        <f t="shared" si="27"/>
        <v/>
      </c>
      <c r="AR25" s="9" t="str">
        <f t="shared" si="15"/>
        <v/>
      </c>
      <c r="AS25" s="124" t="str">
        <f>IF(AP25&lt;=$AN$21,-FV(Investments!$E$5/12,'Luxus '!AR25*12,'Luxus '!$AN$27,0,1),"")</f>
        <v/>
      </c>
      <c r="AT25" s="124" t="str">
        <f t="shared" si="16"/>
        <v/>
      </c>
      <c r="AU25" s="124" t="str">
        <f t="shared" si="17"/>
        <v/>
      </c>
      <c r="AV25" s="124" t="str">
        <f t="shared" si="18"/>
        <v/>
      </c>
      <c r="AW25" s="145" t="str">
        <f t="shared" si="19"/>
        <v/>
      </c>
    </row>
    <row r="26" spans="2:49">
      <c r="B26" s="2" t="s">
        <v>4797</v>
      </c>
      <c r="C26" s="125">
        <f>-PMT(C25,C24,0,C20,1)</f>
        <v>2007.4042159234834</v>
      </c>
      <c r="F26">
        <f t="shared" si="20"/>
        <v>36</v>
      </c>
      <c r="G26">
        <f t="shared" ca="1" si="21"/>
        <v>2032</v>
      </c>
      <c r="H26">
        <f t="shared" si="0"/>
        <v>9</v>
      </c>
      <c r="I26" s="124">
        <f>IF(F26&lt;=$C$21,-FV(Investments!$E$5/12,'Luxus '!H26*12,'Luxus '!$C$27,0,1),"")</f>
        <v>18563.003154941074</v>
      </c>
      <c r="J26" s="124">
        <f t="shared" si="1"/>
        <v>22951.46622317543</v>
      </c>
      <c r="K26" s="124">
        <f t="shared" si="2"/>
        <v>24101.232803226063</v>
      </c>
      <c r="L26" s="124">
        <f t="shared" si="3"/>
        <v>26625.618837928389</v>
      </c>
      <c r="M26" s="145">
        <f t="shared" si="4"/>
        <v>100000</v>
      </c>
      <c r="N26" s="145"/>
      <c r="O26" s="2" t="s">
        <v>4797</v>
      </c>
      <c r="P26" s="125">
        <f>-PMT(P25,P24,0,P20,1)</f>
        <v>1498.8709058495983</v>
      </c>
      <c r="R26">
        <f t="shared" si="22"/>
        <v>36</v>
      </c>
      <c r="S26">
        <f t="shared" ca="1" si="23"/>
        <v>2032</v>
      </c>
      <c r="T26">
        <f t="shared" si="5"/>
        <v>9</v>
      </c>
      <c r="U26" s="124">
        <f>IF(R26&lt;=$P$21,-FV(Investments!$E$5/12,'Luxus '!T26*12,'Luxus '!$P$27,0,1),"")</f>
        <v>14008.18463132629</v>
      </c>
      <c r="V26" s="124">
        <f t="shared" si="6"/>
        <v>17319.847102881726</v>
      </c>
      <c r="W26" s="124">
        <f t="shared" si="7"/>
        <v>18187.494562823613</v>
      </c>
      <c r="X26" s="124">
        <f t="shared" si="8"/>
        <v>20092.470032562691</v>
      </c>
      <c r="Y26" s="145">
        <f t="shared" si="9"/>
        <v>30000</v>
      </c>
      <c r="AA26" s="2" t="s">
        <v>4797</v>
      </c>
      <c r="AB26" s="125">
        <f>-PMT(AB25,AB24,0,AB20,1)</f>
        <v>3567.9963628130517</v>
      </c>
      <c r="AD26" t="str">
        <f t="shared" si="24"/>
        <v/>
      </c>
      <c r="AE26" t="str">
        <f t="shared" si="25"/>
        <v/>
      </c>
      <c r="AF26" t="str">
        <f t="shared" si="10"/>
        <v/>
      </c>
      <c r="AG26" s="124" t="str">
        <f>IF(AD26&lt;=$AB$21,-FV(Investments!$E$5/12,'Luxus '!AF26*12,'Luxus '!$AB$27,0,1),"")</f>
        <v/>
      </c>
      <c r="AH26" s="124" t="str">
        <f t="shared" si="11"/>
        <v/>
      </c>
      <c r="AI26" s="124" t="str">
        <f t="shared" si="12"/>
        <v/>
      </c>
      <c r="AJ26" s="124" t="str">
        <f t="shared" si="13"/>
        <v/>
      </c>
      <c r="AK26" s="145" t="str">
        <f t="shared" si="14"/>
        <v/>
      </c>
      <c r="AM26" s="2" t="s">
        <v>4797</v>
      </c>
      <c r="AN26" s="125">
        <f>-PMT(AN25,AN24,0,AN20,1)</f>
        <v>3203.4771822727257</v>
      </c>
      <c r="AP26" t="str">
        <f t="shared" si="26"/>
        <v/>
      </c>
      <c r="AQ26" t="str">
        <f t="shared" si="27"/>
        <v/>
      </c>
      <c r="AR26" s="9" t="str">
        <f t="shared" si="15"/>
        <v/>
      </c>
      <c r="AS26" s="124" t="str">
        <f>IF(AP26&lt;=$AN$21,-FV(Investments!$E$5/12,'Luxus '!AR26*12,'Luxus '!$AN$27,0,1),"")</f>
        <v/>
      </c>
      <c r="AT26" s="124" t="str">
        <f t="shared" si="16"/>
        <v/>
      </c>
      <c r="AU26" s="124" t="str">
        <f t="shared" si="17"/>
        <v/>
      </c>
      <c r="AV26" s="124" t="str">
        <f t="shared" si="18"/>
        <v/>
      </c>
      <c r="AW26" s="145" t="str">
        <f t="shared" si="19"/>
        <v/>
      </c>
    </row>
    <row r="27" spans="2:49">
      <c r="B27" s="2" t="s">
        <v>4798</v>
      </c>
      <c r="C27" s="125">
        <f>-PMT(C25/12,C24*12,0,C20,1)</f>
        <v>168.00716698115366</v>
      </c>
      <c r="D27" s="124"/>
      <c r="E27" s="124"/>
      <c r="F27">
        <f t="shared" si="20"/>
        <v>37</v>
      </c>
      <c r="G27">
        <f t="shared" ca="1" si="21"/>
        <v>2033</v>
      </c>
      <c r="H27">
        <f t="shared" si="0"/>
        <v>10</v>
      </c>
      <c r="I27" s="124">
        <f>IF(F27&lt;=$C$21,-FV(Investments!$E$5/12,'Luxus '!H27*12,'Luxus '!$C$27,0,1),"")</f>
        <v>20677.585754908465</v>
      </c>
      <c r="J27" s="124">
        <f t="shared" si="1"/>
        <v>26197.238084759461</v>
      </c>
      <c r="K27" s="124">
        <f t="shared" si="2"/>
        <v>27670.569307593025</v>
      </c>
      <c r="L27" s="124">
        <f t="shared" si="3"/>
        <v>30941.153381855169</v>
      </c>
      <c r="M27" s="145">
        <f t="shared" si="4"/>
        <v>100000</v>
      </c>
      <c r="N27" s="145"/>
      <c r="O27" s="2" t="s">
        <v>4798</v>
      </c>
      <c r="P27" s="125">
        <f>-PMT(P25/12,P24*12,0,P20,1)</f>
        <v>126.78311773230625</v>
      </c>
      <c r="R27">
        <f t="shared" si="22"/>
        <v>37</v>
      </c>
      <c r="S27">
        <f t="shared" ca="1" si="23"/>
        <v>2033</v>
      </c>
      <c r="T27">
        <f t="shared" si="5"/>
        <v>10</v>
      </c>
      <c r="U27" s="124">
        <f>IF(R27&lt;=$P$21,-FV(Investments!$E$5/12,'Luxus '!T27*12,'Luxus '!$P$27,0,1),"")</f>
        <v>15603.910453882572</v>
      </c>
      <c r="V27" s="124">
        <f t="shared" si="6"/>
        <v>19769.201398020676</v>
      </c>
      <c r="W27" s="124">
        <f t="shared" si="7"/>
        <v>20881.020192656644</v>
      </c>
      <c r="X27" s="124">
        <f t="shared" si="8"/>
        <v>23349.098508548355</v>
      </c>
      <c r="Y27" s="145">
        <f t="shared" si="9"/>
        <v>30000</v>
      </c>
      <c r="AA27" s="2" t="s">
        <v>4798</v>
      </c>
      <c r="AB27" s="125">
        <f>-PMT(AB25/12,AB24*12,0,AB20,1)</f>
        <v>299.92697629627844</v>
      </c>
      <c r="AD27" t="str">
        <f t="shared" si="24"/>
        <v/>
      </c>
      <c r="AE27" t="str">
        <f t="shared" si="25"/>
        <v/>
      </c>
      <c r="AF27" t="str">
        <f t="shared" si="10"/>
        <v/>
      </c>
      <c r="AG27" s="124" t="str">
        <f>IF(AD27&lt;=$AB$21,-FV(Investments!$E$5/12,'Luxus '!AF27*12,'Luxus '!$AB$27,0,1),"")</f>
        <v/>
      </c>
      <c r="AH27" s="124" t="str">
        <f t="shared" si="11"/>
        <v/>
      </c>
      <c r="AI27" s="124" t="str">
        <f t="shared" si="12"/>
        <v/>
      </c>
      <c r="AJ27" s="124" t="str">
        <f t="shared" si="13"/>
        <v/>
      </c>
      <c r="AK27" s="145" t="str">
        <f t="shared" si="14"/>
        <v/>
      </c>
      <c r="AM27" s="2" t="s">
        <v>4798</v>
      </c>
      <c r="AN27" s="125">
        <f>-PMT(AN25/12,AN24*12,0,AN20,1)</f>
        <v>269.31027020755124</v>
      </c>
      <c r="AP27" t="str">
        <f t="shared" si="26"/>
        <v/>
      </c>
      <c r="AQ27" t="str">
        <f t="shared" si="27"/>
        <v/>
      </c>
      <c r="AR27" s="9" t="str">
        <f t="shared" si="15"/>
        <v/>
      </c>
      <c r="AS27" s="124" t="str">
        <f>IF(AP27&lt;=$AN$21,-FV(Investments!$E$5/12,'Luxus '!AR27*12,'Luxus '!$AN$27,0,1),"")</f>
        <v/>
      </c>
      <c r="AT27" s="124" t="str">
        <f t="shared" si="16"/>
        <v/>
      </c>
      <c r="AU27" s="124" t="str">
        <f t="shared" si="17"/>
        <v/>
      </c>
      <c r="AV27" s="124" t="str">
        <f t="shared" si="18"/>
        <v/>
      </c>
      <c r="AW27" s="145" t="str">
        <f t="shared" si="19"/>
        <v/>
      </c>
    </row>
    <row r="28" spans="2:49">
      <c r="B28" s="13" t="s">
        <v>4799</v>
      </c>
      <c r="C28" s="11"/>
      <c r="F28">
        <f t="shared" si="20"/>
        <v>38</v>
      </c>
      <c r="G28">
        <f t="shared" ca="1" si="21"/>
        <v>2034</v>
      </c>
      <c r="H28">
        <f t="shared" si="0"/>
        <v>11</v>
      </c>
      <c r="I28" s="124">
        <f>IF(F28&lt;=$C$21,-FV(Investments!$E$5/12,'Luxus '!H28*12,'Luxus '!$C$27,0,1),"")</f>
        <v>22802.765531151643</v>
      </c>
      <c r="J28" s="124">
        <f>IF(F28&lt;=$C$21,-FV($C$31/12,H28*12,$C$27,0,1),"")</f>
        <v>29609.069794873252</v>
      </c>
      <c r="K28" s="124">
        <f t="shared" si="2"/>
        <v>31460.054677357402</v>
      </c>
      <c r="L28" s="124">
        <f t="shared" si="3"/>
        <v>35614.875164538644</v>
      </c>
      <c r="M28" s="145">
        <f t="shared" si="4"/>
        <v>100000</v>
      </c>
      <c r="O28" s="13" t="s">
        <v>4799</v>
      </c>
      <c r="P28" s="11"/>
      <c r="R28">
        <f t="shared" si="22"/>
        <v>38</v>
      </c>
      <c r="S28">
        <f t="shared" ca="1" si="23"/>
        <v>2034</v>
      </c>
      <c r="T28">
        <f t="shared" si="5"/>
        <v>11</v>
      </c>
      <c r="U28" s="124">
        <f>IF(R28&lt;=$P$21,-FV(Investments!$E$5/12,'Luxus '!T28*12,'Luxus '!$P$27,0,1),"")</f>
        <v>17207.633215328693</v>
      </c>
      <c r="V28" s="124">
        <f t="shared" si="6"/>
        <v>22343.869307483703</v>
      </c>
      <c r="W28" s="124">
        <f t="shared" si="7"/>
        <v>23740.676589538711</v>
      </c>
      <c r="X28" s="124">
        <f t="shared" si="8"/>
        <v>26876.025541896124</v>
      </c>
      <c r="Y28" s="145">
        <f t="shared" si="9"/>
        <v>30000</v>
      </c>
      <c r="AA28" s="13" t="s">
        <v>4799</v>
      </c>
      <c r="AB28" s="11"/>
      <c r="AD28" t="str">
        <f t="shared" si="24"/>
        <v/>
      </c>
      <c r="AE28" t="str">
        <f t="shared" si="25"/>
        <v/>
      </c>
      <c r="AF28" t="str">
        <f t="shared" si="10"/>
        <v/>
      </c>
      <c r="AG28" s="124" t="str">
        <f>IF(AD28&lt;=$AB$21,-FV(Investments!$E$5/12,'Luxus '!AF28*12,'Luxus '!$AB$27,0,1),"")</f>
        <v/>
      </c>
      <c r="AH28" s="124" t="str">
        <f t="shared" si="11"/>
        <v/>
      </c>
      <c r="AI28" s="124" t="str">
        <f t="shared" si="12"/>
        <v/>
      </c>
      <c r="AJ28" s="124" t="str">
        <f t="shared" si="13"/>
        <v/>
      </c>
      <c r="AK28" s="145" t="str">
        <f t="shared" si="14"/>
        <v/>
      </c>
      <c r="AM28" s="13" t="s">
        <v>4799</v>
      </c>
      <c r="AN28" s="11"/>
      <c r="AP28" t="str">
        <f t="shared" si="26"/>
        <v/>
      </c>
      <c r="AQ28" t="str">
        <f t="shared" si="27"/>
        <v/>
      </c>
      <c r="AR28" s="9" t="str">
        <f t="shared" si="15"/>
        <v/>
      </c>
      <c r="AS28" s="124" t="str">
        <f>IF(AP28&lt;=$AN$21,-FV(Investments!$E$5/12,'Luxus '!AR28*12,'Luxus '!$AN$27,0,1),"")</f>
        <v/>
      </c>
      <c r="AT28" s="124" t="str">
        <f t="shared" si="16"/>
        <v/>
      </c>
      <c r="AU28" s="124" t="str">
        <f t="shared" si="17"/>
        <v/>
      </c>
      <c r="AV28" s="124" t="str">
        <f t="shared" si="18"/>
        <v/>
      </c>
      <c r="AW28" s="145" t="str">
        <f t="shared" si="19"/>
        <v/>
      </c>
    </row>
    <row r="29" spans="2:49">
      <c r="B29" s="2" t="s">
        <v>4800</v>
      </c>
      <c r="C29" s="115">
        <f>C20</f>
        <v>100000</v>
      </c>
      <c r="F29">
        <f t="shared" si="20"/>
        <v>39</v>
      </c>
      <c r="G29">
        <f t="shared" ca="1" si="21"/>
        <v>2035</v>
      </c>
      <c r="H29">
        <f t="shared" si="0"/>
        <v>12</v>
      </c>
      <c r="I29" s="124">
        <f>IF(F29&lt;=$C$21,-FV(Investments!$E$5/12,'Luxus '!H29*12,'Luxus '!$C$27,0,1),"")</f>
        <v>24938.595591146939</v>
      </c>
      <c r="J29" s="124">
        <f t="shared" si="1"/>
        <v>33195.45729052955</v>
      </c>
      <c r="K29" s="124">
        <f t="shared" si="2"/>
        <v>35483.267212821374</v>
      </c>
      <c r="L29" s="124">
        <f t="shared" si="3"/>
        <v>40676.513550140357</v>
      </c>
      <c r="M29" s="145">
        <f t="shared" si="4"/>
        <v>100000</v>
      </c>
      <c r="O29" s="2" t="s">
        <v>4800</v>
      </c>
      <c r="P29" s="115">
        <f>P20</f>
        <v>30000</v>
      </c>
      <c r="R29">
        <f t="shared" si="22"/>
        <v>39</v>
      </c>
      <c r="S29">
        <f t="shared" ca="1" si="23"/>
        <v>2035</v>
      </c>
      <c r="T29">
        <f t="shared" si="5"/>
        <v>12</v>
      </c>
      <c r="U29" s="124">
        <f>IF(R29&lt;=$P$21,-FV(Investments!$E$5/12,'Luxus '!T29*12,'Luxus '!$P$27,0,1),"")</f>
        <v>18819.392992118203</v>
      </c>
      <c r="V29" s="124">
        <f t="shared" si="6"/>
        <v>25050.262113610057</v>
      </c>
      <c r="W29" s="124">
        <f t="shared" si="7"/>
        <v>26776.710335664771</v>
      </c>
      <c r="X29" s="124">
        <f t="shared" si="8"/>
        <v>30695.685779557825</v>
      </c>
      <c r="Y29" s="145">
        <f t="shared" si="9"/>
        <v>30000</v>
      </c>
      <c r="AA29" s="2" t="s">
        <v>4800</v>
      </c>
      <c r="AB29" s="115">
        <f>AB20</f>
        <v>15000</v>
      </c>
      <c r="AD29" t="str">
        <f t="shared" si="24"/>
        <v/>
      </c>
      <c r="AE29" t="str">
        <f t="shared" si="25"/>
        <v/>
      </c>
      <c r="AF29" t="str">
        <f t="shared" si="10"/>
        <v/>
      </c>
      <c r="AG29" s="124" t="str">
        <f>IF(AD29&lt;=$AB$21,-FV(Investments!$E$5/12,'Luxus '!AF29*12,'Luxus '!$AB$27,0,1),"")</f>
        <v/>
      </c>
      <c r="AH29" s="124" t="str">
        <f t="shared" si="11"/>
        <v/>
      </c>
      <c r="AI29" s="124" t="str">
        <f t="shared" si="12"/>
        <v/>
      </c>
      <c r="AJ29" s="124" t="str">
        <f t="shared" si="13"/>
        <v/>
      </c>
      <c r="AK29" s="145" t="str">
        <f t="shared" si="14"/>
        <v/>
      </c>
      <c r="AM29" s="2" t="s">
        <v>4800</v>
      </c>
      <c r="AN29" s="115">
        <f>AN20</f>
        <v>10000</v>
      </c>
      <c r="AP29" t="str">
        <f t="shared" si="26"/>
        <v/>
      </c>
      <c r="AQ29" t="str">
        <f t="shared" si="27"/>
        <v/>
      </c>
      <c r="AR29" s="9" t="str">
        <f t="shared" si="15"/>
        <v/>
      </c>
      <c r="AS29" s="124" t="str">
        <f>IF(AP29&lt;=$AN$21,-FV(Investments!$E$5/12,'Luxus '!AR29*12,'Luxus '!$AN$27,0,1),"")</f>
        <v/>
      </c>
      <c r="AT29" s="124" t="str">
        <f t="shared" si="16"/>
        <v/>
      </c>
      <c r="AU29" s="124" t="str">
        <f t="shared" si="17"/>
        <v/>
      </c>
      <c r="AV29" s="124" t="str">
        <f t="shared" si="18"/>
        <v/>
      </c>
      <c r="AW29" s="145" t="str">
        <f t="shared" si="19"/>
        <v/>
      </c>
    </row>
    <row r="30" spans="2:49">
      <c r="B30" s="2" t="s">
        <v>4801</v>
      </c>
      <c r="C30" s="115"/>
      <c r="F30">
        <f t="shared" si="20"/>
        <v>40</v>
      </c>
      <c r="G30">
        <f t="shared" ca="1" si="21"/>
        <v>2036</v>
      </c>
      <c r="H30">
        <f t="shared" si="0"/>
        <v>13</v>
      </c>
      <c r="I30" s="124">
        <f>IF(F30&lt;=$C$21,-FV(Investments!$E$5/12,'Luxus '!H30*12,'Luxus '!$C$27,0,1),"")</f>
        <v>27085.129308517324</v>
      </c>
      <c r="J30" s="124">
        <f t="shared" si="1"/>
        <v>36965.33117700294</v>
      </c>
      <c r="K30" s="124">
        <f t="shared" si="2"/>
        <v>39754.62269413859</v>
      </c>
      <c r="L30" s="124">
        <f t="shared" si="3"/>
        <v>46158.265425384961</v>
      </c>
      <c r="M30" s="145">
        <f t="shared" si="4"/>
        <v>100000</v>
      </c>
      <c r="O30" s="2" t="s">
        <v>4801</v>
      </c>
      <c r="P30" s="115"/>
      <c r="R30">
        <f t="shared" si="22"/>
        <v>40</v>
      </c>
      <c r="S30">
        <f t="shared" ca="1" si="23"/>
        <v>2036</v>
      </c>
      <c r="T30">
        <f t="shared" si="5"/>
        <v>13</v>
      </c>
      <c r="U30" s="124">
        <f>IF(R30&lt;=$P$21,-FV(Investments!$E$5/12,'Luxus '!T30*12,'Luxus '!$P$27,0,1),"")</f>
        <v>20439.230061546688</v>
      </c>
      <c r="V30" s="124">
        <f t="shared" si="6"/>
        <v>27895.119112111304</v>
      </c>
      <c r="W30" s="124">
        <f t="shared" si="7"/>
        <v>29999.999999998672</v>
      </c>
      <c r="X30" s="124">
        <f t="shared" si="8"/>
        <v>34832.375933117699</v>
      </c>
      <c r="Y30" s="145">
        <f t="shared" si="9"/>
        <v>30000</v>
      </c>
      <c r="AA30" s="2" t="s">
        <v>4801</v>
      </c>
      <c r="AB30" s="115"/>
      <c r="AD30" t="str">
        <f t="shared" si="24"/>
        <v/>
      </c>
      <c r="AE30" t="str">
        <f t="shared" si="25"/>
        <v/>
      </c>
      <c r="AF30" t="str">
        <f t="shared" si="10"/>
        <v/>
      </c>
      <c r="AG30" s="124" t="str">
        <f>IF(AD30&lt;=$AB$21,-FV(Investments!$E$5/12,'Luxus '!AF30*12,'Luxus '!$AB$27,0,1),"")</f>
        <v/>
      </c>
      <c r="AH30" s="124" t="str">
        <f t="shared" si="11"/>
        <v/>
      </c>
      <c r="AI30" s="124" t="str">
        <f t="shared" si="12"/>
        <v/>
      </c>
      <c r="AJ30" s="124" t="str">
        <f t="shared" si="13"/>
        <v/>
      </c>
      <c r="AK30" s="145" t="str">
        <f t="shared" si="14"/>
        <v/>
      </c>
      <c r="AM30" s="2" t="s">
        <v>4801</v>
      </c>
      <c r="AN30" s="115"/>
      <c r="AP30" t="str">
        <f t="shared" si="26"/>
        <v/>
      </c>
      <c r="AQ30" t="str">
        <f t="shared" si="27"/>
        <v/>
      </c>
      <c r="AR30" s="9" t="str">
        <f t="shared" si="15"/>
        <v/>
      </c>
      <c r="AS30" s="124" t="str">
        <f>IF(AP30&lt;=$AN$21,-FV(Investments!$E$5/12,'Luxus '!AR30*12,'Luxus '!$AN$27,0,1),"")</f>
        <v/>
      </c>
      <c r="AT30" s="124" t="str">
        <f t="shared" si="16"/>
        <v/>
      </c>
      <c r="AU30" s="124" t="str">
        <f t="shared" si="17"/>
        <v/>
      </c>
      <c r="AV30" s="124" t="str">
        <f t="shared" si="18"/>
        <v/>
      </c>
      <c r="AW30" s="145" t="str">
        <f t="shared" si="19"/>
        <v/>
      </c>
    </row>
    <row r="31" spans="2:49">
      <c r="B31" s="126" t="s">
        <v>4795</v>
      </c>
      <c r="C31" s="127">
        <f>IF(C$24&lt;2,Investments!$D$5,IF(C$24&lt;5,Investments!$D$6,IF(C$24&lt;10,Investments!$D$7,IF(C$24&gt;=10,Investments!$D$8))))</f>
        <v>0.05</v>
      </c>
      <c r="F31">
        <f t="shared" si="20"/>
        <v>41</v>
      </c>
      <c r="G31">
        <f t="shared" ca="1" si="21"/>
        <v>2037</v>
      </c>
      <c r="H31">
        <f t="shared" si="0"/>
        <v>14</v>
      </c>
      <c r="I31" s="124">
        <f>IF(F31&lt;=$C$21,-FV(Investments!$E$5/12,'Luxus '!H31*12,'Luxus '!$C$27,0,1),"")</f>
        <v>29242.420324366045</v>
      </c>
      <c r="J31" s="124">
        <f t="shared" si="1"/>
        <v>40928.078966283101</v>
      </c>
      <c r="K31" s="124">
        <f t="shared" si="2"/>
        <v>44289.426035238881</v>
      </c>
      <c r="L31" s="124">
        <f t="shared" si="3"/>
        <v>52095.000002716049</v>
      </c>
      <c r="M31" s="145">
        <f t="shared" si="4"/>
        <v>100000</v>
      </c>
      <c r="O31" s="126" t="s">
        <v>4795</v>
      </c>
      <c r="P31" s="127">
        <f>IF(P$24&lt;2,Investments!$D$5,IF(P$24&lt;5,Investments!$D$6,IF(P$24&lt;10,Investments!$D$7,IF(P$24&gt;=10,Investments!$D$8))))</f>
        <v>0.05</v>
      </c>
      <c r="R31" t="str">
        <f t="shared" si="22"/>
        <v/>
      </c>
      <c r="S31" t="str">
        <f t="shared" si="23"/>
        <v/>
      </c>
      <c r="T31" t="str">
        <f t="shared" si="5"/>
        <v/>
      </c>
      <c r="U31" s="124" t="str">
        <f>IF(R31&lt;=$P$21,-FV(Investments!$E$5/12,'Luxus '!T31*12,'Luxus '!$P$27,0,1),"")</f>
        <v/>
      </c>
      <c r="V31" s="124" t="str">
        <f t="shared" si="6"/>
        <v/>
      </c>
      <c r="W31" s="124" t="str">
        <f t="shared" si="7"/>
        <v/>
      </c>
      <c r="X31" s="124" t="str">
        <f t="shared" si="8"/>
        <v/>
      </c>
      <c r="Y31" s="145" t="str">
        <f t="shared" si="9"/>
        <v/>
      </c>
      <c r="AA31" s="126" t="s">
        <v>4795</v>
      </c>
      <c r="AB31" s="127">
        <f>IF(AB$24&lt;2,Investments!$D$5,IF(AB$24&lt;5,Investments!$D$6,IF(AB$24&lt;10,Investments!$D$7,IF(AB$24&gt;=10,Investments!$D$8))))</f>
        <v>1.4999999999999999E-2</v>
      </c>
      <c r="AD31" t="str">
        <f t="shared" si="24"/>
        <v/>
      </c>
      <c r="AE31" t="str">
        <f t="shared" si="25"/>
        <v/>
      </c>
      <c r="AF31" t="str">
        <f t="shared" si="10"/>
        <v/>
      </c>
      <c r="AG31" s="124" t="str">
        <f>IF(AD31&lt;=$AB$21,-FV(Investments!$E$5/12,'Luxus '!AF31*12,'Luxus '!$AB$27,0,1),"")</f>
        <v/>
      </c>
      <c r="AH31" s="124" t="str">
        <f t="shared" si="11"/>
        <v/>
      </c>
      <c r="AI31" s="124" t="str">
        <f t="shared" si="12"/>
        <v/>
      </c>
      <c r="AJ31" s="124" t="str">
        <f t="shared" si="13"/>
        <v/>
      </c>
      <c r="AK31" s="145" t="str">
        <f t="shared" si="14"/>
        <v/>
      </c>
      <c r="AM31" s="126" t="s">
        <v>4795</v>
      </c>
      <c r="AN31" s="127">
        <f>IF(AN$24&lt;2,Investments!$D$5,IF(AN$24&lt;5,Investments!$D$6,IF(AN$24&lt;10,Investments!$D$7,IF(AN$24&gt;=10,Investments!$D$8))))</f>
        <v>1.4999999999999999E-2</v>
      </c>
      <c r="AP31" t="str">
        <f t="shared" si="26"/>
        <v/>
      </c>
      <c r="AQ31" t="str">
        <f t="shared" si="27"/>
        <v/>
      </c>
      <c r="AR31" s="9" t="str">
        <f t="shared" si="15"/>
        <v/>
      </c>
      <c r="AS31" s="124" t="str">
        <f>IF(AP31&lt;=$AN$21,-FV(Investments!$E$5/12,'Luxus '!AR31*12,'Luxus '!$AN$27,0,1),"")</f>
        <v/>
      </c>
      <c r="AT31" s="124" t="str">
        <f t="shared" si="16"/>
        <v/>
      </c>
      <c r="AU31" s="124" t="str">
        <f t="shared" si="17"/>
        <v/>
      </c>
      <c r="AV31" s="124" t="str">
        <f t="shared" si="18"/>
        <v/>
      </c>
      <c r="AW31" s="145" t="str">
        <f t="shared" si="19"/>
        <v/>
      </c>
    </row>
    <row r="32" spans="2:49">
      <c r="B32" s="126" t="s">
        <v>4802</v>
      </c>
      <c r="C32" s="128">
        <f>-FV(C31/12,C24*12,C27,0,1)</f>
        <v>87079.489618550157</v>
      </c>
      <c r="F32">
        <f t="shared" si="20"/>
        <v>42</v>
      </c>
      <c r="G32">
        <f t="shared" ca="1" si="21"/>
        <v>2038</v>
      </c>
      <c r="H32">
        <f t="shared" si="0"/>
        <v>15</v>
      </c>
      <c r="I32" s="124">
        <f>IF(F32&lt;=$C$21,-FV(Investments!$E$5/12,'Luxus '!H32*12,'Luxus '!$C$27,0,1),"")</f>
        <v>31410.52254861773</v>
      </c>
      <c r="J32" s="124">
        <f t="shared" si="1"/>
        <v>45093.568453289467</v>
      </c>
      <c r="K32" s="124">
        <f t="shared" si="2"/>
        <v>49103.926123654033</v>
      </c>
      <c r="L32" s="124">
        <f t="shared" si="3"/>
        <v>58524.480622012692</v>
      </c>
      <c r="M32" s="145">
        <f t="shared" si="4"/>
        <v>100000</v>
      </c>
      <c r="O32" s="126" t="s">
        <v>4802</v>
      </c>
      <c r="P32" s="128">
        <f>-FV(P31/12,P24*12,P27,0,1)</f>
        <v>27895.119112111304</v>
      </c>
      <c r="R32" t="str">
        <f t="shared" si="22"/>
        <v/>
      </c>
      <c r="S32" t="str">
        <f t="shared" si="23"/>
        <v/>
      </c>
      <c r="T32" t="str">
        <f t="shared" si="5"/>
        <v/>
      </c>
      <c r="U32" s="124" t="str">
        <f>IF(R32&lt;=$P$21,-FV(Investments!$E$5/12,'Luxus '!T32*12,'Luxus '!$P$27,0,1),"")</f>
        <v/>
      </c>
      <c r="V32" s="124" t="str">
        <f t="shared" si="6"/>
        <v/>
      </c>
      <c r="W32" s="124" t="str">
        <f t="shared" si="7"/>
        <v/>
      </c>
      <c r="X32" s="124" t="str">
        <f t="shared" si="8"/>
        <v/>
      </c>
      <c r="Y32" s="145" t="str">
        <f t="shared" si="9"/>
        <v/>
      </c>
      <c r="AA32" s="126" t="s">
        <v>4802</v>
      </c>
      <c r="AB32" s="128">
        <f>-FV(AB31/12,AB24*12,AB27,0,1)</f>
        <v>14846.147190283735</v>
      </c>
      <c r="AD32" t="str">
        <f t="shared" si="24"/>
        <v/>
      </c>
      <c r="AE32" t="str">
        <f t="shared" si="25"/>
        <v/>
      </c>
      <c r="AF32" t="str">
        <f t="shared" si="10"/>
        <v/>
      </c>
      <c r="AG32" s="124" t="str">
        <f>IF(AD32&lt;=$AB$21,-FV(Investments!$E$5/12,'Luxus '!AF32*12,'Luxus '!$AB$27,0,1),"")</f>
        <v/>
      </c>
      <c r="AH32" s="124" t="str">
        <f t="shared" si="11"/>
        <v/>
      </c>
      <c r="AI32" s="124" t="str">
        <f t="shared" si="12"/>
        <v/>
      </c>
      <c r="AJ32" s="124" t="str">
        <f t="shared" si="13"/>
        <v/>
      </c>
      <c r="AK32" s="145" t="str">
        <f t="shared" si="14"/>
        <v/>
      </c>
      <c r="AM32" s="126" t="s">
        <v>4802</v>
      </c>
      <c r="AN32" s="128">
        <f>-FV(AN31/12,AN24*12,AN27,0,1)</f>
        <v>9922.6751503872511</v>
      </c>
      <c r="AP32" t="str">
        <f t="shared" si="26"/>
        <v/>
      </c>
      <c r="AQ32" t="str">
        <f t="shared" si="27"/>
        <v/>
      </c>
      <c r="AR32" s="9" t="str">
        <f t="shared" si="15"/>
        <v/>
      </c>
      <c r="AS32" s="124" t="str">
        <f>IF(AP32&lt;=$AN$21,-FV(Investments!$E$5/12,'Luxus '!AR32*12,'Luxus '!$AN$27,0,1),"")</f>
        <v/>
      </c>
      <c r="AT32" s="124" t="str">
        <f t="shared" si="16"/>
        <v/>
      </c>
      <c r="AU32" s="124" t="str">
        <f t="shared" si="17"/>
        <v/>
      </c>
      <c r="AV32" s="124" t="str">
        <f t="shared" si="18"/>
        <v/>
      </c>
      <c r="AW32" s="145" t="str">
        <f t="shared" si="19"/>
        <v/>
      </c>
    </row>
    <row r="33" spans="2:49">
      <c r="B33" s="2" t="s">
        <v>4788</v>
      </c>
      <c r="C33" s="2"/>
      <c r="F33">
        <f t="shared" si="20"/>
        <v>43</v>
      </c>
      <c r="G33">
        <f t="shared" ca="1" si="21"/>
        <v>2039</v>
      </c>
      <c r="H33">
        <f t="shared" si="0"/>
        <v>16</v>
      </c>
      <c r="I33" s="124">
        <f>IF(F33&lt;=$C$21,-FV(Investments!$E$5/12,'Luxus '!H33*12,'Luxus '!$C$27,0,1),"")</f>
        <v>33589.490161364884</v>
      </c>
      <c r="J33" s="124">
        <f t="shared" si="1"/>
        <v>49472.172288057496</v>
      </c>
      <c r="K33" s="124">
        <f t="shared" si="2"/>
        <v>54215.374042744079</v>
      </c>
      <c r="L33" s="124">
        <f t="shared" si="3"/>
        <v>65487.604961739387</v>
      </c>
      <c r="M33" s="145">
        <f t="shared" si="4"/>
        <v>100000</v>
      </c>
      <c r="O33" s="2" t="s">
        <v>4788</v>
      </c>
      <c r="P33" s="2"/>
      <c r="R33" t="str">
        <f t="shared" si="22"/>
        <v/>
      </c>
      <c r="S33" t="str">
        <f t="shared" si="23"/>
        <v/>
      </c>
      <c r="T33" t="str">
        <f t="shared" si="5"/>
        <v/>
      </c>
      <c r="U33" s="124" t="str">
        <f>IF(R33&lt;=$P$21,-FV(Investments!$E$5/12,'Luxus '!T33*12,'Luxus '!$P$27,0,1),"")</f>
        <v/>
      </c>
      <c r="V33" s="124" t="str">
        <f t="shared" si="6"/>
        <v/>
      </c>
      <c r="W33" s="124" t="str">
        <f t="shared" si="7"/>
        <v/>
      </c>
      <c r="X33" s="124" t="str">
        <f t="shared" si="8"/>
        <v/>
      </c>
      <c r="Y33" s="145" t="str">
        <f t="shared" si="9"/>
        <v/>
      </c>
      <c r="AA33" s="2" t="s">
        <v>4788</v>
      </c>
      <c r="AB33" s="2"/>
      <c r="AD33" t="str">
        <f t="shared" si="24"/>
        <v/>
      </c>
      <c r="AE33" t="str">
        <f t="shared" si="25"/>
        <v/>
      </c>
      <c r="AF33" t="str">
        <f t="shared" si="10"/>
        <v/>
      </c>
      <c r="AG33" s="124" t="str">
        <f>IF(AD33&lt;=$AB$21,-FV(Investments!$E$5/12,'Luxus '!AF33*12,'Luxus '!$AB$27,0,1),"")</f>
        <v/>
      </c>
      <c r="AH33" s="124" t="str">
        <f t="shared" si="11"/>
        <v/>
      </c>
      <c r="AI33" s="124" t="str">
        <f t="shared" si="12"/>
        <v/>
      </c>
      <c r="AJ33" s="124" t="str">
        <f t="shared" si="13"/>
        <v/>
      </c>
      <c r="AK33" s="145" t="str">
        <f t="shared" si="14"/>
        <v/>
      </c>
      <c r="AM33" s="2" t="s">
        <v>4788</v>
      </c>
      <c r="AN33" s="2"/>
      <c r="AP33" t="str">
        <f t="shared" si="26"/>
        <v/>
      </c>
      <c r="AQ33" t="str">
        <f t="shared" si="27"/>
        <v/>
      </c>
      <c r="AR33" s="9" t="str">
        <f t="shared" si="15"/>
        <v/>
      </c>
      <c r="AS33" s="124" t="str">
        <f>IF(AP33&lt;=$AN$21,-FV(Investments!$E$5/12,'Luxus '!AR33*12,'Luxus '!$AN$27,0,1),"")</f>
        <v/>
      </c>
      <c r="AT33" s="124" t="str">
        <f t="shared" si="16"/>
        <v/>
      </c>
      <c r="AU33" s="124" t="str">
        <f t="shared" si="17"/>
        <v/>
      </c>
      <c r="AV33" s="124" t="str">
        <f t="shared" si="18"/>
        <v/>
      </c>
      <c r="AW33" s="145" t="str">
        <f t="shared" si="19"/>
        <v/>
      </c>
    </row>
    <row r="34" spans="2:49">
      <c r="B34" s="126" t="s">
        <v>4795</v>
      </c>
      <c r="C34" s="127">
        <f>IF(C$24&lt;2,Investments!$F$5,IF(C$24&lt;5,Investments!$F$6,IF(C$24&lt;10,Investments!$F$7,IF(C$24&gt;=10,Investments!$F$8))))</f>
        <v>0.08</v>
      </c>
      <c r="F34">
        <f t="shared" si="20"/>
        <v>44</v>
      </c>
      <c r="G34">
        <f t="shared" ca="1" si="21"/>
        <v>2040</v>
      </c>
      <c r="H34">
        <f t="shared" si="0"/>
        <v>17</v>
      </c>
      <c r="I34" s="124">
        <f>IF(F34&lt;=$C$21,-FV(Investments!$E$5/12,'Luxus '!H34*12,'Luxus '!$C$27,0,1),"")</f>
        <v>35779.377614222554</v>
      </c>
      <c r="J34" s="124">
        <f t="shared" si="1"/>
        <v>54074.79380508449</v>
      </c>
      <c r="K34" s="124">
        <f t="shared" si="2"/>
        <v>59642.084884942931</v>
      </c>
      <c r="L34" s="124">
        <f t="shared" si="3"/>
        <v>73028.66518750276</v>
      </c>
      <c r="M34" s="145">
        <f t="shared" si="4"/>
        <v>100000</v>
      </c>
      <c r="O34" s="126" t="s">
        <v>4795</v>
      </c>
      <c r="P34" s="127">
        <f>IF(P$24&lt;2,Investments!$F$5,IF(P$24&lt;5,Investments!$F$6,IF(P$24&lt;10,Investments!$F$7,IF(P$24&gt;=10,Investments!$F$8))))</f>
        <v>0.08</v>
      </c>
      <c r="R34" t="str">
        <f t="shared" si="22"/>
        <v/>
      </c>
      <c r="S34" t="str">
        <f t="shared" si="23"/>
        <v/>
      </c>
      <c r="T34" t="str">
        <f t="shared" si="5"/>
        <v/>
      </c>
      <c r="U34" s="124" t="str">
        <f>IF(R34&lt;=$P$21,-FV(Investments!$E$5/12,'Luxus '!T34*12,'Luxus '!$P$27,0,1),"")</f>
        <v/>
      </c>
      <c r="V34" s="124" t="str">
        <f t="shared" si="6"/>
        <v/>
      </c>
      <c r="W34" s="124" t="str">
        <f t="shared" si="7"/>
        <v/>
      </c>
      <c r="X34" s="124" t="str">
        <f t="shared" si="8"/>
        <v/>
      </c>
      <c r="Y34" s="145" t="str">
        <f t="shared" si="9"/>
        <v/>
      </c>
      <c r="AA34" s="126" t="s">
        <v>4795</v>
      </c>
      <c r="AB34" s="127">
        <f>IF(AB$24&lt;2,Investments!$F$5,IF(AB$24&lt;5,Investments!$F$6,IF(AB$24&lt;10,Investments!$F$7,IF(AB$24&gt;=10,Investments!$F$8))))</f>
        <v>0.03</v>
      </c>
      <c r="AD34" t="str">
        <f t="shared" si="24"/>
        <v/>
      </c>
      <c r="AE34" t="str">
        <f t="shared" si="25"/>
        <v/>
      </c>
      <c r="AF34" t="str">
        <f t="shared" si="10"/>
        <v/>
      </c>
      <c r="AG34" s="124" t="str">
        <f>IF(AD34&lt;=$AB$21,-FV(Investments!$E$5/12,'Luxus '!AF34*12,'Luxus '!$AB$27,0,1),"")</f>
        <v/>
      </c>
      <c r="AH34" s="124" t="str">
        <f t="shared" si="11"/>
        <v/>
      </c>
      <c r="AI34" s="124" t="str">
        <f t="shared" si="12"/>
        <v/>
      </c>
      <c r="AJ34" s="124" t="str">
        <f t="shared" si="13"/>
        <v/>
      </c>
      <c r="AK34" s="145" t="str">
        <f t="shared" si="14"/>
        <v/>
      </c>
      <c r="AM34" s="126" t="s">
        <v>4795</v>
      </c>
      <c r="AN34" s="127">
        <f>IF(AN$24&lt;2,Investments!$F$5,IF(AN$24&lt;5,Investments!$F$6,IF(AN$24&lt;10,Investments!$F$7,IF(AN$24&gt;=10,Investments!$F$8))))</f>
        <v>0.03</v>
      </c>
      <c r="AP34" t="str">
        <f t="shared" si="26"/>
        <v/>
      </c>
      <c r="AQ34" t="str">
        <f t="shared" si="27"/>
        <v/>
      </c>
      <c r="AR34" s="9" t="str">
        <f t="shared" si="15"/>
        <v/>
      </c>
      <c r="AS34" s="124" t="str">
        <f>IF(AP34&lt;=$AN$21,-FV(Investments!$E$5/12,'Luxus '!AR34*12,'Luxus '!$AN$27,0,1),"")</f>
        <v/>
      </c>
      <c r="AT34" s="124" t="str">
        <f t="shared" si="16"/>
        <v/>
      </c>
      <c r="AU34" s="124" t="str">
        <f t="shared" si="17"/>
        <v/>
      </c>
      <c r="AV34" s="124" t="str">
        <f t="shared" si="18"/>
        <v/>
      </c>
      <c r="AW34" s="145" t="str">
        <f t="shared" si="19"/>
        <v/>
      </c>
    </row>
    <row r="35" spans="2:49">
      <c r="B35" s="126" t="s">
        <v>4803</v>
      </c>
      <c r="C35" s="128">
        <f>-FV(C34/12,C24*12,C27,0,1)</f>
        <v>133395.89647683382</v>
      </c>
      <c r="F35">
        <f t="shared" si="20"/>
        <v>45</v>
      </c>
      <c r="G35">
        <f t="shared" ca="1" si="21"/>
        <v>2041</v>
      </c>
      <c r="H35">
        <f t="shared" si="0"/>
        <v>18</v>
      </c>
      <c r="I35" s="124">
        <f>IF(F35&lt;=$C$21,-FV(Investments!$E$5/12,'Luxus '!H35*12,'Luxus '!$C$27,0,1),"")</f>
        <v>37980.239631688069</v>
      </c>
      <c r="J35" s="124">
        <f t="shared" si="1"/>
        <v>58912.894174153909</v>
      </c>
      <c r="K35" s="124">
        <f t="shared" si="2"/>
        <v>65403.50337750998</v>
      </c>
      <c r="L35" s="124">
        <f t="shared" si="3"/>
        <v>81195.629692810267</v>
      </c>
      <c r="M35" s="145">
        <f t="shared" si="4"/>
        <v>100000</v>
      </c>
      <c r="O35" s="126" t="s">
        <v>4803</v>
      </c>
      <c r="P35" s="128">
        <f>-FV(P34/12,P24*12,P27,0,1)</f>
        <v>34832.375933117699</v>
      </c>
      <c r="R35" t="str">
        <f t="shared" si="22"/>
        <v/>
      </c>
      <c r="S35" t="str">
        <f t="shared" si="23"/>
        <v/>
      </c>
      <c r="T35" t="str">
        <f t="shared" si="5"/>
        <v/>
      </c>
      <c r="U35" s="124" t="str">
        <f>IF(R35&lt;=$P$21,-FV(Investments!$E$5/12,'Luxus '!T35*12,'Luxus '!$P$27,0,1),"")</f>
        <v/>
      </c>
      <c r="V35" s="124" t="str">
        <f t="shared" si="6"/>
        <v/>
      </c>
      <c r="W35" s="124" t="str">
        <f t="shared" si="7"/>
        <v/>
      </c>
      <c r="X35" s="124" t="str">
        <f t="shared" si="8"/>
        <v/>
      </c>
      <c r="Y35" s="145" t="str">
        <f t="shared" si="9"/>
        <v/>
      </c>
      <c r="AA35" s="126" t="s">
        <v>4803</v>
      </c>
      <c r="AB35" s="128">
        <f>-FV(AB34/12,AB24*12,AB27,0,1)</f>
        <v>15313.832447666548</v>
      </c>
      <c r="AD35" t="str">
        <f t="shared" si="24"/>
        <v/>
      </c>
      <c r="AE35" t="str">
        <f t="shared" si="25"/>
        <v/>
      </c>
      <c r="AF35" t="str">
        <f t="shared" si="10"/>
        <v/>
      </c>
      <c r="AG35" s="124" t="str">
        <f>IF(AD35&lt;=$AB$21,-FV(Investments!$E$5/12,'Luxus '!AF35*12,'Luxus '!$AB$27,0,1),"")</f>
        <v/>
      </c>
      <c r="AH35" s="124" t="str">
        <f t="shared" si="11"/>
        <v/>
      </c>
      <c r="AI35" s="124" t="str">
        <f t="shared" si="12"/>
        <v/>
      </c>
      <c r="AJ35" s="124" t="str">
        <f t="shared" si="13"/>
        <v/>
      </c>
      <c r="AK35" s="145" t="str">
        <f t="shared" si="14"/>
        <v/>
      </c>
      <c r="AM35" s="126" t="s">
        <v>4803</v>
      </c>
      <c r="AN35" s="128">
        <f>-FV(AN34/12,AN24*12,AN27,0,1)</f>
        <v>10156.93227037086</v>
      </c>
      <c r="AP35" t="str">
        <f t="shared" si="26"/>
        <v/>
      </c>
      <c r="AQ35" t="str">
        <f t="shared" si="27"/>
        <v/>
      </c>
      <c r="AR35" s="9" t="str">
        <f t="shared" si="15"/>
        <v/>
      </c>
      <c r="AS35" s="124" t="str">
        <f>IF(AP35&lt;=$AN$21,-FV(Investments!$E$5/12,'Luxus '!AR35*12,'Luxus '!$AN$27,0,1),"")</f>
        <v/>
      </c>
      <c r="AT35" s="124" t="str">
        <f t="shared" si="16"/>
        <v/>
      </c>
      <c r="AU35" s="124" t="str">
        <f t="shared" si="17"/>
        <v/>
      </c>
      <c r="AV35" s="124" t="str">
        <f t="shared" si="18"/>
        <v/>
      </c>
      <c r="AW35" s="145" t="str">
        <f t="shared" si="19"/>
        <v/>
      </c>
    </row>
    <row r="36" spans="2:49">
      <c r="F36">
        <f t="shared" si="20"/>
        <v>46</v>
      </c>
      <c r="G36">
        <f t="shared" ca="1" si="21"/>
        <v>2042</v>
      </c>
      <c r="H36">
        <f t="shared" si="0"/>
        <v>19</v>
      </c>
      <c r="I36" s="124">
        <f>IF(F36&lt;=$C$21,-FV(Investments!$E$5/12,'Luxus '!H36*12,'Luxus '!$C$27,0,1),"")</f>
        <v>40192.131212509761</v>
      </c>
      <c r="J36" s="124">
        <f t="shared" si="1"/>
        <v>63998.520940247181</v>
      </c>
      <c r="K36" s="124">
        <f t="shared" si="2"/>
        <v>71520.273555934182</v>
      </c>
      <c r="L36" s="124">
        <f t="shared" si="3"/>
        <v>90040.448224172695</v>
      </c>
      <c r="M36" s="145">
        <f t="shared" si="4"/>
        <v>100000</v>
      </c>
      <c r="R36" t="str">
        <f t="shared" si="22"/>
        <v/>
      </c>
      <c r="S36" t="str">
        <f t="shared" si="23"/>
        <v/>
      </c>
      <c r="T36" t="str">
        <f t="shared" si="5"/>
        <v/>
      </c>
      <c r="U36" s="124" t="str">
        <f>IF(R36&lt;=$P$21,-FV(Investments!$E$5/12,'Luxus '!T36*12,'Luxus '!$P$27,0,1),"")</f>
        <v/>
      </c>
      <c r="V36" s="124" t="str">
        <f t="shared" si="6"/>
        <v/>
      </c>
      <c r="W36" s="124" t="str">
        <f t="shared" si="7"/>
        <v/>
      </c>
      <c r="X36" s="124" t="str">
        <f t="shared" si="8"/>
        <v/>
      </c>
      <c r="Y36" s="145" t="str">
        <f t="shared" si="9"/>
        <v/>
      </c>
      <c r="AD36" t="str">
        <f t="shared" si="24"/>
        <v/>
      </c>
      <c r="AE36" t="str">
        <f t="shared" si="25"/>
        <v/>
      </c>
      <c r="AF36" t="str">
        <f t="shared" si="10"/>
        <v/>
      </c>
      <c r="AG36" s="124" t="str">
        <f>IF(AD36&lt;=$AB$21,-FV(Investments!$E$5/12,'Luxus '!AF36*12,'Luxus '!$AB$27,0,1),"")</f>
        <v/>
      </c>
      <c r="AH36" s="124" t="str">
        <f t="shared" si="11"/>
        <v/>
      </c>
      <c r="AI36" s="124" t="str">
        <f t="shared" si="12"/>
        <v/>
      </c>
      <c r="AJ36" s="124" t="str">
        <f t="shared" si="13"/>
        <v/>
      </c>
      <c r="AK36" s="145" t="str">
        <f t="shared" si="14"/>
        <v/>
      </c>
      <c r="AP36" t="str">
        <f t="shared" si="26"/>
        <v/>
      </c>
      <c r="AQ36" t="str">
        <f t="shared" si="27"/>
        <v/>
      </c>
      <c r="AR36" s="9" t="str">
        <f t="shared" si="15"/>
        <v/>
      </c>
      <c r="AS36" s="124" t="str">
        <f>IF(AP36&lt;=$AN$21,-FV(Investments!$E$5/12,'Luxus '!AR36*12,'Luxus '!$AN$27,0,1),"")</f>
        <v/>
      </c>
      <c r="AT36" s="124" t="str">
        <f t="shared" si="16"/>
        <v/>
      </c>
      <c r="AU36" s="124" t="str">
        <f t="shared" si="17"/>
        <v/>
      </c>
      <c r="AV36" s="124" t="str">
        <f t="shared" si="18"/>
        <v/>
      </c>
      <c r="AW36" s="145" t="str">
        <f t="shared" si="19"/>
        <v/>
      </c>
    </row>
    <row r="37" spans="2:49">
      <c r="F37">
        <f t="shared" si="20"/>
        <v>47</v>
      </c>
      <c r="G37">
        <f t="shared" ca="1" si="21"/>
        <v>2043</v>
      </c>
      <c r="H37">
        <f t="shared" si="0"/>
        <v>20</v>
      </c>
      <c r="I37" s="124">
        <f>IF(F37&lt;=$C$21,-FV(Investments!$E$5/12,'Luxus '!H37*12,'Luxus '!$C$27,0,1),"")</f>
        <v>42415.107631060324</v>
      </c>
      <c r="J37" s="124">
        <f t="shared" si="1"/>
        <v>69344.33802361197</v>
      </c>
      <c r="K37" s="124">
        <f t="shared" si="2"/>
        <v>78014.312734641586</v>
      </c>
      <c r="L37" s="124">
        <f t="shared" si="3"/>
        <v>99619.382331440152</v>
      </c>
      <c r="M37" s="145">
        <f t="shared" si="4"/>
        <v>100000</v>
      </c>
      <c r="R37" t="str">
        <f t="shared" si="22"/>
        <v/>
      </c>
      <c r="S37" t="str">
        <f t="shared" si="23"/>
        <v/>
      </c>
      <c r="T37" t="str">
        <f t="shared" si="5"/>
        <v/>
      </c>
      <c r="U37" s="124" t="str">
        <f>IF(R37&lt;=$P$21,-FV(Investments!$E$5/12,'Luxus '!T37*12,'Luxus '!$P$27,0,1),"")</f>
        <v/>
      </c>
      <c r="V37" s="124" t="str">
        <f t="shared" si="6"/>
        <v/>
      </c>
      <c r="W37" s="124" t="str">
        <f t="shared" si="7"/>
        <v/>
      </c>
      <c r="X37" s="124" t="str">
        <f t="shared" si="8"/>
        <v/>
      </c>
      <c r="Y37" s="145" t="str">
        <f t="shared" si="9"/>
        <v/>
      </c>
      <c r="AD37" t="str">
        <f t="shared" si="24"/>
        <v/>
      </c>
      <c r="AE37" t="str">
        <f t="shared" si="25"/>
        <v/>
      </c>
      <c r="AF37" t="str">
        <f t="shared" si="10"/>
        <v/>
      </c>
      <c r="AG37" s="124" t="str">
        <f>IF(AD37&lt;=$AB$21,-FV(Investments!$E$5/12,'Luxus '!AF37*12,'Luxus '!$AB$27,0,1),"")</f>
        <v/>
      </c>
      <c r="AH37" s="124" t="str">
        <f t="shared" si="11"/>
        <v/>
      </c>
      <c r="AI37" s="124" t="str">
        <f t="shared" si="12"/>
        <v/>
      </c>
      <c r="AJ37" s="124" t="str">
        <f t="shared" si="13"/>
        <v/>
      </c>
      <c r="AK37" s="145" t="str">
        <f t="shared" si="14"/>
        <v/>
      </c>
      <c r="AP37" t="str">
        <f t="shared" si="26"/>
        <v/>
      </c>
      <c r="AQ37" t="str">
        <f t="shared" si="27"/>
        <v/>
      </c>
      <c r="AR37" s="9" t="str">
        <f t="shared" si="15"/>
        <v/>
      </c>
      <c r="AS37" s="124" t="str">
        <f>IF(AP37&lt;=$AN$21,-FV(Investments!$E$5/12,'Luxus '!AR37*12,'Luxus '!$AN$27,0,1),"")</f>
        <v/>
      </c>
      <c r="AT37" s="124" t="str">
        <f t="shared" si="16"/>
        <v/>
      </c>
      <c r="AU37" s="124" t="str">
        <f t="shared" si="17"/>
        <v/>
      </c>
      <c r="AV37" s="124" t="str">
        <f t="shared" si="18"/>
        <v/>
      </c>
      <c r="AW37" s="145" t="str">
        <f t="shared" si="19"/>
        <v/>
      </c>
    </row>
    <row r="38" spans="2:49">
      <c r="F38">
        <f t="shared" si="20"/>
        <v>48</v>
      </c>
      <c r="G38">
        <f t="shared" ca="1" si="21"/>
        <v>2044</v>
      </c>
      <c r="H38">
        <f t="shared" si="0"/>
        <v>21</v>
      </c>
      <c r="I38" s="124">
        <f>IF(F38&lt;=$C$21,-FV(Investments!$E$5/12,'Luxus '!H38*12,'Luxus '!$C$27,0,1),"")</f>
        <v>44649.224438719059</v>
      </c>
      <c r="J38" s="124">
        <f t="shared" si="1"/>
        <v>74963.657254690275</v>
      </c>
      <c r="K38" s="124">
        <f t="shared" si="2"/>
        <v>84908.89004005403</v>
      </c>
      <c r="L38" s="124">
        <f t="shared" si="3"/>
        <v>109993.36324535243</v>
      </c>
      <c r="M38" s="145">
        <f t="shared" si="4"/>
        <v>100000</v>
      </c>
      <c r="R38" t="str">
        <f t="shared" si="22"/>
        <v/>
      </c>
      <c r="S38" t="str">
        <f t="shared" si="23"/>
        <v/>
      </c>
      <c r="T38" t="str">
        <f t="shared" si="5"/>
        <v/>
      </c>
      <c r="U38" s="124" t="str">
        <f>IF(R38&lt;=$P$21,-FV(Investments!$E$5/12,'Luxus '!T38*12,'Luxus '!$P$27,0,1),"")</f>
        <v/>
      </c>
      <c r="V38" s="124" t="str">
        <f t="shared" si="6"/>
        <v/>
      </c>
      <c r="W38" s="124" t="str">
        <f t="shared" si="7"/>
        <v/>
      </c>
      <c r="X38" s="124" t="str">
        <f t="shared" si="8"/>
        <v/>
      </c>
      <c r="Y38" s="145" t="str">
        <f t="shared" si="9"/>
        <v/>
      </c>
      <c r="AD38" t="str">
        <f t="shared" si="24"/>
        <v/>
      </c>
      <c r="AE38" t="str">
        <f t="shared" si="25"/>
        <v/>
      </c>
      <c r="AF38" t="str">
        <f t="shared" si="10"/>
        <v/>
      </c>
      <c r="AG38" s="124" t="str">
        <f>IF(AD38&lt;=$AB$21,-FV(Investments!$E$5/12,'Luxus '!AF38*12,'Luxus '!$AB$27,0,1),"")</f>
        <v/>
      </c>
      <c r="AH38" s="124" t="str">
        <f t="shared" si="11"/>
        <v/>
      </c>
      <c r="AI38" s="124" t="str">
        <f t="shared" si="12"/>
        <v/>
      </c>
      <c r="AJ38" s="124" t="str">
        <f t="shared" si="13"/>
        <v/>
      </c>
      <c r="AK38" s="145" t="str">
        <f t="shared" si="14"/>
        <v/>
      </c>
      <c r="AP38" t="str">
        <f t="shared" si="26"/>
        <v/>
      </c>
      <c r="AQ38" t="str">
        <f t="shared" si="27"/>
        <v/>
      </c>
      <c r="AR38" s="9" t="str">
        <f t="shared" si="15"/>
        <v/>
      </c>
      <c r="AS38" s="124" t="str">
        <f>IF(AP38&lt;=$AN$21,-FV(Investments!$E$5/12,'Luxus '!AR38*12,'Luxus '!$AN$27,0,1),"")</f>
        <v/>
      </c>
      <c r="AT38" s="124" t="str">
        <f t="shared" si="16"/>
        <v/>
      </c>
      <c r="AU38" s="124" t="str">
        <f t="shared" si="17"/>
        <v/>
      </c>
      <c r="AV38" s="124" t="str">
        <f t="shared" si="18"/>
        <v/>
      </c>
      <c r="AW38" s="145" t="str">
        <f t="shared" si="19"/>
        <v/>
      </c>
    </row>
    <row r="39" spans="2:49">
      <c r="F39">
        <f t="shared" si="20"/>
        <v>49</v>
      </c>
      <c r="G39">
        <f t="shared" ca="1" si="21"/>
        <v>2045</v>
      </c>
      <c r="H39">
        <f t="shared" si="0"/>
        <v>22</v>
      </c>
      <c r="I39" s="124">
        <f>IF(F39&lt;=$C$21,-FV(Investments!$E$5/12,'Luxus '!H39*12,'Luxus '!$C$27,0,1),"")</f>
        <v>46894.537465258778</v>
      </c>
      <c r="J39" s="124">
        <f t="shared" si="1"/>
        <v>80870.471522433872</v>
      </c>
      <c r="K39" s="124">
        <f t="shared" si="2"/>
        <v>92228.709787394939</v>
      </c>
      <c r="L39" s="124">
        <f t="shared" si="3"/>
        <v>121228.37945874993</v>
      </c>
      <c r="M39" s="145">
        <f t="shared" si="4"/>
        <v>100000</v>
      </c>
      <c r="R39" t="str">
        <f t="shared" si="22"/>
        <v/>
      </c>
      <c r="S39" t="str">
        <f t="shared" si="23"/>
        <v/>
      </c>
      <c r="T39" t="str">
        <f t="shared" si="5"/>
        <v/>
      </c>
      <c r="U39" s="124" t="str">
        <f>IF(R39&lt;=$P$21,-FV(Investments!$E$5/12,'Luxus '!T39*12,'Luxus '!$P$27,0,1),"")</f>
        <v/>
      </c>
      <c r="V39" s="124" t="str">
        <f t="shared" si="6"/>
        <v/>
      </c>
      <c r="W39" s="124" t="str">
        <f t="shared" si="7"/>
        <v/>
      </c>
      <c r="X39" s="124" t="str">
        <f t="shared" si="8"/>
        <v/>
      </c>
      <c r="Y39" s="145" t="str">
        <f t="shared" si="9"/>
        <v/>
      </c>
      <c r="AD39" t="str">
        <f t="shared" si="24"/>
        <v/>
      </c>
      <c r="AE39" t="str">
        <f t="shared" si="25"/>
        <v/>
      </c>
      <c r="AF39" t="str">
        <f t="shared" si="10"/>
        <v/>
      </c>
      <c r="AG39" s="124" t="str">
        <f>IF(AD39&lt;=$AB$21,-FV(Investments!$E$5/12,'Luxus '!AF39*12,'Luxus '!$AB$27,0,1),"")</f>
        <v/>
      </c>
      <c r="AH39" s="124" t="str">
        <f t="shared" si="11"/>
        <v/>
      </c>
      <c r="AI39" s="124" t="str">
        <f t="shared" si="12"/>
        <v/>
      </c>
      <c r="AJ39" s="124" t="str">
        <f t="shared" si="13"/>
        <v/>
      </c>
      <c r="AK39" s="145" t="str">
        <f t="shared" si="14"/>
        <v/>
      </c>
      <c r="AP39" t="str">
        <f t="shared" si="26"/>
        <v/>
      </c>
      <c r="AQ39" t="str">
        <f t="shared" si="27"/>
        <v/>
      </c>
      <c r="AR39" s="9" t="str">
        <f t="shared" si="15"/>
        <v/>
      </c>
      <c r="AS39" s="124" t="str">
        <f>IF(AP39&lt;=$AN$21,-FV(Investments!$E$5/12,'Luxus '!AR39*12,'Luxus '!$AN$27,0,1),"")</f>
        <v/>
      </c>
      <c r="AT39" s="124" t="str">
        <f t="shared" si="16"/>
        <v/>
      </c>
      <c r="AU39" s="124" t="str">
        <f t="shared" si="17"/>
        <v/>
      </c>
      <c r="AV39" s="124" t="str">
        <f t="shared" si="18"/>
        <v/>
      </c>
      <c r="AW39" s="145" t="str">
        <f t="shared" si="19"/>
        <v/>
      </c>
    </row>
    <row r="40" spans="2:49">
      <c r="F40">
        <f t="shared" si="20"/>
        <v>50</v>
      </c>
      <c r="G40">
        <f t="shared" ca="1" si="21"/>
        <v>2046</v>
      </c>
      <c r="H40">
        <f t="shared" si="0"/>
        <v>23</v>
      </c>
      <c r="I40" s="124">
        <f>IF(F40&lt;=$C$21,-FV(Investments!$E$5/12,'Luxus '!H40*12,'Luxus '!$C$27,0,1),"")</f>
        <v>49151.102820242697</v>
      </c>
      <c r="J40" s="124">
        <f t="shared" si="1"/>
        <v>87079.489618550157</v>
      </c>
      <c r="K40" s="124">
        <f t="shared" si="2"/>
        <v>99999.999999994339</v>
      </c>
      <c r="L40" s="124">
        <f t="shared" si="3"/>
        <v>133395.89647683382</v>
      </c>
      <c r="M40" s="145">
        <f t="shared" si="4"/>
        <v>100000</v>
      </c>
      <c r="R40" t="str">
        <f t="shared" si="22"/>
        <v/>
      </c>
      <c r="S40" t="str">
        <f t="shared" si="23"/>
        <v/>
      </c>
      <c r="T40" t="str">
        <f t="shared" si="5"/>
        <v/>
      </c>
      <c r="U40" s="124" t="str">
        <f>IF(R40&lt;=$P$21,-FV(Investments!$E$5/12,'Luxus '!T40*12,'Luxus '!$P$27,0,1),"")</f>
        <v/>
      </c>
      <c r="V40" s="124" t="str">
        <f t="shared" si="6"/>
        <v/>
      </c>
      <c r="W40" s="124" t="str">
        <f t="shared" si="7"/>
        <v/>
      </c>
      <c r="X40" s="124" t="str">
        <f t="shared" si="8"/>
        <v/>
      </c>
      <c r="Y40" s="145" t="str">
        <f t="shared" si="9"/>
        <v/>
      </c>
      <c r="AD40" t="str">
        <f t="shared" si="24"/>
        <v/>
      </c>
      <c r="AE40" t="str">
        <f t="shared" si="25"/>
        <v/>
      </c>
      <c r="AF40" t="str">
        <f t="shared" si="10"/>
        <v/>
      </c>
      <c r="AG40" s="124" t="str">
        <f>IF(AD40&lt;=$AB$21,-FV(Investments!$E$5/12,'Luxus '!AF40*12,'Luxus '!$AB$27,0,1),"")</f>
        <v/>
      </c>
      <c r="AH40" s="124" t="str">
        <f t="shared" si="11"/>
        <v/>
      </c>
      <c r="AI40" s="124" t="str">
        <f t="shared" si="12"/>
        <v/>
      </c>
      <c r="AJ40" s="124" t="str">
        <f t="shared" si="13"/>
        <v/>
      </c>
      <c r="AK40" s="145" t="str">
        <f t="shared" si="14"/>
        <v/>
      </c>
      <c r="AP40" t="str">
        <f t="shared" si="26"/>
        <v/>
      </c>
      <c r="AQ40" t="str">
        <f t="shared" si="27"/>
        <v/>
      </c>
      <c r="AR40" s="9" t="str">
        <f t="shared" si="15"/>
        <v/>
      </c>
      <c r="AS40" s="124" t="str">
        <f>IF(AP40&lt;=$AN$21,-FV(Investments!$E$5/12,'Luxus '!AR40*12,'Luxus '!$AN$27,0,1),"")</f>
        <v/>
      </c>
      <c r="AT40" s="124" t="str">
        <f t="shared" si="16"/>
        <v/>
      </c>
      <c r="AU40" s="124" t="str">
        <f t="shared" si="17"/>
        <v/>
      </c>
      <c r="AV40" s="124" t="str">
        <f t="shared" si="18"/>
        <v/>
      </c>
      <c r="AW40" s="145" t="str">
        <f t="shared" si="19"/>
        <v/>
      </c>
    </row>
    <row r="41" spans="2:49">
      <c r="F41" t="str">
        <f t="shared" si="20"/>
        <v/>
      </c>
      <c r="G41" t="str">
        <f t="shared" si="21"/>
        <v/>
      </c>
      <c r="H41" t="str">
        <f t="shared" si="0"/>
        <v/>
      </c>
      <c r="I41" s="124" t="str">
        <f>IF(F41&lt;=$C$21,-FV(Investments!$E$5/12,'Luxus '!H41*12,'Luxus '!$C$27,0,1),"")</f>
        <v/>
      </c>
      <c r="J41" s="124" t="str">
        <f t="shared" si="1"/>
        <v/>
      </c>
      <c r="K41" s="124" t="str">
        <f t="shared" si="2"/>
        <v/>
      </c>
      <c r="L41" s="124" t="str">
        <f t="shared" si="3"/>
        <v/>
      </c>
      <c r="M41" s="145" t="str">
        <f t="shared" si="4"/>
        <v/>
      </c>
      <c r="R41" t="str">
        <f t="shared" si="22"/>
        <v/>
      </c>
      <c r="S41" t="str">
        <f t="shared" si="23"/>
        <v/>
      </c>
      <c r="T41" t="str">
        <f t="shared" si="5"/>
        <v/>
      </c>
      <c r="U41" s="124" t="str">
        <f>IF(R41&lt;=$P$21,-FV(Investments!$E$5/12,'Luxus '!T41*12,'Luxus '!$P$27,0,1),"")</f>
        <v/>
      </c>
      <c r="V41" s="124" t="str">
        <f t="shared" si="6"/>
        <v/>
      </c>
      <c r="W41" s="124" t="str">
        <f t="shared" si="7"/>
        <v/>
      </c>
      <c r="X41" s="124" t="str">
        <f t="shared" si="8"/>
        <v/>
      </c>
      <c r="Y41" s="145" t="str">
        <f t="shared" si="9"/>
        <v/>
      </c>
      <c r="AD41" t="str">
        <f t="shared" si="24"/>
        <v/>
      </c>
      <c r="AE41" t="str">
        <f t="shared" si="25"/>
        <v/>
      </c>
      <c r="AF41" t="str">
        <f t="shared" si="10"/>
        <v/>
      </c>
      <c r="AG41" s="124" t="str">
        <f>IF(AD41&lt;=$AB$21,-FV(Investments!$E$5/12,'Luxus '!AF41*12,'Luxus '!$AB$27,0,1),"")</f>
        <v/>
      </c>
      <c r="AH41" s="124" t="str">
        <f t="shared" si="11"/>
        <v/>
      </c>
      <c r="AI41" s="124" t="str">
        <f t="shared" si="12"/>
        <v/>
      </c>
      <c r="AJ41" s="124" t="str">
        <f t="shared" si="13"/>
        <v/>
      </c>
      <c r="AK41" s="145" t="str">
        <f t="shared" si="14"/>
        <v/>
      </c>
      <c r="AP41" t="str">
        <f t="shared" si="26"/>
        <v/>
      </c>
      <c r="AQ41" t="str">
        <f t="shared" si="27"/>
        <v/>
      </c>
      <c r="AR41" s="9" t="str">
        <f t="shared" si="15"/>
        <v/>
      </c>
      <c r="AS41" s="124" t="str">
        <f>IF(AP41&lt;=$AN$21,-FV(Investments!$E$5/12,'Luxus '!AR41*12,'Luxus '!$AN$27,0,1),"")</f>
        <v/>
      </c>
      <c r="AT41" s="124" t="str">
        <f t="shared" si="16"/>
        <v/>
      </c>
      <c r="AU41" s="124" t="str">
        <f t="shared" si="17"/>
        <v/>
      </c>
      <c r="AV41" s="124" t="str">
        <f t="shared" si="18"/>
        <v/>
      </c>
      <c r="AW41" s="145" t="str">
        <f t="shared" si="19"/>
        <v/>
      </c>
    </row>
    <row r="42" spans="2:49">
      <c r="F42" t="str">
        <f t="shared" si="20"/>
        <v/>
      </c>
      <c r="G42" t="str">
        <f t="shared" si="21"/>
        <v/>
      </c>
      <c r="H42" t="str">
        <f t="shared" si="0"/>
        <v/>
      </c>
      <c r="I42" s="124" t="str">
        <f>IF(F42&lt;=$C$21,-FV(Investments!$E$5/12,'Luxus '!H42*12,'Luxus '!$C$27,0,1),"")</f>
        <v/>
      </c>
      <c r="J42" s="124" t="str">
        <f t="shared" si="1"/>
        <v/>
      </c>
      <c r="K42" s="124" t="str">
        <f t="shared" si="2"/>
        <v/>
      </c>
      <c r="L42" s="124" t="str">
        <f t="shared" si="3"/>
        <v/>
      </c>
      <c r="M42" s="145" t="str">
        <f t="shared" si="4"/>
        <v/>
      </c>
      <c r="R42" t="str">
        <f t="shared" si="22"/>
        <v/>
      </c>
      <c r="S42" t="str">
        <f t="shared" si="23"/>
        <v/>
      </c>
      <c r="T42" t="str">
        <f t="shared" si="5"/>
        <v/>
      </c>
      <c r="U42" s="124" t="str">
        <f>IF(R42&lt;=$P$21,-FV(Investments!$E$5/12,'Luxus '!T42*12,'Luxus '!$P$27,0,1),"")</f>
        <v/>
      </c>
      <c r="V42" s="124" t="str">
        <f t="shared" si="6"/>
        <v/>
      </c>
      <c r="W42" s="124" t="str">
        <f t="shared" si="7"/>
        <v/>
      </c>
      <c r="X42" s="124" t="str">
        <f t="shared" si="8"/>
        <v/>
      </c>
      <c r="Y42" s="145" t="str">
        <f t="shared" si="9"/>
        <v/>
      </c>
      <c r="AD42" t="str">
        <f t="shared" si="24"/>
        <v/>
      </c>
      <c r="AE42" t="str">
        <f t="shared" si="25"/>
        <v/>
      </c>
      <c r="AF42" t="str">
        <f t="shared" si="10"/>
        <v/>
      </c>
      <c r="AG42" s="124" t="str">
        <f>IF(AD42&lt;=$AB$21,-FV(Investments!$E$5/12,'Luxus '!AF42*12,'Luxus '!$AB$27,0,1),"")</f>
        <v/>
      </c>
      <c r="AH42" s="124" t="str">
        <f t="shared" si="11"/>
        <v/>
      </c>
      <c r="AI42" s="124" t="str">
        <f t="shared" si="12"/>
        <v/>
      </c>
      <c r="AJ42" s="124" t="str">
        <f t="shared" si="13"/>
        <v/>
      </c>
      <c r="AK42" s="145" t="str">
        <f t="shared" si="14"/>
        <v/>
      </c>
      <c r="AP42" t="str">
        <f t="shared" si="26"/>
        <v/>
      </c>
      <c r="AQ42" t="str">
        <f t="shared" si="27"/>
        <v/>
      </c>
      <c r="AR42" s="9" t="str">
        <f t="shared" si="15"/>
        <v/>
      </c>
      <c r="AS42" s="124" t="str">
        <f>IF(AP42&lt;=$AN$21,-FV(Investments!$E$5/12,'Luxus '!AR42*12,'Luxus '!$AN$27,0,1),"")</f>
        <v/>
      </c>
      <c r="AT42" s="124" t="str">
        <f t="shared" si="16"/>
        <v/>
      </c>
      <c r="AU42" s="124" t="str">
        <f t="shared" si="17"/>
        <v/>
      </c>
      <c r="AV42" s="124" t="str">
        <f t="shared" si="18"/>
        <v/>
      </c>
      <c r="AW42" s="145" t="str">
        <f t="shared" si="19"/>
        <v/>
      </c>
    </row>
    <row r="43" spans="2:49">
      <c r="F43" t="str">
        <f t="shared" si="20"/>
        <v/>
      </c>
      <c r="G43" t="str">
        <f t="shared" si="21"/>
        <v/>
      </c>
      <c r="H43" t="str">
        <f t="shared" si="0"/>
        <v/>
      </c>
      <c r="I43" s="124" t="str">
        <f>IF(F43&lt;=$C$21,-FV(Investments!$E$5/12,'Luxus '!H43*12,'Luxus '!$C$27,0,1),"")</f>
        <v/>
      </c>
      <c r="J43" s="124" t="str">
        <f t="shared" si="1"/>
        <v/>
      </c>
      <c r="K43" s="124" t="str">
        <f t="shared" si="2"/>
        <v/>
      </c>
      <c r="L43" s="124" t="str">
        <f t="shared" si="3"/>
        <v/>
      </c>
      <c r="M43" s="145" t="str">
        <f t="shared" si="4"/>
        <v/>
      </c>
      <c r="R43" t="str">
        <f t="shared" si="22"/>
        <v/>
      </c>
      <c r="S43" t="str">
        <f t="shared" si="23"/>
        <v/>
      </c>
      <c r="T43" t="str">
        <f t="shared" si="5"/>
        <v/>
      </c>
      <c r="U43" s="124" t="str">
        <f>IF(R43&lt;=$P$21,-FV(Investments!$E$5/12,'Luxus '!T43*12,'Luxus '!$P$27,0,1),"")</f>
        <v/>
      </c>
      <c r="V43" s="124" t="str">
        <f t="shared" si="6"/>
        <v/>
      </c>
      <c r="W43" s="124" t="str">
        <f t="shared" si="7"/>
        <v/>
      </c>
      <c r="X43" s="124" t="str">
        <f t="shared" si="8"/>
        <v/>
      </c>
      <c r="Y43" s="145" t="str">
        <f t="shared" si="9"/>
        <v/>
      </c>
      <c r="AD43" t="str">
        <f t="shared" si="24"/>
        <v/>
      </c>
      <c r="AE43" t="str">
        <f t="shared" si="25"/>
        <v/>
      </c>
      <c r="AF43" t="str">
        <f t="shared" si="10"/>
        <v/>
      </c>
      <c r="AG43" s="124" t="str">
        <f>IF(AD43&lt;=$AB$21,-FV(Investments!$E$5/12,'Luxus '!AF43*12,'Luxus '!$AB$27,0,1),"")</f>
        <v/>
      </c>
      <c r="AH43" s="124" t="str">
        <f t="shared" si="11"/>
        <v/>
      </c>
      <c r="AI43" s="124" t="str">
        <f t="shared" si="12"/>
        <v/>
      </c>
      <c r="AJ43" s="124" t="str">
        <f t="shared" si="13"/>
        <v/>
      </c>
      <c r="AK43" s="145" t="str">
        <f t="shared" si="14"/>
        <v/>
      </c>
      <c r="AP43" t="str">
        <f t="shared" si="26"/>
        <v/>
      </c>
      <c r="AQ43" t="str">
        <f t="shared" si="27"/>
        <v/>
      </c>
      <c r="AR43" s="9" t="str">
        <f t="shared" si="15"/>
        <v/>
      </c>
      <c r="AS43" s="124" t="str">
        <f>IF(AP43&lt;=$AN$21,-FV(Investments!$E$5/12,'Luxus '!AR43*12,'Luxus '!$AN$27,0,1),"")</f>
        <v/>
      </c>
      <c r="AT43" s="124" t="str">
        <f t="shared" si="16"/>
        <v/>
      </c>
      <c r="AU43" s="124" t="str">
        <f t="shared" si="17"/>
        <v/>
      </c>
      <c r="AV43" s="124" t="str">
        <f t="shared" si="18"/>
        <v/>
      </c>
      <c r="AW43" s="145" t="str">
        <f t="shared" si="19"/>
        <v/>
      </c>
    </row>
    <row r="44" spans="2:49">
      <c r="F44" t="str">
        <f t="shared" si="20"/>
        <v/>
      </c>
      <c r="G44" t="str">
        <f t="shared" si="21"/>
        <v/>
      </c>
      <c r="H44" t="str">
        <f t="shared" si="0"/>
        <v/>
      </c>
      <c r="I44" s="124" t="str">
        <f>IF(F44&lt;=$C$21,-FV(Investments!$E$5/12,'Luxus '!H44*12,'Luxus '!$C$27,0,1),"")</f>
        <v/>
      </c>
      <c r="J44" s="124" t="str">
        <f t="shared" si="1"/>
        <v/>
      </c>
      <c r="K44" s="124" t="str">
        <f t="shared" si="2"/>
        <v/>
      </c>
      <c r="L44" s="124" t="str">
        <f t="shared" si="3"/>
        <v/>
      </c>
      <c r="M44" s="145" t="str">
        <f t="shared" si="4"/>
        <v/>
      </c>
      <c r="R44" t="str">
        <f t="shared" si="22"/>
        <v/>
      </c>
      <c r="S44" t="str">
        <f t="shared" si="23"/>
        <v/>
      </c>
      <c r="T44" t="str">
        <f t="shared" si="5"/>
        <v/>
      </c>
      <c r="U44" s="124" t="str">
        <f>IF(R44&lt;=$P$21,-FV(Investments!$E$5/12,'Luxus '!T44*12,'Luxus '!$P$27,0,1),"")</f>
        <v/>
      </c>
      <c r="V44" s="124" t="str">
        <f t="shared" si="6"/>
        <v/>
      </c>
      <c r="W44" s="124" t="str">
        <f t="shared" si="7"/>
        <v/>
      </c>
      <c r="X44" s="124" t="str">
        <f t="shared" si="8"/>
        <v/>
      </c>
      <c r="Y44" s="145" t="str">
        <f t="shared" si="9"/>
        <v/>
      </c>
      <c r="AD44" t="str">
        <f t="shared" si="24"/>
        <v/>
      </c>
      <c r="AE44" t="str">
        <f t="shared" si="25"/>
        <v/>
      </c>
      <c r="AF44" t="str">
        <f t="shared" si="10"/>
        <v/>
      </c>
      <c r="AG44" s="124" t="str">
        <f>IF(AD44&lt;=$AB$21,-FV(Investments!$E$5/12,'Luxus '!AF44*12,'Luxus '!$AB$27,0,1),"")</f>
        <v/>
      </c>
      <c r="AH44" s="124" t="str">
        <f t="shared" si="11"/>
        <v/>
      </c>
      <c r="AI44" s="124" t="str">
        <f t="shared" si="12"/>
        <v/>
      </c>
      <c r="AJ44" s="124" t="str">
        <f t="shared" si="13"/>
        <v/>
      </c>
      <c r="AK44" s="145" t="str">
        <f t="shared" si="14"/>
        <v/>
      </c>
      <c r="AP44" t="str">
        <f t="shared" si="26"/>
        <v/>
      </c>
      <c r="AQ44" t="str">
        <f t="shared" si="27"/>
        <v/>
      </c>
      <c r="AR44" s="9" t="str">
        <f t="shared" si="15"/>
        <v/>
      </c>
      <c r="AS44" s="124" t="str">
        <f>IF(AP44&lt;=$AN$21,-FV(Investments!$E$5/12,'Luxus '!AR44*12,'Luxus '!$AN$27,0,1),"")</f>
        <v/>
      </c>
      <c r="AT44" s="124" t="str">
        <f t="shared" si="16"/>
        <v/>
      </c>
      <c r="AU44" s="124" t="str">
        <f t="shared" si="17"/>
        <v/>
      </c>
      <c r="AV44" s="124" t="str">
        <f t="shared" si="18"/>
        <v/>
      </c>
      <c r="AW44" s="145" t="str">
        <f t="shared" si="19"/>
        <v/>
      </c>
    </row>
    <row r="45" spans="2:49">
      <c r="F45" t="str">
        <f t="shared" si="20"/>
        <v/>
      </c>
      <c r="G45" t="str">
        <f t="shared" si="21"/>
        <v/>
      </c>
      <c r="H45" t="str">
        <f t="shared" si="0"/>
        <v/>
      </c>
      <c r="I45" s="124" t="str">
        <f>IF(F45&lt;=$C$21,-FV(Investments!$E$5/12,'Luxus '!H45*12,'Luxus '!$C$27,0,1),"")</f>
        <v/>
      </c>
      <c r="J45" s="124" t="str">
        <f t="shared" si="1"/>
        <v/>
      </c>
      <c r="K45" s="124" t="str">
        <f t="shared" si="2"/>
        <v/>
      </c>
      <c r="L45" s="124" t="str">
        <f t="shared" si="3"/>
        <v/>
      </c>
      <c r="M45" s="145" t="str">
        <f t="shared" si="4"/>
        <v/>
      </c>
      <c r="R45" t="str">
        <f t="shared" si="22"/>
        <v/>
      </c>
      <c r="S45" t="str">
        <f t="shared" si="23"/>
        <v/>
      </c>
      <c r="T45" t="str">
        <f t="shared" si="5"/>
        <v/>
      </c>
      <c r="U45" s="124" t="str">
        <f>IF(R45&lt;=$P$21,-FV(Investments!$E$5/12,'Luxus '!T45*12,'Luxus '!$P$27,0,1),"")</f>
        <v/>
      </c>
      <c r="V45" s="124" t="str">
        <f t="shared" si="6"/>
        <v/>
      </c>
      <c r="W45" s="124" t="str">
        <f t="shared" si="7"/>
        <v/>
      </c>
      <c r="X45" s="124" t="str">
        <f t="shared" si="8"/>
        <v/>
      </c>
      <c r="Y45" s="145" t="str">
        <f t="shared" si="9"/>
        <v/>
      </c>
      <c r="AD45" t="str">
        <f t="shared" si="24"/>
        <v/>
      </c>
      <c r="AE45" t="str">
        <f t="shared" si="25"/>
        <v/>
      </c>
      <c r="AF45" t="str">
        <f t="shared" si="10"/>
        <v/>
      </c>
      <c r="AG45" s="124" t="str">
        <f>IF(AD45&lt;=$AB$21,-FV(Investments!$E$5/12,'Luxus '!AF45*12,'Luxus '!$AB$27,0,1),"")</f>
        <v/>
      </c>
      <c r="AH45" s="124" t="str">
        <f t="shared" si="11"/>
        <v/>
      </c>
      <c r="AI45" s="124" t="str">
        <f t="shared" si="12"/>
        <v/>
      </c>
      <c r="AJ45" s="124" t="str">
        <f t="shared" si="13"/>
        <v/>
      </c>
      <c r="AK45" s="145" t="str">
        <f t="shared" si="14"/>
        <v/>
      </c>
      <c r="AP45" t="str">
        <f t="shared" si="26"/>
        <v/>
      </c>
      <c r="AQ45" t="str">
        <f t="shared" si="27"/>
        <v/>
      </c>
      <c r="AR45" s="9" t="str">
        <f t="shared" si="15"/>
        <v/>
      </c>
      <c r="AS45" s="124" t="str">
        <f>IF(AP45&lt;=$AN$21,-FV(Investments!$E$5/12,'Luxus '!AR45*12,'Luxus '!$AN$27,0,1),"")</f>
        <v/>
      </c>
      <c r="AT45" s="124" t="str">
        <f t="shared" si="16"/>
        <v/>
      </c>
      <c r="AU45" s="124" t="str">
        <f t="shared" si="17"/>
        <v/>
      </c>
      <c r="AV45" s="124" t="str">
        <f t="shared" si="18"/>
        <v/>
      </c>
      <c r="AW45" s="145" t="str">
        <f t="shared" si="19"/>
        <v/>
      </c>
    </row>
    <row r="46" spans="2:49">
      <c r="F46" t="str">
        <f>IFERROR(IF(F45+1&lt;=$C$21,F45+1,""),"")</f>
        <v/>
      </c>
      <c r="G46" t="str">
        <f t="shared" si="21"/>
        <v/>
      </c>
      <c r="H46" t="str">
        <f t="shared" si="0"/>
        <v/>
      </c>
      <c r="I46" s="124" t="str">
        <f>IF(F46&lt;=$C$21,-FV(Investments!$E$5/12,'Luxus '!H46*12,'Luxus '!$C$27,0,1),"")</f>
        <v/>
      </c>
      <c r="J46" s="124" t="str">
        <f t="shared" si="1"/>
        <v/>
      </c>
      <c r="K46" s="124" t="str">
        <f t="shared" si="2"/>
        <v/>
      </c>
      <c r="L46" s="124" t="str">
        <f t="shared" si="3"/>
        <v/>
      </c>
      <c r="M46" s="145" t="str">
        <f t="shared" si="4"/>
        <v/>
      </c>
      <c r="R46" t="str">
        <f t="shared" si="22"/>
        <v/>
      </c>
      <c r="S46" t="str">
        <f t="shared" si="23"/>
        <v/>
      </c>
      <c r="T46" t="str">
        <f t="shared" si="5"/>
        <v/>
      </c>
      <c r="U46" s="124" t="str">
        <f>IF(R46&lt;=$P$21,-FV(Investments!$E$5/12,'Luxus '!T46*12,'Luxus '!$P$27,0,1),"")</f>
        <v/>
      </c>
      <c r="V46" s="124" t="str">
        <f t="shared" si="6"/>
        <v/>
      </c>
      <c r="W46" s="124" t="str">
        <f t="shared" si="7"/>
        <v/>
      </c>
      <c r="X46" s="124" t="str">
        <f t="shared" si="8"/>
        <v/>
      </c>
      <c r="Y46" s="145" t="str">
        <f t="shared" si="9"/>
        <v/>
      </c>
      <c r="AD46" t="str">
        <f t="shared" si="24"/>
        <v/>
      </c>
      <c r="AE46" t="str">
        <f t="shared" si="25"/>
        <v/>
      </c>
      <c r="AF46" t="str">
        <f t="shared" si="10"/>
        <v/>
      </c>
      <c r="AG46" s="124" t="str">
        <f>IF(AD46&lt;=$AB$21,-FV(Investments!$E$5/12,'Luxus '!AF46*12,'Luxus '!$AB$27,0,1),"")</f>
        <v/>
      </c>
      <c r="AH46" s="124" t="str">
        <f t="shared" si="11"/>
        <v/>
      </c>
      <c r="AI46" s="124" t="str">
        <f t="shared" si="12"/>
        <v/>
      </c>
      <c r="AJ46" s="124" t="str">
        <f t="shared" si="13"/>
        <v/>
      </c>
      <c r="AK46" s="145" t="str">
        <f t="shared" si="14"/>
        <v/>
      </c>
      <c r="AP46" t="str">
        <f t="shared" si="26"/>
        <v/>
      </c>
      <c r="AQ46" t="str">
        <f t="shared" si="27"/>
        <v/>
      </c>
      <c r="AR46" s="9" t="str">
        <f t="shared" si="15"/>
        <v/>
      </c>
      <c r="AS46" s="124" t="str">
        <f>IF(AP46&lt;=$AN$21,-FV(Investments!$E$5/12,'Luxus '!AR46*12,'Luxus '!$AN$27,0,1),"")</f>
        <v/>
      </c>
      <c r="AT46" s="124" t="str">
        <f t="shared" si="16"/>
        <v/>
      </c>
      <c r="AU46" s="124" t="str">
        <f t="shared" si="17"/>
        <v/>
      </c>
      <c r="AV46" s="124" t="str">
        <f t="shared" si="18"/>
        <v/>
      </c>
      <c r="AW46" s="145" t="str">
        <f t="shared" si="19"/>
        <v/>
      </c>
    </row>
    <row r="47" spans="2:49">
      <c r="F47" t="str">
        <f t="shared" si="20"/>
        <v/>
      </c>
      <c r="G47" t="str">
        <f t="shared" si="21"/>
        <v/>
      </c>
      <c r="H47" t="str">
        <f t="shared" si="0"/>
        <v/>
      </c>
      <c r="I47" s="124" t="str">
        <f>IF(F47&lt;=$C$21,-FV(Investments!$E$5/12,'Luxus '!H47*12,'Luxus '!$C$27,0,1),"")</f>
        <v/>
      </c>
      <c r="J47" s="124" t="str">
        <f t="shared" si="1"/>
        <v/>
      </c>
      <c r="K47" s="124" t="str">
        <f t="shared" si="2"/>
        <v/>
      </c>
      <c r="L47" s="124" t="str">
        <f t="shared" si="3"/>
        <v/>
      </c>
      <c r="M47" s="145" t="str">
        <f t="shared" si="4"/>
        <v/>
      </c>
      <c r="R47" t="str">
        <f t="shared" si="22"/>
        <v/>
      </c>
      <c r="S47" t="str">
        <f t="shared" si="23"/>
        <v/>
      </c>
      <c r="T47" t="str">
        <f t="shared" si="5"/>
        <v/>
      </c>
      <c r="U47" s="124" t="str">
        <f>IF(R47&lt;=$P$21,-FV(Investments!$E$5/12,'Luxus '!T47*12,'Luxus '!$P$27,0,1),"")</f>
        <v/>
      </c>
      <c r="V47" s="124" t="str">
        <f t="shared" si="6"/>
        <v/>
      </c>
      <c r="W47" s="124" t="str">
        <f t="shared" si="7"/>
        <v/>
      </c>
      <c r="X47" s="124" t="str">
        <f t="shared" si="8"/>
        <v/>
      </c>
      <c r="Y47" s="145" t="str">
        <f t="shared" si="9"/>
        <v/>
      </c>
      <c r="AD47" t="str">
        <f t="shared" si="24"/>
        <v/>
      </c>
      <c r="AE47" t="str">
        <f t="shared" si="25"/>
        <v/>
      </c>
      <c r="AF47" t="str">
        <f t="shared" si="10"/>
        <v/>
      </c>
      <c r="AG47" s="124" t="str">
        <f>IF(AD47&lt;=$AB$21,-FV(Investments!$E$5/12,'Luxus '!AF47*12,'Luxus '!$AB$27,0,1),"")</f>
        <v/>
      </c>
      <c r="AH47" s="124" t="str">
        <f t="shared" si="11"/>
        <v/>
      </c>
      <c r="AI47" s="124" t="str">
        <f t="shared" si="12"/>
        <v/>
      </c>
      <c r="AJ47" s="124" t="str">
        <f t="shared" si="13"/>
        <v/>
      </c>
      <c r="AK47" s="145" t="str">
        <f t="shared" si="14"/>
        <v/>
      </c>
      <c r="AP47" t="str">
        <f t="shared" si="26"/>
        <v/>
      </c>
      <c r="AQ47" t="str">
        <f t="shared" si="27"/>
        <v/>
      </c>
      <c r="AR47" s="9" t="str">
        <f t="shared" si="15"/>
        <v/>
      </c>
      <c r="AS47" s="124" t="str">
        <f>IF(AP47&lt;=$AN$21,-FV(Investments!$E$5/12,'Luxus '!AR47*12,'Luxus '!$AN$27,0,1),"")</f>
        <v/>
      </c>
      <c r="AT47" s="124" t="str">
        <f t="shared" si="16"/>
        <v/>
      </c>
      <c r="AU47" s="124" t="str">
        <f t="shared" si="17"/>
        <v/>
      </c>
      <c r="AV47" s="124" t="str">
        <f t="shared" si="18"/>
        <v/>
      </c>
      <c r="AW47" s="145" t="str">
        <f t="shared" si="19"/>
        <v/>
      </c>
    </row>
    <row r="48" spans="2:49">
      <c r="F48" t="str">
        <f t="shared" si="20"/>
        <v/>
      </c>
      <c r="G48" t="str">
        <f t="shared" si="21"/>
        <v/>
      </c>
      <c r="H48" t="str">
        <f t="shared" si="0"/>
        <v/>
      </c>
      <c r="I48" s="124" t="str">
        <f>IF(F48&lt;=$C$21,-FV(Investments!$E$5/12,'Luxus '!H48*12,'Luxus '!$C$27,0,1),"")</f>
        <v/>
      </c>
      <c r="J48" s="124" t="str">
        <f t="shared" si="1"/>
        <v/>
      </c>
      <c r="K48" s="124" t="str">
        <f t="shared" si="2"/>
        <v/>
      </c>
      <c r="L48" s="124" t="str">
        <f t="shared" si="3"/>
        <v/>
      </c>
      <c r="M48" s="145" t="str">
        <f t="shared" si="4"/>
        <v/>
      </c>
      <c r="R48" t="str">
        <f t="shared" si="22"/>
        <v/>
      </c>
      <c r="S48" t="str">
        <f t="shared" si="23"/>
        <v/>
      </c>
      <c r="T48" t="str">
        <f t="shared" si="5"/>
        <v/>
      </c>
      <c r="U48" s="124" t="str">
        <f>IF(R48&lt;=$P$21,-FV(Investments!$E$5/12,'Luxus '!T48*12,'Luxus '!$P$27,0,1),"")</f>
        <v/>
      </c>
      <c r="V48" s="124" t="str">
        <f t="shared" si="6"/>
        <v/>
      </c>
      <c r="W48" s="124" t="str">
        <f t="shared" si="7"/>
        <v/>
      </c>
      <c r="X48" s="124" t="str">
        <f t="shared" si="8"/>
        <v/>
      </c>
      <c r="Y48" s="145" t="str">
        <f t="shared" si="9"/>
        <v/>
      </c>
      <c r="AD48" t="str">
        <f t="shared" si="24"/>
        <v/>
      </c>
      <c r="AE48" t="str">
        <f t="shared" si="25"/>
        <v/>
      </c>
      <c r="AF48" t="str">
        <f t="shared" si="10"/>
        <v/>
      </c>
      <c r="AG48" s="124" t="str">
        <f>IF(AD48&lt;=$AB$21,-FV(Investments!$E$5/12,'Luxus '!AF48*12,'Luxus '!$AB$27,0,1),"")</f>
        <v/>
      </c>
      <c r="AH48" s="124" t="str">
        <f t="shared" si="11"/>
        <v/>
      </c>
      <c r="AI48" s="124" t="str">
        <f t="shared" si="12"/>
        <v/>
      </c>
      <c r="AJ48" s="124" t="str">
        <f t="shared" si="13"/>
        <v/>
      </c>
      <c r="AK48" s="145" t="str">
        <f t="shared" si="14"/>
        <v/>
      </c>
      <c r="AP48" t="str">
        <f t="shared" si="26"/>
        <v/>
      </c>
      <c r="AQ48" t="str">
        <f t="shared" si="27"/>
        <v/>
      </c>
      <c r="AR48" s="9" t="str">
        <f t="shared" si="15"/>
        <v/>
      </c>
      <c r="AS48" s="124" t="str">
        <f>IF(AP48&lt;=$AN$21,-FV(Investments!$E$5/12,'Luxus '!AR48*12,'Luxus '!$AN$27,0,1),"")</f>
        <v/>
      </c>
      <c r="AT48" s="124" t="str">
        <f t="shared" si="16"/>
        <v/>
      </c>
      <c r="AU48" s="124" t="str">
        <f t="shared" si="17"/>
        <v/>
      </c>
      <c r="AV48" s="124" t="str">
        <f t="shared" si="18"/>
        <v/>
      </c>
      <c r="AW48" s="145" t="str">
        <f t="shared" si="19"/>
        <v/>
      </c>
    </row>
    <row r="49" spans="6:49">
      <c r="F49" t="str">
        <f t="shared" si="20"/>
        <v/>
      </c>
      <c r="G49" t="str">
        <f t="shared" si="21"/>
        <v/>
      </c>
      <c r="H49" t="str">
        <f t="shared" si="0"/>
        <v/>
      </c>
      <c r="I49" s="124" t="str">
        <f>IF(F49&lt;=$C$21,-FV(Investments!$E$5/12,'Luxus '!H49*12,'Luxus '!$C$27,0,1),"")</f>
        <v/>
      </c>
      <c r="J49" s="124" t="str">
        <f t="shared" si="1"/>
        <v/>
      </c>
      <c r="K49" s="124" t="str">
        <f t="shared" si="2"/>
        <v/>
      </c>
      <c r="L49" s="124" t="str">
        <f t="shared" si="3"/>
        <v/>
      </c>
      <c r="M49" s="145" t="str">
        <f t="shared" si="4"/>
        <v/>
      </c>
      <c r="R49" t="str">
        <f t="shared" si="22"/>
        <v/>
      </c>
      <c r="S49" t="str">
        <f t="shared" si="23"/>
        <v/>
      </c>
      <c r="T49" t="str">
        <f t="shared" si="5"/>
        <v/>
      </c>
      <c r="U49" s="124" t="str">
        <f>IF(R49&lt;=$P$21,-FV(Investments!$E$5/12,'Luxus '!T49*12,'Luxus '!$P$27,0,1),"")</f>
        <v/>
      </c>
      <c r="V49" s="124" t="str">
        <f t="shared" si="6"/>
        <v/>
      </c>
      <c r="W49" s="124" t="str">
        <f t="shared" si="7"/>
        <v/>
      </c>
      <c r="X49" s="124" t="str">
        <f t="shared" si="8"/>
        <v/>
      </c>
      <c r="Y49" s="145" t="str">
        <f t="shared" si="9"/>
        <v/>
      </c>
      <c r="AD49" t="str">
        <f t="shared" si="24"/>
        <v/>
      </c>
      <c r="AE49" t="str">
        <f t="shared" si="25"/>
        <v/>
      </c>
      <c r="AF49" t="str">
        <f t="shared" si="10"/>
        <v/>
      </c>
      <c r="AG49" s="124" t="str">
        <f>IF(AD49&lt;=$AB$21,-FV(Investments!$E$5/12,'Luxus '!AF49*12,'Luxus '!$AB$27,0,1),"")</f>
        <v/>
      </c>
      <c r="AH49" s="124" t="str">
        <f t="shared" si="11"/>
        <v/>
      </c>
      <c r="AI49" s="124" t="str">
        <f t="shared" si="12"/>
        <v/>
      </c>
      <c r="AJ49" s="124" t="str">
        <f t="shared" si="13"/>
        <v/>
      </c>
      <c r="AK49" s="145" t="str">
        <f t="shared" si="14"/>
        <v/>
      </c>
      <c r="AP49" t="str">
        <f t="shared" si="26"/>
        <v/>
      </c>
      <c r="AQ49" t="str">
        <f t="shared" si="27"/>
        <v/>
      </c>
      <c r="AR49" s="9" t="str">
        <f t="shared" si="15"/>
        <v/>
      </c>
      <c r="AS49" s="124" t="str">
        <f>IF(AP49&lt;=$AN$21,-FV(Investments!$E$5/12,'Luxus '!AR49*12,'Luxus '!$AN$27,0,1),"")</f>
        <v/>
      </c>
      <c r="AT49" s="124" t="str">
        <f t="shared" si="16"/>
        <v/>
      </c>
      <c r="AU49" s="124" t="str">
        <f t="shared" si="17"/>
        <v/>
      </c>
      <c r="AV49" s="124" t="str">
        <f t="shared" si="18"/>
        <v/>
      </c>
      <c r="AW49" s="145" t="str">
        <f t="shared" si="19"/>
        <v/>
      </c>
    </row>
    <row r="50" spans="6:49">
      <c r="F50" t="str">
        <f t="shared" si="20"/>
        <v/>
      </c>
      <c r="G50" t="str">
        <f t="shared" si="21"/>
        <v/>
      </c>
      <c r="H50" t="str">
        <f t="shared" si="0"/>
        <v/>
      </c>
      <c r="I50" s="124" t="str">
        <f>IF(F50&lt;=$C$21,-FV(Investments!$E$5/12,'Luxus '!H50*12,'Luxus '!$C$27,0,1),"")</f>
        <v/>
      </c>
      <c r="J50" s="124" t="str">
        <f t="shared" si="1"/>
        <v/>
      </c>
      <c r="K50" s="124" t="str">
        <f t="shared" si="2"/>
        <v/>
      </c>
      <c r="L50" s="124" t="str">
        <f t="shared" si="3"/>
        <v/>
      </c>
      <c r="M50" s="145" t="str">
        <f t="shared" si="4"/>
        <v/>
      </c>
      <c r="R50" t="str">
        <f t="shared" si="22"/>
        <v/>
      </c>
      <c r="S50" t="str">
        <f t="shared" si="23"/>
        <v/>
      </c>
      <c r="T50" t="str">
        <f t="shared" si="5"/>
        <v/>
      </c>
      <c r="U50" s="124" t="str">
        <f>IF(R50&lt;=$P$21,-FV(Investments!$E$5/12,'Luxus '!T50*12,'Luxus '!$P$27,0,1),"")</f>
        <v/>
      </c>
      <c r="V50" s="124" t="str">
        <f t="shared" si="6"/>
        <v/>
      </c>
      <c r="W50" s="124" t="str">
        <f t="shared" si="7"/>
        <v/>
      </c>
      <c r="X50" s="124" t="str">
        <f t="shared" si="8"/>
        <v/>
      </c>
      <c r="Y50" s="145" t="str">
        <f t="shared" si="9"/>
        <v/>
      </c>
      <c r="AD50" t="str">
        <f t="shared" si="24"/>
        <v/>
      </c>
      <c r="AE50" t="str">
        <f t="shared" si="25"/>
        <v/>
      </c>
      <c r="AF50" t="str">
        <f t="shared" si="10"/>
        <v/>
      </c>
      <c r="AG50" s="124" t="str">
        <f>IF(AD50&lt;=$AB$21,-FV(Investments!$E$5/12,'Luxus '!AF50*12,'Luxus '!$AB$27,0,1),"")</f>
        <v/>
      </c>
      <c r="AH50" s="124" t="str">
        <f t="shared" si="11"/>
        <v/>
      </c>
      <c r="AI50" s="124" t="str">
        <f t="shared" si="12"/>
        <v/>
      </c>
      <c r="AJ50" s="124" t="str">
        <f t="shared" si="13"/>
        <v/>
      </c>
      <c r="AK50" s="145" t="str">
        <f t="shared" si="14"/>
        <v/>
      </c>
      <c r="AP50" t="str">
        <f t="shared" si="26"/>
        <v/>
      </c>
      <c r="AQ50" t="str">
        <f t="shared" si="27"/>
        <v/>
      </c>
      <c r="AR50" s="9" t="str">
        <f t="shared" si="15"/>
        <v/>
      </c>
      <c r="AS50" s="124" t="str">
        <f>IF(AP50&lt;=$AN$21,-FV(Investments!$E$5/12,'Luxus '!AR50*12,'Luxus '!$AN$27,0,1),"")</f>
        <v/>
      </c>
      <c r="AT50" s="124" t="str">
        <f t="shared" si="16"/>
        <v/>
      </c>
      <c r="AU50" s="124" t="str">
        <f t="shared" si="17"/>
        <v/>
      </c>
      <c r="AV50" s="124" t="str">
        <f t="shared" si="18"/>
        <v/>
      </c>
      <c r="AW50" s="145" t="str">
        <f t="shared" si="19"/>
        <v/>
      </c>
    </row>
    <row r="51" spans="6:49">
      <c r="F51" t="str">
        <f t="shared" si="20"/>
        <v/>
      </c>
      <c r="G51" t="str">
        <f t="shared" si="21"/>
        <v/>
      </c>
      <c r="H51" t="str">
        <f t="shared" si="0"/>
        <v/>
      </c>
      <c r="I51" s="124" t="str">
        <f>IF(F51&lt;=$C$21,-FV(Investments!$E$5/12,'Luxus '!H51*12,'Luxus '!$C$27,0,1),"")</f>
        <v/>
      </c>
      <c r="J51" s="124" t="str">
        <f t="shared" si="1"/>
        <v/>
      </c>
      <c r="K51" s="124" t="str">
        <f t="shared" si="2"/>
        <v/>
      </c>
      <c r="L51" s="124" t="str">
        <f t="shared" si="3"/>
        <v/>
      </c>
      <c r="M51" s="145" t="str">
        <f t="shared" si="4"/>
        <v/>
      </c>
      <c r="R51" t="str">
        <f t="shared" si="22"/>
        <v/>
      </c>
      <c r="S51" t="str">
        <f t="shared" si="23"/>
        <v/>
      </c>
      <c r="T51" t="str">
        <f t="shared" ref="T51:T67" si="28">IFERROR(R51-($R$18-1),"")</f>
        <v/>
      </c>
      <c r="U51" s="124" t="str">
        <f>IF(R51&lt;=$P$21,-FV(Investments!$E$5/12,'Luxus '!T51*12,'Luxus '!$P$27,0,1),"")</f>
        <v/>
      </c>
      <c r="V51" s="124" t="str">
        <f t="shared" si="6"/>
        <v/>
      </c>
      <c r="W51" s="124" t="str">
        <f t="shared" si="7"/>
        <v/>
      </c>
      <c r="X51" s="124" t="str">
        <f t="shared" si="8"/>
        <v/>
      </c>
      <c r="Y51" s="145" t="str">
        <f t="shared" si="9"/>
        <v/>
      </c>
      <c r="AD51" t="str">
        <f t="shared" si="24"/>
        <v/>
      </c>
      <c r="AE51" t="str">
        <f t="shared" si="25"/>
        <v/>
      </c>
      <c r="AF51" t="str">
        <f t="shared" si="10"/>
        <v/>
      </c>
      <c r="AG51" s="124" t="str">
        <f>IF(AD51&lt;=$AB$21,-FV(Investments!$E$5/12,'Luxus '!AF51*12,'Luxus '!$AB$27,0,1),"")</f>
        <v/>
      </c>
      <c r="AH51" s="124" t="str">
        <f t="shared" si="11"/>
        <v/>
      </c>
      <c r="AI51" s="124" t="str">
        <f t="shared" si="12"/>
        <v/>
      </c>
      <c r="AJ51" s="124" t="str">
        <f t="shared" si="13"/>
        <v/>
      </c>
      <c r="AK51" s="145" t="str">
        <f t="shared" si="14"/>
        <v/>
      </c>
      <c r="AP51" t="str">
        <f t="shared" si="26"/>
        <v/>
      </c>
      <c r="AQ51" t="str">
        <f t="shared" si="27"/>
        <v/>
      </c>
      <c r="AR51" s="9" t="str">
        <f t="shared" si="15"/>
        <v/>
      </c>
      <c r="AS51" s="124" t="str">
        <f>IF(AP51&lt;=$AN$21,-FV(Investments!$E$5/12,'Luxus '!AR51*12,'Luxus '!$AN$27,0,1),"")</f>
        <v/>
      </c>
      <c r="AT51" s="124" t="str">
        <f t="shared" si="16"/>
        <v/>
      </c>
      <c r="AU51" s="124" t="str">
        <f t="shared" si="17"/>
        <v/>
      </c>
      <c r="AV51" s="124" t="str">
        <f t="shared" si="18"/>
        <v/>
      </c>
      <c r="AW51" s="145" t="str">
        <f t="shared" si="19"/>
        <v/>
      </c>
    </row>
    <row r="52" spans="6:49">
      <c r="F52" t="str">
        <f t="shared" si="20"/>
        <v/>
      </c>
      <c r="G52" t="str">
        <f t="shared" si="21"/>
        <v/>
      </c>
      <c r="H52" t="str">
        <f t="shared" si="0"/>
        <v/>
      </c>
      <c r="I52" s="124" t="str">
        <f>IF(F52&lt;=$C$21,-FV(Investments!$E$5/12,'Luxus '!H52*12,'Luxus '!$C$27,0,1),"")</f>
        <v/>
      </c>
      <c r="J52" s="124" t="str">
        <f t="shared" si="1"/>
        <v/>
      </c>
      <c r="K52" s="124" t="str">
        <f t="shared" si="2"/>
        <v/>
      </c>
      <c r="L52" s="124" t="str">
        <f t="shared" si="3"/>
        <v/>
      </c>
      <c r="M52" s="145" t="str">
        <f t="shared" si="4"/>
        <v/>
      </c>
      <c r="R52" t="str">
        <f t="shared" si="22"/>
        <v/>
      </c>
      <c r="S52" t="str">
        <f t="shared" si="23"/>
        <v/>
      </c>
      <c r="T52" t="str">
        <f t="shared" si="28"/>
        <v/>
      </c>
      <c r="U52" s="124" t="str">
        <f>IF(R52&lt;=$P$21,-FV(Investments!$E$5/12,'Luxus '!T52*12,'Luxus '!$P$27,0,1),"")</f>
        <v/>
      </c>
      <c r="V52" s="124" t="str">
        <f t="shared" si="6"/>
        <v/>
      </c>
      <c r="W52" s="124" t="str">
        <f t="shared" si="7"/>
        <v/>
      </c>
      <c r="X52" s="124" t="str">
        <f t="shared" si="8"/>
        <v/>
      </c>
      <c r="Y52" s="145" t="str">
        <f t="shared" si="9"/>
        <v/>
      </c>
      <c r="AD52" t="str">
        <f t="shared" si="24"/>
        <v/>
      </c>
      <c r="AE52" t="str">
        <f t="shared" si="25"/>
        <v/>
      </c>
      <c r="AF52" t="str">
        <f t="shared" si="10"/>
        <v/>
      </c>
      <c r="AG52" s="124" t="str">
        <f>IF(AD52&lt;=$AB$21,-FV(Investments!$E$5/12,'Luxus '!AF52*12,'Luxus '!$AB$27,0,1),"")</f>
        <v/>
      </c>
      <c r="AH52" s="124" t="str">
        <f t="shared" si="11"/>
        <v/>
      </c>
      <c r="AI52" s="124" t="str">
        <f t="shared" si="12"/>
        <v/>
      </c>
      <c r="AJ52" s="124" t="str">
        <f t="shared" si="13"/>
        <v/>
      </c>
      <c r="AK52" s="145" t="str">
        <f t="shared" si="14"/>
        <v/>
      </c>
      <c r="AP52" t="str">
        <f t="shared" si="26"/>
        <v/>
      </c>
      <c r="AQ52" t="str">
        <f t="shared" si="27"/>
        <v/>
      </c>
      <c r="AR52" s="9" t="str">
        <f t="shared" si="15"/>
        <v/>
      </c>
      <c r="AS52" s="124" t="str">
        <f>IF(AP52&lt;=$AN$21,-FV(Investments!$E$5/12,'Luxus '!AR52*12,'Luxus '!$AN$27,0,1),"")</f>
        <v/>
      </c>
      <c r="AT52" s="124" t="str">
        <f t="shared" si="16"/>
        <v/>
      </c>
      <c r="AU52" s="124" t="str">
        <f t="shared" si="17"/>
        <v/>
      </c>
      <c r="AV52" s="124" t="str">
        <f t="shared" si="18"/>
        <v/>
      </c>
      <c r="AW52" s="145" t="str">
        <f t="shared" si="19"/>
        <v/>
      </c>
    </row>
    <row r="53" spans="6:49">
      <c r="F53" t="str">
        <f t="shared" si="20"/>
        <v/>
      </c>
      <c r="G53" t="str">
        <f t="shared" si="21"/>
        <v/>
      </c>
      <c r="H53" t="str">
        <f t="shared" si="0"/>
        <v/>
      </c>
      <c r="I53" s="124" t="str">
        <f>IF(F53&lt;=$C$21,-FV(Investments!$E$5/12,'Luxus '!H53*12,'Luxus '!$C$27,0,1),"")</f>
        <v/>
      </c>
      <c r="J53" s="124" t="str">
        <f t="shared" si="1"/>
        <v/>
      </c>
      <c r="K53" s="124" t="str">
        <f t="shared" si="2"/>
        <v/>
      </c>
      <c r="L53" s="124" t="str">
        <f t="shared" si="3"/>
        <v/>
      </c>
      <c r="M53" s="145" t="str">
        <f t="shared" si="4"/>
        <v/>
      </c>
      <c r="R53" t="str">
        <f t="shared" si="22"/>
        <v/>
      </c>
      <c r="S53" t="str">
        <f t="shared" si="23"/>
        <v/>
      </c>
      <c r="T53" t="str">
        <f t="shared" si="28"/>
        <v/>
      </c>
      <c r="U53" s="124" t="str">
        <f>IF(R53&lt;=$P$21,-FV(Investments!$E$5/12,'Luxus '!T53*12,'Luxus '!$P$27,0,1),"")</f>
        <v/>
      </c>
      <c r="V53" s="124" t="str">
        <f t="shared" si="6"/>
        <v/>
      </c>
      <c r="W53" s="124" t="str">
        <f t="shared" si="7"/>
        <v/>
      </c>
      <c r="X53" s="124" t="str">
        <f t="shared" si="8"/>
        <v/>
      </c>
      <c r="Y53" s="145" t="str">
        <f t="shared" si="9"/>
        <v/>
      </c>
      <c r="AD53" t="str">
        <f t="shared" si="24"/>
        <v/>
      </c>
      <c r="AE53" t="str">
        <f t="shared" si="25"/>
        <v/>
      </c>
      <c r="AF53" t="str">
        <f t="shared" si="10"/>
        <v/>
      </c>
      <c r="AG53" s="124" t="str">
        <f>IF(AD53&lt;=$AB$21,-FV(Investments!$E$5/12,'Luxus '!AF53*12,'Luxus '!$AB$27,0,1),"")</f>
        <v/>
      </c>
      <c r="AH53" s="124" t="str">
        <f t="shared" si="11"/>
        <v/>
      </c>
      <c r="AI53" s="124" t="str">
        <f t="shared" si="12"/>
        <v/>
      </c>
      <c r="AJ53" s="124" t="str">
        <f t="shared" si="13"/>
        <v/>
      </c>
      <c r="AK53" s="145" t="str">
        <f t="shared" si="14"/>
        <v/>
      </c>
      <c r="AP53" t="str">
        <f t="shared" si="26"/>
        <v/>
      </c>
      <c r="AQ53" t="str">
        <f t="shared" si="27"/>
        <v/>
      </c>
      <c r="AR53" s="9" t="str">
        <f t="shared" si="15"/>
        <v/>
      </c>
      <c r="AS53" s="124" t="str">
        <f>IF(AP53&lt;=$AN$21,-FV(Investments!$E$5/12,'Luxus '!AR53*12,'Luxus '!$AN$27,0,1),"")</f>
        <v/>
      </c>
      <c r="AT53" s="124" t="str">
        <f t="shared" si="16"/>
        <v/>
      </c>
      <c r="AU53" s="124" t="str">
        <f t="shared" si="17"/>
        <v/>
      </c>
      <c r="AV53" s="124" t="str">
        <f t="shared" si="18"/>
        <v/>
      </c>
      <c r="AW53" s="145" t="str">
        <f t="shared" si="19"/>
        <v/>
      </c>
    </row>
    <row r="54" spans="6:49">
      <c r="F54" t="str">
        <f t="shared" si="20"/>
        <v/>
      </c>
      <c r="G54" t="str">
        <f t="shared" si="21"/>
        <v/>
      </c>
      <c r="H54" t="str">
        <f t="shared" si="0"/>
        <v/>
      </c>
      <c r="I54" s="124" t="str">
        <f>IF(F54&lt;=$C$21,-FV(Investments!$E$5/12,'Luxus '!H54*12,'Luxus '!$C$27,0,1),"")</f>
        <v/>
      </c>
      <c r="J54" s="124" t="str">
        <f t="shared" si="1"/>
        <v/>
      </c>
      <c r="K54" s="124" t="str">
        <f t="shared" si="2"/>
        <v/>
      </c>
      <c r="L54" s="124" t="str">
        <f t="shared" si="3"/>
        <v/>
      </c>
      <c r="M54" s="145" t="str">
        <f t="shared" si="4"/>
        <v/>
      </c>
      <c r="R54" t="str">
        <f t="shared" si="22"/>
        <v/>
      </c>
      <c r="S54" t="str">
        <f t="shared" si="23"/>
        <v/>
      </c>
      <c r="T54" t="str">
        <f t="shared" si="28"/>
        <v/>
      </c>
      <c r="U54" s="124" t="str">
        <f>IF(R54&lt;=$P$21,-FV(Investments!$E$5/12,'Luxus '!T54*12,'Luxus '!$P$27,0,1),"")</f>
        <v/>
      </c>
      <c r="V54" s="124" t="str">
        <f t="shared" si="6"/>
        <v/>
      </c>
      <c r="W54" s="124" t="str">
        <f t="shared" si="7"/>
        <v/>
      </c>
      <c r="X54" s="124" t="str">
        <f t="shared" si="8"/>
        <v/>
      </c>
      <c r="Y54" s="145" t="str">
        <f t="shared" si="9"/>
        <v/>
      </c>
      <c r="AD54" t="str">
        <f t="shared" si="24"/>
        <v/>
      </c>
      <c r="AE54" t="str">
        <f t="shared" si="25"/>
        <v/>
      </c>
      <c r="AF54" t="str">
        <f t="shared" si="10"/>
        <v/>
      </c>
      <c r="AG54" s="124" t="str">
        <f>IF(AD54&lt;=$AB$21,-FV(Investments!$E$5/12,'Luxus '!AF54*12,'Luxus '!$AB$27,0,1),"")</f>
        <v/>
      </c>
      <c r="AH54" s="124" t="str">
        <f t="shared" si="11"/>
        <v/>
      </c>
      <c r="AI54" s="124" t="str">
        <f t="shared" si="12"/>
        <v/>
      </c>
      <c r="AJ54" s="124" t="str">
        <f t="shared" si="13"/>
        <v/>
      </c>
      <c r="AK54" s="145" t="str">
        <f t="shared" si="14"/>
        <v/>
      </c>
      <c r="AP54" t="str">
        <f t="shared" si="26"/>
        <v/>
      </c>
      <c r="AQ54" t="str">
        <f t="shared" si="27"/>
        <v/>
      </c>
      <c r="AR54" s="9" t="str">
        <f t="shared" si="15"/>
        <v/>
      </c>
      <c r="AS54" s="124" t="str">
        <f>IF(AP54&lt;=$AN$21,-FV(Investments!$E$5/12,'Luxus '!AR54*12,'Luxus '!$AN$27,0,1),"")</f>
        <v/>
      </c>
      <c r="AT54" s="124" t="str">
        <f t="shared" si="16"/>
        <v/>
      </c>
      <c r="AU54" s="124" t="str">
        <f t="shared" si="17"/>
        <v/>
      </c>
      <c r="AV54" s="124" t="str">
        <f t="shared" si="18"/>
        <v/>
      </c>
      <c r="AW54" s="145" t="str">
        <f t="shared" si="19"/>
        <v/>
      </c>
    </row>
    <row r="55" spans="6:49">
      <c r="F55" t="str">
        <f t="shared" si="20"/>
        <v/>
      </c>
      <c r="G55" t="str">
        <f t="shared" si="21"/>
        <v/>
      </c>
      <c r="H55" t="str">
        <f t="shared" si="0"/>
        <v/>
      </c>
      <c r="I55" s="124" t="str">
        <f>IF(F55&lt;=$C$21,-FV(Investments!$E$5/12,'Luxus '!H55*12,'Luxus '!$C$27,0,1),"")</f>
        <v/>
      </c>
      <c r="J55" s="124" t="str">
        <f t="shared" si="1"/>
        <v/>
      </c>
      <c r="K55" s="124" t="str">
        <f t="shared" si="2"/>
        <v/>
      </c>
      <c r="L55" s="124" t="str">
        <f t="shared" si="3"/>
        <v/>
      </c>
      <c r="M55" s="145" t="str">
        <f t="shared" si="4"/>
        <v/>
      </c>
      <c r="R55" t="str">
        <f t="shared" si="22"/>
        <v/>
      </c>
      <c r="S55" t="str">
        <f t="shared" si="23"/>
        <v/>
      </c>
      <c r="T55" t="str">
        <f t="shared" si="28"/>
        <v/>
      </c>
      <c r="U55" s="124" t="str">
        <f>IF(R55&lt;=$P$21,-FV(Investments!$E$5/12,'Luxus '!T55*12,'Luxus '!$P$27,0,1),"")</f>
        <v/>
      </c>
      <c r="V55" s="124" t="str">
        <f t="shared" si="6"/>
        <v/>
      </c>
      <c r="W55" s="124" t="str">
        <f t="shared" si="7"/>
        <v/>
      </c>
      <c r="X55" s="124" t="str">
        <f t="shared" si="8"/>
        <v/>
      </c>
      <c r="Y55" s="145" t="str">
        <f t="shared" si="9"/>
        <v/>
      </c>
      <c r="AD55" t="str">
        <f t="shared" si="24"/>
        <v/>
      </c>
      <c r="AE55" t="str">
        <f t="shared" si="25"/>
        <v/>
      </c>
      <c r="AF55" t="str">
        <f t="shared" si="10"/>
        <v/>
      </c>
      <c r="AG55" s="124" t="str">
        <f>IF(AD55&lt;=$AB$21,-FV(Investments!$E$5/12,'Luxus '!AF55*12,'Luxus '!$AB$27,0,1),"")</f>
        <v/>
      </c>
      <c r="AH55" s="124" t="str">
        <f t="shared" si="11"/>
        <v/>
      </c>
      <c r="AI55" s="124" t="str">
        <f t="shared" si="12"/>
        <v/>
      </c>
      <c r="AJ55" s="124" t="str">
        <f t="shared" si="13"/>
        <v/>
      </c>
      <c r="AK55" s="145" t="str">
        <f t="shared" si="14"/>
        <v/>
      </c>
      <c r="AP55" t="str">
        <f t="shared" si="26"/>
        <v/>
      </c>
      <c r="AQ55" t="str">
        <f t="shared" si="27"/>
        <v/>
      </c>
      <c r="AR55" s="9" t="str">
        <f t="shared" si="15"/>
        <v/>
      </c>
      <c r="AS55" s="124" t="str">
        <f>IF(AP55&lt;=$AN$21,-FV(Investments!$E$5/12,'Luxus '!AR55*12,'Luxus '!$AN$27,0,1),"")</f>
        <v/>
      </c>
      <c r="AT55" s="124" t="str">
        <f t="shared" si="16"/>
        <v/>
      </c>
      <c r="AU55" s="124" t="str">
        <f t="shared" si="17"/>
        <v/>
      </c>
      <c r="AV55" s="124" t="str">
        <f t="shared" si="18"/>
        <v/>
      </c>
      <c r="AW55" s="145" t="str">
        <f t="shared" si="19"/>
        <v/>
      </c>
    </row>
    <row r="56" spans="6:49">
      <c r="F56" t="str">
        <f t="shared" si="20"/>
        <v/>
      </c>
      <c r="G56" t="str">
        <f t="shared" si="21"/>
        <v/>
      </c>
      <c r="H56" t="str">
        <f t="shared" si="0"/>
        <v/>
      </c>
      <c r="I56" s="124" t="str">
        <f>IF(F56&lt;=$C$21,-FV(Investments!$E$5/12,'Luxus '!H56*12,'Luxus '!$C$27,0,1),"")</f>
        <v/>
      </c>
      <c r="J56" s="124" t="str">
        <f t="shared" si="1"/>
        <v/>
      </c>
      <c r="K56" s="124" t="str">
        <f t="shared" si="2"/>
        <v/>
      </c>
      <c r="L56" s="124" t="str">
        <f t="shared" si="3"/>
        <v/>
      </c>
      <c r="M56" s="145" t="str">
        <f t="shared" si="4"/>
        <v/>
      </c>
      <c r="R56" t="str">
        <f t="shared" si="22"/>
        <v/>
      </c>
      <c r="S56" t="str">
        <f t="shared" si="23"/>
        <v/>
      </c>
      <c r="T56" t="str">
        <f t="shared" si="28"/>
        <v/>
      </c>
      <c r="U56" s="124" t="str">
        <f>IF(R56&lt;=$P$21,-FV(Investments!$E$5/12,'Luxus '!T56*12,'Luxus '!$P$27,0,1),"")</f>
        <v/>
      </c>
      <c r="V56" s="124" t="str">
        <f t="shared" si="6"/>
        <v/>
      </c>
      <c r="W56" s="124" t="str">
        <f t="shared" si="7"/>
        <v/>
      </c>
      <c r="X56" s="124" t="str">
        <f t="shared" si="8"/>
        <v/>
      </c>
      <c r="Y56" s="145" t="str">
        <f t="shared" si="9"/>
        <v/>
      </c>
      <c r="AD56" t="str">
        <f t="shared" si="24"/>
        <v/>
      </c>
      <c r="AE56" t="str">
        <f t="shared" si="25"/>
        <v/>
      </c>
      <c r="AF56" t="str">
        <f t="shared" si="10"/>
        <v/>
      </c>
      <c r="AG56" s="124" t="str">
        <f>IF(AD56&lt;=$AB$21,-FV(Investments!$E$5/12,'Luxus '!AF56*12,'Luxus '!$AB$27,0,1),"")</f>
        <v/>
      </c>
      <c r="AH56" s="124" t="str">
        <f t="shared" si="11"/>
        <v/>
      </c>
      <c r="AI56" s="124" t="str">
        <f t="shared" si="12"/>
        <v/>
      </c>
      <c r="AJ56" s="124" t="str">
        <f t="shared" si="13"/>
        <v/>
      </c>
      <c r="AK56" s="145" t="str">
        <f t="shared" si="14"/>
        <v/>
      </c>
      <c r="AP56" t="str">
        <f t="shared" si="26"/>
        <v/>
      </c>
      <c r="AQ56" t="str">
        <f t="shared" si="27"/>
        <v/>
      </c>
      <c r="AR56" s="9" t="str">
        <f t="shared" si="15"/>
        <v/>
      </c>
      <c r="AS56" s="124" t="str">
        <f>IF(AP56&lt;=$AN$21,-FV(Investments!$E$5/12,'Luxus '!AR56*12,'Luxus '!$AN$27,0,1),"")</f>
        <v/>
      </c>
      <c r="AT56" s="124" t="str">
        <f t="shared" si="16"/>
        <v/>
      </c>
      <c r="AU56" s="124" t="str">
        <f t="shared" si="17"/>
        <v/>
      </c>
      <c r="AV56" s="124" t="str">
        <f t="shared" si="18"/>
        <v/>
      </c>
      <c r="AW56" s="145" t="str">
        <f t="shared" si="19"/>
        <v/>
      </c>
    </row>
    <row r="57" spans="6:49">
      <c r="F57" t="str">
        <f t="shared" si="20"/>
        <v/>
      </c>
      <c r="G57" t="str">
        <f t="shared" si="21"/>
        <v/>
      </c>
      <c r="H57" t="str">
        <f t="shared" si="0"/>
        <v/>
      </c>
      <c r="I57" s="124" t="str">
        <f>IF(F57&lt;=$C$21,-FV(Investments!$E$5/12,'Luxus '!H57*12,'Luxus '!$C$27,0,1),"")</f>
        <v/>
      </c>
      <c r="J57" s="124" t="str">
        <f t="shared" si="1"/>
        <v/>
      </c>
      <c r="K57" s="124" t="str">
        <f t="shared" si="2"/>
        <v/>
      </c>
      <c r="L57" s="124" t="str">
        <f t="shared" si="3"/>
        <v/>
      </c>
      <c r="M57" s="145" t="str">
        <f t="shared" si="4"/>
        <v/>
      </c>
      <c r="R57" t="str">
        <f t="shared" si="22"/>
        <v/>
      </c>
      <c r="S57" t="str">
        <f t="shared" si="23"/>
        <v/>
      </c>
      <c r="T57" t="str">
        <f t="shared" si="28"/>
        <v/>
      </c>
      <c r="U57" s="124" t="str">
        <f>IF(R57&lt;=$P$21,-FV(Investments!$E$5/12,'Luxus '!T57*12,'Luxus '!$P$27,0,1),"")</f>
        <v/>
      </c>
      <c r="V57" s="124" t="str">
        <f t="shared" si="6"/>
        <v/>
      </c>
      <c r="W57" s="124" t="str">
        <f t="shared" si="7"/>
        <v/>
      </c>
      <c r="X57" s="124" t="str">
        <f t="shared" si="8"/>
        <v/>
      </c>
      <c r="Y57" s="145" t="str">
        <f t="shared" si="9"/>
        <v/>
      </c>
      <c r="AD57" t="str">
        <f t="shared" si="24"/>
        <v/>
      </c>
      <c r="AE57" t="str">
        <f t="shared" si="25"/>
        <v/>
      </c>
      <c r="AF57" t="str">
        <f t="shared" si="10"/>
        <v/>
      </c>
      <c r="AG57" s="124" t="str">
        <f>IF(AD57&lt;=$AB$21,-FV(Investments!$E$5/12,'Luxus '!AF57*12,'Luxus '!$AB$27,0,1),"")</f>
        <v/>
      </c>
      <c r="AH57" s="124" t="str">
        <f t="shared" si="11"/>
        <v/>
      </c>
      <c r="AI57" s="124" t="str">
        <f t="shared" si="12"/>
        <v/>
      </c>
      <c r="AJ57" s="124" t="str">
        <f t="shared" si="13"/>
        <v/>
      </c>
      <c r="AK57" s="145" t="str">
        <f t="shared" si="14"/>
        <v/>
      </c>
      <c r="AP57" t="str">
        <f t="shared" si="26"/>
        <v/>
      </c>
      <c r="AQ57" t="str">
        <f t="shared" si="27"/>
        <v/>
      </c>
      <c r="AR57" s="9" t="str">
        <f t="shared" si="15"/>
        <v/>
      </c>
      <c r="AS57" s="124" t="str">
        <f>IF(AP57&lt;=$AN$21,-FV(Investments!$E$5/12,'Luxus '!AR57*12,'Luxus '!$AN$27,0,1),"")</f>
        <v/>
      </c>
      <c r="AT57" s="124" t="str">
        <f t="shared" si="16"/>
        <v/>
      </c>
      <c r="AU57" s="124" t="str">
        <f t="shared" si="17"/>
        <v/>
      </c>
      <c r="AV57" s="124" t="str">
        <f t="shared" si="18"/>
        <v/>
      </c>
      <c r="AW57" s="145" t="str">
        <f t="shared" si="19"/>
        <v/>
      </c>
    </row>
    <row r="58" spans="6:49">
      <c r="F58" t="str">
        <f t="shared" si="20"/>
        <v/>
      </c>
      <c r="G58" t="str">
        <f t="shared" si="21"/>
        <v/>
      </c>
      <c r="H58" t="str">
        <f t="shared" si="0"/>
        <v/>
      </c>
      <c r="I58" s="124" t="str">
        <f>IF(F58&lt;=$C$21,-FV(Investments!$E$5/12,'Luxus '!H58*12,'Luxus '!$C$27,0,1),"")</f>
        <v/>
      </c>
      <c r="J58" s="124" t="str">
        <f t="shared" si="1"/>
        <v/>
      </c>
      <c r="K58" s="124" t="str">
        <f t="shared" si="2"/>
        <v/>
      </c>
      <c r="L58" s="124" t="str">
        <f t="shared" si="3"/>
        <v/>
      </c>
      <c r="M58" s="145" t="str">
        <f t="shared" si="4"/>
        <v/>
      </c>
      <c r="R58" t="str">
        <f t="shared" si="22"/>
        <v/>
      </c>
      <c r="S58" t="str">
        <f t="shared" si="23"/>
        <v/>
      </c>
      <c r="T58" t="str">
        <f t="shared" si="28"/>
        <v/>
      </c>
      <c r="U58" s="124" t="str">
        <f>IF(R58&lt;=$P$21,-FV(Investments!$E$5/12,'Luxus '!T58*12,'Luxus '!$P$27,0,1),"")</f>
        <v/>
      </c>
      <c r="V58" s="124" t="str">
        <f t="shared" si="6"/>
        <v/>
      </c>
      <c r="W58" s="124" t="str">
        <f t="shared" si="7"/>
        <v/>
      </c>
      <c r="X58" s="124" t="str">
        <f t="shared" si="8"/>
        <v/>
      </c>
      <c r="Y58" s="145" t="str">
        <f t="shared" si="9"/>
        <v/>
      </c>
      <c r="AD58" t="str">
        <f t="shared" si="24"/>
        <v/>
      </c>
      <c r="AE58" t="str">
        <f t="shared" si="25"/>
        <v/>
      </c>
      <c r="AF58" t="str">
        <f t="shared" si="10"/>
        <v/>
      </c>
      <c r="AG58" s="124" t="str">
        <f>IF(AD58&lt;=$AB$21,-FV(Investments!$E$5/12,'Luxus '!AF58*12,'Luxus '!$AB$27,0,1),"")</f>
        <v/>
      </c>
      <c r="AH58" s="124" t="str">
        <f t="shared" si="11"/>
        <v/>
      </c>
      <c r="AI58" s="124" t="str">
        <f t="shared" si="12"/>
        <v/>
      </c>
      <c r="AJ58" s="124" t="str">
        <f t="shared" si="13"/>
        <v/>
      </c>
      <c r="AK58" s="145" t="str">
        <f t="shared" si="14"/>
        <v/>
      </c>
      <c r="AP58" t="str">
        <f t="shared" si="26"/>
        <v/>
      </c>
      <c r="AQ58" t="str">
        <f t="shared" si="27"/>
        <v/>
      </c>
      <c r="AR58" s="9" t="str">
        <f t="shared" si="15"/>
        <v/>
      </c>
      <c r="AS58" s="124" t="str">
        <f>IF(AP58&lt;=$AN$21,-FV(Investments!$E$5/12,'Luxus '!AR58*12,'Luxus '!$AN$27,0,1),"")</f>
        <v/>
      </c>
      <c r="AT58" s="124" t="str">
        <f t="shared" si="16"/>
        <v/>
      </c>
      <c r="AU58" s="124" t="str">
        <f t="shared" si="17"/>
        <v/>
      </c>
      <c r="AV58" s="124" t="str">
        <f t="shared" si="18"/>
        <v/>
      </c>
      <c r="AW58" s="145" t="str">
        <f t="shared" si="19"/>
        <v/>
      </c>
    </row>
    <row r="59" spans="6:49">
      <c r="F59" t="str">
        <f t="shared" si="20"/>
        <v/>
      </c>
      <c r="G59" t="str">
        <f t="shared" si="21"/>
        <v/>
      </c>
      <c r="H59" t="str">
        <f t="shared" si="0"/>
        <v/>
      </c>
      <c r="I59" s="124" t="str">
        <f>IF(F59&lt;=$C$21,-FV(Investments!$E$5/12,'Luxus '!H59*12,'Luxus '!$C$27,0,1),"")</f>
        <v/>
      </c>
      <c r="J59" s="124" t="str">
        <f t="shared" si="1"/>
        <v/>
      </c>
      <c r="K59" s="124" t="str">
        <f t="shared" si="2"/>
        <v/>
      </c>
      <c r="L59" s="124" t="str">
        <f t="shared" si="3"/>
        <v/>
      </c>
      <c r="M59" s="145" t="str">
        <f t="shared" si="4"/>
        <v/>
      </c>
      <c r="R59" t="str">
        <f t="shared" si="22"/>
        <v/>
      </c>
      <c r="S59" t="str">
        <f t="shared" si="23"/>
        <v/>
      </c>
      <c r="T59" t="str">
        <f t="shared" si="28"/>
        <v/>
      </c>
      <c r="U59" s="124" t="str">
        <f>IF(R59&lt;=$P$21,-FV(Investments!$E$5/12,'Luxus '!T59*12,'Luxus '!$P$27,0,1),"")</f>
        <v/>
      </c>
      <c r="V59" s="124" t="str">
        <f t="shared" si="6"/>
        <v/>
      </c>
      <c r="W59" s="124" t="str">
        <f t="shared" si="7"/>
        <v/>
      </c>
      <c r="X59" s="124" t="str">
        <f t="shared" si="8"/>
        <v/>
      </c>
      <c r="Y59" s="145" t="str">
        <f t="shared" si="9"/>
        <v/>
      </c>
      <c r="AD59" t="str">
        <f t="shared" si="24"/>
        <v/>
      </c>
      <c r="AE59" t="str">
        <f t="shared" si="25"/>
        <v/>
      </c>
      <c r="AF59" t="str">
        <f t="shared" si="10"/>
        <v/>
      </c>
      <c r="AG59" s="124" t="str">
        <f>IF(AD59&lt;=$AB$21,-FV(Investments!$E$5/12,'Luxus '!AF59*12,'Luxus '!$AB$27,0,1),"")</f>
        <v/>
      </c>
      <c r="AH59" s="124" t="str">
        <f t="shared" si="11"/>
        <v/>
      </c>
      <c r="AI59" s="124" t="str">
        <f t="shared" si="12"/>
        <v/>
      </c>
      <c r="AJ59" s="124" t="str">
        <f t="shared" si="13"/>
        <v/>
      </c>
      <c r="AK59" s="145" t="str">
        <f t="shared" si="14"/>
        <v/>
      </c>
      <c r="AP59" t="str">
        <f t="shared" si="26"/>
        <v/>
      </c>
      <c r="AQ59" t="str">
        <f t="shared" si="27"/>
        <v/>
      </c>
      <c r="AR59" s="9" t="str">
        <f t="shared" si="15"/>
        <v/>
      </c>
      <c r="AS59" s="124" t="str">
        <f>IF(AP59&lt;=$AN$21,-FV(Investments!$E$5/12,'Luxus '!AR59*12,'Luxus '!$AN$27,0,1),"")</f>
        <v/>
      </c>
      <c r="AT59" s="124" t="str">
        <f t="shared" si="16"/>
        <v/>
      </c>
      <c r="AU59" s="124" t="str">
        <f t="shared" si="17"/>
        <v/>
      </c>
      <c r="AV59" s="124" t="str">
        <f t="shared" si="18"/>
        <v/>
      </c>
      <c r="AW59" s="145" t="str">
        <f t="shared" si="19"/>
        <v/>
      </c>
    </row>
    <row r="60" spans="6:49">
      <c r="F60" t="str">
        <f t="shared" si="20"/>
        <v/>
      </c>
      <c r="G60" t="str">
        <f t="shared" si="21"/>
        <v/>
      </c>
      <c r="H60" t="str">
        <f t="shared" si="0"/>
        <v/>
      </c>
      <c r="I60" s="124" t="str">
        <f>IF(F60&lt;=$C$21,-FV(Investments!$E$5/12,'Luxus '!H60*12,'Luxus '!$C$27,0,1),"")</f>
        <v/>
      </c>
      <c r="J60" s="124" t="str">
        <f t="shared" si="1"/>
        <v/>
      </c>
      <c r="K60" s="124" t="str">
        <f t="shared" si="2"/>
        <v/>
      </c>
      <c r="L60" s="124" t="str">
        <f t="shared" si="3"/>
        <v/>
      </c>
      <c r="M60" s="145" t="str">
        <f t="shared" si="4"/>
        <v/>
      </c>
      <c r="R60" t="str">
        <f t="shared" si="22"/>
        <v/>
      </c>
      <c r="S60" t="str">
        <f t="shared" ref="S60:S67" si="29">IFERROR(IF(R60&lt;=$P$21,S59+1,""),"")</f>
        <v/>
      </c>
      <c r="T60" t="str">
        <f t="shared" si="28"/>
        <v/>
      </c>
      <c r="U60" s="124" t="str">
        <f>IF(R60&lt;=$P$21,-FV(Investments!$E$5/12,'Luxus '!T60*12,'Luxus '!$P$27,0,1),"")</f>
        <v/>
      </c>
      <c r="V60" s="124" t="str">
        <f t="shared" si="6"/>
        <v/>
      </c>
      <c r="W60" s="124" t="str">
        <f t="shared" si="7"/>
        <v/>
      </c>
      <c r="X60" s="124" t="str">
        <f t="shared" si="8"/>
        <v/>
      </c>
      <c r="Y60" s="145" t="str">
        <f t="shared" si="9"/>
        <v/>
      </c>
      <c r="AD60" t="str">
        <f t="shared" si="24"/>
        <v/>
      </c>
      <c r="AE60" t="str">
        <f t="shared" si="25"/>
        <v/>
      </c>
      <c r="AF60" t="str">
        <f t="shared" si="10"/>
        <v/>
      </c>
      <c r="AG60" s="124" t="str">
        <f>IF(AD60&lt;=$AB$21,-FV(Investments!$E$5/12,'Luxus '!AF60*12,'Luxus '!$AB$27,0,1),"")</f>
        <v/>
      </c>
      <c r="AH60" s="124" t="str">
        <f t="shared" si="11"/>
        <v/>
      </c>
      <c r="AI60" s="124" t="str">
        <f t="shared" si="12"/>
        <v/>
      </c>
      <c r="AJ60" s="124" t="str">
        <f t="shared" si="13"/>
        <v/>
      </c>
      <c r="AK60" s="145" t="str">
        <f t="shared" si="14"/>
        <v/>
      </c>
      <c r="AP60" s="164" t="str">
        <f t="shared" si="26"/>
        <v/>
      </c>
      <c r="AQ60" t="str">
        <f t="shared" si="27"/>
        <v/>
      </c>
      <c r="AR60" s="9" t="str">
        <f t="shared" ref="AR60" si="30">IFERROR(AP60-$AP$18,"")</f>
        <v/>
      </c>
      <c r="AS60" s="124" t="str">
        <f>IF(AP60&lt;=$AN$21,-FV(Investments!$E$5/12,'Luxus '!AR60*12,'Luxus '!$AN$27,0,1),"")</f>
        <v/>
      </c>
      <c r="AT60" s="124" t="str">
        <f t="shared" si="16"/>
        <v/>
      </c>
      <c r="AU60" s="124" t="str">
        <f t="shared" si="17"/>
        <v/>
      </c>
      <c r="AV60" s="124" t="str">
        <f t="shared" si="18"/>
        <v/>
      </c>
      <c r="AW60" s="145" t="str">
        <f t="shared" si="19"/>
        <v/>
      </c>
    </row>
    <row r="61" spans="6:49">
      <c r="R61" t="str">
        <f t="shared" ref="R61:R67" si="31">IFERROR(IF(R60+1&lt;=$P$21,R60+1,""),"")</f>
        <v/>
      </c>
      <c r="S61" t="str">
        <f t="shared" si="29"/>
        <v/>
      </c>
      <c r="T61" t="str">
        <f t="shared" si="28"/>
        <v/>
      </c>
      <c r="U61" s="124" t="str">
        <f>IF(R61&lt;=$P$21,-FV(Investments!$E$5/12,'Luxus '!T61*12,'Luxus '!$P$27,0,1),"")</f>
        <v/>
      </c>
      <c r="V61" s="124" t="str">
        <f t="shared" ref="V61:V67" si="32">IF(R61&lt;=$P$21,-FV($P$31/12,T61*12,$P$27,0,1),"")</f>
        <v/>
      </c>
      <c r="W61" s="124" t="str">
        <f t="shared" ref="W61:W67" si="33">IF(R61&lt;=$P$21,-FV($P$25/12,T61*12,$P$27,0,1),"")</f>
        <v/>
      </c>
      <c r="X61" s="124" t="str">
        <f t="shared" ref="X61:X67" si="34">IF(R61&lt;=$P$21,-FV($P$34/12,T61*12,$P$27,0,1),"")</f>
        <v/>
      </c>
      <c r="Y61" s="145" t="str">
        <f t="shared" ref="Y61:Y67" si="35">IF(R61&lt;=$P$21,$P$29,"")</f>
        <v/>
      </c>
    </row>
    <row r="62" spans="6:49">
      <c r="R62" t="str">
        <f t="shared" si="31"/>
        <v/>
      </c>
      <c r="S62" t="str">
        <f t="shared" si="29"/>
        <v/>
      </c>
      <c r="T62" t="str">
        <f t="shared" si="28"/>
        <v/>
      </c>
      <c r="U62" s="124" t="str">
        <f>IF(R62&lt;=$P$21,-FV(Investments!$E$5/12,'Luxus '!T62*12,'Luxus '!$P$27,0,1),"")</f>
        <v/>
      </c>
      <c r="V62" s="124" t="str">
        <f t="shared" si="32"/>
        <v/>
      </c>
      <c r="W62" s="124" t="str">
        <f t="shared" si="33"/>
        <v/>
      </c>
      <c r="X62" s="124" t="str">
        <f t="shared" si="34"/>
        <v/>
      </c>
      <c r="Y62" s="145" t="str">
        <f t="shared" si="35"/>
        <v/>
      </c>
    </row>
    <row r="63" spans="6:49">
      <c r="R63" t="str">
        <f t="shared" si="31"/>
        <v/>
      </c>
      <c r="S63" t="str">
        <f t="shared" si="29"/>
        <v/>
      </c>
      <c r="T63" t="str">
        <f t="shared" si="28"/>
        <v/>
      </c>
      <c r="U63" s="124" t="str">
        <f>IF(R63&lt;=$P$21,-FV(Investments!$E$5/12,'Luxus '!T63*12,'Luxus '!$P$27,0,1),"")</f>
        <v/>
      </c>
      <c r="V63" s="124" t="str">
        <f t="shared" si="32"/>
        <v/>
      </c>
      <c r="W63" s="124" t="str">
        <f t="shared" si="33"/>
        <v/>
      </c>
      <c r="X63" s="124" t="str">
        <f t="shared" si="34"/>
        <v/>
      </c>
      <c r="Y63" s="145" t="str">
        <f t="shared" si="35"/>
        <v/>
      </c>
    </row>
    <row r="64" spans="6:49">
      <c r="R64" t="str">
        <f t="shared" si="31"/>
        <v/>
      </c>
      <c r="S64" t="str">
        <f t="shared" si="29"/>
        <v/>
      </c>
      <c r="T64" t="str">
        <f t="shared" si="28"/>
        <v/>
      </c>
      <c r="U64" s="124" t="str">
        <f>IF(R64&lt;=$P$21,-FV(Investments!$E$5/12,'Luxus '!T64*12,'Luxus '!$P$27,0,1),"")</f>
        <v/>
      </c>
      <c r="V64" s="124" t="str">
        <f t="shared" si="32"/>
        <v/>
      </c>
      <c r="W64" s="124" t="str">
        <f t="shared" si="33"/>
        <v/>
      </c>
      <c r="X64" s="124" t="str">
        <f t="shared" si="34"/>
        <v/>
      </c>
      <c r="Y64" s="145" t="str">
        <f t="shared" si="35"/>
        <v/>
      </c>
    </row>
    <row r="65" spans="6:49">
      <c r="R65" t="str">
        <f t="shared" si="31"/>
        <v/>
      </c>
      <c r="S65" t="str">
        <f t="shared" si="29"/>
        <v/>
      </c>
      <c r="T65" t="str">
        <f t="shared" si="28"/>
        <v/>
      </c>
      <c r="U65" s="124" t="str">
        <f>IF(R65&lt;=$P$21,-FV(Investments!$E$5/12,'Luxus '!T65*12,'Luxus '!$P$27,0,1),"")</f>
        <v/>
      </c>
      <c r="V65" s="124" t="str">
        <f t="shared" si="32"/>
        <v/>
      </c>
      <c r="W65" s="124" t="str">
        <f t="shared" si="33"/>
        <v/>
      </c>
      <c r="X65" s="124" t="str">
        <f t="shared" si="34"/>
        <v/>
      </c>
      <c r="Y65" s="145" t="str">
        <f t="shared" si="35"/>
        <v/>
      </c>
    </row>
    <row r="66" spans="6:49">
      <c r="R66" t="str">
        <f t="shared" si="31"/>
        <v/>
      </c>
      <c r="S66" t="str">
        <f t="shared" si="29"/>
        <v/>
      </c>
      <c r="T66" t="str">
        <f t="shared" si="28"/>
        <v/>
      </c>
      <c r="U66" s="124" t="str">
        <f>IF(R66&lt;=$P$21,-FV(Investments!$E$5/12,'Luxus '!T66*12,'Luxus '!$P$27,0,1),"")</f>
        <v/>
      </c>
      <c r="V66" s="124" t="str">
        <f t="shared" si="32"/>
        <v/>
      </c>
      <c r="W66" s="124" t="str">
        <f t="shared" si="33"/>
        <v/>
      </c>
      <c r="X66" s="124" t="str">
        <f t="shared" si="34"/>
        <v/>
      </c>
      <c r="Y66" s="145" t="str">
        <f t="shared" si="35"/>
        <v/>
      </c>
    </row>
    <row r="67" spans="6:49">
      <c r="R67" t="str">
        <f t="shared" si="31"/>
        <v/>
      </c>
      <c r="S67" t="str">
        <f t="shared" si="29"/>
        <v/>
      </c>
      <c r="T67" t="str">
        <f t="shared" si="28"/>
        <v/>
      </c>
      <c r="U67" s="124" t="str">
        <f>IF(R67&lt;=$P$21,-FV(Investments!$E$5/12,'Luxus '!T67*12,'Luxus '!$P$27,0,1),"")</f>
        <v/>
      </c>
      <c r="V67" s="124" t="str">
        <f t="shared" si="32"/>
        <v/>
      </c>
      <c r="W67" s="124" t="str">
        <f t="shared" si="33"/>
        <v/>
      </c>
      <c r="X67" s="124" t="str">
        <f t="shared" si="34"/>
        <v/>
      </c>
      <c r="Y67" s="145" t="str">
        <f t="shared" si="35"/>
        <v/>
      </c>
    </row>
    <row r="70" spans="6:49">
      <c r="F70" s="23" t="s">
        <v>13</v>
      </c>
      <c r="G70" s="23" t="s">
        <v>16</v>
      </c>
      <c r="H70" s="23" t="s">
        <v>4784</v>
      </c>
      <c r="I70" s="82" t="s">
        <v>4885</v>
      </c>
      <c r="J70" s="82" t="s">
        <v>4886</v>
      </c>
      <c r="K70" s="82" t="s">
        <v>88</v>
      </c>
      <c r="L70" s="82" t="s">
        <v>4887</v>
      </c>
      <c r="M70" s="23" t="s">
        <v>4884</v>
      </c>
      <c r="R70" s="23" t="s">
        <v>13</v>
      </c>
      <c r="S70" s="23" t="s">
        <v>16</v>
      </c>
      <c r="T70" s="23" t="s">
        <v>4784</v>
      </c>
      <c r="U70" s="82" t="s">
        <v>4885</v>
      </c>
      <c r="V70" s="82" t="s">
        <v>4886</v>
      </c>
      <c r="W70" s="82" t="s">
        <v>88</v>
      </c>
      <c r="X70" s="82" t="s">
        <v>4887</v>
      </c>
      <c r="Y70" s="23" t="s">
        <v>4884</v>
      </c>
      <c r="AD70" s="23" t="s">
        <v>13</v>
      </c>
      <c r="AE70" s="23" t="s">
        <v>16</v>
      </c>
      <c r="AF70" s="23" t="s">
        <v>4784</v>
      </c>
      <c r="AG70" s="82" t="s">
        <v>4885</v>
      </c>
      <c r="AH70" s="82" t="s">
        <v>4886</v>
      </c>
      <c r="AI70" s="82" t="s">
        <v>88</v>
      </c>
      <c r="AJ70" s="82" t="s">
        <v>4887</v>
      </c>
      <c r="AK70" s="23" t="s">
        <v>4884</v>
      </c>
      <c r="AP70" s="23" t="s">
        <v>13</v>
      </c>
      <c r="AQ70" s="23" t="s">
        <v>16</v>
      </c>
      <c r="AR70" s="23" t="s">
        <v>4784</v>
      </c>
      <c r="AS70" s="82" t="s">
        <v>4885</v>
      </c>
      <c r="AT70" s="82" t="s">
        <v>4886</v>
      </c>
      <c r="AU70" s="82" t="s">
        <v>88</v>
      </c>
      <c r="AV70" s="82" t="s">
        <v>4887</v>
      </c>
      <c r="AW70" s="23" t="s">
        <v>4884</v>
      </c>
    </row>
    <row r="71" spans="6:49">
      <c r="F71">
        <f>IFERROR(IF(C22&lt;=C21,C22,""),"")</f>
        <v>28</v>
      </c>
      <c r="G71" s="169">
        <f ca="1">YEAR(TODAY())</f>
        <v>2024</v>
      </c>
      <c r="H71">
        <f>IFERROR(0,"")</f>
        <v>0</v>
      </c>
      <c r="I71" s="171">
        <f ca="1">IF(Tabella428183[[#This Row],[Investment years]]&lt;$C$24,SUMIF('CF Timeline'!$C$5:$BC$5,Tabella428183[[#This Row],[Year]],'CF Timeline'!$C$57:$BC$57),0)</f>
        <v>4129.9829252790141</v>
      </c>
      <c r="J71" s="171">
        <f ca="1">Tabella428183[[#This Row],[Yearly investment]]</f>
        <v>4129.9829252790141</v>
      </c>
      <c r="K71" s="171">
        <f ca="1">Tabella428183[[#This Row],[Tot invested]]*$C$25</f>
        <v>247.79897551674082</v>
      </c>
      <c r="L71" s="171">
        <f ca="1">Tabella428183[[#This Row],[Tot invested]]+Tabella428183[[#This Row],[Interests]]</f>
        <v>4377.7819007957551</v>
      </c>
      <c r="M71" s="171"/>
      <c r="N71" s="163"/>
      <c r="O71" s="163"/>
      <c r="P71" s="163"/>
      <c r="R71">
        <f>IFERROR(IF(P22&lt;=P21,P22,""),"")</f>
        <v>28</v>
      </c>
      <c r="S71" s="169">
        <f ca="1">YEAR(TODAY())</f>
        <v>2024</v>
      </c>
      <c r="T71">
        <f>IFERROR(0,"")</f>
        <v>0</v>
      </c>
      <c r="U71" s="171">
        <f ca="1">IF(Tabella42818384[[#This Row],[Investment years]]&lt;$P$24,SUMIF('CF Timeline'!$C$5:$BC$5,Tabella42818384[[#This Row],[Year]],'CF Timeline'!$C$58:$BC$58),0)</f>
        <v>1682.0396118581559</v>
      </c>
      <c r="V71" s="171">
        <f ca="1">Tabella42818384[[#This Row],[Yearly investment]]</f>
        <v>1682.0396118581559</v>
      </c>
      <c r="W71" s="171">
        <f ca="1">Tabella42818384[[#This Row],[Tot invested]]*$P$25</f>
        <v>100.92237671148935</v>
      </c>
      <c r="X71" s="171">
        <f ca="1">Tabella42818384[[#This Row],[Tot invested]]+Tabella42818384[[#This Row],[Interests]]</f>
        <v>1782.9619885696452</v>
      </c>
      <c r="Y71" s="171"/>
      <c r="AD71">
        <f>IFERROR(IF(AB22&lt;=AB21,AB22,""),"")</f>
        <v>28</v>
      </c>
      <c r="AE71" s="169">
        <f ca="1">YEAR(TODAY())</f>
        <v>2024</v>
      </c>
      <c r="AF71">
        <f>IFERROR(0,"")</f>
        <v>0</v>
      </c>
      <c r="AG71" s="171">
        <f ca="1">IF(Tabella4281838485[[#This Row],[Investment years]]&lt;$AB$24,SUMIF('CF Timeline'!$C$5:$BC$5,Tabella4281838485[[#This Row],[Year]],'CF Timeline'!$C$59:$BC$59),0)</f>
        <v>1001.0053557306802</v>
      </c>
      <c r="AH71" s="171">
        <f ca="1">Tabella4281838485[[#This Row],[Yearly investment]]</f>
        <v>1001.0053557306802</v>
      </c>
      <c r="AI71" s="171">
        <f ca="1">Tabella4281838485[[#This Row],[Tot invested]]*$AB$25</f>
        <v>20.020107114613605</v>
      </c>
      <c r="AJ71" s="171">
        <f ca="1">Tabella4281838485[[#This Row],[Tot invested]]+Tabella4281838485[[#This Row],[Interests]]</f>
        <v>1021.0254628452938</v>
      </c>
      <c r="AK71" s="171"/>
      <c r="AP71">
        <f>IFERROR(IF(AN22&lt;=AN21,AN22,""),"")</f>
        <v>28</v>
      </c>
      <c r="AQ71" s="169">
        <f ca="1">YEAR(TODAY())</f>
        <v>2024</v>
      </c>
      <c r="AR71">
        <f>IFERROR(0,"")</f>
        <v>0</v>
      </c>
      <c r="AS71" s="171">
        <f ca="1">IF(Tabella428183848586[[#This Row],[Investment years]]&lt;$AN$24,SUMIF('CF Timeline'!$C$5:$BC$5,Tabella428183848586[[#This Row],[Year]],'CF Timeline'!$C$60:$BC$60),0)</f>
        <v>599.15939560876825</v>
      </c>
      <c r="AT71" s="171">
        <f ca="1">Tabella428183848586[[#This Row],[Yearly investment]]</f>
        <v>599.15939560876825</v>
      </c>
      <c r="AU71" s="171">
        <f ca="1">Tabella428183848586[[#This Row],[Tot invested]]*$AN$25</f>
        <v>11.983187912175365</v>
      </c>
      <c r="AV71" s="171">
        <f ca="1">Tabella428183848586[[#This Row],[Tot invested]]+Tabella428183848586[[#This Row],[Interests]]</f>
        <v>611.14258352094362</v>
      </c>
      <c r="AW71" s="171"/>
    </row>
    <row r="72" spans="6:49">
      <c r="F72">
        <f>IFERROR(IF(F71+1&lt;=$C$21,F71+1,""),"")</f>
        <v>29</v>
      </c>
      <c r="G72" s="170">
        <f ca="1">IFERROR(IF(F72&lt;=$C$21,G71+1,""),"")</f>
        <v>2025</v>
      </c>
      <c r="H72">
        <f>IFERROR(F72-$F$71,"")</f>
        <v>1</v>
      </c>
      <c r="I72" s="171" t="e">
        <f ca="1">IF(Tabella428183[[#This Row],[Investment years]]&lt;$C$24,SUMIF('CF Timeline'!$C$5:$BC$5,Tabella428183[[#This Row],[Year]],'CF Timeline'!$C$57:$BC$57),0)</f>
        <v>#REF!</v>
      </c>
      <c r="J72" s="171" t="e">
        <f ca="1">IF(Tabella428183[[#This Row],[Investment years]]&lt;$C$24,Tabella428183[[#This Row],[Yearly investment]]+L71,0)</f>
        <v>#REF!</v>
      </c>
      <c r="K72" s="171" t="e">
        <f ca="1">Tabella428183[[#This Row],[Tot invested]]*$C$25</f>
        <v>#REF!</v>
      </c>
      <c r="L72" s="171" t="e">
        <f ca="1">Tabella428183[[#This Row],[Tot invested]]+Tabella428183[[#This Row],[Interests]]</f>
        <v>#REF!</v>
      </c>
      <c r="M72" s="171"/>
      <c r="N72" s="145"/>
      <c r="O72" s="145"/>
      <c r="P72" s="145"/>
      <c r="R72">
        <f>IFERROR(IF(R71+1&lt;=$P$21,R71+1,""),"")</f>
        <v>29</v>
      </c>
      <c r="S72" s="170">
        <f ca="1">IFERROR(IF(R72&lt;=$P$21,S71+1,""),"")</f>
        <v>2025</v>
      </c>
      <c r="T72">
        <f>IFERROR(R72-$F$71,"")</f>
        <v>1</v>
      </c>
      <c r="U72" s="171" t="e">
        <f ca="1">IF(Tabella42818384[[#This Row],[Investment years]]&lt;$P$24,SUMIF('CF Timeline'!$C$5:$BC$5,Tabella42818384[[#This Row],[Year]],'CF Timeline'!$C$58:$BC$58),0)</f>
        <v>#REF!</v>
      </c>
      <c r="V72" s="171" t="e">
        <f ca="1">IF(Tabella42818384[[#This Row],[Investment years]]&lt;$P$24,Tabella42818384[[#This Row],[Yearly investment]]+X71,0)</f>
        <v>#REF!</v>
      </c>
      <c r="W72" s="171" t="e">
        <f ca="1">Tabella42818384[[#This Row],[Tot invested]]*$P$25</f>
        <v>#REF!</v>
      </c>
      <c r="X72" s="171" t="e">
        <f ca="1">Tabella42818384[[#This Row],[Tot invested]]+Tabella42818384[[#This Row],[Interests]]</f>
        <v>#REF!</v>
      </c>
      <c r="Y72" s="171"/>
      <c r="AD72">
        <f>IFERROR(IF(AD71+1&lt;=$AB$21,AD71+1,""),"")</f>
        <v>29</v>
      </c>
      <c r="AE72" s="170">
        <f ca="1">IFERROR(IF(AD72&lt;=$AB$21,AE71+1,""),"")</f>
        <v>2025</v>
      </c>
      <c r="AF72">
        <f>IFERROR(AD72-$F$71,"")</f>
        <v>1</v>
      </c>
      <c r="AG72" s="171" t="e">
        <f ca="1">IF(Tabella4281838485[[#This Row],[Investment years]]&lt;$AB$24,SUMIF('CF Timeline'!$C$5:$BC$5,Tabella4281838485[[#This Row],[Year]],'CF Timeline'!$C$59:$BC$59),0)</f>
        <v>#REF!</v>
      </c>
      <c r="AH72" s="171" t="e">
        <f ca="1">IF(Tabella4281838485[[#This Row],[Investment years]]&lt;$AB$24,Tabella4281838485[[#This Row],[Yearly investment]]+AJ71,0)</f>
        <v>#REF!</v>
      </c>
      <c r="AI72" s="171" t="e">
        <f ca="1">Tabella4281838485[[#This Row],[Tot invested]]*$AB$25</f>
        <v>#REF!</v>
      </c>
      <c r="AJ72" s="171" t="e">
        <f ca="1">Tabella4281838485[[#This Row],[Tot invested]]+Tabella4281838485[[#This Row],[Interests]]</f>
        <v>#REF!</v>
      </c>
      <c r="AK72" s="171"/>
      <c r="AP72">
        <f>IFERROR(IF(AP71+1&lt;=$AN$21,AP71+1,""),"")</f>
        <v>29</v>
      </c>
      <c r="AQ72" s="170">
        <f ca="1">IFERROR(IF(AP72&lt;=$AN$21,AQ71+1,""),"")</f>
        <v>2025</v>
      </c>
      <c r="AR72">
        <f>IFERROR(AP72-$F$71,"")</f>
        <v>1</v>
      </c>
      <c r="AS72" s="171" t="e">
        <f ca="1">IF(Tabella428183848586[[#This Row],[Investment years]]&lt;$AN$24,SUMIF('CF Timeline'!$C$5:$BC$5,Tabella428183848586[[#This Row],[Year]],'CF Timeline'!$C$60:$BC$60),0)</f>
        <v>#REF!</v>
      </c>
      <c r="AT72" s="171" t="e">
        <f ca="1">IF(Tabella428183848586[[#This Row],[Investment years]]&lt;$AN$24,Tabella428183848586[[#This Row],[Yearly investment]]+AV71,0)</f>
        <v>#REF!</v>
      </c>
      <c r="AU72" s="171" t="e">
        <f ca="1">Tabella428183848586[[#This Row],[Tot invested]]*$AN$25</f>
        <v>#REF!</v>
      </c>
      <c r="AV72" s="171" t="e">
        <f ca="1">Tabella428183848586[[#This Row],[Tot invested]]+Tabella428183848586[[#This Row],[Interests]]</f>
        <v>#REF!</v>
      </c>
      <c r="AW72" s="171"/>
    </row>
    <row r="73" spans="6:49">
      <c r="F73">
        <f t="shared" ref="F73:F113" si="36">IFERROR(IF(F72+1&lt;=$C$21,F72+1,""),"")</f>
        <v>30</v>
      </c>
      <c r="G73" s="170">
        <f t="shared" ref="G73:G113" ca="1" si="37">IFERROR(IF(F73&lt;=$C$21,G72+1,""),"")</f>
        <v>2026</v>
      </c>
      <c r="H73">
        <f t="shared" ref="H73:H113" si="38">IFERROR(F73-$F$71,"")</f>
        <v>2</v>
      </c>
      <c r="I73" s="171" t="e">
        <f ca="1">IF(Tabella428183[[#This Row],[Investment years]]&lt;$C$24,SUMIF('CF Timeline'!$C$5:$BC$5,Tabella428183[[#This Row],[Year]],'CF Timeline'!$C$57:$BC$57),0)</f>
        <v>#REF!</v>
      </c>
      <c r="J73" s="171" t="e">
        <f ca="1">IF(Tabella428183[[#This Row],[Investment years]]&lt;$C$24,Tabella428183[[#This Row],[Yearly investment]]+L72,0)</f>
        <v>#REF!</v>
      </c>
      <c r="K73" s="171" t="e">
        <f ca="1">Tabella428183[[#This Row],[Tot invested]]*$C$25</f>
        <v>#REF!</v>
      </c>
      <c r="L73" s="171" t="e">
        <f ca="1">Tabella428183[[#This Row],[Tot invested]]+Tabella428183[[#This Row],[Interests]]</f>
        <v>#REF!</v>
      </c>
      <c r="M73" s="171"/>
      <c r="N73" s="145"/>
      <c r="O73" s="145"/>
      <c r="P73" s="145"/>
      <c r="R73">
        <f t="shared" ref="R73:R113" si="39">IFERROR(IF(R72+1&lt;=$P$21,R72+1,""),"")</f>
        <v>30</v>
      </c>
      <c r="S73" s="170">
        <f t="shared" ref="S73:S113" ca="1" si="40">IFERROR(IF(R73&lt;=$P$21,S72+1,""),"")</f>
        <v>2026</v>
      </c>
      <c r="T73">
        <f t="shared" ref="T73:T113" si="41">IFERROR(R73-$F$71,"")</f>
        <v>2</v>
      </c>
      <c r="U73" s="171" t="e">
        <f ca="1">IF(Tabella42818384[[#This Row],[Investment years]]&lt;$P$24,SUMIF('CF Timeline'!$C$5:$BC$5,Tabella42818384[[#This Row],[Year]],'CF Timeline'!$C$58:$BC$58),0)</f>
        <v>#REF!</v>
      </c>
      <c r="V73" s="171" t="e">
        <f ca="1">IF(Tabella42818384[[#This Row],[Investment years]]&lt;$P$24,Tabella42818384[[#This Row],[Yearly investment]]+X72,0)</f>
        <v>#REF!</v>
      </c>
      <c r="W73" s="171" t="e">
        <f ca="1">Tabella42818384[[#This Row],[Tot invested]]*$P$25</f>
        <v>#REF!</v>
      </c>
      <c r="X73" s="171" t="e">
        <f ca="1">Tabella42818384[[#This Row],[Tot invested]]+Tabella42818384[[#This Row],[Interests]]</f>
        <v>#REF!</v>
      </c>
      <c r="Y73" s="171"/>
      <c r="AD73">
        <f t="shared" ref="AD73:AD113" si="42">IFERROR(IF(AD72+1&lt;=$AB$21,AD72+1,""),"")</f>
        <v>30</v>
      </c>
      <c r="AE73" s="170">
        <f t="shared" ref="AE73:AE113" ca="1" si="43">IFERROR(IF(AD73&lt;=$AB$21,AE72+1,""),"")</f>
        <v>2026</v>
      </c>
      <c r="AF73">
        <f t="shared" ref="AF73:AF113" si="44">IFERROR(AD73-$F$71,"")</f>
        <v>2</v>
      </c>
      <c r="AG73" s="171" t="e">
        <f ca="1">IF(Tabella4281838485[[#This Row],[Investment years]]&lt;$AB$24,SUMIF('CF Timeline'!$C$5:$BC$5,Tabella4281838485[[#This Row],[Year]],'CF Timeline'!$C$59:$BC$59),0)</f>
        <v>#REF!</v>
      </c>
      <c r="AH73" s="171" t="e">
        <f ca="1">IF(Tabella4281838485[[#This Row],[Investment years]]&lt;$AB$24,Tabella4281838485[[#This Row],[Yearly investment]]+AJ72,0)</f>
        <v>#REF!</v>
      </c>
      <c r="AI73" s="171" t="e">
        <f ca="1">Tabella4281838485[[#This Row],[Tot invested]]*$AB$25</f>
        <v>#REF!</v>
      </c>
      <c r="AJ73" s="171" t="e">
        <f ca="1">Tabella4281838485[[#This Row],[Tot invested]]+Tabella4281838485[[#This Row],[Interests]]</f>
        <v>#REF!</v>
      </c>
      <c r="AK73" s="171"/>
      <c r="AP73">
        <f t="shared" ref="AP73:AP113" si="45">IFERROR(IF(AP72+1&lt;=$AN$21,AP72+1,""),"")</f>
        <v>30</v>
      </c>
      <c r="AQ73" s="170">
        <f t="shared" ref="AQ73:AQ113" ca="1" si="46">IFERROR(IF(AP73&lt;=$AN$21,AQ72+1,""),"")</f>
        <v>2026</v>
      </c>
      <c r="AR73">
        <f t="shared" ref="AR73:AR113" si="47">IFERROR(AP73-$F$71,"")</f>
        <v>2</v>
      </c>
      <c r="AS73" s="171">
        <f ca="1">IF(Tabella428183848586[[#This Row],[Investment years]]&lt;$AN$24,SUMIF('CF Timeline'!$C$5:$BC$5,Tabella428183848586[[#This Row],[Year]],'CF Timeline'!$C$60:$BC$60),0)</f>
        <v>0</v>
      </c>
      <c r="AT73" s="171" t="e">
        <f ca="1">IF(Tabella428183848586[[#This Row],[Investment years]]&lt;$AN$24,Tabella428183848586[[#This Row],[Yearly investment]]+AV72,0)</f>
        <v>#REF!</v>
      </c>
      <c r="AU73" s="171" t="e">
        <f ca="1">Tabella428183848586[[#This Row],[Tot invested]]*$AN$25</f>
        <v>#REF!</v>
      </c>
      <c r="AV73" s="171" t="e">
        <f ca="1">Tabella428183848586[[#This Row],[Tot invested]]+Tabella428183848586[[#This Row],[Interests]]</f>
        <v>#REF!</v>
      </c>
      <c r="AW73" s="171"/>
    </row>
    <row r="74" spans="6:49">
      <c r="F74">
        <f t="shared" si="36"/>
        <v>31</v>
      </c>
      <c r="G74" s="170">
        <f t="shared" ca="1" si="37"/>
        <v>2027</v>
      </c>
      <c r="H74">
        <f t="shared" si="38"/>
        <v>3</v>
      </c>
      <c r="I74" s="171" t="e">
        <f ca="1">IF(Tabella428183[[#This Row],[Investment years]]&lt;$C$24,SUMIF('CF Timeline'!$C$5:$BC$5,Tabella428183[[#This Row],[Year]],'CF Timeline'!$C$57:$BC$57),0)</f>
        <v>#REF!</v>
      </c>
      <c r="J74" s="171" t="e">
        <f ca="1">IF(Tabella428183[[#This Row],[Investment years]]&lt;$C$24,Tabella428183[[#This Row],[Yearly investment]]+L73,0)</f>
        <v>#REF!</v>
      </c>
      <c r="K74" s="171" t="e">
        <f ca="1">Tabella428183[[#This Row],[Tot invested]]*$C$25</f>
        <v>#REF!</v>
      </c>
      <c r="L74" s="171" t="e">
        <f ca="1">Tabella428183[[#This Row],[Tot invested]]+Tabella428183[[#This Row],[Interests]]</f>
        <v>#REF!</v>
      </c>
      <c r="M74" s="171"/>
      <c r="N74" s="145"/>
      <c r="O74" s="145"/>
      <c r="P74" s="145"/>
      <c r="R74">
        <f t="shared" si="39"/>
        <v>31</v>
      </c>
      <c r="S74" s="170">
        <f t="shared" ca="1" si="40"/>
        <v>2027</v>
      </c>
      <c r="T74">
        <f t="shared" si="41"/>
        <v>3</v>
      </c>
      <c r="U74" s="171" t="e">
        <f ca="1">IF(Tabella42818384[[#This Row],[Investment years]]&lt;$P$24,SUMIF('CF Timeline'!$C$5:$BC$5,Tabella42818384[[#This Row],[Year]],'CF Timeline'!$C$58:$BC$58),0)</f>
        <v>#REF!</v>
      </c>
      <c r="V74" s="171" t="e">
        <f ca="1">IF(Tabella42818384[[#This Row],[Investment years]]&lt;$P$24,Tabella42818384[[#This Row],[Yearly investment]]+X73,0)</f>
        <v>#REF!</v>
      </c>
      <c r="W74" s="171" t="e">
        <f ca="1">Tabella42818384[[#This Row],[Tot invested]]*$P$25</f>
        <v>#REF!</v>
      </c>
      <c r="X74" s="171" t="e">
        <f ca="1">Tabella42818384[[#This Row],[Tot invested]]+Tabella42818384[[#This Row],[Interests]]</f>
        <v>#REF!</v>
      </c>
      <c r="Y74" s="171"/>
      <c r="AD74">
        <f t="shared" si="42"/>
        <v>31</v>
      </c>
      <c r="AE74" s="170">
        <f t="shared" ca="1" si="43"/>
        <v>2027</v>
      </c>
      <c r="AF74">
        <f t="shared" si="44"/>
        <v>3</v>
      </c>
      <c r="AG74" s="171">
        <f ca="1">IF(Tabella4281838485[[#This Row],[Investment years]]&lt;$AB$24,SUMIF('CF Timeline'!$C$5:$BC$5,Tabella4281838485[[#This Row],[Year]],'CF Timeline'!$C$59:$BC$59),0)</f>
        <v>0</v>
      </c>
      <c r="AH74" s="171" t="e">
        <f ca="1">IF(Tabella4281838485[[#This Row],[Investment years]]&lt;$AB$24,Tabella4281838485[[#This Row],[Yearly investment]]+AJ73,0)</f>
        <v>#REF!</v>
      </c>
      <c r="AI74" s="171" t="e">
        <f ca="1">Tabella4281838485[[#This Row],[Tot invested]]*$AB$25</f>
        <v>#REF!</v>
      </c>
      <c r="AJ74" s="171" t="e">
        <f ca="1">Tabella4281838485[[#This Row],[Tot invested]]+Tabella4281838485[[#This Row],[Interests]]</f>
        <v>#REF!</v>
      </c>
      <c r="AK74" s="171"/>
      <c r="AP74" t="str">
        <f t="shared" si="45"/>
        <v/>
      </c>
      <c r="AQ74" s="170" t="str">
        <f t="shared" si="46"/>
        <v/>
      </c>
      <c r="AR74" t="str">
        <f t="shared" si="47"/>
        <v/>
      </c>
      <c r="AS74" s="171">
        <f>IF(Tabella428183848586[[#This Row],[Investment years]]&lt;$AN$24,SUMIF('CF Timeline'!$C$5:$BC$5,Tabella428183848586[[#This Row],[Year]],'CF Timeline'!$C$60:$BC$60),0)</f>
        <v>0</v>
      </c>
      <c r="AT74" s="171">
        <f>IF(Tabella428183848586[[#This Row],[Investment years]]&lt;$AN$24,Tabella428183848586[[#This Row],[Yearly investment]]+AV73,0)</f>
        <v>0</v>
      </c>
      <c r="AU74" s="171">
        <f>Tabella428183848586[[#This Row],[Tot invested]]*$AN$25</f>
        <v>0</v>
      </c>
      <c r="AV74" s="171">
        <f>Tabella428183848586[[#This Row],[Tot invested]]+Tabella428183848586[[#This Row],[Interests]]</f>
        <v>0</v>
      </c>
      <c r="AW74" s="171"/>
    </row>
    <row r="75" spans="6:49">
      <c r="F75">
        <f t="shared" si="36"/>
        <v>32</v>
      </c>
      <c r="G75" s="170">
        <f t="shared" ca="1" si="37"/>
        <v>2028</v>
      </c>
      <c r="H75">
        <f t="shared" si="38"/>
        <v>4</v>
      </c>
      <c r="I75" s="171" t="e">
        <f ca="1">IF(Tabella428183[[#This Row],[Investment years]]&lt;$C$24,SUMIF('CF Timeline'!$C$5:$BC$5,Tabella428183[[#This Row],[Year]],'CF Timeline'!$C$57:$BC$57),0)</f>
        <v>#REF!</v>
      </c>
      <c r="J75" s="171" t="e">
        <f ca="1">IF(Tabella428183[[#This Row],[Investment years]]&lt;$C$24,Tabella428183[[#This Row],[Yearly investment]]+L74,0)</f>
        <v>#REF!</v>
      </c>
      <c r="K75" s="171" t="e">
        <f ca="1">Tabella428183[[#This Row],[Tot invested]]*$C$25</f>
        <v>#REF!</v>
      </c>
      <c r="L75" s="171" t="e">
        <f ca="1">Tabella428183[[#This Row],[Tot invested]]+Tabella428183[[#This Row],[Interests]]</f>
        <v>#REF!</v>
      </c>
      <c r="M75" s="171"/>
      <c r="N75" s="145"/>
      <c r="O75" s="145"/>
      <c r="P75" s="145"/>
      <c r="R75">
        <f t="shared" si="39"/>
        <v>32</v>
      </c>
      <c r="S75" s="170">
        <f t="shared" ca="1" si="40"/>
        <v>2028</v>
      </c>
      <c r="T75">
        <f t="shared" si="41"/>
        <v>4</v>
      </c>
      <c r="U75" s="171" t="e">
        <f ca="1">IF(Tabella42818384[[#This Row],[Investment years]]&lt;$P$24,SUMIF('CF Timeline'!$C$5:$BC$5,Tabella42818384[[#This Row],[Year]],'CF Timeline'!$C$58:$BC$58),0)</f>
        <v>#REF!</v>
      </c>
      <c r="V75" s="171" t="e">
        <f ca="1">IF(Tabella42818384[[#This Row],[Investment years]]&lt;$P$24,Tabella42818384[[#This Row],[Yearly investment]]+X74,0)</f>
        <v>#REF!</v>
      </c>
      <c r="W75" s="171" t="e">
        <f ca="1">Tabella42818384[[#This Row],[Tot invested]]*$P$25</f>
        <v>#REF!</v>
      </c>
      <c r="X75" s="171" t="e">
        <f ca="1">Tabella42818384[[#This Row],[Tot invested]]+Tabella42818384[[#This Row],[Interests]]</f>
        <v>#REF!</v>
      </c>
      <c r="Y75" s="171"/>
      <c r="AD75" t="str">
        <f t="shared" si="42"/>
        <v/>
      </c>
      <c r="AE75" s="170" t="str">
        <f t="shared" si="43"/>
        <v/>
      </c>
      <c r="AF75" t="str">
        <f t="shared" si="44"/>
        <v/>
      </c>
      <c r="AG75" s="171">
        <f>IF(Tabella4281838485[[#This Row],[Investment years]]&lt;$AB$24,SUMIF('CF Timeline'!$C$5:$BC$5,Tabella4281838485[[#This Row],[Year]],'CF Timeline'!$C$59:$BC$59),0)</f>
        <v>0</v>
      </c>
      <c r="AH75" s="171">
        <f>IF(Tabella4281838485[[#This Row],[Investment years]]&lt;$AB$24,Tabella4281838485[[#This Row],[Yearly investment]]+AJ74,0)</f>
        <v>0</v>
      </c>
      <c r="AI75" s="171">
        <f>Tabella4281838485[[#This Row],[Tot invested]]*$AB$25</f>
        <v>0</v>
      </c>
      <c r="AJ75" s="171">
        <f>Tabella4281838485[[#This Row],[Tot invested]]+Tabella4281838485[[#This Row],[Interests]]</f>
        <v>0</v>
      </c>
      <c r="AK75" s="171"/>
      <c r="AP75" t="str">
        <f t="shared" si="45"/>
        <v/>
      </c>
      <c r="AQ75" s="170" t="str">
        <f t="shared" si="46"/>
        <v/>
      </c>
      <c r="AR75" t="str">
        <f t="shared" si="47"/>
        <v/>
      </c>
      <c r="AS75" s="171">
        <f>IF(Tabella428183848586[[#This Row],[Investment years]]&lt;$AN$24,SUMIF('CF Timeline'!$C$5:$BC$5,Tabella428183848586[[#This Row],[Year]],'CF Timeline'!$C$60:$BC$60),0)</f>
        <v>0</v>
      </c>
      <c r="AT75" s="171">
        <f>IF(Tabella428183848586[[#This Row],[Investment years]]&lt;$AN$24,Tabella428183848586[[#This Row],[Yearly investment]]+AV74,0)</f>
        <v>0</v>
      </c>
      <c r="AU75" s="171">
        <f>Tabella428183848586[[#This Row],[Tot invested]]*$AN$25</f>
        <v>0</v>
      </c>
      <c r="AV75" s="171">
        <f>Tabella428183848586[[#This Row],[Tot invested]]+Tabella428183848586[[#This Row],[Interests]]</f>
        <v>0</v>
      </c>
      <c r="AW75" s="171"/>
    </row>
    <row r="76" spans="6:49">
      <c r="F76">
        <f t="shared" si="36"/>
        <v>33</v>
      </c>
      <c r="G76" s="170">
        <f t="shared" ca="1" si="37"/>
        <v>2029</v>
      </c>
      <c r="H76">
        <f t="shared" si="38"/>
        <v>5</v>
      </c>
      <c r="I76" s="171" t="e">
        <f ca="1">IF(Tabella428183[[#This Row],[Investment years]]&lt;$C$24,SUMIF('CF Timeline'!$C$5:$BC$5,Tabella428183[[#This Row],[Year]],'CF Timeline'!$C$57:$BC$57),0)</f>
        <v>#REF!</v>
      </c>
      <c r="J76" s="171" t="e">
        <f ca="1">IF(Tabella428183[[#This Row],[Investment years]]&lt;$C$24,Tabella428183[[#This Row],[Yearly investment]]+L75,0)</f>
        <v>#REF!</v>
      </c>
      <c r="K76" s="171" t="e">
        <f ca="1">Tabella428183[[#This Row],[Tot invested]]*$C$25</f>
        <v>#REF!</v>
      </c>
      <c r="L76" s="171" t="e">
        <f ca="1">Tabella428183[[#This Row],[Tot invested]]+Tabella428183[[#This Row],[Interests]]</f>
        <v>#REF!</v>
      </c>
      <c r="M76" s="171"/>
      <c r="N76" s="145"/>
      <c r="O76" s="145"/>
      <c r="P76" s="145"/>
      <c r="R76">
        <f t="shared" si="39"/>
        <v>33</v>
      </c>
      <c r="S76" s="170">
        <f t="shared" ca="1" si="40"/>
        <v>2029</v>
      </c>
      <c r="T76">
        <f t="shared" si="41"/>
        <v>5</v>
      </c>
      <c r="U76" s="171" t="e">
        <f ca="1">IF(Tabella42818384[[#This Row],[Investment years]]&lt;$P$24,SUMIF('CF Timeline'!$C$5:$BC$5,Tabella42818384[[#This Row],[Year]],'CF Timeline'!$C$58:$BC$58),0)</f>
        <v>#REF!</v>
      </c>
      <c r="V76" s="171" t="e">
        <f ca="1">IF(Tabella42818384[[#This Row],[Investment years]]&lt;$P$24,Tabella42818384[[#This Row],[Yearly investment]]+X75,0)</f>
        <v>#REF!</v>
      </c>
      <c r="W76" s="171" t="e">
        <f ca="1">Tabella42818384[[#This Row],[Tot invested]]*$P$25</f>
        <v>#REF!</v>
      </c>
      <c r="X76" s="171" t="e">
        <f ca="1">Tabella42818384[[#This Row],[Tot invested]]+Tabella42818384[[#This Row],[Interests]]</f>
        <v>#REF!</v>
      </c>
      <c r="Y76" s="171"/>
      <c r="AD76" t="str">
        <f t="shared" si="42"/>
        <v/>
      </c>
      <c r="AE76" s="170" t="str">
        <f t="shared" si="43"/>
        <v/>
      </c>
      <c r="AF76" t="str">
        <f t="shared" si="44"/>
        <v/>
      </c>
      <c r="AG76" s="171">
        <f>IF(Tabella4281838485[[#This Row],[Investment years]]&lt;$AB$24,SUMIF('CF Timeline'!$C$5:$BC$5,Tabella4281838485[[#This Row],[Year]],'CF Timeline'!$C$59:$BC$59),0)</f>
        <v>0</v>
      </c>
      <c r="AH76" s="171">
        <f>IF(Tabella4281838485[[#This Row],[Investment years]]&lt;$AB$24,Tabella4281838485[[#This Row],[Yearly investment]]+AJ75,0)</f>
        <v>0</v>
      </c>
      <c r="AI76" s="171">
        <f>Tabella4281838485[[#This Row],[Tot invested]]*$AB$25</f>
        <v>0</v>
      </c>
      <c r="AJ76" s="171">
        <f>Tabella4281838485[[#This Row],[Tot invested]]+Tabella4281838485[[#This Row],[Interests]]</f>
        <v>0</v>
      </c>
      <c r="AK76" s="171"/>
      <c r="AP76" t="str">
        <f t="shared" si="45"/>
        <v/>
      </c>
      <c r="AQ76" s="170" t="str">
        <f t="shared" si="46"/>
        <v/>
      </c>
      <c r="AR76" t="str">
        <f t="shared" si="47"/>
        <v/>
      </c>
      <c r="AS76" s="171">
        <f>IF(Tabella428183848586[[#This Row],[Investment years]]&lt;$AN$24,SUMIF('CF Timeline'!$C$5:$BC$5,Tabella428183848586[[#This Row],[Year]],'CF Timeline'!$C$60:$BC$60),0)</f>
        <v>0</v>
      </c>
      <c r="AT76" s="171">
        <f>IF(Tabella428183848586[[#This Row],[Investment years]]&lt;$AN$24,Tabella428183848586[[#This Row],[Yearly investment]]+AV75,0)</f>
        <v>0</v>
      </c>
      <c r="AU76" s="171">
        <f>Tabella428183848586[[#This Row],[Tot invested]]*$AN$25</f>
        <v>0</v>
      </c>
      <c r="AV76" s="171">
        <f>Tabella428183848586[[#This Row],[Tot invested]]+Tabella428183848586[[#This Row],[Interests]]</f>
        <v>0</v>
      </c>
      <c r="AW76" s="171"/>
    </row>
    <row r="77" spans="6:49">
      <c r="F77">
        <f t="shared" si="36"/>
        <v>34</v>
      </c>
      <c r="G77" s="170">
        <f t="shared" ca="1" si="37"/>
        <v>2030</v>
      </c>
      <c r="H77">
        <f t="shared" si="38"/>
        <v>6</v>
      </c>
      <c r="I77" s="171" t="e">
        <f ca="1">IF(Tabella428183[[#This Row],[Investment years]]&lt;$C$24,SUMIF('CF Timeline'!$C$5:$BC$5,Tabella428183[[#This Row],[Year]],'CF Timeline'!$C$57:$BC$57),0)</f>
        <v>#REF!</v>
      </c>
      <c r="J77" s="171" t="e">
        <f ca="1">IF(Tabella428183[[#This Row],[Investment years]]&lt;$C$24,Tabella428183[[#This Row],[Yearly investment]]+L76,0)</f>
        <v>#REF!</v>
      </c>
      <c r="K77" s="171" t="e">
        <f ca="1">Tabella428183[[#This Row],[Tot invested]]*$C$25</f>
        <v>#REF!</v>
      </c>
      <c r="L77" s="171" t="e">
        <f ca="1">Tabella428183[[#This Row],[Tot invested]]+Tabella428183[[#This Row],[Interests]]</f>
        <v>#REF!</v>
      </c>
      <c r="M77" s="171"/>
      <c r="N77" s="145"/>
      <c r="O77" s="145"/>
      <c r="P77" s="145"/>
      <c r="R77">
        <f t="shared" si="39"/>
        <v>34</v>
      </c>
      <c r="S77" s="170">
        <f t="shared" ca="1" si="40"/>
        <v>2030</v>
      </c>
      <c r="T77">
        <f t="shared" si="41"/>
        <v>6</v>
      </c>
      <c r="U77" s="171" t="e">
        <f ca="1">IF(Tabella42818384[[#This Row],[Investment years]]&lt;$P$24,SUMIF('CF Timeline'!$C$5:$BC$5,Tabella42818384[[#This Row],[Year]],'CF Timeline'!$C$58:$BC$58),0)</f>
        <v>#REF!</v>
      </c>
      <c r="V77" s="171" t="e">
        <f ca="1">IF(Tabella42818384[[#This Row],[Investment years]]&lt;$P$24,Tabella42818384[[#This Row],[Yearly investment]]+X76,0)</f>
        <v>#REF!</v>
      </c>
      <c r="W77" s="171" t="e">
        <f ca="1">Tabella42818384[[#This Row],[Tot invested]]*$P$25</f>
        <v>#REF!</v>
      </c>
      <c r="X77" s="171" t="e">
        <f ca="1">Tabella42818384[[#This Row],[Tot invested]]+Tabella42818384[[#This Row],[Interests]]</f>
        <v>#REF!</v>
      </c>
      <c r="Y77" s="171"/>
      <c r="AD77" t="str">
        <f t="shared" si="42"/>
        <v/>
      </c>
      <c r="AE77" s="170" t="str">
        <f t="shared" si="43"/>
        <v/>
      </c>
      <c r="AF77" t="str">
        <f t="shared" si="44"/>
        <v/>
      </c>
      <c r="AG77" s="171">
        <f>IF(Tabella4281838485[[#This Row],[Investment years]]&lt;$AB$24,SUMIF('CF Timeline'!$C$5:$BC$5,Tabella4281838485[[#This Row],[Year]],'CF Timeline'!$C$59:$BC$59),0)</f>
        <v>0</v>
      </c>
      <c r="AH77" s="171">
        <f>IF(Tabella4281838485[[#This Row],[Investment years]]&lt;$AB$24,Tabella4281838485[[#This Row],[Yearly investment]]+AJ76,0)</f>
        <v>0</v>
      </c>
      <c r="AI77" s="171">
        <f>Tabella4281838485[[#This Row],[Tot invested]]*$AB$25</f>
        <v>0</v>
      </c>
      <c r="AJ77" s="171">
        <f>Tabella4281838485[[#This Row],[Tot invested]]+Tabella4281838485[[#This Row],[Interests]]</f>
        <v>0</v>
      </c>
      <c r="AK77" s="171"/>
      <c r="AP77" t="str">
        <f t="shared" si="45"/>
        <v/>
      </c>
      <c r="AQ77" s="170" t="str">
        <f t="shared" si="46"/>
        <v/>
      </c>
      <c r="AR77" t="str">
        <f t="shared" si="47"/>
        <v/>
      </c>
      <c r="AS77" s="171">
        <f>IF(Tabella428183848586[[#This Row],[Investment years]]&lt;$AN$24,SUMIF('CF Timeline'!$C$5:$BC$5,Tabella428183848586[[#This Row],[Year]],'CF Timeline'!$C$60:$BC$60),0)</f>
        <v>0</v>
      </c>
      <c r="AT77" s="171">
        <f>IF(Tabella428183848586[[#This Row],[Investment years]]&lt;$AN$24,Tabella428183848586[[#This Row],[Yearly investment]]+AV76,0)</f>
        <v>0</v>
      </c>
      <c r="AU77" s="171">
        <f>Tabella428183848586[[#This Row],[Tot invested]]*$AN$25</f>
        <v>0</v>
      </c>
      <c r="AV77" s="171">
        <f>Tabella428183848586[[#This Row],[Tot invested]]+Tabella428183848586[[#This Row],[Interests]]</f>
        <v>0</v>
      </c>
      <c r="AW77" s="171"/>
    </row>
    <row r="78" spans="6:49">
      <c r="F78">
        <f t="shared" si="36"/>
        <v>35</v>
      </c>
      <c r="G78" s="170">
        <f t="shared" ca="1" si="37"/>
        <v>2031</v>
      </c>
      <c r="H78">
        <f t="shared" si="38"/>
        <v>7</v>
      </c>
      <c r="I78" s="171" t="e">
        <f ca="1">IF(Tabella428183[[#This Row],[Investment years]]&lt;$C$24,SUMIF('CF Timeline'!$C$5:$BC$5,Tabella428183[[#This Row],[Year]],'CF Timeline'!$C$57:$BC$57),0)</f>
        <v>#REF!</v>
      </c>
      <c r="J78" s="171" t="e">
        <f ca="1">IF(Tabella428183[[#This Row],[Investment years]]&lt;$C$24,Tabella428183[[#This Row],[Yearly investment]]+L77,0)</f>
        <v>#REF!</v>
      </c>
      <c r="K78" s="171" t="e">
        <f ca="1">Tabella428183[[#This Row],[Tot invested]]*$C$25</f>
        <v>#REF!</v>
      </c>
      <c r="L78" s="171" t="e">
        <f ca="1">Tabella428183[[#This Row],[Tot invested]]+Tabella428183[[#This Row],[Interests]]</f>
        <v>#REF!</v>
      </c>
      <c r="M78" s="171"/>
      <c r="N78" s="145"/>
      <c r="O78" s="145"/>
      <c r="P78" s="145"/>
      <c r="R78">
        <f t="shared" si="39"/>
        <v>35</v>
      </c>
      <c r="S78" s="170">
        <f t="shared" ca="1" si="40"/>
        <v>2031</v>
      </c>
      <c r="T78">
        <f t="shared" si="41"/>
        <v>7</v>
      </c>
      <c r="U78" s="171" t="e">
        <f ca="1">IF(Tabella42818384[[#This Row],[Investment years]]&lt;$P$24,SUMIF('CF Timeline'!$C$5:$BC$5,Tabella42818384[[#This Row],[Year]],'CF Timeline'!$C$58:$BC$58),0)</f>
        <v>#REF!</v>
      </c>
      <c r="V78" s="171" t="e">
        <f ca="1">IF(Tabella42818384[[#This Row],[Investment years]]&lt;$P$24,Tabella42818384[[#This Row],[Yearly investment]]+X77,0)</f>
        <v>#REF!</v>
      </c>
      <c r="W78" s="171" t="e">
        <f ca="1">Tabella42818384[[#This Row],[Tot invested]]*$P$25</f>
        <v>#REF!</v>
      </c>
      <c r="X78" s="171" t="e">
        <f ca="1">Tabella42818384[[#This Row],[Tot invested]]+Tabella42818384[[#This Row],[Interests]]</f>
        <v>#REF!</v>
      </c>
      <c r="Y78" s="171"/>
      <c r="AD78" t="str">
        <f t="shared" si="42"/>
        <v/>
      </c>
      <c r="AE78" s="170" t="str">
        <f t="shared" si="43"/>
        <v/>
      </c>
      <c r="AF78" t="str">
        <f t="shared" si="44"/>
        <v/>
      </c>
      <c r="AG78" s="171">
        <f>IF(Tabella4281838485[[#This Row],[Investment years]]&lt;$AB$24,SUMIF('CF Timeline'!$C$5:$BC$5,Tabella4281838485[[#This Row],[Year]],'CF Timeline'!$C$59:$BC$59),0)</f>
        <v>0</v>
      </c>
      <c r="AH78" s="171">
        <f>IF(Tabella4281838485[[#This Row],[Investment years]]&lt;$AB$24,Tabella4281838485[[#This Row],[Yearly investment]]+AJ77,0)</f>
        <v>0</v>
      </c>
      <c r="AI78" s="171">
        <f>Tabella4281838485[[#This Row],[Tot invested]]*$AB$25</f>
        <v>0</v>
      </c>
      <c r="AJ78" s="171">
        <f>Tabella4281838485[[#This Row],[Tot invested]]+Tabella4281838485[[#This Row],[Interests]]</f>
        <v>0</v>
      </c>
      <c r="AK78" s="171"/>
      <c r="AP78" t="str">
        <f t="shared" si="45"/>
        <v/>
      </c>
      <c r="AQ78" s="170" t="str">
        <f t="shared" si="46"/>
        <v/>
      </c>
      <c r="AR78" t="str">
        <f t="shared" si="47"/>
        <v/>
      </c>
      <c r="AS78" s="171">
        <f>IF(Tabella428183848586[[#This Row],[Investment years]]&lt;$AN$24,SUMIF('CF Timeline'!$C$5:$BC$5,Tabella428183848586[[#This Row],[Year]],'CF Timeline'!$C$60:$BC$60),0)</f>
        <v>0</v>
      </c>
      <c r="AT78" s="171">
        <f>IF(Tabella428183848586[[#This Row],[Investment years]]&lt;$AN$24,Tabella428183848586[[#This Row],[Yearly investment]]+AV77,0)</f>
        <v>0</v>
      </c>
      <c r="AU78" s="171">
        <f>Tabella428183848586[[#This Row],[Tot invested]]*$AN$25</f>
        <v>0</v>
      </c>
      <c r="AV78" s="171">
        <f>Tabella428183848586[[#This Row],[Tot invested]]+Tabella428183848586[[#This Row],[Interests]]</f>
        <v>0</v>
      </c>
      <c r="AW78" s="171"/>
    </row>
    <row r="79" spans="6:49">
      <c r="F79">
        <f t="shared" si="36"/>
        <v>36</v>
      </c>
      <c r="G79" s="170">
        <f t="shared" ca="1" si="37"/>
        <v>2032</v>
      </c>
      <c r="H79">
        <f t="shared" si="38"/>
        <v>8</v>
      </c>
      <c r="I79" s="171" t="e">
        <f ca="1">IF(Tabella428183[[#This Row],[Investment years]]&lt;$C$24,SUMIF('CF Timeline'!$C$5:$BC$5,Tabella428183[[#This Row],[Year]],'CF Timeline'!$C$57:$BC$57),0)</f>
        <v>#REF!</v>
      </c>
      <c r="J79" s="171" t="e">
        <f ca="1">IF(Tabella428183[[#This Row],[Investment years]]&lt;$C$24,Tabella428183[[#This Row],[Yearly investment]]+L78,0)</f>
        <v>#REF!</v>
      </c>
      <c r="K79" s="171" t="e">
        <f ca="1">Tabella428183[[#This Row],[Tot invested]]*$C$25</f>
        <v>#REF!</v>
      </c>
      <c r="L79" s="171" t="e">
        <f ca="1">Tabella428183[[#This Row],[Tot invested]]+Tabella428183[[#This Row],[Interests]]</f>
        <v>#REF!</v>
      </c>
      <c r="M79" s="171"/>
      <c r="N79" s="145"/>
      <c r="O79" s="145"/>
      <c r="P79" s="145"/>
      <c r="R79">
        <f t="shared" si="39"/>
        <v>36</v>
      </c>
      <c r="S79" s="170">
        <f t="shared" ca="1" si="40"/>
        <v>2032</v>
      </c>
      <c r="T79">
        <f t="shared" si="41"/>
        <v>8</v>
      </c>
      <c r="U79" s="171" t="e">
        <f ca="1">IF(Tabella42818384[[#This Row],[Investment years]]&lt;$P$24,SUMIF('CF Timeline'!$C$5:$BC$5,Tabella42818384[[#This Row],[Year]],'CF Timeline'!$C$58:$BC$58),0)</f>
        <v>#REF!</v>
      </c>
      <c r="V79" s="171" t="e">
        <f ca="1">IF(Tabella42818384[[#This Row],[Investment years]]&lt;$P$24,Tabella42818384[[#This Row],[Yearly investment]]+X78,0)</f>
        <v>#REF!</v>
      </c>
      <c r="W79" s="171" t="e">
        <f ca="1">Tabella42818384[[#This Row],[Tot invested]]*$P$25</f>
        <v>#REF!</v>
      </c>
      <c r="X79" s="171" t="e">
        <f ca="1">Tabella42818384[[#This Row],[Tot invested]]+Tabella42818384[[#This Row],[Interests]]</f>
        <v>#REF!</v>
      </c>
      <c r="Y79" s="171"/>
      <c r="AD79" t="str">
        <f t="shared" si="42"/>
        <v/>
      </c>
      <c r="AE79" s="170" t="str">
        <f t="shared" si="43"/>
        <v/>
      </c>
      <c r="AF79" t="str">
        <f t="shared" si="44"/>
        <v/>
      </c>
      <c r="AG79" s="171">
        <f>IF(Tabella4281838485[[#This Row],[Investment years]]&lt;$AB$24,SUMIF('CF Timeline'!$C$5:$BC$5,Tabella4281838485[[#This Row],[Year]],'CF Timeline'!$C$59:$BC$59),0)</f>
        <v>0</v>
      </c>
      <c r="AH79" s="171">
        <f>IF(Tabella4281838485[[#This Row],[Investment years]]&lt;$AB$24,Tabella4281838485[[#This Row],[Yearly investment]]+AJ78,0)</f>
        <v>0</v>
      </c>
      <c r="AI79" s="171">
        <f>Tabella4281838485[[#This Row],[Tot invested]]*$AB$25</f>
        <v>0</v>
      </c>
      <c r="AJ79" s="171">
        <f>Tabella4281838485[[#This Row],[Tot invested]]+Tabella4281838485[[#This Row],[Interests]]</f>
        <v>0</v>
      </c>
      <c r="AK79" s="171"/>
      <c r="AP79" t="str">
        <f t="shared" si="45"/>
        <v/>
      </c>
      <c r="AQ79" s="170" t="str">
        <f t="shared" si="46"/>
        <v/>
      </c>
      <c r="AR79" t="str">
        <f t="shared" si="47"/>
        <v/>
      </c>
      <c r="AS79" s="171">
        <f>IF(Tabella428183848586[[#This Row],[Investment years]]&lt;$AN$24,SUMIF('CF Timeline'!$C$5:$BC$5,Tabella428183848586[[#This Row],[Year]],'CF Timeline'!$C$60:$BC$60),0)</f>
        <v>0</v>
      </c>
      <c r="AT79" s="171">
        <f>IF(Tabella428183848586[[#This Row],[Investment years]]&lt;$AN$24,Tabella428183848586[[#This Row],[Yearly investment]]+AV78,0)</f>
        <v>0</v>
      </c>
      <c r="AU79" s="171">
        <f>Tabella428183848586[[#This Row],[Tot invested]]*$AN$25</f>
        <v>0</v>
      </c>
      <c r="AV79" s="171">
        <f>Tabella428183848586[[#This Row],[Tot invested]]+Tabella428183848586[[#This Row],[Interests]]</f>
        <v>0</v>
      </c>
      <c r="AW79" s="171"/>
    </row>
    <row r="80" spans="6:49">
      <c r="F80">
        <f t="shared" si="36"/>
        <v>37</v>
      </c>
      <c r="G80" s="170">
        <f t="shared" ca="1" si="37"/>
        <v>2033</v>
      </c>
      <c r="H80">
        <f t="shared" si="38"/>
        <v>9</v>
      </c>
      <c r="I80" s="171">
        <f ca="1">IF(Tabella428183[[#This Row],[Investment years]]&lt;$C$24,SUMIF('CF Timeline'!$C$5:$BC$5,Tabella428183[[#This Row],[Year]],'CF Timeline'!$C$57:$BC$57),0)</f>
        <v>2311.5528466739665</v>
      </c>
      <c r="J80" s="171" t="e">
        <f ca="1">IF(Tabella428183[[#This Row],[Investment years]]&lt;$C$24,Tabella428183[[#This Row],[Yearly investment]]+L79,0)</f>
        <v>#REF!</v>
      </c>
      <c r="K80" s="171" t="e">
        <f ca="1">Tabella428183[[#This Row],[Tot invested]]*$C$25</f>
        <v>#REF!</v>
      </c>
      <c r="L80" s="171" t="e">
        <f ca="1">Tabella428183[[#This Row],[Tot invested]]+Tabella428183[[#This Row],[Interests]]</f>
        <v>#REF!</v>
      </c>
      <c r="M80" s="171"/>
      <c r="N80" s="145"/>
      <c r="O80" s="145"/>
      <c r="P80" s="145"/>
      <c r="R80">
        <f t="shared" si="39"/>
        <v>37</v>
      </c>
      <c r="S80" s="170">
        <f t="shared" ca="1" si="40"/>
        <v>2033</v>
      </c>
      <c r="T80">
        <f t="shared" si="41"/>
        <v>9</v>
      </c>
      <c r="U80" s="171">
        <f ca="1">IF(Tabella42818384[[#This Row],[Investment years]]&lt;$P$24,SUMIF('CF Timeline'!$C$5:$BC$5,Tabella42818384[[#This Row],[Year]],'CF Timeline'!$C$58:$BC$58),0)</f>
        <v>1023.7902620258492</v>
      </c>
      <c r="V80" s="171" t="e">
        <f ca="1">IF(Tabella42818384[[#This Row],[Investment years]]&lt;$P$24,Tabella42818384[[#This Row],[Yearly investment]]+X79,0)</f>
        <v>#REF!</v>
      </c>
      <c r="W80" s="171" t="e">
        <f ca="1">Tabella42818384[[#This Row],[Tot invested]]*$P$25</f>
        <v>#REF!</v>
      </c>
      <c r="X80" s="171" t="e">
        <f ca="1">Tabella42818384[[#This Row],[Tot invested]]+Tabella42818384[[#This Row],[Interests]]</f>
        <v>#REF!</v>
      </c>
      <c r="Y80" s="171"/>
      <c r="AD80" t="str">
        <f t="shared" si="42"/>
        <v/>
      </c>
      <c r="AE80" s="170" t="str">
        <f t="shared" si="43"/>
        <v/>
      </c>
      <c r="AF80" t="str">
        <f t="shared" si="44"/>
        <v/>
      </c>
      <c r="AG80" s="171">
        <f>IF(Tabella4281838485[[#This Row],[Investment years]]&lt;$AB$24,SUMIF('CF Timeline'!$C$5:$BC$5,Tabella4281838485[[#This Row],[Year]],'CF Timeline'!$C$59:$BC$59),0)</f>
        <v>0</v>
      </c>
      <c r="AH80" s="171">
        <f>IF(Tabella4281838485[[#This Row],[Investment years]]&lt;$AB$24,Tabella4281838485[[#This Row],[Yearly investment]]+AJ79,0)</f>
        <v>0</v>
      </c>
      <c r="AI80" s="171">
        <f>Tabella4281838485[[#This Row],[Tot invested]]*$AB$25</f>
        <v>0</v>
      </c>
      <c r="AJ80" s="171">
        <f>Tabella4281838485[[#This Row],[Tot invested]]+Tabella4281838485[[#This Row],[Interests]]</f>
        <v>0</v>
      </c>
      <c r="AK80" s="171"/>
      <c r="AP80" t="str">
        <f t="shared" si="45"/>
        <v/>
      </c>
      <c r="AQ80" s="170" t="str">
        <f t="shared" si="46"/>
        <v/>
      </c>
      <c r="AR80" t="str">
        <f t="shared" si="47"/>
        <v/>
      </c>
      <c r="AS80" s="171">
        <f>IF(Tabella428183848586[[#This Row],[Investment years]]&lt;$AN$24,SUMIF('CF Timeline'!$C$5:$BC$5,Tabella428183848586[[#This Row],[Year]],'CF Timeline'!$C$60:$BC$60),0)</f>
        <v>0</v>
      </c>
      <c r="AT80" s="171">
        <f>IF(Tabella428183848586[[#This Row],[Investment years]]&lt;$AN$24,Tabella428183848586[[#This Row],[Yearly investment]]+AV79,0)</f>
        <v>0</v>
      </c>
      <c r="AU80" s="171">
        <f>Tabella428183848586[[#This Row],[Tot invested]]*$AN$25</f>
        <v>0</v>
      </c>
      <c r="AV80" s="171">
        <f>Tabella428183848586[[#This Row],[Tot invested]]+Tabella428183848586[[#This Row],[Interests]]</f>
        <v>0</v>
      </c>
      <c r="AW80" s="171"/>
    </row>
    <row r="81" spans="6:49">
      <c r="F81">
        <f t="shared" si="36"/>
        <v>38</v>
      </c>
      <c r="G81" s="170">
        <f t="shared" ca="1" si="37"/>
        <v>2034</v>
      </c>
      <c r="H81">
        <f t="shared" si="38"/>
        <v>10</v>
      </c>
      <c r="I81" s="171">
        <f ca="1">IF(Tabella428183[[#This Row],[Investment years]]&lt;$C$24,SUMIF('CF Timeline'!$C$5:$BC$5,Tabella428183[[#This Row],[Year]],'CF Timeline'!$C$57:$BC$57),0)</f>
        <v>8382.3798880452086</v>
      </c>
      <c r="J81" s="171" t="e">
        <f ca="1">IF(Tabella428183[[#This Row],[Investment years]]&lt;$C$24,Tabella428183[[#This Row],[Yearly investment]]+L80,0)</f>
        <v>#REF!</v>
      </c>
      <c r="K81" s="171" t="e">
        <f ca="1">Tabella428183[[#This Row],[Tot invested]]*$C$25</f>
        <v>#REF!</v>
      </c>
      <c r="L81" s="171" t="e">
        <f ca="1">Tabella428183[[#This Row],[Tot invested]]+Tabella428183[[#This Row],[Interests]]</f>
        <v>#REF!</v>
      </c>
      <c r="M81" s="171"/>
      <c r="N81" s="145"/>
      <c r="O81" s="145"/>
      <c r="P81" s="145"/>
      <c r="R81">
        <f t="shared" si="39"/>
        <v>38</v>
      </c>
      <c r="S81" s="170">
        <f t="shared" ca="1" si="40"/>
        <v>2034</v>
      </c>
      <c r="T81">
        <f t="shared" si="41"/>
        <v>10</v>
      </c>
      <c r="U81" s="171">
        <f ca="1">IF(Tabella42818384[[#This Row],[Investment years]]&lt;$P$24,SUMIF('CF Timeline'!$C$5:$BC$5,Tabella42818384[[#This Row],[Year]],'CF Timeline'!$C$58:$BC$58),0)</f>
        <v>3712.5687670650232</v>
      </c>
      <c r="V81" s="171" t="e">
        <f ca="1">IF(Tabella42818384[[#This Row],[Investment years]]&lt;$P$24,Tabella42818384[[#This Row],[Yearly investment]]+X80,0)</f>
        <v>#REF!</v>
      </c>
      <c r="W81" s="171" t="e">
        <f ca="1">Tabella42818384[[#This Row],[Tot invested]]*$P$25</f>
        <v>#REF!</v>
      </c>
      <c r="X81" s="171" t="e">
        <f ca="1">Tabella42818384[[#This Row],[Tot invested]]+Tabella42818384[[#This Row],[Interests]]</f>
        <v>#REF!</v>
      </c>
      <c r="Y81" s="171"/>
      <c r="AD81" t="str">
        <f t="shared" si="42"/>
        <v/>
      </c>
      <c r="AE81" s="170" t="str">
        <f t="shared" si="43"/>
        <v/>
      </c>
      <c r="AF81" t="str">
        <f t="shared" si="44"/>
        <v/>
      </c>
      <c r="AG81" s="171">
        <f>IF(Tabella4281838485[[#This Row],[Investment years]]&lt;$AB$24,SUMIF('CF Timeline'!$C$5:$BC$5,Tabella4281838485[[#This Row],[Year]],'CF Timeline'!$C$59:$BC$59),0)</f>
        <v>0</v>
      </c>
      <c r="AH81" s="171">
        <f>IF(Tabella4281838485[[#This Row],[Investment years]]&lt;$AB$24,Tabella4281838485[[#This Row],[Yearly investment]]+AJ80,0)</f>
        <v>0</v>
      </c>
      <c r="AI81" s="171">
        <f>Tabella4281838485[[#This Row],[Tot invested]]*$AB$25</f>
        <v>0</v>
      </c>
      <c r="AJ81" s="171">
        <f>Tabella4281838485[[#This Row],[Tot invested]]+Tabella4281838485[[#This Row],[Interests]]</f>
        <v>0</v>
      </c>
      <c r="AK81" s="171"/>
      <c r="AP81" t="str">
        <f t="shared" si="45"/>
        <v/>
      </c>
      <c r="AQ81" s="170" t="str">
        <f t="shared" si="46"/>
        <v/>
      </c>
      <c r="AR81" t="str">
        <f t="shared" si="47"/>
        <v/>
      </c>
      <c r="AS81" s="171">
        <f>IF(Tabella428183848586[[#This Row],[Investment years]]&lt;$AN$24,SUMIF('CF Timeline'!$C$5:$BC$5,Tabella428183848586[[#This Row],[Year]],'CF Timeline'!$C$60:$BC$60),0)</f>
        <v>0</v>
      </c>
      <c r="AT81" s="171">
        <f>IF(Tabella428183848586[[#This Row],[Investment years]]&lt;$AN$24,Tabella428183848586[[#This Row],[Yearly investment]]+AV80,0)</f>
        <v>0</v>
      </c>
      <c r="AU81" s="171">
        <f>Tabella428183848586[[#This Row],[Tot invested]]*$AN$25</f>
        <v>0</v>
      </c>
      <c r="AV81" s="171">
        <f>Tabella428183848586[[#This Row],[Tot invested]]+Tabella428183848586[[#This Row],[Interests]]</f>
        <v>0</v>
      </c>
      <c r="AW81" s="171"/>
    </row>
    <row r="82" spans="6:49">
      <c r="F82">
        <f t="shared" si="36"/>
        <v>39</v>
      </c>
      <c r="G82" s="170">
        <f t="shared" ca="1" si="37"/>
        <v>2035</v>
      </c>
      <c r="H82">
        <f t="shared" si="38"/>
        <v>11</v>
      </c>
      <c r="I82" s="171">
        <f ca="1">IF(Tabella428183[[#This Row],[Investment years]]&lt;$C$24,SUMIF('CF Timeline'!$C$5:$BC$5,Tabella428183[[#This Row],[Year]],'CF Timeline'!$C$57:$BC$57),0)</f>
        <v>6391.3009991045665</v>
      </c>
      <c r="J82" s="171" t="e">
        <f ca="1">IF(Tabella428183[[#This Row],[Investment years]]&lt;$C$24,Tabella428183[[#This Row],[Yearly investment]]+L81,0)</f>
        <v>#REF!</v>
      </c>
      <c r="K82" s="171" t="e">
        <f ca="1">Tabella428183[[#This Row],[Tot invested]]*$C$25</f>
        <v>#REF!</v>
      </c>
      <c r="L82" s="171" t="e">
        <f ca="1">Tabella428183[[#This Row],[Tot invested]]+Tabella428183[[#This Row],[Interests]]</f>
        <v>#REF!</v>
      </c>
      <c r="M82" s="171"/>
      <c r="R82">
        <f t="shared" si="39"/>
        <v>39</v>
      </c>
      <c r="S82" s="170">
        <f t="shared" ca="1" si="40"/>
        <v>2035</v>
      </c>
      <c r="T82">
        <f t="shared" si="41"/>
        <v>11</v>
      </c>
      <c r="U82" s="171">
        <f ca="1">IF(Tabella42818384[[#This Row],[Investment years]]&lt;$P$24,SUMIF('CF Timeline'!$C$5:$BC$5,Tabella42818384[[#This Row],[Year]],'CF Timeline'!$C$58:$BC$58),0)</f>
        <v>2830.7169070239493</v>
      </c>
      <c r="V82" s="171" t="e">
        <f ca="1">IF(Tabella42818384[[#This Row],[Investment years]]&lt;$P$24,Tabella42818384[[#This Row],[Yearly investment]]+X81,0)</f>
        <v>#REF!</v>
      </c>
      <c r="W82" s="171" t="e">
        <f ca="1">Tabella42818384[[#This Row],[Tot invested]]*$P$25</f>
        <v>#REF!</v>
      </c>
      <c r="X82" s="171" t="e">
        <f ca="1">Tabella42818384[[#This Row],[Tot invested]]+Tabella42818384[[#This Row],[Interests]]</f>
        <v>#REF!</v>
      </c>
      <c r="Y82" s="171"/>
      <c r="AD82" t="str">
        <f t="shared" si="42"/>
        <v/>
      </c>
      <c r="AE82" s="170" t="str">
        <f t="shared" si="43"/>
        <v/>
      </c>
      <c r="AF82" t="str">
        <f t="shared" si="44"/>
        <v/>
      </c>
      <c r="AG82" s="171">
        <f>IF(Tabella4281838485[[#This Row],[Investment years]]&lt;$AB$24,SUMIF('CF Timeline'!$C$5:$BC$5,Tabella4281838485[[#This Row],[Year]],'CF Timeline'!$C$59:$BC$59),0)</f>
        <v>0</v>
      </c>
      <c r="AH82" s="171">
        <f>IF(Tabella4281838485[[#This Row],[Investment years]]&lt;$AB$24,Tabella4281838485[[#This Row],[Yearly investment]]+AJ81,0)</f>
        <v>0</v>
      </c>
      <c r="AI82" s="171">
        <f>Tabella4281838485[[#This Row],[Tot invested]]*$AB$25</f>
        <v>0</v>
      </c>
      <c r="AJ82" s="171">
        <f>Tabella4281838485[[#This Row],[Tot invested]]+Tabella4281838485[[#This Row],[Interests]]</f>
        <v>0</v>
      </c>
      <c r="AK82" s="171"/>
      <c r="AP82" t="str">
        <f t="shared" si="45"/>
        <v/>
      </c>
      <c r="AQ82" s="170" t="str">
        <f t="shared" si="46"/>
        <v/>
      </c>
      <c r="AR82" t="str">
        <f t="shared" si="47"/>
        <v/>
      </c>
      <c r="AS82" s="171">
        <f>IF(Tabella428183848586[[#This Row],[Investment years]]&lt;$AN$24,SUMIF('CF Timeline'!$C$5:$BC$5,Tabella428183848586[[#This Row],[Year]],'CF Timeline'!$C$60:$BC$60),0)</f>
        <v>0</v>
      </c>
      <c r="AT82" s="171">
        <f>IF(Tabella428183848586[[#This Row],[Investment years]]&lt;$AN$24,Tabella428183848586[[#This Row],[Yearly investment]]+AV81,0)</f>
        <v>0</v>
      </c>
      <c r="AU82" s="171">
        <f>Tabella428183848586[[#This Row],[Tot invested]]*$AN$25</f>
        <v>0</v>
      </c>
      <c r="AV82" s="171">
        <f>Tabella428183848586[[#This Row],[Tot invested]]+Tabella428183848586[[#This Row],[Interests]]</f>
        <v>0</v>
      </c>
      <c r="AW82" s="171"/>
    </row>
    <row r="83" spans="6:49">
      <c r="F83">
        <f t="shared" si="36"/>
        <v>40</v>
      </c>
      <c r="G83" s="170">
        <f t="shared" ca="1" si="37"/>
        <v>2036</v>
      </c>
      <c r="H83">
        <f t="shared" si="38"/>
        <v>12</v>
      </c>
      <c r="I83" s="171">
        <f ca="1">IF(Tabella428183[[#This Row],[Investment years]]&lt;$C$24,SUMIF('CF Timeline'!$C$5:$BC$5,Tabella428183[[#This Row],[Year]],'CF Timeline'!$C$57:$BC$57),0)</f>
        <v>10791.963502737111</v>
      </c>
      <c r="J83" s="171" t="e">
        <f ca="1">IF(Tabella428183[[#This Row],[Investment years]]&lt;$C$24,Tabella428183[[#This Row],[Yearly investment]]+L82,0)</f>
        <v>#REF!</v>
      </c>
      <c r="K83" s="171" t="e">
        <f ca="1">Tabella428183[[#This Row],[Tot invested]]*$C$25</f>
        <v>#REF!</v>
      </c>
      <c r="L83" s="171" t="e">
        <f ca="1">Tabella428183[[#This Row],[Tot invested]]+Tabella428183[[#This Row],[Interests]]</f>
        <v>#REF!</v>
      </c>
      <c r="M83" s="171"/>
      <c r="R83">
        <f t="shared" si="39"/>
        <v>40</v>
      </c>
      <c r="S83" s="170">
        <f t="shared" ca="1" si="40"/>
        <v>2036</v>
      </c>
      <c r="T83">
        <f t="shared" si="41"/>
        <v>12</v>
      </c>
      <c r="U83" s="171">
        <f ca="1">IF(Tabella42818384[[#This Row],[Investment years]]&lt;$P$24,SUMIF('CF Timeline'!$C$5:$BC$5,Tabella42818384[[#This Row],[Year]],'CF Timeline'!$C$58:$BC$58),0)</f>
        <v>0</v>
      </c>
      <c r="V83" s="171" t="e">
        <f ca="1">IF(Tabella42818384[[#This Row],[Investment years]]&lt;$P$24,Tabella42818384[[#This Row],[Yearly investment]]+X82,0)</f>
        <v>#REF!</v>
      </c>
      <c r="W83" s="171" t="e">
        <f ca="1">Tabella42818384[[#This Row],[Tot invested]]*$P$25</f>
        <v>#REF!</v>
      </c>
      <c r="X83" s="171" t="e">
        <f ca="1">Tabella42818384[[#This Row],[Tot invested]]+Tabella42818384[[#This Row],[Interests]]</f>
        <v>#REF!</v>
      </c>
      <c r="Y83" s="171"/>
      <c r="AD83" t="str">
        <f t="shared" si="42"/>
        <v/>
      </c>
      <c r="AE83" s="170" t="str">
        <f t="shared" si="43"/>
        <v/>
      </c>
      <c r="AF83" t="str">
        <f t="shared" si="44"/>
        <v/>
      </c>
      <c r="AG83" s="171">
        <f>IF(Tabella4281838485[[#This Row],[Investment years]]&lt;$AB$24,SUMIF('CF Timeline'!$C$5:$BC$5,Tabella4281838485[[#This Row],[Year]],'CF Timeline'!$C$59:$BC$59),0)</f>
        <v>0</v>
      </c>
      <c r="AH83" s="171">
        <f>IF(Tabella4281838485[[#This Row],[Investment years]]&lt;$AB$24,Tabella4281838485[[#This Row],[Yearly investment]]+AJ82,0)</f>
        <v>0</v>
      </c>
      <c r="AI83" s="171">
        <f>Tabella4281838485[[#This Row],[Tot invested]]*$AB$25</f>
        <v>0</v>
      </c>
      <c r="AJ83" s="171">
        <f>Tabella4281838485[[#This Row],[Tot invested]]+Tabella4281838485[[#This Row],[Interests]]</f>
        <v>0</v>
      </c>
      <c r="AK83" s="171"/>
      <c r="AP83" t="str">
        <f t="shared" si="45"/>
        <v/>
      </c>
      <c r="AQ83" s="170" t="str">
        <f t="shared" si="46"/>
        <v/>
      </c>
      <c r="AR83" t="str">
        <f t="shared" si="47"/>
        <v/>
      </c>
      <c r="AS83" s="171">
        <f>IF(Tabella428183848586[[#This Row],[Investment years]]&lt;$AN$24,SUMIF('CF Timeline'!$C$5:$BC$5,Tabella428183848586[[#This Row],[Year]],'CF Timeline'!$C$60:$BC$60),0)</f>
        <v>0</v>
      </c>
      <c r="AT83" s="171">
        <f>IF(Tabella428183848586[[#This Row],[Investment years]]&lt;$AN$24,Tabella428183848586[[#This Row],[Yearly investment]]+AV82,0)</f>
        <v>0</v>
      </c>
      <c r="AU83" s="171">
        <f>Tabella428183848586[[#This Row],[Tot invested]]*$AN$25</f>
        <v>0</v>
      </c>
      <c r="AV83" s="171">
        <f>Tabella428183848586[[#This Row],[Tot invested]]+Tabella428183848586[[#This Row],[Interests]]</f>
        <v>0</v>
      </c>
      <c r="AW83" s="171"/>
    </row>
    <row r="84" spans="6:49">
      <c r="F84">
        <f t="shared" si="36"/>
        <v>41</v>
      </c>
      <c r="G84" s="170">
        <f t="shared" ca="1" si="37"/>
        <v>2037</v>
      </c>
      <c r="H84">
        <f t="shared" si="38"/>
        <v>13</v>
      </c>
      <c r="I84" s="171">
        <f ca="1">IF(Tabella428183[[#This Row],[Investment years]]&lt;$C$24,SUMIF('CF Timeline'!$C$5:$BC$5,Tabella428183[[#This Row],[Year]],'CF Timeline'!$C$57:$BC$57),0)</f>
        <v>6657.7980630072707</v>
      </c>
      <c r="J84" s="171" t="e">
        <f ca="1">IF(Tabella428183[[#This Row],[Investment years]]&lt;$C$24,Tabella428183[[#This Row],[Yearly investment]]+L83,0)</f>
        <v>#REF!</v>
      </c>
      <c r="K84" s="171" t="e">
        <f ca="1">Tabella428183[[#This Row],[Tot invested]]*$C$25</f>
        <v>#REF!</v>
      </c>
      <c r="L84" s="171" t="e">
        <f ca="1">Tabella428183[[#This Row],[Tot invested]]+Tabella428183[[#This Row],[Interests]]</f>
        <v>#REF!</v>
      </c>
      <c r="M84" s="171"/>
      <c r="R84" t="str">
        <f t="shared" si="39"/>
        <v/>
      </c>
      <c r="S84" s="170" t="str">
        <f t="shared" si="40"/>
        <v/>
      </c>
      <c r="T84" t="str">
        <f t="shared" si="41"/>
        <v/>
      </c>
      <c r="U84" s="171">
        <f>IF(Tabella42818384[[#This Row],[Investment years]]&lt;$P$24,SUMIF('CF Timeline'!$C$5:$BC$5,Tabella42818384[[#This Row],[Year]],'CF Timeline'!$C$58:$BC$58),0)</f>
        <v>0</v>
      </c>
      <c r="V84" s="171">
        <f>IF(Tabella42818384[[#This Row],[Investment years]]&lt;$P$24,Tabella42818384[[#This Row],[Yearly investment]]+X83,0)</f>
        <v>0</v>
      </c>
      <c r="W84" s="171">
        <f>Tabella42818384[[#This Row],[Tot invested]]*$P$25</f>
        <v>0</v>
      </c>
      <c r="X84" s="171">
        <f>Tabella42818384[[#This Row],[Tot invested]]+Tabella42818384[[#This Row],[Interests]]</f>
        <v>0</v>
      </c>
      <c r="Y84" s="171"/>
      <c r="AD84" t="str">
        <f t="shared" si="42"/>
        <v/>
      </c>
      <c r="AE84" s="170" t="str">
        <f t="shared" si="43"/>
        <v/>
      </c>
      <c r="AF84" t="str">
        <f t="shared" si="44"/>
        <v/>
      </c>
      <c r="AG84" s="171">
        <f>IF(Tabella4281838485[[#This Row],[Investment years]]&lt;$AB$24,SUMIF('CF Timeline'!$C$5:$BC$5,Tabella4281838485[[#This Row],[Year]],'CF Timeline'!$C$59:$BC$59),0)</f>
        <v>0</v>
      </c>
      <c r="AH84" s="171">
        <f>IF(Tabella4281838485[[#This Row],[Investment years]]&lt;$AB$24,Tabella4281838485[[#This Row],[Yearly investment]]+AJ83,0)</f>
        <v>0</v>
      </c>
      <c r="AI84" s="171">
        <f>Tabella4281838485[[#This Row],[Tot invested]]*$AB$25</f>
        <v>0</v>
      </c>
      <c r="AJ84" s="171">
        <f>Tabella4281838485[[#This Row],[Tot invested]]+Tabella4281838485[[#This Row],[Interests]]</f>
        <v>0</v>
      </c>
      <c r="AK84" s="171"/>
      <c r="AP84" t="str">
        <f t="shared" si="45"/>
        <v/>
      </c>
      <c r="AQ84" s="170" t="str">
        <f t="shared" si="46"/>
        <v/>
      </c>
      <c r="AR84" t="str">
        <f t="shared" si="47"/>
        <v/>
      </c>
      <c r="AS84" s="171">
        <f>IF(Tabella428183848586[[#This Row],[Investment years]]&lt;$AN$24,SUMIF('CF Timeline'!$C$5:$BC$5,Tabella428183848586[[#This Row],[Year]],'CF Timeline'!$C$60:$BC$60),0)</f>
        <v>0</v>
      </c>
      <c r="AT84" s="171">
        <f>IF(Tabella428183848586[[#This Row],[Investment years]]&lt;$AN$24,Tabella428183848586[[#This Row],[Yearly investment]]+AV83,0)</f>
        <v>0</v>
      </c>
      <c r="AU84" s="171">
        <f>Tabella428183848586[[#This Row],[Tot invested]]*$AN$25</f>
        <v>0</v>
      </c>
      <c r="AV84" s="171">
        <f>Tabella428183848586[[#This Row],[Tot invested]]+Tabella428183848586[[#This Row],[Interests]]</f>
        <v>0</v>
      </c>
      <c r="AW84" s="171"/>
    </row>
    <row r="85" spans="6:49">
      <c r="F85">
        <f t="shared" si="36"/>
        <v>42</v>
      </c>
      <c r="G85" s="170">
        <f t="shared" ca="1" si="37"/>
        <v>2038</v>
      </c>
      <c r="H85">
        <f t="shared" si="38"/>
        <v>14</v>
      </c>
      <c r="I85" s="171">
        <f ca="1">IF(Tabella428183[[#This Row],[Investment years]]&lt;$C$24,SUMIF('CF Timeline'!$C$5:$BC$5,Tabella428183[[#This Row],[Year]],'CF Timeline'!$C$57:$BC$57),0)</f>
        <v>8153.3625494409353</v>
      </c>
      <c r="J85" s="171" t="e">
        <f ca="1">IF(Tabella428183[[#This Row],[Investment years]]&lt;$C$24,Tabella428183[[#This Row],[Yearly investment]]+L84,0)</f>
        <v>#REF!</v>
      </c>
      <c r="K85" s="171" t="e">
        <f ca="1">Tabella428183[[#This Row],[Tot invested]]*$C$25</f>
        <v>#REF!</v>
      </c>
      <c r="L85" s="171" t="e">
        <f ca="1">Tabella428183[[#This Row],[Tot invested]]+Tabella428183[[#This Row],[Interests]]</f>
        <v>#REF!</v>
      </c>
      <c r="M85" s="171"/>
      <c r="R85" t="str">
        <f t="shared" si="39"/>
        <v/>
      </c>
      <c r="S85" s="170" t="str">
        <f t="shared" si="40"/>
        <v/>
      </c>
      <c r="T85" t="str">
        <f t="shared" si="41"/>
        <v/>
      </c>
      <c r="U85" s="171">
        <f>IF(Tabella42818384[[#This Row],[Investment years]]&lt;$P$24,SUMIF('CF Timeline'!$C$5:$BC$5,Tabella42818384[[#This Row],[Year]],'CF Timeline'!$C$58:$BC$58),0)</f>
        <v>0</v>
      </c>
      <c r="V85" s="171">
        <f>IF(Tabella42818384[[#This Row],[Investment years]]&lt;$P$24,Tabella42818384[[#This Row],[Yearly investment]]+X84,0)</f>
        <v>0</v>
      </c>
      <c r="W85" s="171">
        <f>Tabella42818384[[#This Row],[Tot invested]]*$P$25</f>
        <v>0</v>
      </c>
      <c r="X85" s="171">
        <f>Tabella42818384[[#This Row],[Tot invested]]+Tabella42818384[[#This Row],[Interests]]</f>
        <v>0</v>
      </c>
      <c r="Y85" s="171"/>
      <c r="AD85" t="str">
        <f t="shared" si="42"/>
        <v/>
      </c>
      <c r="AE85" s="170" t="str">
        <f t="shared" si="43"/>
        <v/>
      </c>
      <c r="AF85" t="str">
        <f t="shared" si="44"/>
        <v/>
      </c>
      <c r="AG85" s="171">
        <f>IF(Tabella4281838485[[#This Row],[Investment years]]&lt;$AB$24,SUMIF('CF Timeline'!$C$5:$BC$5,Tabella4281838485[[#This Row],[Year]],'CF Timeline'!$C$59:$BC$59),0)</f>
        <v>0</v>
      </c>
      <c r="AH85" s="171">
        <f>IF(Tabella4281838485[[#This Row],[Investment years]]&lt;$AB$24,Tabella4281838485[[#This Row],[Yearly investment]]+AJ84,0)</f>
        <v>0</v>
      </c>
      <c r="AI85" s="171">
        <f>Tabella4281838485[[#This Row],[Tot invested]]*$AB$25</f>
        <v>0</v>
      </c>
      <c r="AJ85" s="171">
        <f>Tabella4281838485[[#This Row],[Tot invested]]+Tabella4281838485[[#This Row],[Interests]]</f>
        <v>0</v>
      </c>
      <c r="AK85" s="171"/>
      <c r="AP85" t="str">
        <f t="shared" si="45"/>
        <v/>
      </c>
      <c r="AQ85" s="170" t="str">
        <f t="shared" si="46"/>
        <v/>
      </c>
      <c r="AR85" t="str">
        <f t="shared" si="47"/>
        <v/>
      </c>
      <c r="AS85" s="171">
        <f>IF(Tabella428183848586[[#This Row],[Investment years]]&lt;$AN$24,SUMIF('CF Timeline'!$C$5:$BC$5,Tabella428183848586[[#This Row],[Year]],'CF Timeline'!$C$60:$BC$60),0)</f>
        <v>0</v>
      </c>
      <c r="AT85" s="171">
        <f>IF(Tabella428183848586[[#This Row],[Investment years]]&lt;$AN$24,Tabella428183848586[[#This Row],[Yearly investment]]+AV84,0)</f>
        <v>0</v>
      </c>
      <c r="AU85" s="171">
        <f>Tabella428183848586[[#This Row],[Tot invested]]*$AN$25</f>
        <v>0</v>
      </c>
      <c r="AV85" s="171">
        <f>Tabella428183848586[[#This Row],[Tot invested]]+Tabella428183848586[[#This Row],[Interests]]</f>
        <v>0</v>
      </c>
      <c r="AW85" s="171"/>
    </row>
    <row r="86" spans="6:49">
      <c r="F86">
        <f t="shared" si="36"/>
        <v>43</v>
      </c>
      <c r="G86" s="170">
        <f t="shared" ca="1" si="37"/>
        <v>2039</v>
      </c>
      <c r="H86">
        <f t="shared" si="38"/>
        <v>15</v>
      </c>
      <c r="I86" s="171">
        <f ca="1">IF(Tabella428183[[#This Row],[Investment years]]&lt;$C$24,SUMIF('CF Timeline'!$C$5:$BC$5,Tabella428183[[#This Row],[Year]],'CF Timeline'!$C$57:$BC$57),0)</f>
        <v>9687.671462481434</v>
      </c>
      <c r="J86" s="171" t="e">
        <f ca="1">IF(Tabella428183[[#This Row],[Investment years]]&lt;$C$24,Tabella428183[[#This Row],[Yearly investment]]+L85,0)</f>
        <v>#REF!</v>
      </c>
      <c r="K86" s="171" t="e">
        <f ca="1">Tabella428183[[#This Row],[Tot invested]]*$C$25</f>
        <v>#REF!</v>
      </c>
      <c r="L86" s="171" t="e">
        <f ca="1">Tabella428183[[#This Row],[Tot invested]]+Tabella428183[[#This Row],[Interests]]</f>
        <v>#REF!</v>
      </c>
      <c r="M86" s="171"/>
      <c r="R86" t="str">
        <f t="shared" si="39"/>
        <v/>
      </c>
      <c r="S86" s="170" t="str">
        <f t="shared" si="40"/>
        <v/>
      </c>
      <c r="T86" t="str">
        <f t="shared" si="41"/>
        <v/>
      </c>
      <c r="U86" s="171">
        <f>IF(Tabella42818384[[#This Row],[Investment years]]&lt;$P$24,SUMIF('CF Timeline'!$C$5:$BC$5,Tabella42818384[[#This Row],[Year]],'CF Timeline'!$C$58:$BC$58),0)</f>
        <v>0</v>
      </c>
      <c r="V86" s="171">
        <f>IF(Tabella42818384[[#This Row],[Investment years]]&lt;$P$24,Tabella42818384[[#This Row],[Yearly investment]]+X85,0)</f>
        <v>0</v>
      </c>
      <c r="W86" s="171">
        <f>Tabella42818384[[#This Row],[Tot invested]]*$P$25</f>
        <v>0</v>
      </c>
      <c r="X86" s="171">
        <f>Tabella42818384[[#This Row],[Tot invested]]+Tabella42818384[[#This Row],[Interests]]</f>
        <v>0</v>
      </c>
      <c r="Y86" s="171"/>
      <c r="AD86" t="str">
        <f t="shared" si="42"/>
        <v/>
      </c>
      <c r="AE86" s="170" t="str">
        <f t="shared" si="43"/>
        <v/>
      </c>
      <c r="AF86" t="str">
        <f t="shared" si="44"/>
        <v/>
      </c>
      <c r="AG86" s="171">
        <f>IF(Tabella4281838485[[#This Row],[Investment years]]&lt;$AB$24,SUMIF('CF Timeline'!$C$5:$BC$5,Tabella4281838485[[#This Row],[Year]],'CF Timeline'!$C$59:$BC$59),0)</f>
        <v>0</v>
      </c>
      <c r="AH86" s="171">
        <f>IF(Tabella4281838485[[#This Row],[Investment years]]&lt;$AB$24,Tabella4281838485[[#This Row],[Yearly investment]]+AJ85,0)</f>
        <v>0</v>
      </c>
      <c r="AI86" s="171">
        <f>Tabella4281838485[[#This Row],[Tot invested]]*$AB$25</f>
        <v>0</v>
      </c>
      <c r="AJ86" s="171">
        <f>Tabella4281838485[[#This Row],[Tot invested]]+Tabella4281838485[[#This Row],[Interests]]</f>
        <v>0</v>
      </c>
      <c r="AK86" s="171"/>
      <c r="AP86" t="str">
        <f t="shared" si="45"/>
        <v/>
      </c>
      <c r="AQ86" s="170" t="str">
        <f t="shared" si="46"/>
        <v/>
      </c>
      <c r="AR86" t="str">
        <f t="shared" si="47"/>
        <v/>
      </c>
      <c r="AS86" s="171">
        <f>IF(Tabella428183848586[[#This Row],[Investment years]]&lt;$AN$24,SUMIF('CF Timeline'!$C$5:$BC$5,Tabella428183848586[[#This Row],[Year]],'CF Timeline'!$C$60:$BC$60),0)</f>
        <v>0</v>
      </c>
      <c r="AT86" s="171">
        <f>IF(Tabella428183848586[[#This Row],[Investment years]]&lt;$AN$24,Tabella428183848586[[#This Row],[Yearly investment]]+AV85,0)</f>
        <v>0</v>
      </c>
      <c r="AU86" s="171">
        <f>Tabella428183848586[[#This Row],[Tot invested]]*$AN$25</f>
        <v>0</v>
      </c>
      <c r="AV86" s="171">
        <f>Tabella428183848586[[#This Row],[Tot invested]]+Tabella428183848586[[#This Row],[Interests]]</f>
        <v>0</v>
      </c>
      <c r="AW86" s="171"/>
    </row>
    <row r="87" spans="6:49">
      <c r="F87">
        <f t="shared" si="36"/>
        <v>44</v>
      </c>
      <c r="G87" s="170">
        <f t="shared" ca="1" si="37"/>
        <v>2040</v>
      </c>
      <c r="H87">
        <f t="shared" si="38"/>
        <v>16</v>
      </c>
      <c r="I87" s="171">
        <f ca="1">IF(Tabella428183[[#This Row],[Investment years]]&lt;$C$24,SUMIF('CF Timeline'!$C$5:$BC$5,Tabella428183[[#This Row],[Year]],'CF Timeline'!$C$57:$BC$57),0)</f>
        <v>11261.830844768498</v>
      </c>
      <c r="J87" s="171" t="e">
        <f ca="1">IF(Tabella428183[[#This Row],[Investment years]]&lt;$C$24,Tabella428183[[#This Row],[Yearly investment]]+L86,0)</f>
        <v>#REF!</v>
      </c>
      <c r="K87" s="171" t="e">
        <f ca="1">Tabella428183[[#This Row],[Tot invested]]*$C$25</f>
        <v>#REF!</v>
      </c>
      <c r="L87" s="171" t="e">
        <f ca="1">Tabella428183[[#This Row],[Tot invested]]+Tabella428183[[#This Row],[Interests]]</f>
        <v>#REF!</v>
      </c>
      <c r="M87" s="171"/>
      <c r="R87" t="str">
        <f t="shared" si="39"/>
        <v/>
      </c>
      <c r="S87" s="170" t="str">
        <f t="shared" si="40"/>
        <v/>
      </c>
      <c r="T87" t="str">
        <f t="shared" si="41"/>
        <v/>
      </c>
      <c r="U87" s="171">
        <f>IF(Tabella42818384[[#This Row],[Investment years]]&lt;$P$24,SUMIF('CF Timeline'!$C$5:$BC$5,Tabella42818384[[#This Row],[Year]],'CF Timeline'!$C$58:$BC$58),0)</f>
        <v>0</v>
      </c>
      <c r="V87" s="171">
        <f>IF(Tabella42818384[[#This Row],[Investment years]]&lt;$P$24,Tabella42818384[[#This Row],[Yearly investment]]+X86,0)</f>
        <v>0</v>
      </c>
      <c r="W87" s="171">
        <f>Tabella42818384[[#This Row],[Tot invested]]*$P$25</f>
        <v>0</v>
      </c>
      <c r="X87" s="171">
        <f>Tabella42818384[[#This Row],[Tot invested]]+Tabella42818384[[#This Row],[Interests]]</f>
        <v>0</v>
      </c>
      <c r="Y87" s="171"/>
      <c r="AD87" t="str">
        <f t="shared" si="42"/>
        <v/>
      </c>
      <c r="AE87" s="170" t="str">
        <f t="shared" si="43"/>
        <v/>
      </c>
      <c r="AF87" t="str">
        <f t="shared" si="44"/>
        <v/>
      </c>
      <c r="AG87" s="171">
        <f>IF(Tabella4281838485[[#This Row],[Investment years]]&lt;$AB$24,SUMIF('CF Timeline'!$C$5:$BC$5,Tabella4281838485[[#This Row],[Year]],'CF Timeline'!$C$59:$BC$59),0)</f>
        <v>0</v>
      </c>
      <c r="AH87" s="171">
        <f>IF(Tabella4281838485[[#This Row],[Investment years]]&lt;$AB$24,Tabella4281838485[[#This Row],[Yearly investment]]+AJ86,0)</f>
        <v>0</v>
      </c>
      <c r="AI87" s="171">
        <f>Tabella4281838485[[#This Row],[Tot invested]]*$AB$25</f>
        <v>0</v>
      </c>
      <c r="AJ87" s="171">
        <f>Tabella4281838485[[#This Row],[Tot invested]]+Tabella4281838485[[#This Row],[Interests]]</f>
        <v>0</v>
      </c>
      <c r="AK87" s="171"/>
      <c r="AP87" t="str">
        <f t="shared" si="45"/>
        <v/>
      </c>
      <c r="AQ87" s="170" t="str">
        <f t="shared" si="46"/>
        <v/>
      </c>
      <c r="AR87" t="str">
        <f t="shared" si="47"/>
        <v/>
      </c>
      <c r="AS87" s="171">
        <f>IF(Tabella428183848586[[#This Row],[Investment years]]&lt;$AN$24,SUMIF('CF Timeline'!$C$5:$BC$5,Tabella428183848586[[#This Row],[Year]],'CF Timeline'!$C$60:$BC$60),0)</f>
        <v>0</v>
      </c>
      <c r="AT87" s="171">
        <f>IF(Tabella428183848586[[#This Row],[Investment years]]&lt;$AN$24,Tabella428183848586[[#This Row],[Yearly investment]]+AV86,0)</f>
        <v>0</v>
      </c>
      <c r="AU87" s="171">
        <f>Tabella428183848586[[#This Row],[Tot invested]]*$AN$25</f>
        <v>0</v>
      </c>
      <c r="AV87" s="171">
        <f>Tabella428183848586[[#This Row],[Tot invested]]+Tabella428183848586[[#This Row],[Interests]]</f>
        <v>0</v>
      </c>
      <c r="AW87" s="171"/>
    </row>
    <row r="88" spans="6:49">
      <c r="F88">
        <f t="shared" si="36"/>
        <v>45</v>
      </c>
      <c r="G88" s="170">
        <f t="shared" ca="1" si="37"/>
        <v>2041</v>
      </c>
      <c r="H88">
        <f t="shared" si="38"/>
        <v>17</v>
      </c>
      <c r="I88" s="171">
        <f ca="1">IF(Tabella428183[[#This Row],[Investment years]]&lt;$C$24,SUMIF('CF Timeline'!$C$5:$BC$5,Tabella428183[[#This Row],[Year]],'CF Timeline'!$C$57:$BC$57),0)</f>
        <v>4235.8321580553893</v>
      </c>
      <c r="J88" s="171" t="e">
        <f ca="1">IF(Tabella428183[[#This Row],[Investment years]]&lt;$C$24,Tabella428183[[#This Row],[Yearly investment]]+L87,0)</f>
        <v>#REF!</v>
      </c>
      <c r="K88" s="171" t="e">
        <f ca="1">Tabella428183[[#This Row],[Tot invested]]*$C$25</f>
        <v>#REF!</v>
      </c>
      <c r="L88" s="171" t="e">
        <f ca="1">Tabella428183[[#This Row],[Tot invested]]+Tabella428183[[#This Row],[Interests]]</f>
        <v>#REF!</v>
      </c>
      <c r="M88" s="171"/>
      <c r="R88" t="str">
        <f t="shared" si="39"/>
        <v/>
      </c>
      <c r="S88" s="170" t="str">
        <f t="shared" si="40"/>
        <v/>
      </c>
      <c r="T88" t="str">
        <f t="shared" si="41"/>
        <v/>
      </c>
      <c r="U88" s="171">
        <f>IF(Tabella42818384[[#This Row],[Investment years]]&lt;$P$24,SUMIF('CF Timeline'!$C$5:$BC$5,Tabella42818384[[#This Row],[Year]],'CF Timeline'!$C$58:$BC$58),0)</f>
        <v>0</v>
      </c>
      <c r="V88" s="171">
        <f>IF(Tabella42818384[[#This Row],[Investment years]]&lt;$P$24,Tabella42818384[[#This Row],[Yearly investment]]+X87,0)</f>
        <v>0</v>
      </c>
      <c r="W88" s="171">
        <f>Tabella42818384[[#This Row],[Tot invested]]*$P$25</f>
        <v>0</v>
      </c>
      <c r="X88" s="171">
        <f>Tabella42818384[[#This Row],[Tot invested]]+Tabella42818384[[#This Row],[Interests]]</f>
        <v>0</v>
      </c>
      <c r="Y88" s="171"/>
      <c r="AD88" t="str">
        <f t="shared" si="42"/>
        <v/>
      </c>
      <c r="AE88" s="170" t="str">
        <f t="shared" si="43"/>
        <v/>
      </c>
      <c r="AF88" t="str">
        <f t="shared" si="44"/>
        <v/>
      </c>
      <c r="AG88" s="171">
        <f>IF(Tabella4281838485[[#This Row],[Investment years]]&lt;$AB$24,SUMIF('CF Timeline'!$C$5:$BC$5,Tabella4281838485[[#This Row],[Year]],'CF Timeline'!$C$59:$BC$59),0)</f>
        <v>0</v>
      </c>
      <c r="AH88" s="171">
        <f>IF(Tabella4281838485[[#This Row],[Investment years]]&lt;$AB$24,Tabella4281838485[[#This Row],[Yearly investment]]+AJ87,0)</f>
        <v>0</v>
      </c>
      <c r="AI88" s="171">
        <f>Tabella4281838485[[#This Row],[Tot invested]]*$AB$25</f>
        <v>0</v>
      </c>
      <c r="AJ88" s="171">
        <f>Tabella4281838485[[#This Row],[Tot invested]]+Tabella4281838485[[#This Row],[Interests]]</f>
        <v>0</v>
      </c>
      <c r="AK88" s="171"/>
      <c r="AP88" t="str">
        <f t="shared" si="45"/>
        <v/>
      </c>
      <c r="AQ88" s="170" t="str">
        <f t="shared" si="46"/>
        <v/>
      </c>
      <c r="AR88" t="str">
        <f t="shared" si="47"/>
        <v/>
      </c>
      <c r="AS88" s="171">
        <f>IF(Tabella428183848586[[#This Row],[Investment years]]&lt;$AN$24,SUMIF('CF Timeline'!$C$5:$BC$5,Tabella428183848586[[#This Row],[Year]],'CF Timeline'!$C$60:$BC$60),0)</f>
        <v>0</v>
      </c>
      <c r="AT88" s="171">
        <f>IF(Tabella428183848586[[#This Row],[Investment years]]&lt;$AN$24,Tabella428183848586[[#This Row],[Yearly investment]]+AV87,0)</f>
        <v>0</v>
      </c>
      <c r="AU88" s="171">
        <f>Tabella428183848586[[#This Row],[Tot invested]]*$AN$25</f>
        <v>0</v>
      </c>
      <c r="AV88" s="171">
        <f>Tabella428183848586[[#This Row],[Tot invested]]+Tabella428183848586[[#This Row],[Interests]]</f>
        <v>0</v>
      </c>
      <c r="AW88" s="171"/>
    </row>
    <row r="89" spans="6:49">
      <c r="F89">
        <f t="shared" si="36"/>
        <v>46</v>
      </c>
      <c r="G89" s="170">
        <f t="shared" ca="1" si="37"/>
        <v>2042</v>
      </c>
      <c r="H89">
        <f t="shared" si="38"/>
        <v>18</v>
      </c>
      <c r="I89" s="171">
        <f ca="1">IF(Tabella428183[[#This Row],[Investment years]]&lt;$C$24,SUMIF('CF Timeline'!$C$5:$BC$5,Tabella428183[[#This Row],[Year]],'CF Timeline'!$C$57:$BC$57),0)</f>
        <v>5665.8673156733857</v>
      </c>
      <c r="J89" s="171" t="e">
        <f ca="1">IF(Tabella428183[[#This Row],[Investment years]]&lt;$C$24,Tabella428183[[#This Row],[Yearly investment]]+L88,0)</f>
        <v>#REF!</v>
      </c>
      <c r="K89" s="171" t="e">
        <f ca="1">Tabella428183[[#This Row],[Tot invested]]*$C$25</f>
        <v>#REF!</v>
      </c>
      <c r="L89" s="171" t="e">
        <f ca="1">Tabella428183[[#This Row],[Tot invested]]+Tabella428183[[#This Row],[Interests]]</f>
        <v>#REF!</v>
      </c>
      <c r="M89" s="171"/>
      <c r="R89" t="str">
        <f t="shared" si="39"/>
        <v/>
      </c>
      <c r="S89" s="170" t="str">
        <f t="shared" si="40"/>
        <v/>
      </c>
      <c r="T89" t="str">
        <f t="shared" si="41"/>
        <v/>
      </c>
      <c r="U89" s="171">
        <f>IF(Tabella42818384[[#This Row],[Investment years]]&lt;$P$24,SUMIF('CF Timeline'!$C$5:$BC$5,Tabella42818384[[#This Row],[Year]],'CF Timeline'!$C$58:$BC$58),0)</f>
        <v>0</v>
      </c>
      <c r="V89" s="171">
        <f>IF(Tabella42818384[[#This Row],[Investment years]]&lt;$P$24,Tabella42818384[[#This Row],[Yearly investment]]+X88,0)</f>
        <v>0</v>
      </c>
      <c r="W89" s="171">
        <f>Tabella42818384[[#This Row],[Tot invested]]*$P$25</f>
        <v>0</v>
      </c>
      <c r="X89" s="171">
        <f>Tabella42818384[[#This Row],[Tot invested]]+Tabella42818384[[#This Row],[Interests]]</f>
        <v>0</v>
      </c>
      <c r="Y89" s="171"/>
      <c r="AD89" t="str">
        <f t="shared" si="42"/>
        <v/>
      </c>
      <c r="AE89" s="170" t="str">
        <f t="shared" si="43"/>
        <v/>
      </c>
      <c r="AF89" t="str">
        <f t="shared" si="44"/>
        <v/>
      </c>
      <c r="AG89" s="171">
        <f>IF(Tabella4281838485[[#This Row],[Investment years]]&lt;$AB$24,SUMIF('CF Timeline'!$C$5:$BC$5,Tabella4281838485[[#This Row],[Year]],'CF Timeline'!$C$59:$BC$59),0)</f>
        <v>0</v>
      </c>
      <c r="AH89" s="171">
        <f>IF(Tabella4281838485[[#This Row],[Investment years]]&lt;$AB$24,Tabella4281838485[[#This Row],[Yearly investment]]+AJ88,0)</f>
        <v>0</v>
      </c>
      <c r="AI89" s="171">
        <f>Tabella4281838485[[#This Row],[Tot invested]]*$AB$25</f>
        <v>0</v>
      </c>
      <c r="AJ89" s="171">
        <f>Tabella4281838485[[#This Row],[Tot invested]]+Tabella4281838485[[#This Row],[Interests]]</f>
        <v>0</v>
      </c>
      <c r="AK89" s="171"/>
      <c r="AP89" t="str">
        <f t="shared" si="45"/>
        <v/>
      </c>
      <c r="AQ89" s="170" t="str">
        <f t="shared" si="46"/>
        <v/>
      </c>
      <c r="AR89" t="str">
        <f t="shared" si="47"/>
        <v/>
      </c>
      <c r="AS89" s="171">
        <f>IF(Tabella428183848586[[#This Row],[Investment years]]&lt;$AN$24,SUMIF('CF Timeline'!$C$5:$BC$5,Tabella428183848586[[#This Row],[Year]],'CF Timeline'!$C$60:$BC$60),0)</f>
        <v>0</v>
      </c>
      <c r="AT89" s="171">
        <f>IF(Tabella428183848586[[#This Row],[Investment years]]&lt;$AN$24,Tabella428183848586[[#This Row],[Yearly investment]]+AV88,0)</f>
        <v>0</v>
      </c>
      <c r="AU89" s="171">
        <f>Tabella428183848586[[#This Row],[Tot invested]]*$AN$25</f>
        <v>0</v>
      </c>
      <c r="AV89" s="171">
        <f>Tabella428183848586[[#This Row],[Tot invested]]+Tabella428183848586[[#This Row],[Interests]]</f>
        <v>0</v>
      </c>
      <c r="AW89" s="171"/>
    </row>
    <row r="90" spans="6:49">
      <c r="F90">
        <f t="shared" si="36"/>
        <v>47</v>
      </c>
      <c r="G90" s="170">
        <f t="shared" ca="1" si="37"/>
        <v>2043</v>
      </c>
      <c r="H90">
        <f t="shared" si="38"/>
        <v>19</v>
      </c>
      <c r="I90" s="171">
        <f ca="1">IF(Tabella428183[[#This Row],[Investment years]]&lt;$C$24,SUMIF('CF Timeline'!$C$5:$BC$5,Tabella428183[[#This Row],[Year]],'CF Timeline'!$C$57:$BC$57),0)</f>
        <v>-2473.9001436197432</v>
      </c>
      <c r="J90" s="171" t="e">
        <f ca="1">IF(Tabella428183[[#This Row],[Investment years]]&lt;$C$24,Tabella428183[[#This Row],[Yearly investment]]+L89,0)</f>
        <v>#REF!</v>
      </c>
      <c r="K90" s="171" t="e">
        <f ca="1">Tabella428183[[#This Row],[Tot invested]]*$C$25</f>
        <v>#REF!</v>
      </c>
      <c r="L90" s="171" t="e">
        <f ca="1">Tabella428183[[#This Row],[Tot invested]]+Tabella428183[[#This Row],[Interests]]</f>
        <v>#REF!</v>
      </c>
      <c r="M90" s="171"/>
      <c r="R90" t="str">
        <f t="shared" si="39"/>
        <v/>
      </c>
      <c r="S90" s="170" t="str">
        <f t="shared" si="40"/>
        <v/>
      </c>
      <c r="T90" t="str">
        <f t="shared" si="41"/>
        <v/>
      </c>
      <c r="U90" s="171">
        <f>IF(Tabella42818384[[#This Row],[Investment years]]&lt;$P$24,SUMIF('CF Timeline'!$C$5:$BC$5,Tabella42818384[[#This Row],[Year]],'CF Timeline'!$C$58:$BC$58),0)</f>
        <v>0</v>
      </c>
      <c r="V90" s="171">
        <f>IF(Tabella42818384[[#This Row],[Investment years]]&lt;$P$24,Tabella42818384[[#This Row],[Yearly investment]]+X89,0)</f>
        <v>0</v>
      </c>
      <c r="W90" s="171">
        <f>Tabella42818384[[#This Row],[Tot invested]]*$P$25</f>
        <v>0</v>
      </c>
      <c r="X90" s="171">
        <f>Tabella42818384[[#This Row],[Tot invested]]+Tabella42818384[[#This Row],[Interests]]</f>
        <v>0</v>
      </c>
      <c r="Y90" s="171"/>
      <c r="AD90" t="str">
        <f t="shared" si="42"/>
        <v/>
      </c>
      <c r="AE90" s="170" t="str">
        <f t="shared" si="43"/>
        <v/>
      </c>
      <c r="AF90" t="str">
        <f t="shared" si="44"/>
        <v/>
      </c>
      <c r="AG90" s="171">
        <f>IF(Tabella4281838485[[#This Row],[Investment years]]&lt;$AB$24,SUMIF('CF Timeline'!$C$5:$BC$5,Tabella4281838485[[#This Row],[Year]],'CF Timeline'!$C$59:$BC$59),0)</f>
        <v>0</v>
      </c>
      <c r="AH90" s="171">
        <f>IF(Tabella4281838485[[#This Row],[Investment years]]&lt;$AB$24,Tabella4281838485[[#This Row],[Yearly investment]]+AJ89,0)</f>
        <v>0</v>
      </c>
      <c r="AI90" s="171">
        <f>Tabella4281838485[[#This Row],[Tot invested]]*$AB$25</f>
        <v>0</v>
      </c>
      <c r="AJ90" s="171">
        <f>Tabella4281838485[[#This Row],[Tot invested]]+Tabella4281838485[[#This Row],[Interests]]</f>
        <v>0</v>
      </c>
      <c r="AK90" s="171"/>
      <c r="AP90" t="str">
        <f t="shared" si="45"/>
        <v/>
      </c>
      <c r="AQ90" s="170" t="str">
        <f t="shared" si="46"/>
        <v/>
      </c>
      <c r="AR90" t="str">
        <f t="shared" si="47"/>
        <v/>
      </c>
      <c r="AS90" s="171">
        <f>IF(Tabella428183848586[[#This Row],[Investment years]]&lt;$AN$24,SUMIF('CF Timeline'!$C$5:$BC$5,Tabella428183848586[[#This Row],[Year]],'CF Timeline'!$C$60:$BC$60),0)</f>
        <v>0</v>
      </c>
      <c r="AT90" s="171">
        <f>IF(Tabella428183848586[[#This Row],[Investment years]]&lt;$AN$24,Tabella428183848586[[#This Row],[Yearly investment]]+AV89,0)</f>
        <v>0</v>
      </c>
      <c r="AU90" s="171">
        <f>Tabella428183848586[[#This Row],[Tot invested]]*$AN$25</f>
        <v>0</v>
      </c>
      <c r="AV90" s="171">
        <f>Tabella428183848586[[#This Row],[Tot invested]]+Tabella428183848586[[#This Row],[Interests]]</f>
        <v>0</v>
      </c>
      <c r="AW90" s="171"/>
    </row>
    <row r="91" spans="6:49">
      <c r="F91">
        <f t="shared" si="36"/>
        <v>48</v>
      </c>
      <c r="G91" s="170">
        <f t="shared" ca="1" si="37"/>
        <v>2044</v>
      </c>
      <c r="H91">
        <f t="shared" si="38"/>
        <v>20</v>
      </c>
      <c r="I91" s="171">
        <f ca="1">IF(Tabella428183[[#This Row],[Investment years]]&lt;$C$24,SUMIF('CF Timeline'!$C$5:$BC$5,Tabella428183[[#This Row],[Year]],'CF Timeline'!$C$57:$BC$57),0)</f>
        <v>-1219.4722903317306</v>
      </c>
      <c r="J91" s="171" t="e">
        <f ca="1">IF(Tabella428183[[#This Row],[Investment years]]&lt;$C$24,Tabella428183[[#This Row],[Yearly investment]]+L90,0)</f>
        <v>#REF!</v>
      </c>
      <c r="K91" s="171" t="e">
        <f ca="1">Tabella428183[[#This Row],[Tot invested]]*$C$25</f>
        <v>#REF!</v>
      </c>
      <c r="L91" s="171" t="e">
        <f ca="1">Tabella428183[[#This Row],[Tot invested]]+Tabella428183[[#This Row],[Interests]]</f>
        <v>#REF!</v>
      </c>
      <c r="M91" s="171"/>
      <c r="R91" t="str">
        <f t="shared" si="39"/>
        <v/>
      </c>
      <c r="S91" s="170" t="str">
        <f t="shared" si="40"/>
        <v/>
      </c>
      <c r="T91" t="str">
        <f t="shared" si="41"/>
        <v/>
      </c>
      <c r="U91" s="171">
        <f>IF(Tabella42818384[[#This Row],[Investment years]]&lt;$P$24,SUMIF('CF Timeline'!$C$5:$BC$5,Tabella42818384[[#This Row],[Year]],'CF Timeline'!$C$58:$BC$58),0)</f>
        <v>0</v>
      </c>
      <c r="V91" s="171">
        <f>IF(Tabella42818384[[#This Row],[Investment years]]&lt;$P$24,Tabella42818384[[#This Row],[Yearly investment]]+X90,0)</f>
        <v>0</v>
      </c>
      <c r="W91" s="171">
        <f>Tabella42818384[[#This Row],[Tot invested]]*$P$25</f>
        <v>0</v>
      </c>
      <c r="X91" s="171">
        <f>Tabella42818384[[#This Row],[Tot invested]]+Tabella42818384[[#This Row],[Interests]]</f>
        <v>0</v>
      </c>
      <c r="Y91" s="171"/>
      <c r="AD91" t="str">
        <f t="shared" si="42"/>
        <v/>
      </c>
      <c r="AE91" s="170" t="str">
        <f t="shared" si="43"/>
        <v/>
      </c>
      <c r="AF91" t="str">
        <f t="shared" si="44"/>
        <v/>
      </c>
      <c r="AG91" s="171">
        <f>IF(Tabella4281838485[[#This Row],[Investment years]]&lt;$AB$24,SUMIF('CF Timeline'!$C$5:$BC$5,Tabella4281838485[[#This Row],[Year]],'CF Timeline'!$C$59:$BC$59),0)</f>
        <v>0</v>
      </c>
      <c r="AH91" s="171">
        <f>IF(Tabella4281838485[[#This Row],[Investment years]]&lt;$AB$24,Tabella4281838485[[#This Row],[Yearly investment]]+AJ90,0)</f>
        <v>0</v>
      </c>
      <c r="AI91" s="171">
        <f>Tabella4281838485[[#This Row],[Tot invested]]*$AB$25</f>
        <v>0</v>
      </c>
      <c r="AJ91" s="171">
        <f>Tabella4281838485[[#This Row],[Tot invested]]+Tabella4281838485[[#This Row],[Interests]]</f>
        <v>0</v>
      </c>
      <c r="AK91" s="171"/>
      <c r="AP91" t="str">
        <f t="shared" si="45"/>
        <v/>
      </c>
      <c r="AQ91" s="170" t="str">
        <f t="shared" si="46"/>
        <v/>
      </c>
      <c r="AR91" t="str">
        <f t="shared" si="47"/>
        <v/>
      </c>
      <c r="AS91" s="171">
        <f>IF(Tabella428183848586[[#This Row],[Investment years]]&lt;$AN$24,SUMIF('CF Timeline'!$C$5:$BC$5,Tabella428183848586[[#This Row],[Year]],'CF Timeline'!$C$60:$BC$60),0)</f>
        <v>0</v>
      </c>
      <c r="AT91" s="171">
        <f>IF(Tabella428183848586[[#This Row],[Investment years]]&lt;$AN$24,Tabella428183848586[[#This Row],[Yearly investment]]+AV90,0)</f>
        <v>0</v>
      </c>
      <c r="AU91" s="171">
        <f>Tabella428183848586[[#This Row],[Tot invested]]*$AN$25</f>
        <v>0</v>
      </c>
      <c r="AV91" s="171">
        <f>Tabella428183848586[[#This Row],[Tot invested]]+Tabella428183848586[[#This Row],[Interests]]</f>
        <v>0</v>
      </c>
      <c r="AW91" s="171"/>
    </row>
    <row r="92" spans="6:49">
      <c r="F92">
        <f t="shared" si="36"/>
        <v>49</v>
      </c>
      <c r="G92" s="170">
        <f t="shared" ca="1" si="37"/>
        <v>2045</v>
      </c>
      <c r="H92">
        <f t="shared" si="38"/>
        <v>21</v>
      </c>
      <c r="I92" s="171">
        <f ca="1">IF(Tabella428183[[#This Row],[Investment years]]&lt;$C$24,SUMIF('CF Timeline'!$C$5:$BC$5,Tabella428183[[#This Row],[Year]],'CF Timeline'!$C$57:$BC$57),0)</f>
        <v>-10618.894558479951</v>
      </c>
      <c r="J92" s="171" t="e">
        <f ca="1">IF(Tabella428183[[#This Row],[Investment years]]&lt;$C$24,Tabella428183[[#This Row],[Yearly investment]]+L91,0)</f>
        <v>#REF!</v>
      </c>
      <c r="K92" s="171" t="e">
        <f ca="1">Tabella428183[[#This Row],[Tot invested]]*$C$25</f>
        <v>#REF!</v>
      </c>
      <c r="L92" s="171" t="e">
        <f ca="1">Tabella428183[[#This Row],[Tot invested]]+Tabella428183[[#This Row],[Interests]]</f>
        <v>#REF!</v>
      </c>
      <c r="M92" s="171"/>
      <c r="R92" t="str">
        <f t="shared" si="39"/>
        <v/>
      </c>
      <c r="S92" s="170" t="str">
        <f t="shared" si="40"/>
        <v/>
      </c>
      <c r="T92" t="str">
        <f t="shared" si="41"/>
        <v/>
      </c>
      <c r="U92" s="171">
        <f>IF(Tabella42818384[[#This Row],[Investment years]]&lt;$P$24,SUMIF('CF Timeline'!$C$5:$BC$5,Tabella42818384[[#This Row],[Year]],'CF Timeline'!$C$58:$BC$58),0)</f>
        <v>0</v>
      </c>
      <c r="V92" s="171">
        <f>IF(Tabella42818384[[#This Row],[Investment years]]&lt;$P$24,Tabella42818384[[#This Row],[Yearly investment]]+X91,0)</f>
        <v>0</v>
      </c>
      <c r="W92" s="171">
        <f>Tabella42818384[[#This Row],[Tot invested]]*$P$25</f>
        <v>0</v>
      </c>
      <c r="X92" s="171">
        <f>Tabella42818384[[#This Row],[Tot invested]]+Tabella42818384[[#This Row],[Interests]]</f>
        <v>0</v>
      </c>
      <c r="Y92" s="171"/>
      <c r="AD92" t="str">
        <f t="shared" si="42"/>
        <v/>
      </c>
      <c r="AE92" s="170" t="str">
        <f t="shared" si="43"/>
        <v/>
      </c>
      <c r="AF92" t="str">
        <f t="shared" si="44"/>
        <v/>
      </c>
      <c r="AG92" s="171">
        <f>IF(Tabella4281838485[[#This Row],[Investment years]]&lt;$AB$24,SUMIF('CF Timeline'!$C$5:$BC$5,Tabella4281838485[[#This Row],[Year]],'CF Timeline'!$C$59:$BC$59),0)</f>
        <v>0</v>
      </c>
      <c r="AH92" s="171">
        <f>IF(Tabella4281838485[[#This Row],[Investment years]]&lt;$AB$24,Tabella4281838485[[#This Row],[Yearly investment]]+AJ91,0)</f>
        <v>0</v>
      </c>
      <c r="AI92" s="171">
        <f>Tabella4281838485[[#This Row],[Tot invested]]*$AB$25</f>
        <v>0</v>
      </c>
      <c r="AJ92" s="171">
        <f>Tabella4281838485[[#This Row],[Tot invested]]+Tabella4281838485[[#This Row],[Interests]]</f>
        <v>0</v>
      </c>
      <c r="AK92" s="171"/>
      <c r="AP92" t="str">
        <f t="shared" si="45"/>
        <v/>
      </c>
      <c r="AQ92" s="170" t="str">
        <f t="shared" si="46"/>
        <v/>
      </c>
      <c r="AR92" t="str">
        <f t="shared" si="47"/>
        <v/>
      </c>
      <c r="AS92" s="171">
        <f>IF(Tabella428183848586[[#This Row],[Investment years]]&lt;$AN$24,SUMIF('CF Timeline'!$C$5:$BC$5,Tabella428183848586[[#This Row],[Year]],'CF Timeline'!$C$60:$BC$60),0)</f>
        <v>0</v>
      </c>
      <c r="AT92" s="171">
        <f>IF(Tabella428183848586[[#This Row],[Investment years]]&lt;$AN$24,Tabella428183848586[[#This Row],[Yearly investment]]+AV91,0)</f>
        <v>0</v>
      </c>
      <c r="AU92" s="171">
        <f>Tabella428183848586[[#This Row],[Tot invested]]*$AN$25</f>
        <v>0</v>
      </c>
      <c r="AV92" s="171">
        <f>Tabella428183848586[[#This Row],[Tot invested]]+Tabella428183848586[[#This Row],[Interests]]</f>
        <v>0</v>
      </c>
      <c r="AW92" s="171"/>
    </row>
    <row r="93" spans="6:49">
      <c r="F93">
        <f t="shared" si="36"/>
        <v>50</v>
      </c>
      <c r="G93" s="170">
        <f t="shared" ca="1" si="37"/>
        <v>2046</v>
      </c>
      <c r="H93">
        <f t="shared" si="38"/>
        <v>22</v>
      </c>
      <c r="I93" s="171">
        <f ca="1">IF(Tabella428183[[#This Row],[Investment years]]&lt;$C$24,SUMIF('CF Timeline'!$C$5:$BC$5,Tabella428183[[#This Row],[Year]],'CF Timeline'!$C$57:$BC$57),0)</f>
        <v>0</v>
      </c>
      <c r="J93" s="171" t="e">
        <f ca="1">IF(Tabella428183[[#This Row],[Investment years]]&lt;$C$24,Tabella428183[[#This Row],[Yearly investment]]+L92,0)</f>
        <v>#REF!</v>
      </c>
      <c r="K93" s="171" t="e">
        <f ca="1">Tabella428183[[#This Row],[Tot invested]]*$C$25</f>
        <v>#REF!</v>
      </c>
      <c r="L93" s="171" t="e">
        <f ca="1">Tabella428183[[#This Row],[Tot invested]]+Tabella428183[[#This Row],[Interests]]</f>
        <v>#REF!</v>
      </c>
      <c r="M93" s="171"/>
      <c r="R93" t="str">
        <f t="shared" si="39"/>
        <v/>
      </c>
      <c r="S93" s="170" t="str">
        <f t="shared" si="40"/>
        <v/>
      </c>
      <c r="T93" t="str">
        <f t="shared" si="41"/>
        <v/>
      </c>
      <c r="U93" s="171">
        <f>IF(Tabella42818384[[#This Row],[Investment years]]&lt;$P$24,SUMIF('CF Timeline'!$C$5:$BC$5,Tabella42818384[[#This Row],[Year]],'CF Timeline'!$C$58:$BC$58),0)</f>
        <v>0</v>
      </c>
      <c r="V93" s="171">
        <f>IF(Tabella42818384[[#This Row],[Investment years]]&lt;$P$24,Tabella42818384[[#This Row],[Yearly investment]]+X92,0)</f>
        <v>0</v>
      </c>
      <c r="W93" s="171">
        <f>Tabella42818384[[#This Row],[Tot invested]]*$P$25</f>
        <v>0</v>
      </c>
      <c r="X93" s="171">
        <f>Tabella42818384[[#This Row],[Tot invested]]+Tabella42818384[[#This Row],[Interests]]</f>
        <v>0</v>
      </c>
      <c r="Y93" s="171"/>
      <c r="AD93" t="str">
        <f t="shared" si="42"/>
        <v/>
      </c>
      <c r="AE93" s="170" t="str">
        <f t="shared" si="43"/>
        <v/>
      </c>
      <c r="AF93" t="str">
        <f t="shared" si="44"/>
        <v/>
      </c>
      <c r="AG93" s="171">
        <f>IF(Tabella4281838485[[#This Row],[Investment years]]&lt;$AB$24,SUMIF('CF Timeline'!$C$5:$BC$5,Tabella4281838485[[#This Row],[Year]],'CF Timeline'!$C$59:$BC$59),0)</f>
        <v>0</v>
      </c>
      <c r="AH93" s="171">
        <f>IF(Tabella4281838485[[#This Row],[Investment years]]&lt;$AB$24,Tabella4281838485[[#This Row],[Yearly investment]]+AJ92,0)</f>
        <v>0</v>
      </c>
      <c r="AI93" s="171">
        <f>Tabella4281838485[[#This Row],[Tot invested]]*$AB$25</f>
        <v>0</v>
      </c>
      <c r="AJ93" s="171">
        <f>Tabella4281838485[[#This Row],[Tot invested]]+Tabella4281838485[[#This Row],[Interests]]</f>
        <v>0</v>
      </c>
      <c r="AK93" s="171"/>
      <c r="AP93" t="str">
        <f t="shared" si="45"/>
        <v/>
      </c>
      <c r="AQ93" s="170" t="str">
        <f t="shared" si="46"/>
        <v/>
      </c>
      <c r="AR93" t="str">
        <f t="shared" si="47"/>
        <v/>
      </c>
      <c r="AS93" s="171">
        <f>IF(Tabella428183848586[[#This Row],[Investment years]]&lt;$AN$24,SUMIF('CF Timeline'!$C$5:$BC$5,Tabella428183848586[[#This Row],[Year]],'CF Timeline'!$C$60:$BC$60),0)</f>
        <v>0</v>
      </c>
      <c r="AT93" s="171">
        <f>IF(Tabella428183848586[[#This Row],[Investment years]]&lt;$AN$24,Tabella428183848586[[#This Row],[Yearly investment]]+AV92,0)</f>
        <v>0</v>
      </c>
      <c r="AU93" s="171">
        <f>Tabella428183848586[[#This Row],[Tot invested]]*$AN$25</f>
        <v>0</v>
      </c>
      <c r="AV93" s="171">
        <f>Tabella428183848586[[#This Row],[Tot invested]]+Tabella428183848586[[#This Row],[Interests]]</f>
        <v>0</v>
      </c>
      <c r="AW93" s="171"/>
    </row>
    <row r="94" spans="6:49">
      <c r="F94" t="str">
        <f t="shared" si="36"/>
        <v/>
      </c>
      <c r="G94" s="170" t="str">
        <f t="shared" si="37"/>
        <v/>
      </c>
      <c r="H94" t="str">
        <f t="shared" si="38"/>
        <v/>
      </c>
      <c r="I94" s="171">
        <f>IF(Tabella428183[[#This Row],[Investment years]]&lt;$C$24,SUMIF('CF Timeline'!$C$5:$BC$5,Tabella428183[[#This Row],[Year]],'CF Timeline'!$C$57:$BC$57),0)</f>
        <v>0</v>
      </c>
      <c r="J94" s="171">
        <f>IF(Tabella428183[[#This Row],[Investment years]]&lt;$C$24,Tabella428183[[#This Row],[Yearly investment]]+L93,0)</f>
        <v>0</v>
      </c>
      <c r="K94" s="171">
        <f>Tabella428183[[#This Row],[Tot invested]]*$C$25</f>
        <v>0</v>
      </c>
      <c r="L94" s="171">
        <f>Tabella428183[[#This Row],[Tot invested]]+Tabella428183[[#This Row],[Interests]]</f>
        <v>0</v>
      </c>
      <c r="M94" s="171"/>
      <c r="R94" t="str">
        <f t="shared" si="39"/>
        <v/>
      </c>
      <c r="S94" s="170" t="str">
        <f t="shared" si="40"/>
        <v/>
      </c>
      <c r="T94" t="str">
        <f t="shared" si="41"/>
        <v/>
      </c>
      <c r="U94" s="171">
        <f>IF(Tabella42818384[[#This Row],[Investment years]]&lt;$P$24,SUMIF('CF Timeline'!$C$5:$BC$5,Tabella42818384[[#This Row],[Year]],'CF Timeline'!$C$58:$BC$58),0)</f>
        <v>0</v>
      </c>
      <c r="V94" s="171">
        <f>IF(Tabella42818384[[#This Row],[Investment years]]&lt;$P$24,Tabella42818384[[#This Row],[Yearly investment]]+X93,0)</f>
        <v>0</v>
      </c>
      <c r="W94" s="171">
        <f>Tabella42818384[[#This Row],[Tot invested]]*$P$25</f>
        <v>0</v>
      </c>
      <c r="X94" s="171">
        <f>Tabella42818384[[#This Row],[Tot invested]]+Tabella42818384[[#This Row],[Interests]]</f>
        <v>0</v>
      </c>
      <c r="Y94" s="171"/>
      <c r="AD94" t="str">
        <f t="shared" si="42"/>
        <v/>
      </c>
      <c r="AE94" s="170" t="str">
        <f t="shared" si="43"/>
        <v/>
      </c>
      <c r="AF94" t="str">
        <f t="shared" si="44"/>
        <v/>
      </c>
      <c r="AG94" s="171">
        <f>IF(Tabella4281838485[[#This Row],[Investment years]]&lt;$AB$24,SUMIF('CF Timeline'!$C$5:$BC$5,Tabella4281838485[[#This Row],[Year]],'CF Timeline'!$C$59:$BC$59),0)</f>
        <v>0</v>
      </c>
      <c r="AH94" s="171">
        <f>IF(Tabella4281838485[[#This Row],[Investment years]]&lt;$AB$24,Tabella4281838485[[#This Row],[Yearly investment]]+AJ93,0)</f>
        <v>0</v>
      </c>
      <c r="AI94" s="171">
        <f>Tabella4281838485[[#This Row],[Tot invested]]*$AB$25</f>
        <v>0</v>
      </c>
      <c r="AJ94" s="171">
        <f>Tabella4281838485[[#This Row],[Tot invested]]+Tabella4281838485[[#This Row],[Interests]]</f>
        <v>0</v>
      </c>
      <c r="AK94" s="171"/>
      <c r="AP94" t="str">
        <f t="shared" si="45"/>
        <v/>
      </c>
      <c r="AQ94" s="170" t="str">
        <f t="shared" si="46"/>
        <v/>
      </c>
      <c r="AR94" t="str">
        <f t="shared" si="47"/>
        <v/>
      </c>
      <c r="AS94" s="171">
        <f>IF(Tabella428183848586[[#This Row],[Investment years]]&lt;$AN$24,SUMIF('CF Timeline'!$C$5:$BC$5,Tabella428183848586[[#This Row],[Year]],'CF Timeline'!$C$60:$BC$60),0)</f>
        <v>0</v>
      </c>
      <c r="AT94" s="171">
        <f>IF(Tabella428183848586[[#This Row],[Investment years]]&lt;$AN$24,Tabella428183848586[[#This Row],[Yearly investment]]+AV93,0)</f>
        <v>0</v>
      </c>
      <c r="AU94" s="171">
        <f>Tabella428183848586[[#This Row],[Tot invested]]*$AN$25</f>
        <v>0</v>
      </c>
      <c r="AV94" s="171">
        <f>Tabella428183848586[[#This Row],[Tot invested]]+Tabella428183848586[[#This Row],[Interests]]</f>
        <v>0</v>
      </c>
      <c r="AW94" s="171"/>
    </row>
    <row r="95" spans="6:49">
      <c r="F95" t="str">
        <f t="shared" si="36"/>
        <v/>
      </c>
      <c r="G95" s="170" t="str">
        <f t="shared" si="37"/>
        <v/>
      </c>
      <c r="H95" t="str">
        <f t="shared" si="38"/>
        <v/>
      </c>
      <c r="I95" s="171">
        <f>IF(Tabella428183[[#This Row],[Investment years]]&lt;$C$24,SUMIF('CF Timeline'!$C$5:$BC$5,Tabella428183[[#This Row],[Year]],'CF Timeline'!$C$57:$BC$57),0)</f>
        <v>0</v>
      </c>
      <c r="J95" s="171">
        <f>IF(Tabella428183[[#This Row],[Investment years]]&lt;$C$24,Tabella428183[[#This Row],[Yearly investment]]+L94,0)</f>
        <v>0</v>
      </c>
      <c r="K95" s="171">
        <f>Tabella428183[[#This Row],[Tot invested]]*$C$25</f>
        <v>0</v>
      </c>
      <c r="L95" s="171">
        <f>Tabella428183[[#This Row],[Tot invested]]+Tabella428183[[#This Row],[Interests]]</f>
        <v>0</v>
      </c>
      <c r="M95" s="171"/>
      <c r="R95" t="str">
        <f t="shared" si="39"/>
        <v/>
      </c>
      <c r="S95" s="170" t="str">
        <f t="shared" si="40"/>
        <v/>
      </c>
      <c r="T95" t="str">
        <f t="shared" si="41"/>
        <v/>
      </c>
      <c r="U95" s="171">
        <f>IF(Tabella42818384[[#This Row],[Investment years]]&lt;$P$24,SUMIF('CF Timeline'!$C$5:$BC$5,Tabella42818384[[#This Row],[Year]],'CF Timeline'!$C$58:$BC$58),0)</f>
        <v>0</v>
      </c>
      <c r="V95" s="171">
        <f>IF(Tabella42818384[[#This Row],[Investment years]]&lt;$P$24,Tabella42818384[[#This Row],[Yearly investment]]+X94,0)</f>
        <v>0</v>
      </c>
      <c r="W95" s="171">
        <f>Tabella42818384[[#This Row],[Tot invested]]*$P$25</f>
        <v>0</v>
      </c>
      <c r="X95" s="171">
        <f>Tabella42818384[[#This Row],[Tot invested]]+Tabella42818384[[#This Row],[Interests]]</f>
        <v>0</v>
      </c>
      <c r="Y95" s="171"/>
      <c r="AD95" t="str">
        <f t="shared" si="42"/>
        <v/>
      </c>
      <c r="AE95" s="170" t="str">
        <f t="shared" si="43"/>
        <v/>
      </c>
      <c r="AF95" t="str">
        <f t="shared" si="44"/>
        <v/>
      </c>
      <c r="AG95" s="171">
        <f>IF(Tabella4281838485[[#This Row],[Investment years]]&lt;$AB$24,SUMIF('CF Timeline'!$C$5:$BC$5,Tabella4281838485[[#This Row],[Year]],'CF Timeline'!$C$59:$BC$59),0)</f>
        <v>0</v>
      </c>
      <c r="AH95" s="171">
        <f>IF(Tabella4281838485[[#This Row],[Investment years]]&lt;$AB$24,Tabella4281838485[[#This Row],[Yearly investment]]+AJ94,0)</f>
        <v>0</v>
      </c>
      <c r="AI95" s="171">
        <f>Tabella4281838485[[#This Row],[Tot invested]]*$AB$25</f>
        <v>0</v>
      </c>
      <c r="AJ95" s="171">
        <f>Tabella4281838485[[#This Row],[Tot invested]]+Tabella4281838485[[#This Row],[Interests]]</f>
        <v>0</v>
      </c>
      <c r="AK95" s="171"/>
      <c r="AP95" t="str">
        <f t="shared" si="45"/>
        <v/>
      </c>
      <c r="AQ95" s="170" t="str">
        <f t="shared" si="46"/>
        <v/>
      </c>
      <c r="AR95" t="str">
        <f t="shared" si="47"/>
        <v/>
      </c>
      <c r="AS95" s="171">
        <f>IF(Tabella428183848586[[#This Row],[Investment years]]&lt;$AN$24,SUMIF('CF Timeline'!$C$5:$BC$5,Tabella428183848586[[#This Row],[Year]],'CF Timeline'!$C$60:$BC$60),0)</f>
        <v>0</v>
      </c>
      <c r="AT95" s="171">
        <f>IF(Tabella428183848586[[#This Row],[Investment years]]&lt;$AN$24,Tabella428183848586[[#This Row],[Yearly investment]]+AV94,0)</f>
        <v>0</v>
      </c>
      <c r="AU95" s="171">
        <f>Tabella428183848586[[#This Row],[Tot invested]]*$AN$25</f>
        <v>0</v>
      </c>
      <c r="AV95" s="171">
        <f>Tabella428183848586[[#This Row],[Tot invested]]+Tabella428183848586[[#This Row],[Interests]]</f>
        <v>0</v>
      </c>
      <c r="AW95" s="171"/>
    </row>
    <row r="96" spans="6:49">
      <c r="F96" t="str">
        <f t="shared" si="36"/>
        <v/>
      </c>
      <c r="G96" s="170" t="str">
        <f t="shared" si="37"/>
        <v/>
      </c>
      <c r="H96" t="str">
        <f t="shared" si="38"/>
        <v/>
      </c>
      <c r="I96" s="171">
        <f>IF(Tabella428183[[#This Row],[Investment years]]&lt;$C$24,SUMIF('CF Timeline'!$C$5:$BC$5,Tabella428183[[#This Row],[Year]],'CF Timeline'!$C$57:$BC$57),0)</f>
        <v>0</v>
      </c>
      <c r="J96" s="171">
        <f>IF(Tabella428183[[#This Row],[Investment years]]&lt;$C$24,Tabella428183[[#This Row],[Yearly investment]]+L95,0)</f>
        <v>0</v>
      </c>
      <c r="K96" s="171">
        <f>Tabella428183[[#This Row],[Tot invested]]*$C$25</f>
        <v>0</v>
      </c>
      <c r="L96" s="171">
        <f>Tabella428183[[#This Row],[Tot invested]]+Tabella428183[[#This Row],[Interests]]</f>
        <v>0</v>
      </c>
      <c r="M96" s="171"/>
      <c r="R96" t="str">
        <f t="shared" si="39"/>
        <v/>
      </c>
      <c r="S96" s="170" t="str">
        <f t="shared" si="40"/>
        <v/>
      </c>
      <c r="T96" t="str">
        <f t="shared" si="41"/>
        <v/>
      </c>
      <c r="U96" s="171">
        <f>IF(Tabella42818384[[#This Row],[Investment years]]&lt;$P$24,SUMIF('CF Timeline'!$C$5:$BC$5,Tabella42818384[[#This Row],[Year]],'CF Timeline'!$C$58:$BC$58),0)</f>
        <v>0</v>
      </c>
      <c r="V96" s="171">
        <f>IF(Tabella42818384[[#This Row],[Investment years]]&lt;$P$24,Tabella42818384[[#This Row],[Yearly investment]]+X95,0)</f>
        <v>0</v>
      </c>
      <c r="W96" s="171">
        <f>Tabella42818384[[#This Row],[Tot invested]]*$P$25</f>
        <v>0</v>
      </c>
      <c r="X96" s="171">
        <f>Tabella42818384[[#This Row],[Tot invested]]+Tabella42818384[[#This Row],[Interests]]</f>
        <v>0</v>
      </c>
      <c r="Y96" s="171"/>
      <c r="AD96" t="str">
        <f t="shared" si="42"/>
        <v/>
      </c>
      <c r="AE96" s="170" t="str">
        <f t="shared" si="43"/>
        <v/>
      </c>
      <c r="AF96" t="str">
        <f t="shared" si="44"/>
        <v/>
      </c>
      <c r="AG96" s="171">
        <f>IF(Tabella4281838485[[#This Row],[Investment years]]&lt;$AB$24,SUMIF('CF Timeline'!$C$5:$BC$5,Tabella4281838485[[#This Row],[Year]],'CF Timeline'!$C$59:$BC$59),0)</f>
        <v>0</v>
      </c>
      <c r="AH96" s="171">
        <f>IF(Tabella4281838485[[#This Row],[Investment years]]&lt;$AB$24,Tabella4281838485[[#This Row],[Yearly investment]]+AJ95,0)</f>
        <v>0</v>
      </c>
      <c r="AI96" s="171">
        <f>Tabella4281838485[[#This Row],[Tot invested]]*$AB$25</f>
        <v>0</v>
      </c>
      <c r="AJ96" s="171">
        <f>Tabella4281838485[[#This Row],[Tot invested]]+Tabella4281838485[[#This Row],[Interests]]</f>
        <v>0</v>
      </c>
      <c r="AK96" s="171"/>
      <c r="AP96" t="str">
        <f t="shared" si="45"/>
        <v/>
      </c>
      <c r="AQ96" s="170" t="str">
        <f t="shared" si="46"/>
        <v/>
      </c>
      <c r="AR96" t="str">
        <f t="shared" si="47"/>
        <v/>
      </c>
      <c r="AS96" s="171">
        <f>IF(Tabella428183848586[[#This Row],[Investment years]]&lt;$AN$24,SUMIF('CF Timeline'!$C$5:$BC$5,Tabella428183848586[[#This Row],[Year]],'CF Timeline'!$C$60:$BC$60),0)</f>
        <v>0</v>
      </c>
      <c r="AT96" s="171">
        <f>IF(Tabella428183848586[[#This Row],[Investment years]]&lt;$AN$24,Tabella428183848586[[#This Row],[Yearly investment]]+AV95,0)</f>
        <v>0</v>
      </c>
      <c r="AU96" s="171">
        <f>Tabella428183848586[[#This Row],[Tot invested]]*$AN$25</f>
        <v>0</v>
      </c>
      <c r="AV96" s="171">
        <f>Tabella428183848586[[#This Row],[Tot invested]]+Tabella428183848586[[#This Row],[Interests]]</f>
        <v>0</v>
      </c>
      <c r="AW96" s="171"/>
    </row>
    <row r="97" spans="6:49">
      <c r="F97" t="str">
        <f t="shared" si="36"/>
        <v/>
      </c>
      <c r="G97" s="170" t="str">
        <f t="shared" si="37"/>
        <v/>
      </c>
      <c r="H97" t="str">
        <f t="shared" si="38"/>
        <v/>
      </c>
      <c r="I97" s="171">
        <f>IF(Tabella428183[[#This Row],[Investment years]]&lt;$C$24,SUMIF('CF Timeline'!$C$5:$BC$5,Tabella428183[[#This Row],[Year]],'CF Timeline'!$C$57:$BC$57),0)</f>
        <v>0</v>
      </c>
      <c r="J97" s="171">
        <f>IF(Tabella428183[[#This Row],[Investment years]]&lt;$C$24,Tabella428183[[#This Row],[Yearly investment]]+L96,0)</f>
        <v>0</v>
      </c>
      <c r="K97" s="171">
        <f>Tabella428183[[#This Row],[Tot invested]]*$C$25</f>
        <v>0</v>
      </c>
      <c r="L97" s="171">
        <f>Tabella428183[[#This Row],[Tot invested]]+Tabella428183[[#This Row],[Interests]]</f>
        <v>0</v>
      </c>
      <c r="M97" s="171"/>
      <c r="R97" t="str">
        <f t="shared" si="39"/>
        <v/>
      </c>
      <c r="S97" s="170" t="str">
        <f t="shared" si="40"/>
        <v/>
      </c>
      <c r="T97" t="str">
        <f t="shared" si="41"/>
        <v/>
      </c>
      <c r="U97" s="171">
        <f>IF(Tabella42818384[[#This Row],[Investment years]]&lt;$P$24,SUMIF('CF Timeline'!$C$5:$BC$5,Tabella42818384[[#This Row],[Year]],'CF Timeline'!$C$58:$BC$58),0)</f>
        <v>0</v>
      </c>
      <c r="V97" s="171">
        <f>IF(Tabella42818384[[#This Row],[Investment years]]&lt;$P$24,Tabella42818384[[#This Row],[Yearly investment]]+X96,0)</f>
        <v>0</v>
      </c>
      <c r="W97" s="171">
        <f>Tabella42818384[[#This Row],[Tot invested]]*$P$25</f>
        <v>0</v>
      </c>
      <c r="X97" s="171">
        <f>Tabella42818384[[#This Row],[Tot invested]]+Tabella42818384[[#This Row],[Interests]]</f>
        <v>0</v>
      </c>
      <c r="Y97" s="171"/>
      <c r="AD97" t="str">
        <f t="shared" si="42"/>
        <v/>
      </c>
      <c r="AE97" s="170" t="str">
        <f t="shared" si="43"/>
        <v/>
      </c>
      <c r="AF97" t="str">
        <f t="shared" si="44"/>
        <v/>
      </c>
      <c r="AG97" s="171">
        <f>IF(Tabella4281838485[[#This Row],[Investment years]]&lt;$AB$24,SUMIF('CF Timeline'!$C$5:$BC$5,Tabella4281838485[[#This Row],[Year]],'CF Timeline'!$C$59:$BC$59),0)</f>
        <v>0</v>
      </c>
      <c r="AH97" s="171">
        <f>IF(Tabella4281838485[[#This Row],[Investment years]]&lt;$AB$24,Tabella4281838485[[#This Row],[Yearly investment]]+AJ96,0)</f>
        <v>0</v>
      </c>
      <c r="AI97" s="171">
        <f>Tabella4281838485[[#This Row],[Tot invested]]*$AB$25</f>
        <v>0</v>
      </c>
      <c r="AJ97" s="171">
        <f>Tabella4281838485[[#This Row],[Tot invested]]+Tabella4281838485[[#This Row],[Interests]]</f>
        <v>0</v>
      </c>
      <c r="AK97" s="171"/>
      <c r="AP97" t="str">
        <f t="shared" si="45"/>
        <v/>
      </c>
      <c r="AQ97" s="170" t="str">
        <f t="shared" si="46"/>
        <v/>
      </c>
      <c r="AR97" t="str">
        <f t="shared" si="47"/>
        <v/>
      </c>
      <c r="AS97" s="171">
        <f>IF(Tabella428183848586[[#This Row],[Investment years]]&lt;$AN$24,SUMIF('CF Timeline'!$C$5:$BC$5,Tabella428183848586[[#This Row],[Year]],'CF Timeline'!$C$60:$BC$60),0)</f>
        <v>0</v>
      </c>
      <c r="AT97" s="171">
        <f>IF(Tabella428183848586[[#This Row],[Investment years]]&lt;$AN$24,Tabella428183848586[[#This Row],[Yearly investment]]+AV96,0)</f>
        <v>0</v>
      </c>
      <c r="AU97" s="171">
        <f>Tabella428183848586[[#This Row],[Tot invested]]*$AN$25</f>
        <v>0</v>
      </c>
      <c r="AV97" s="171">
        <f>Tabella428183848586[[#This Row],[Tot invested]]+Tabella428183848586[[#This Row],[Interests]]</f>
        <v>0</v>
      </c>
      <c r="AW97" s="171"/>
    </row>
    <row r="98" spans="6:49">
      <c r="F98" t="str">
        <f t="shared" si="36"/>
        <v/>
      </c>
      <c r="G98" s="170" t="str">
        <f t="shared" si="37"/>
        <v/>
      </c>
      <c r="H98" t="str">
        <f t="shared" si="38"/>
        <v/>
      </c>
      <c r="I98" s="171">
        <f>IF(Tabella428183[[#This Row],[Investment years]]&lt;$C$24,SUMIF('CF Timeline'!$C$5:$BC$5,Tabella428183[[#This Row],[Year]],'CF Timeline'!$C$57:$BC$57),0)</f>
        <v>0</v>
      </c>
      <c r="J98" s="171">
        <f>IF(Tabella428183[[#This Row],[Investment years]]&lt;$C$24,Tabella428183[[#This Row],[Yearly investment]]+L97,0)</f>
        <v>0</v>
      </c>
      <c r="K98" s="171">
        <f>Tabella428183[[#This Row],[Tot invested]]*$C$25</f>
        <v>0</v>
      </c>
      <c r="L98" s="171">
        <f>Tabella428183[[#This Row],[Tot invested]]+Tabella428183[[#This Row],[Interests]]</f>
        <v>0</v>
      </c>
      <c r="M98" s="171"/>
      <c r="N98" s="163"/>
      <c r="O98" s="163"/>
      <c r="P98" s="163"/>
      <c r="R98" t="str">
        <f t="shared" si="39"/>
        <v/>
      </c>
      <c r="S98" s="170" t="str">
        <f t="shared" si="40"/>
        <v/>
      </c>
      <c r="T98" t="str">
        <f t="shared" si="41"/>
        <v/>
      </c>
      <c r="U98" s="171">
        <f>IF(Tabella42818384[[#This Row],[Investment years]]&lt;$P$24,SUMIF('CF Timeline'!$C$5:$BC$5,Tabella42818384[[#This Row],[Year]],'CF Timeline'!$C$58:$BC$58),0)</f>
        <v>0</v>
      </c>
      <c r="V98" s="171">
        <f>IF(Tabella42818384[[#This Row],[Investment years]]&lt;$P$24,Tabella42818384[[#This Row],[Yearly investment]]+X97,0)</f>
        <v>0</v>
      </c>
      <c r="W98" s="171">
        <f>Tabella42818384[[#This Row],[Tot invested]]*$P$25</f>
        <v>0</v>
      </c>
      <c r="X98" s="171">
        <f>Tabella42818384[[#This Row],[Tot invested]]+Tabella42818384[[#This Row],[Interests]]</f>
        <v>0</v>
      </c>
      <c r="Y98" s="171"/>
      <c r="AD98" t="str">
        <f t="shared" si="42"/>
        <v/>
      </c>
      <c r="AE98" s="170" t="str">
        <f t="shared" si="43"/>
        <v/>
      </c>
      <c r="AF98" t="str">
        <f t="shared" si="44"/>
        <v/>
      </c>
      <c r="AG98" s="171">
        <f>IF(Tabella4281838485[[#This Row],[Investment years]]&lt;$AB$24,SUMIF('CF Timeline'!$C$5:$BC$5,Tabella4281838485[[#This Row],[Year]],'CF Timeline'!$C$59:$BC$59),0)</f>
        <v>0</v>
      </c>
      <c r="AH98" s="171">
        <f>IF(Tabella4281838485[[#This Row],[Investment years]]&lt;$AB$24,Tabella4281838485[[#This Row],[Yearly investment]]+AJ97,0)</f>
        <v>0</v>
      </c>
      <c r="AI98" s="171">
        <f>Tabella4281838485[[#This Row],[Tot invested]]*$AB$25</f>
        <v>0</v>
      </c>
      <c r="AJ98" s="171">
        <f>Tabella4281838485[[#This Row],[Tot invested]]+Tabella4281838485[[#This Row],[Interests]]</f>
        <v>0</v>
      </c>
      <c r="AK98" s="171"/>
      <c r="AP98" t="str">
        <f t="shared" si="45"/>
        <v/>
      </c>
      <c r="AQ98" s="170" t="str">
        <f t="shared" si="46"/>
        <v/>
      </c>
      <c r="AR98" t="str">
        <f t="shared" si="47"/>
        <v/>
      </c>
      <c r="AS98" s="171">
        <f>IF(Tabella428183848586[[#This Row],[Investment years]]&lt;$AN$24,SUMIF('CF Timeline'!$C$5:$BC$5,Tabella428183848586[[#This Row],[Year]],'CF Timeline'!$C$60:$BC$60),0)</f>
        <v>0</v>
      </c>
      <c r="AT98" s="171">
        <f>IF(Tabella428183848586[[#This Row],[Investment years]]&lt;$AN$24,Tabella428183848586[[#This Row],[Yearly investment]]+AV97,0)</f>
        <v>0</v>
      </c>
      <c r="AU98" s="171">
        <f>Tabella428183848586[[#This Row],[Tot invested]]*$AN$25</f>
        <v>0</v>
      </c>
      <c r="AV98" s="171">
        <f>Tabella428183848586[[#This Row],[Tot invested]]+Tabella428183848586[[#This Row],[Interests]]</f>
        <v>0</v>
      </c>
      <c r="AW98" s="171"/>
    </row>
    <row r="99" spans="6:49">
      <c r="F99" t="str">
        <f t="shared" si="36"/>
        <v/>
      </c>
      <c r="G99" s="170" t="str">
        <f t="shared" si="37"/>
        <v/>
      </c>
      <c r="H99" t="str">
        <f t="shared" si="38"/>
        <v/>
      </c>
      <c r="I99" s="171">
        <f>IF(Tabella428183[[#This Row],[Investment years]]&lt;$C$24,SUMIF('CF Timeline'!$C$5:$BC$5,Tabella428183[[#This Row],[Year]],'CF Timeline'!$C$57:$BC$57),0)</f>
        <v>0</v>
      </c>
      <c r="J99" s="171">
        <f>IF(Tabella428183[[#This Row],[Investment years]]&lt;$C$24,Tabella428183[[#This Row],[Yearly investment]]+L98,0)</f>
        <v>0</v>
      </c>
      <c r="K99" s="171">
        <f>Tabella428183[[#This Row],[Tot invested]]*$C$25</f>
        <v>0</v>
      </c>
      <c r="L99" s="171">
        <f>Tabella428183[[#This Row],[Tot invested]]+Tabella428183[[#This Row],[Interests]]</f>
        <v>0</v>
      </c>
      <c r="M99" s="171"/>
      <c r="N99" s="145"/>
      <c r="O99" s="145"/>
      <c r="P99" s="145"/>
      <c r="R99" t="str">
        <f t="shared" si="39"/>
        <v/>
      </c>
      <c r="S99" s="170" t="str">
        <f t="shared" si="40"/>
        <v/>
      </c>
      <c r="T99" t="str">
        <f t="shared" si="41"/>
        <v/>
      </c>
      <c r="U99" s="171">
        <f>IF(Tabella42818384[[#This Row],[Investment years]]&lt;$P$24,SUMIF('CF Timeline'!$C$5:$BC$5,Tabella42818384[[#This Row],[Year]],'CF Timeline'!$C$58:$BC$58),0)</f>
        <v>0</v>
      </c>
      <c r="V99" s="171">
        <f>IF(Tabella42818384[[#This Row],[Investment years]]&lt;$P$24,Tabella42818384[[#This Row],[Yearly investment]]+X98,0)</f>
        <v>0</v>
      </c>
      <c r="W99" s="171">
        <f>Tabella42818384[[#This Row],[Tot invested]]*$P$25</f>
        <v>0</v>
      </c>
      <c r="X99" s="171">
        <f>Tabella42818384[[#This Row],[Tot invested]]+Tabella42818384[[#This Row],[Interests]]</f>
        <v>0</v>
      </c>
      <c r="Y99" s="171"/>
      <c r="AD99" t="str">
        <f t="shared" si="42"/>
        <v/>
      </c>
      <c r="AE99" s="170" t="str">
        <f t="shared" si="43"/>
        <v/>
      </c>
      <c r="AF99" t="str">
        <f t="shared" si="44"/>
        <v/>
      </c>
      <c r="AG99" s="171">
        <f>IF(Tabella4281838485[[#This Row],[Investment years]]&lt;$AB$24,SUMIF('CF Timeline'!$C$5:$BC$5,Tabella4281838485[[#This Row],[Year]],'CF Timeline'!$C$59:$BC$59),0)</f>
        <v>0</v>
      </c>
      <c r="AH99" s="171">
        <f>IF(Tabella4281838485[[#This Row],[Investment years]]&lt;$AB$24,Tabella4281838485[[#This Row],[Yearly investment]]+AJ98,0)</f>
        <v>0</v>
      </c>
      <c r="AI99" s="171">
        <f>Tabella4281838485[[#This Row],[Tot invested]]*$AB$25</f>
        <v>0</v>
      </c>
      <c r="AJ99" s="171">
        <f>Tabella4281838485[[#This Row],[Tot invested]]+Tabella4281838485[[#This Row],[Interests]]</f>
        <v>0</v>
      </c>
      <c r="AK99" s="171"/>
      <c r="AP99" t="str">
        <f t="shared" si="45"/>
        <v/>
      </c>
      <c r="AQ99" s="170" t="str">
        <f t="shared" si="46"/>
        <v/>
      </c>
      <c r="AR99" t="str">
        <f t="shared" si="47"/>
        <v/>
      </c>
      <c r="AS99" s="171">
        <f>IF(Tabella428183848586[[#This Row],[Investment years]]&lt;$AN$24,SUMIF('CF Timeline'!$C$5:$BC$5,Tabella428183848586[[#This Row],[Year]],'CF Timeline'!$C$60:$BC$60),0)</f>
        <v>0</v>
      </c>
      <c r="AT99" s="171">
        <f>IF(Tabella428183848586[[#This Row],[Investment years]]&lt;$AN$24,Tabella428183848586[[#This Row],[Yearly investment]]+AV98,0)</f>
        <v>0</v>
      </c>
      <c r="AU99" s="171">
        <f>Tabella428183848586[[#This Row],[Tot invested]]*$AN$25</f>
        <v>0</v>
      </c>
      <c r="AV99" s="171">
        <f>Tabella428183848586[[#This Row],[Tot invested]]+Tabella428183848586[[#This Row],[Interests]]</f>
        <v>0</v>
      </c>
      <c r="AW99" s="171"/>
    </row>
    <row r="100" spans="6:49">
      <c r="F100" t="str">
        <f t="shared" si="36"/>
        <v/>
      </c>
      <c r="G100" s="170" t="str">
        <f t="shared" si="37"/>
        <v/>
      </c>
      <c r="H100" t="str">
        <f t="shared" si="38"/>
        <v/>
      </c>
      <c r="I100" s="171">
        <f>IF(Tabella428183[[#This Row],[Investment years]]&lt;$C$24,SUMIF('CF Timeline'!$C$5:$BC$5,Tabella428183[[#This Row],[Year]],'CF Timeline'!$C$57:$BC$57),0)</f>
        <v>0</v>
      </c>
      <c r="J100" s="171">
        <f>IF(Tabella428183[[#This Row],[Investment years]]&lt;$C$24,Tabella428183[[#This Row],[Yearly investment]]+L99,0)</f>
        <v>0</v>
      </c>
      <c r="K100" s="171">
        <f>Tabella428183[[#This Row],[Tot invested]]*$C$25</f>
        <v>0</v>
      </c>
      <c r="L100" s="171">
        <f>Tabella428183[[#This Row],[Tot invested]]+Tabella428183[[#This Row],[Interests]]</f>
        <v>0</v>
      </c>
      <c r="M100" s="171"/>
      <c r="N100" s="145"/>
      <c r="O100" s="145"/>
      <c r="P100" s="145"/>
      <c r="R100" t="str">
        <f t="shared" si="39"/>
        <v/>
      </c>
      <c r="S100" s="170" t="str">
        <f t="shared" si="40"/>
        <v/>
      </c>
      <c r="T100" t="str">
        <f t="shared" si="41"/>
        <v/>
      </c>
      <c r="U100" s="171">
        <f>IF(Tabella42818384[[#This Row],[Investment years]]&lt;$P$24,SUMIF('CF Timeline'!$C$5:$BC$5,Tabella42818384[[#This Row],[Year]],'CF Timeline'!$C$58:$BC$58),0)</f>
        <v>0</v>
      </c>
      <c r="V100" s="171">
        <f>IF(Tabella42818384[[#This Row],[Investment years]]&lt;$P$24,Tabella42818384[[#This Row],[Yearly investment]]+X99,0)</f>
        <v>0</v>
      </c>
      <c r="W100" s="171">
        <f>Tabella42818384[[#This Row],[Tot invested]]*$P$25</f>
        <v>0</v>
      </c>
      <c r="X100" s="171">
        <f>Tabella42818384[[#This Row],[Tot invested]]+Tabella42818384[[#This Row],[Interests]]</f>
        <v>0</v>
      </c>
      <c r="Y100" s="171"/>
      <c r="AD100" t="str">
        <f t="shared" si="42"/>
        <v/>
      </c>
      <c r="AE100" s="170" t="str">
        <f t="shared" si="43"/>
        <v/>
      </c>
      <c r="AF100" t="str">
        <f t="shared" si="44"/>
        <v/>
      </c>
      <c r="AG100" s="171">
        <f>IF(Tabella4281838485[[#This Row],[Investment years]]&lt;$AB$24,SUMIF('CF Timeline'!$C$5:$BC$5,Tabella4281838485[[#This Row],[Year]],'CF Timeline'!$C$59:$BC$59),0)</f>
        <v>0</v>
      </c>
      <c r="AH100" s="171">
        <f>IF(Tabella4281838485[[#This Row],[Investment years]]&lt;$AB$24,Tabella4281838485[[#This Row],[Yearly investment]]+AJ99,0)</f>
        <v>0</v>
      </c>
      <c r="AI100" s="171">
        <f>Tabella4281838485[[#This Row],[Tot invested]]*$AB$25</f>
        <v>0</v>
      </c>
      <c r="AJ100" s="171">
        <f>Tabella4281838485[[#This Row],[Tot invested]]+Tabella4281838485[[#This Row],[Interests]]</f>
        <v>0</v>
      </c>
      <c r="AK100" s="171"/>
      <c r="AP100" t="str">
        <f t="shared" si="45"/>
        <v/>
      </c>
      <c r="AQ100" s="170" t="str">
        <f t="shared" si="46"/>
        <v/>
      </c>
      <c r="AR100" t="str">
        <f t="shared" si="47"/>
        <v/>
      </c>
      <c r="AS100" s="171">
        <f>IF(Tabella428183848586[[#This Row],[Investment years]]&lt;$AN$24,SUMIF('CF Timeline'!$C$5:$BC$5,Tabella428183848586[[#This Row],[Year]],'CF Timeline'!$C$60:$BC$60),0)</f>
        <v>0</v>
      </c>
      <c r="AT100" s="171">
        <f>IF(Tabella428183848586[[#This Row],[Investment years]]&lt;$AN$24,Tabella428183848586[[#This Row],[Yearly investment]]+AV99,0)</f>
        <v>0</v>
      </c>
      <c r="AU100" s="171">
        <f>Tabella428183848586[[#This Row],[Tot invested]]*$AN$25</f>
        <v>0</v>
      </c>
      <c r="AV100" s="171">
        <f>Tabella428183848586[[#This Row],[Tot invested]]+Tabella428183848586[[#This Row],[Interests]]</f>
        <v>0</v>
      </c>
      <c r="AW100" s="171"/>
    </row>
    <row r="101" spans="6:49">
      <c r="F101" t="str">
        <f t="shared" si="36"/>
        <v/>
      </c>
      <c r="G101" s="170" t="str">
        <f t="shared" si="37"/>
        <v/>
      </c>
      <c r="H101" t="str">
        <f t="shared" si="38"/>
        <v/>
      </c>
      <c r="I101" s="171">
        <f>IF(Tabella428183[[#This Row],[Investment years]]&lt;$C$24,SUMIF('CF Timeline'!$C$5:$BC$5,Tabella428183[[#This Row],[Year]],'CF Timeline'!$C$57:$BC$57),0)</f>
        <v>0</v>
      </c>
      <c r="J101" s="171">
        <f>IF(Tabella428183[[#This Row],[Investment years]]&lt;$C$24,Tabella428183[[#This Row],[Yearly investment]]+L100,0)</f>
        <v>0</v>
      </c>
      <c r="K101" s="171">
        <f>Tabella428183[[#This Row],[Tot invested]]*$C$25</f>
        <v>0</v>
      </c>
      <c r="L101" s="171">
        <f>Tabella428183[[#This Row],[Tot invested]]+Tabella428183[[#This Row],[Interests]]</f>
        <v>0</v>
      </c>
      <c r="M101" s="171"/>
      <c r="N101" s="145"/>
      <c r="O101" s="145"/>
      <c r="P101" s="145"/>
      <c r="R101" t="str">
        <f t="shared" si="39"/>
        <v/>
      </c>
      <c r="S101" s="170" t="str">
        <f t="shared" si="40"/>
        <v/>
      </c>
      <c r="T101" t="str">
        <f t="shared" si="41"/>
        <v/>
      </c>
      <c r="U101" s="171">
        <f>IF(Tabella42818384[[#This Row],[Investment years]]&lt;$P$24,SUMIF('CF Timeline'!$C$5:$BC$5,Tabella42818384[[#This Row],[Year]],'CF Timeline'!$C$58:$BC$58),0)</f>
        <v>0</v>
      </c>
      <c r="V101" s="171">
        <f>IF(Tabella42818384[[#This Row],[Investment years]]&lt;$P$24,Tabella42818384[[#This Row],[Yearly investment]]+X100,0)</f>
        <v>0</v>
      </c>
      <c r="W101" s="171">
        <f>Tabella42818384[[#This Row],[Tot invested]]*$P$25</f>
        <v>0</v>
      </c>
      <c r="X101" s="171">
        <f>Tabella42818384[[#This Row],[Tot invested]]+Tabella42818384[[#This Row],[Interests]]</f>
        <v>0</v>
      </c>
      <c r="Y101" s="171"/>
      <c r="AD101" t="str">
        <f t="shared" si="42"/>
        <v/>
      </c>
      <c r="AE101" s="170" t="str">
        <f t="shared" si="43"/>
        <v/>
      </c>
      <c r="AF101" t="str">
        <f t="shared" si="44"/>
        <v/>
      </c>
      <c r="AG101" s="171">
        <f>IF(Tabella4281838485[[#This Row],[Investment years]]&lt;$AB$24,SUMIF('CF Timeline'!$C$5:$BC$5,Tabella4281838485[[#This Row],[Year]],'CF Timeline'!$C$59:$BC$59),0)</f>
        <v>0</v>
      </c>
      <c r="AH101" s="171">
        <f>IF(Tabella4281838485[[#This Row],[Investment years]]&lt;$AB$24,Tabella4281838485[[#This Row],[Yearly investment]]+AJ100,0)</f>
        <v>0</v>
      </c>
      <c r="AI101" s="171">
        <f>Tabella4281838485[[#This Row],[Tot invested]]*$AB$25</f>
        <v>0</v>
      </c>
      <c r="AJ101" s="171">
        <f>Tabella4281838485[[#This Row],[Tot invested]]+Tabella4281838485[[#This Row],[Interests]]</f>
        <v>0</v>
      </c>
      <c r="AK101" s="171"/>
      <c r="AP101" t="str">
        <f t="shared" si="45"/>
        <v/>
      </c>
      <c r="AQ101" s="170" t="str">
        <f t="shared" si="46"/>
        <v/>
      </c>
      <c r="AR101" t="str">
        <f t="shared" si="47"/>
        <v/>
      </c>
      <c r="AS101" s="171">
        <f>IF(Tabella428183848586[[#This Row],[Investment years]]&lt;$AN$24,SUMIF('CF Timeline'!$C$5:$BC$5,Tabella428183848586[[#This Row],[Year]],'CF Timeline'!$C$60:$BC$60),0)</f>
        <v>0</v>
      </c>
      <c r="AT101" s="171">
        <f>IF(Tabella428183848586[[#This Row],[Investment years]]&lt;$AN$24,Tabella428183848586[[#This Row],[Yearly investment]]+AV100,0)</f>
        <v>0</v>
      </c>
      <c r="AU101" s="171">
        <f>Tabella428183848586[[#This Row],[Tot invested]]*$AN$25</f>
        <v>0</v>
      </c>
      <c r="AV101" s="171">
        <f>Tabella428183848586[[#This Row],[Tot invested]]+Tabella428183848586[[#This Row],[Interests]]</f>
        <v>0</v>
      </c>
      <c r="AW101" s="171"/>
    </row>
    <row r="102" spans="6:49">
      <c r="F102" t="str">
        <f t="shared" si="36"/>
        <v/>
      </c>
      <c r="G102" s="170" t="str">
        <f t="shared" si="37"/>
        <v/>
      </c>
      <c r="H102" t="str">
        <f t="shared" si="38"/>
        <v/>
      </c>
      <c r="I102" s="171">
        <f>IF(Tabella428183[[#This Row],[Investment years]]&lt;$C$24,SUMIF('CF Timeline'!$C$5:$BC$5,Tabella428183[[#This Row],[Year]],'CF Timeline'!$C$57:$BC$57),0)</f>
        <v>0</v>
      </c>
      <c r="J102" s="171">
        <f>IF(Tabella428183[[#This Row],[Investment years]]&lt;$C$24,Tabella428183[[#This Row],[Yearly investment]]+L101,0)</f>
        <v>0</v>
      </c>
      <c r="K102" s="171">
        <f>Tabella428183[[#This Row],[Tot invested]]*$C$25</f>
        <v>0</v>
      </c>
      <c r="L102" s="171">
        <f>Tabella428183[[#This Row],[Tot invested]]+Tabella428183[[#This Row],[Interests]]</f>
        <v>0</v>
      </c>
      <c r="M102" s="171"/>
      <c r="N102" s="145"/>
      <c r="O102" s="145"/>
      <c r="P102" s="145"/>
      <c r="R102" t="str">
        <f t="shared" si="39"/>
        <v/>
      </c>
      <c r="S102" s="170" t="str">
        <f t="shared" si="40"/>
        <v/>
      </c>
      <c r="T102" t="str">
        <f t="shared" si="41"/>
        <v/>
      </c>
      <c r="U102" s="171">
        <f>IF(Tabella42818384[[#This Row],[Investment years]]&lt;$P$24,SUMIF('CF Timeline'!$C$5:$BC$5,Tabella42818384[[#This Row],[Year]],'CF Timeline'!$C$58:$BC$58),0)</f>
        <v>0</v>
      </c>
      <c r="V102" s="171">
        <f>IF(Tabella42818384[[#This Row],[Investment years]]&lt;$P$24,Tabella42818384[[#This Row],[Yearly investment]]+X101,0)</f>
        <v>0</v>
      </c>
      <c r="W102" s="171">
        <f>Tabella42818384[[#This Row],[Tot invested]]*$P$25</f>
        <v>0</v>
      </c>
      <c r="X102" s="171">
        <f>Tabella42818384[[#This Row],[Tot invested]]+Tabella42818384[[#This Row],[Interests]]</f>
        <v>0</v>
      </c>
      <c r="Y102" s="171"/>
      <c r="AD102" t="str">
        <f t="shared" si="42"/>
        <v/>
      </c>
      <c r="AE102" s="170" t="str">
        <f t="shared" si="43"/>
        <v/>
      </c>
      <c r="AF102" t="str">
        <f t="shared" si="44"/>
        <v/>
      </c>
      <c r="AG102" s="171">
        <f>IF(Tabella4281838485[[#This Row],[Investment years]]&lt;$AB$24,SUMIF('CF Timeline'!$C$5:$BC$5,Tabella4281838485[[#This Row],[Year]],'CF Timeline'!$C$59:$BC$59),0)</f>
        <v>0</v>
      </c>
      <c r="AH102" s="171">
        <f>IF(Tabella4281838485[[#This Row],[Investment years]]&lt;$AB$24,Tabella4281838485[[#This Row],[Yearly investment]]+AJ101,0)</f>
        <v>0</v>
      </c>
      <c r="AI102" s="171">
        <f>Tabella4281838485[[#This Row],[Tot invested]]*$AB$25</f>
        <v>0</v>
      </c>
      <c r="AJ102" s="171">
        <f>Tabella4281838485[[#This Row],[Tot invested]]+Tabella4281838485[[#This Row],[Interests]]</f>
        <v>0</v>
      </c>
      <c r="AK102" s="171"/>
      <c r="AP102" t="str">
        <f t="shared" si="45"/>
        <v/>
      </c>
      <c r="AQ102" s="170" t="str">
        <f t="shared" si="46"/>
        <v/>
      </c>
      <c r="AR102" t="str">
        <f t="shared" si="47"/>
        <v/>
      </c>
      <c r="AS102" s="171">
        <f>IF(Tabella428183848586[[#This Row],[Investment years]]&lt;$AN$24,SUMIF('CF Timeline'!$C$5:$BC$5,Tabella428183848586[[#This Row],[Year]],'CF Timeline'!$C$60:$BC$60),0)</f>
        <v>0</v>
      </c>
      <c r="AT102" s="171">
        <f>IF(Tabella428183848586[[#This Row],[Investment years]]&lt;$AN$24,Tabella428183848586[[#This Row],[Yearly investment]]+AV101,0)</f>
        <v>0</v>
      </c>
      <c r="AU102" s="171">
        <f>Tabella428183848586[[#This Row],[Tot invested]]*$AN$25</f>
        <v>0</v>
      </c>
      <c r="AV102" s="171">
        <f>Tabella428183848586[[#This Row],[Tot invested]]+Tabella428183848586[[#This Row],[Interests]]</f>
        <v>0</v>
      </c>
      <c r="AW102" s="171"/>
    </row>
    <row r="103" spans="6:49">
      <c r="F103" t="str">
        <f t="shared" si="36"/>
        <v/>
      </c>
      <c r="G103" s="170" t="str">
        <f t="shared" si="37"/>
        <v/>
      </c>
      <c r="H103" t="str">
        <f t="shared" si="38"/>
        <v/>
      </c>
      <c r="I103" s="171">
        <f>IF(Tabella428183[[#This Row],[Investment years]]&lt;$C$24,SUMIF('CF Timeline'!$C$5:$BC$5,Tabella428183[[#This Row],[Year]],'CF Timeline'!$C$57:$BC$57),0)</f>
        <v>0</v>
      </c>
      <c r="J103" s="171">
        <f>IF(Tabella428183[[#This Row],[Investment years]]&lt;$C$24,Tabella428183[[#This Row],[Yearly investment]]+L102,0)</f>
        <v>0</v>
      </c>
      <c r="K103" s="171">
        <f>Tabella428183[[#This Row],[Tot invested]]*$C$25</f>
        <v>0</v>
      </c>
      <c r="L103" s="171">
        <f>Tabella428183[[#This Row],[Tot invested]]+Tabella428183[[#This Row],[Interests]]</f>
        <v>0</v>
      </c>
      <c r="M103" s="171"/>
      <c r="N103" s="145"/>
      <c r="O103" s="145"/>
      <c r="P103" s="145"/>
      <c r="R103" t="str">
        <f t="shared" si="39"/>
        <v/>
      </c>
      <c r="S103" s="170" t="str">
        <f t="shared" si="40"/>
        <v/>
      </c>
      <c r="T103" t="str">
        <f t="shared" si="41"/>
        <v/>
      </c>
      <c r="U103" s="171">
        <f>IF(Tabella42818384[[#This Row],[Investment years]]&lt;$P$24,SUMIF('CF Timeline'!$C$5:$BC$5,Tabella42818384[[#This Row],[Year]],'CF Timeline'!$C$58:$BC$58),0)</f>
        <v>0</v>
      </c>
      <c r="V103" s="171">
        <f>IF(Tabella42818384[[#This Row],[Investment years]]&lt;$P$24,Tabella42818384[[#This Row],[Yearly investment]]+X102,0)</f>
        <v>0</v>
      </c>
      <c r="W103" s="171">
        <f>Tabella42818384[[#This Row],[Tot invested]]*$P$25</f>
        <v>0</v>
      </c>
      <c r="X103" s="171">
        <f>Tabella42818384[[#This Row],[Tot invested]]+Tabella42818384[[#This Row],[Interests]]</f>
        <v>0</v>
      </c>
      <c r="Y103" s="171"/>
      <c r="AD103" t="str">
        <f t="shared" si="42"/>
        <v/>
      </c>
      <c r="AE103" s="170" t="str">
        <f t="shared" si="43"/>
        <v/>
      </c>
      <c r="AF103" t="str">
        <f t="shared" si="44"/>
        <v/>
      </c>
      <c r="AG103" s="171">
        <f>IF(Tabella4281838485[[#This Row],[Investment years]]&lt;$AB$24,SUMIF('CF Timeline'!$C$5:$BC$5,Tabella4281838485[[#This Row],[Year]],'CF Timeline'!$C$59:$BC$59),0)</f>
        <v>0</v>
      </c>
      <c r="AH103" s="171">
        <f>IF(Tabella4281838485[[#This Row],[Investment years]]&lt;$AB$24,Tabella4281838485[[#This Row],[Yearly investment]]+AJ102,0)</f>
        <v>0</v>
      </c>
      <c r="AI103" s="171">
        <f>Tabella4281838485[[#This Row],[Tot invested]]*$AB$25</f>
        <v>0</v>
      </c>
      <c r="AJ103" s="171">
        <f>Tabella4281838485[[#This Row],[Tot invested]]+Tabella4281838485[[#This Row],[Interests]]</f>
        <v>0</v>
      </c>
      <c r="AK103" s="171"/>
      <c r="AP103" t="str">
        <f t="shared" si="45"/>
        <v/>
      </c>
      <c r="AQ103" s="170" t="str">
        <f t="shared" si="46"/>
        <v/>
      </c>
      <c r="AR103" t="str">
        <f t="shared" si="47"/>
        <v/>
      </c>
      <c r="AS103" s="171">
        <f>IF(Tabella428183848586[[#This Row],[Investment years]]&lt;$AN$24,SUMIF('CF Timeline'!$C$5:$BC$5,Tabella428183848586[[#This Row],[Year]],'CF Timeline'!$C$60:$BC$60),0)</f>
        <v>0</v>
      </c>
      <c r="AT103" s="171">
        <f>IF(Tabella428183848586[[#This Row],[Investment years]]&lt;$AN$24,Tabella428183848586[[#This Row],[Yearly investment]]+AV102,0)</f>
        <v>0</v>
      </c>
      <c r="AU103" s="171">
        <f>Tabella428183848586[[#This Row],[Tot invested]]*$AN$25</f>
        <v>0</v>
      </c>
      <c r="AV103" s="171">
        <f>Tabella428183848586[[#This Row],[Tot invested]]+Tabella428183848586[[#This Row],[Interests]]</f>
        <v>0</v>
      </c>
      <c r="AW103" s="171"/>
    </row>
    <row r="104" spans="6:49">
      <c r="F104" t="str">
        <f t="shared" si="36"/>
        <v/>
      </c>
      <c r="G104" s="170" t="str">
        <f t="shared" si="37"/>
        <v/>
      </c>
      <c r="H104" t="str">
        <f t="shared" si="38"/>
        <v/>
      </c>
      <c r="I104" s="171">
        <f>IF(Tabella428183[[#This Row],[Investment years]]&lt;$C$24,SUMIF('CF Timeline'!$C$5:$BC$5,Tabella428183[[#This Row],[Year]],'CF Timeline'!$C$57:$BC$57),0)</f>
        <v>0</v>
      </c>
      <c r="J104" s="171">
        <f>IF(Tabella428183[[#This Row],[Investment years]]&lt;$C$24,Tabella428183[[#This Row],[Yearly investment]]+L103,0)</f>
        <v>0</v>
      </c>
      <c r="K104" s="171">
        <f>Tabella428183[[#This Row],[Tot invested]]*$C$25</f>
        <v>0</v>
      </c>
      <c r="L104" s="171">
        <f>Tabella428183[[#This Row],[Tot invested]]+Tabella428183[[#This Row],[Interests]]</f>
        <v>0</v>
      </c>
      <c r="M104" s="171"/>
      <c r="N104" s="145"/>
      <c r="O104" s="145"/>
      <c r="P104" s="145"/>
      <c r="R104" t="str">
        <f t="shared" si="39"/>
        <v/>
      </c>
      <c r="S104" s="170" t="str">
        <f t="shared" si="40"/>
        <v/>
      </c>
      <c r="T104" t="str">
        <f t="shared" si="41"/>
        <v/>
      </c>
      <c r="U104" s="171">
        <f>IF(Tabella42818384[[#This Row],[Investment years]]&lt;$P$24,SUMIF('CF Timeline'!$C$5:$BC$5,Tabella42818384[[#This Row],[Year]],'CF Timeline'!$C$58:$BC$58),0)</f>
        <v>0</v>
      </c>
      <c r="V104" s="171">
        <f>IF(Tabella42818384[[#This Row],[Investment years]]&lt;$P$24,Tabella42818384[[#This Row],[Yearly investment]]+X103,0)</f>
        <v>0</v>
      </c>
      <c r="W104" s="171">
        <f>Tabella42818384[[#This Row],[Tot invested]]*$P$25</f>
        <v>0</v>
      </c>
      <c r="X104" s="171">
        <f>Tabella42818384[[#This Row],[Tot invested]]+Tabella42818384[[#This Row],[Interests]]</f>
        <v>0</v>
      </c>
      <c r="Y104" s="171"/>
      <c r="AD104" t="str">
        <f t="shared" si="42"/>
        <v/>
      </c>
      <c r="AE104" s="170" t="str">
        <f t="shared" si="43"/>
        <v/>
      </c>
      <c r="AF104" t="str">
        <f t="shared" si="44"/>
        <v/>
      </c>
      <c r="AG104" s="171">
        <f>IF(Tabella4281838485[[#This Row],[Investment years]]&lt;$AB$24,SUMIF('CF Timeline'!$C$5:$BC$5,Tabella4281838485[[#This Row],[Year]],'CF Timeline'!$C$59:$BC$59),0)</f>
        <v>0</v>
      </c>
      <c r="AH104" s="171">
        <f>IF(Tabella4281838485[[#This Row],[Investment years]]&lt;$AB$24,Tabella4281838485[[#This Row],[Yearly investment]]+AJ103,0)</f>
        <v>0</v>
      </c>
      <c r="AI104" s="171">
        <f>Tabella4281838485[[#This Row],[Tot invested]]*$AB$25</f>
        <v>0</v>
      </c>
      <c r="AJ104" s="171">
        <f>Tabella4281838485[[#This Row],[Tot invested]]+Tabella4281838485[[#This Row],[Interests]]</f>
        <v>0</v>
      </c>
      <c r="AK104" s="171"/>
      <c r="AP104" t="str">
        <f t="shared" si="45"/>
        <v/>
      </c>
      <c r="AQ104" s="170" t="str">
        <f t="shared" si="46"/>
        <v/>
      </c>
      <c r="AR104" t="str">
        <f t="shared" si="47"/>
        <v/>
      </c>
      <c r="AS104" s="171">
        <f>IF(Tabella428183848586[[#This Row],[Investment years]]&lt;$AN$24,SUMIF('CF Timeline'!$C$5:$BC$5,Tabella428183848586[[#This Row],[Year]],'CF Timeline'!$C$60:$BC$60),0)</f>
        <v>0</v>
      </c>
      <c r="AT104" s="171">
        <f>IF(Tabella428183848586[[#This Row],[Investment years]]&lt;$AN$24,Tabella428183848586[[#This Row],[Yearly investment]]+AV103,0)</f>
        <v>0</v>
      </c>
      <c r="AU104" s="171">
        <f>Tabella428183848586[[#This Row],[Tot invested]]*$AN$25</f>
        <v>0</v>
      </c>
      <c r="AV104" s="171">
        <f>Tabella428183848586[[#This Row],[Tot invested]]+Tabella428183848586[[#This Row],[Interests]]</f>
        <v>0</v>
      </c>
      <c r="AW104" s="171"/>
    </row>
    <row r="105" spans="6:49">
      <c r="F105" t="str">
        <f t="shared" si="36"/>
        <v/>
      </c>
      <c r="G105" s="170" t="str">
        <f t="shared" si="37"/>
        <v/>
      </c>
      <c r="H105" t="str">
        <f t="shared" si="38"/>
        <v/>
      </c>
      <c r="I105" s="171">
        <f>IF(Tabella428183[[#This Row],[Investment years]]&lt;$C$24,SUMIF('CF Timeline'!$C$5:$BC$5,Tabella428183[[#This Row],[Year]],'CF Timeline'!$C$57:$BC$57),0)</f>
        <v>0</v>
      </c>
      <c r="J105" s="171">
        <f>IF(Tabella428183[[#This Row],[Investment years]]&lt;$C$24,Tabella428183[[#This Row],[Yearly investment]]+L104,0)</f>
        <v>0</v>
      </c>
      <c r="K105" s="171">
        <f>Tabella428183[[#This Row],[Tot invested]]*$C$25</f>
        <v>0</v>
      </c>
      <c r="L105" s="171">
        <f>Tabella428183[[#This Row],[Tot invested]]+Tabella428183[[#This Row],[Interests]]</f>
        <v>0</v>
      </c>
      <c r="M105" s="171"/>
      <c r="N105" s="145"/>
      <c r="O105" s="145"/>
      <c r="P105" s="145"/>
      <c r="R105" t="str">
        <f t="shared" si="39"/>
        <v/>
      </c>
      <c r="S105" s="170" t="str">
        <f t="shared" si="40"/>
        <v/>
      </c>
      <c r="T105" t="str">
        <f t="shared" si="41"/>
        <v/>
      </c>
      <c r="U105" s="171">
        <f>IF(Tabella42818384[[#This Row],[Investment years]]&lt;$P$24,SUMIF('CF Timeline'!$C$5:$BC$5,Tabella42818384[[#This Row],[Year]],'CF Timeline'!$C$58:$BC$58),0)</f>
        <v>0</v>
      </c>
      <c r="V105" s="171">
        <f>IF(Tabella42818384[[#This Row],[Investment years]]&lt;$P$24,Tabella42818384[[#This Row],[Yearly investment]]+X104,0)</f>
        <v>0</v>
      </c>
      <c r="W105" s="171">
        <f>Tabella42818384[[#This Row],[Tot invested]]*$P$25</f>
        <v>0</v>
      </c>
      <c r="X105" s="171">
        <f>Tabella42818384[[#This Row],[Tot invested]]+Tabella42818384[[#This Row],[Interests]]</f>
        <v>0</v>
      </c>
      <c r="Y105" s="171"/>
      <c r="AD105" t="str">
        <f t="shared" si="42"/>
        <v/>
      </c>
      <c r="AE105" s="170" t="str">
        <f t="shared" si="43"/>
        <v/>
      </c>
      <c r="AF105" t="str">
        <f t="shared" si="44"/>
        <v/>
      </c>
      <c r="AG105" s="171">
        <f>IF(Tabella4281838485[[#This Row],[Investment years]]&lt;$AB$24,SUMIF('CF Timeline'!$C$5:$BC$5,Tabella4281838485[[#This Row],[Year]],'CF Timeline'!$C$59:$BC$59),0)</f>
        <v>0</v>
      </c>
      <c r="AH105" s="171">
        <f>IF(Tabella4281838485[[#This Row],[Investment years]]&lt;$AB$24,Tabella4281838485[[#This Row],[Yearly investment]]+AJ104,0)</f>
        <v>0</v>
      </c>
      <c r="AI105" s="171">
        <f>Tabella4281838485[[#This Row],[Tot invested]]*$AB$25</f>
        <v>0</v>
      </c>
      <c r="AJ105" s="171">
        <f>Tabella4281838485[[#This Row],[Tot invested]]+Tabella4281838485[[#This Row],[Interests]]</f>
        <v>0</v>
      </c>
      <c r="AK105" s="171"/>
      <c r="AP105" t="str">
        <f t="shared" si="45"/>
        <v/>
      </c>
      <c r="AQ105" s="170" t="str">
        <f t="shared" si="46"/>
        <v/>
      </c>
      <c r="AR105" t="str">
        <f t="shared" si="47"/>
        <v/>
      </c>
      <c r="AS105" s="171">
        <f>IF(Tabella428183848586[[#This Row],[Investment years]]&lt;$AN$24,SUMIF('CF Timeline'!$C$5:$BC$5,Tabella428183848586[[#This Row],[Year]],'CF Timeline'!$C$60:$BC$60),0)</f>
        <v>0</v>
      </c>
      <c r="AT105" s="171">
        <f>IF(Tabella428183848586[[#This Row],[Investment years]]&lt;$AN$24,Tabella428183848586[[#This Row],[Yearly investment]]+AV104,0)</f>
        <v>0</v>
      </c>
      <c r="AU105" s="171">
        <f>Tabella428183848586[[#This Row],[Tot invested]]*$AN$25</f>
        <v>0</v>
      </c>
      <c r="AV105" s="171">
        <f>Tabella428183848586[[#This Row],[Tot invested]]+Tabella428183848586[[#This Row],[Interests]]</f>
        <v>0</v>
      </c>
      <c r="AW105" s="171"/>
    </row>
    <row r="106" spans="6:49">
      <c r="F106" t="str">
        <f t="shared" si="36"/>
        <v/>
      </c>
      <c r="G106" s="170" t="str">
        <f t="shared" si="37"/>
        <v/>
      </c>
      <c r="H106" t="str">
        <f t="shared" si="38"/>
        <v/>
      </c>
      <c r="I106" s="171">
        <f>IF(Tabella428183[[#This Row],[Investment years]]&lt;$C$24,SUMIF('CF Timeline'!$C$5:$BC$5,Tabella428183[[#This Row],[Year]],'CF Timeline'!$C$57:$BC$57),0)</f>
        <v>0</v>
      </c>
      <c r="J106" s="171">
        <f>IF(Tabella428183[[#This Row],[Investment years]]&lt;$C$24,Tabella428183[[#This Row],[Yearly investment]]+L105,0)</f>
        <v>0</v>
      </c>
      <c r="K106" s="171">
        <f>Tabella428183[[#This Row],[Tot invested]]*$C$25</f>
        <v>0</v>
      </c>
      <c r="L106" s="171">
        <f>Tabella428183[[#This Row],[Tot invested]]+Tabella428183[[#This Row],[Interests]]</f>
        <v>0</v>
      </c>
      <c r="M106" s="171"/>
      <c r="N106" s="145"/>
      <c r="O106" s="145"/>
      <c r="P106" s="145"/>
      <c r="R106" t="str">
        <f t="shared" si="39"/>
        <v/>
      </c>
      <c r="S106" s="170" t="str">
        <f t="shared" si="40"/>
        <v/>
      </c>
      <c r="T106" t="str">
        <f t="shared" si="41"/>
        <v/>
      </c>
      <c r="U106" s="171">
        <f>IF(Tabella42818384[[#This Row],[Investment years]]&lt;$P$24,SUMIF('CF Timeline'!$C$5:$BC$5,Tabella42818384[[#This Row],[Year]],'CF Timeline'!$C$58:$BC$58),0)</f>
        <v>0</v>
      </c>
      <c r="V106" s="171">
        <f>IF(Tabella42818384[[#This Row],[Investment years]]&lt;$P$24,Tabella42818384[[#This Row],[Yearly investment]]+X105,0)</f>
        <v>0</v>
      </c>
      <c r="W106" s="171">
        <f>Tabella42818384[[#This Row],[Tot invested]]*$P$25</f>
        <v>0</v>
      </c>
      <c r="X106" s="171">
        <f>Tabella42818384[[#This Row],[Tot invested]]+Tabella42818384[[#This Row],[Interests]]</f>
        <v>0</v>
      </c>
      <c r="Y106" s="171"/>
      <c r="AD106" t="str">
        <f t="shared" si="42"/>
        <v/>
      </c>
      <c r="AE106" s="170" t="str">
        <f t="shared" si="43"/>
        <v/>
      </c>
      <c r="AF106" t="str">
        <f t="shared" si="44"/>
        <v/>
      </c>
      <c r="AG106" s="171">
        <f>IF(Tabella4281838485[[#This Row],[Investment years]]&lt;$AB$24,SUMIF('CF Timeline'!$C$5:$BC$5,Tabella4281838485[[#This Row],[Year]],'CF Timeline'!$C$59:$BC$59),0)</f>
        <v>0</v>
      </c>
      <c r="AH106" s="171">
        <f>IF(Tabella4281838485[[#This Row],[Investment years]]&lt;$AB$24,Tabella4281838485[[#This Row],[Yearly investment]]+AJ105,0)</f>
        <v>0</v>
      </c>
      <c r="AI106" s="171">
        <f>Tabella4281838485[[#This Row],[Tot invested]]*$AB$25</f>
        <v>0</v>
      </c>
      <c r="AJ106" s="171">
        <f>Tabella4281838485[[#This Row],[Tot invested]]+Tabella4281838485[[#This Row],[Interests]]</f>
        <v>0</v>
      </c>
      <c r="AK106" s="171"/>
      <c r="AP106" t="str">
        <f t="shared" si="45"/>
        <v/>
      </c>
      <c r="AQ106" s="170" t="str">
        <f t="shared" si="46"/>
        <v/>
      </c>
      <c r="AR106" t="str">
        <f t="shared" si="47"/>
        <v/>
      </c>
      <c r="AS106" s="171">
        <f>IF(Tabella428183848586[[#This Row],[Investment years]]&lt;$AN$24,SUMIF('CF Timeline'!$C$5:$BC$5,Tabella428183848586[[#This Row],[Year]],'CF Timeline'!$C$60:$BC$60),0)</f>
        <v>0</v>
      </c>
      <c r="AT106" s="171">
        <f>IF(Tabella428183848586[[#This Row],[Investment years]]&lt;$AN$24,Tabella428183848586[[#This Row],[Yearly investment]]+AV105,0)</f>
        <v>0</v>
      </c>
      <c r="AU106" s="171">
        <f>Tabella428183848586[[#This Row],[Tot invested]]*$AN$25</f>
        <v>0</v>
      </c>
      <c r="AV106" s="171">
        <f>Tabella428183848586[[#This Row],[Tot invested]]+Tabella428183848586[[#This Row],[Interests]]</f>
        <v>0</v>
      </c>
      <c r="AW106" s="171"/>
    </row>
    <row r="107" spans="6:49">
      <c r="F107" t="str">
        <f t="shared" si="36"/>
        <v/>
      </c>
      <c r="G107" s="170" t="str">
        <f t="shared" si="37"/>
        <v/>
      </c>
      <c r="H107" t="str">
        <f t="shared" si="38"/>
        <v/>
      </c>
      <c r="I107" s="171">
        <f>IF(Tabella428183[[#This Row],[Investment years]]&lt;$C$24,SUMIF('CF Timeline'!$C$5:$BC$5,Tabella428183[[#This Row],[Year]],'CF Timeline'!$C$57:$BC$57),0)</f>
        <v>0</v>
      </c>
      <c r="J107" s="171">
        <f>IF(Tabella428183[[#This Row],[Investment years]]&lt;$C$24,Tabella428183[[#This Row],[Yearly investment]]+L106,0)</f>
        <v>0</v>
      </c>
      <c r="K107" s="171">
        <f>Tabella428183[[#This Row],[Tot invested]]*$C$25</f>
        <v>0</v>
      </c>
      <c r="L107" s="171">
        <f>Tabella428183[[#This Row],[Tot invested]]+Tabella428183[[#This Row],[Interests]]</f>
        <v>0</v>
      </c>
      <c r="M107" s="171"/>
      <c r="N107" s="145"/>
      <c r="O107" s="145"/>
      <c r="P107" s="145"/>
      <c r="R107" t="str">
        <f t="shared" si="39"/>
        <v/>
      </c>
      <c r="S107" s="170" t="str">
        <f t="shared" si="40"/>
        <v/>
      </c>
      <c r="T107" t="str">
        <f t="shared" si="41"/>
        <v/>
      </c>
      <c r="U107" s="171">
        <f>IF(Tabella42818384[[#This Row],[Investment years]]&lt;$P$24,SUMIF('CF Timeline'!$C$5:$BC$5,Tabella42818384[[#This Row],[Year]],'CF Timeline'!$C$58:$BC$58),0)</f>
        <v>0</v>
      </c>
      <c r="V107" s="171">
        <f>IF(Tabella42818384[[#This Row],[Investment years]]&lt;$P$24,Tabella42818384[[#This Row],[Yearly investment]]+X106,0)</f>
        <v>0</v>
      </c>
      <c r="W107" s="171">
        <f>Tabella42818384[[#This Row],[Tot invested]]*$P$25</f>
        <v>0</v>
      </c>
      <c r="X107" s="171">
        <f>Tabella42818384[[#This Row],[Tot invested]]+Tabella42818384[[#This Row],[Interests]]</f>
        <v>0</v>
      </c>
      <c r="Y107" s="171"/>
      <c r="AD107" t="str">
        <f t="shared" si="42"/>
        <v/>
      </c>
      <c r="AE107" s="170" t="str">
        <f t="shared" si="43"/>
        <v/>
      </c>
      <c r="AF107" t="str">
        <f t="shared" si="44"/>
        <v/>
      </c>
      <c r="AG107" s="171">
        <f>IF(Tabella4281838485[[#This Row],[Investment years]]&lt;$AB$24,SUMIF('CF Timeline'!$C$5:$BC$5,Tabella4281838485[[#This Row],[Year]],'CF Timeline'!$C$59:$BC$59),0)</f>
        <v>0</v>
      </c>
      <c r="AH107" s="171">
        <f>IF(Tabella4281838485[[#This Row],[Investment years]]&lt;$AB$24,Tabella4281838485[[#This Row],[Yearly investment]]+AJ106,0)</f>
        <v>0</v>
      </c>
      <c r="AI107" s="171">
        <f>Tabella4281838485[[#This Row],[Tot invested]]*$AB$25</f>
        <v>0</v>
      </c>
      <c r="AJ107" s="171">
        <f>Tabella4281838485[[#This Row],[Tot invested]]+Tabella4281838485[[#This Row],[Interests]]</f>
        <v>0</v>
      </c>
      <c r="AK107" s="171"/>
      <c r="AP107" t="str">
        <f t="shared" si="45"/>
        <v/>
      </c>
      <c r="AQ107" s="170" t="str">
        <f t="shared" si="46"/>
        <v/>
      </c>
      <c r="AR107" t="str">
        <f t="shared" si="47"/>
        <v/>
      </c>
      <c r="AS107" s="171">
        <f>IF(Tabella428183848586[[#This Row],[Investment years]]&lt;$AN$24,SUMIF('CF Timeline'!$C$5:$BC$5,Tabella428183848586[[#This Row],[Year]],'CF Timeline'!$C$60:$BC$60),0)</f>
        <v>0</v>
      </c>
      <c r="AT107" s="171">
        <f>IF(Tabella428183848586[[#This Row],[Investment years]]&lt;$AN$24,Tabella428183848586[[#This Row],[Yearly investment]]+AV106,0)</f>
        <v>0</v>
      </c>
      <c r="AU107" s="171">
        <f>Tabella428183848586[[#This Row],[Tot invested]]*$AN$25</f>
        <v>0</v>
      </c>
      <c r="AV107" s="171">
        <f>Tabella428183848586[[#This Row],[Tot invested]]+Tabella428183848586[[#This Row],[Interests]]</f>
        <v>0</v>
      </c>
      <c r="AW107" s="171"/>
    </row>
    <row r="108" spans="6:49">
      <c r="F108" t="str">
        <f t="shared" si="36"/>
        <v/>
      </c>
      <c r="G108" s="170" t="str">
        <f t="shared" si="37"/>
        <v/>
      </c>
      <c r="H108" t="str">
        <f t="shared" si="38"/>
        <v/>
      </c>
      <c r="I108" s="171">
        <f>IF(Tabella428183[[#This Row],[Investment years]]&lt;$C$24,SUMIF('CF Timeline'!$C$5:$BC$5,Tabella428183[[#This Row],[Year]],'CF Timeline'!$C$57:$BC$57),0)</f>
        <v>0</v>
      </c>
      <c r="J108" s="171">
        <f>IF(Tabella428183[[#This Row],[Investment years]]&lt;$C$24,Tabella428183[[#This Row],[Yearly investment]]+L107,0)</f>
        <v>0</v>
      </c>
      <c r="K108" s="171">
        <f>Tabella428183[[#This Row],[Tot invested]]*$C$25</f>
        <v>0</v>
      </c>
      <c r="L108" s="171">
        <f>Tabella428183[[#This Row],[Tot invested]]+Tabella428183[[#This Row],[Interests]]</f>
        <v>0</v>
      </c>
      <c r="M108" s="171"/>
      <c r="N108" s="145"/>
      <c r="O108" s="145"/>
      <c r="P108" s="145"/>
      <c r="R108" t="str">
        <f t="shared" si="39"/>
        <v/>
      </c>
      <c r="S108" s="170" t="str">
        <f t="shared" si="40"/>
        <v/>
      </c>
      <c r="T108" t="str">
        <f t="shared" si="41"/>
        <v/>
      </c>
      <c r="U108" s="171">
        <f>IF(Tabella42818384[[#This Row],[Investment years]]&lt;$P$24,SUMIF('CF Timeline'!$C$5:$BC$5,Tabella42818384[[#This Row],[Year]],'CF Timeline'!$C$58:$BC$58),0)</f>
        <v>0</v>
      </c>
      <c r="V108" s="171">
        <f>IF(Tabella42818384[[#This Row],[Investment years]]&lt;$P$24,Tabella42818384[[#This Row],[Yearly investment]]+X107,0)</f>
        <v>0</v>
      </c>
      <c r="W108" s="171">
        <f>Tabella42818384[[#This Row],[Tot invested]]*$P$25</f>
        <v>0</v>
      </c>
      <c r="X108" s="171">
        <f>Tabella42818384[[#This Row],[Tot invested]]+Tabella42818384[[#This Row],[Interests]]</f>
        <v>0</v>
      </c>
      <c r="Y108" s="171"/>
      <c r="AD108" t="str">
        <f t="shared" si="42"/>
        <v/>
      </c>
      <c r="AE108" s="170" t="str">
        <f t="shared" si="43"/>
        <v/>
      </c>
      <c r="AF108" t="str">
        <f t="shared" si="44"/>
        <v/>
      </c>
      <c r="AG108" s="171">
        <f>IF(Tabella4281838485[[#This Row],[Investment years]]&lt;$AB$24,SUMIF('CF Timeline'!$C$5:$BC$5,Tabella4281838485[[#This Row],[Year]],'CF Timeline'!$C$59:$BC$59),0)</f>
        <v>0</v>
      </c>
      <c r="AH108" s="171">
        <f>IF(Tabella4281838485[[#This Row],[Investment years]]&lt;$AB$24,Tabella4281838485[[#This Row],[Yearly investment]]+AJ107,0)</f>
        <v>0</v>
      </c>
      <c r="AI108" s="171">
        <f>Tabella4281838485[[#This Row],[Tot invested]]*$AB$25</f>
        <v>0</v>
      </c>
      <c r="AJ108" s="171">
        <f>Tabella4281838485[[#This Row],[Tot invested]]+Tabella4281838485[[#This Row],[Interests]]</f>
        <v>0</v>
      </c>
      <c r="AK108" s="171"/>
      <c r="AP108" t="str">
        <f t="shared" si="45"/>
        <v/>
      </c>
      <c r="AQ108" s="170" t="str">
        <f t="shared" si="46"/>
        <v/>
      </c>
      <c r="AR108" t="str">
        <f t="shared" si="47"/>
        <v/>
      </c>
      <c r="AS108" s="171">
        <f>IF(Tabella428183848586[[#This Row],[Investment years]]&lt;$AN$24,SUMIF('CF Timeline'!$C$5:$BC$5,Tabella428183848586[[#This Row],[Year]],'CF Timeline'!$C$60:$BC$60),0)</f>
        <v>0</v>
      </c>
      <c r="AT108" s="171">
        <f>IF(Tabella428183848586[[#This Row],[Investment years]]&lt;$AN$24,Tabella428183848586[[#This Row],[Yearly investment]]+AV107,0)</f>
        <v>0</v>
      </c>
      <c r="AU108" s="171">
        <f>Tabella428183848586[[#This Row],[Tot invested]]*$AN$25</f>
        <v>0</v>
      </c>
      <c r="AV108" s="171">
        <f>Tabella428183848586[[#This Row],[Tot invested]]+Tabella428183848586[[#This Row],[Interests]]</f>
        <v>0</v>
      </c>
      <c r="AW108" s="171"/>
    </row>
    <row r="109" spans="6:49">
      <c r="F109" t="str">
        <f t="shared" si="36"/>
        <v/>
      </c>
      <c r="G109" s="170" t="str">
        <f t="shared" si="37"/>
        <v/>
      </c>
      <c r="H109" t="str">
        <f t="shared" si="38"/>
        <v/>
      </c>
      <c r="I109" s="171">
        <f>IF(Tabella428183[[#This Row],[Investment years]]&lt;$C$24,SUMIF('CF Timeline'!$C$5:$BC$5,Tabella428183[[#This Row],[Year]],'CF Timeline'!$C$57:$BC$57),0)</f>
        <v>0</v>
      </c>
      <c r="J109" s="171">
        <f>IF(Tabella428183[[#This Row],[Investment years]]&lt;$C$24,Tabella428183[[#This Row],[Yearly investment]]+L108,0)</f>
        <v>0</v>
      </c>
      <c r="K109" s="171">
        <f>Tabella428183[[#This Row],[Tot invested]]*$C$25</f>
        <v>0</v>
      </c>
      <c r="L109" s="171">
        <f>Tabella428183[[#This Row],[Tot invested]]+Tabella428183[[#This Row],[Interests]]</f>
        <v>0</v>
      </c>
      <c r="M109" s="171"/>
      <c r="R109" t="str">
        <f t="shared" si="39"/>
        <v/>
      </c>
      <c r="S109" s="170" t="str">
        <f t="shared" si="40"/>
        <v/>
      </c>
      <c r="T109" t="str">
        <f t="shared" si="41"/>
        <v/>
      </c>
      <c r="U109" s="171">
        <f>IF(Tabella42818384[[#This Row],[Investment years]]&lt;$P$24,SUMIF('CF Timeline'!$C$5:$BC$5,Tabella42818384[[#This Row],[Year]],'CF Timeline'!$C$58:$BC$58),0)</f>
        <v>0</v>
      </c>
      <c r="V109" s="171">
        <f>IF(Tabella42818384[[#This Row],[Investment years]]&lt;$P$24,Tabella42818384[[#This Row],[Yearly investment]]+X108,0)</f>
        <v>0</v>
      </c>
      <c r="W109" s="171">
        <f>Tabella42818384[[#This Row],[Tot invested]]*$P$25</f>
        <v>0</v>
      </c>
      <c r="X109" s="171">
        <f>Tabella42818384[[#This Row],[Tot invested]]+Tabella42818384[[#This Row],[Interests]]</f>
        <v>0</v>
      </c>
      <c r="Y109" s="171"/>
      <c r="AD109" t="str">
        <f t="shared" si="42"/>
        <v/>
      </c>
      <c r="AE109" s="170" t="str">
        <f t="shared" si="43"/>
        <v/>
      </c>
      <c r="AF109" t="str">
        <f t="shared" si="44"/>
        <v/>
      </c>
      <c r="AG109" s="171">
        <f>IF(Tabella4281838485[[#This Row],[Investment years]]&lt;$AB$24,SUMIF('CF Timeline'!$C$5:$BC$5,Tabella4281838485[[#This Row],[Year]],'CF Timeline'!$C$59:$BC$59),0)</f>
        <v>0</v>
      </c>
      <c r="AH109" s="171">
        <f>IF(Tabella4281838485[[#This Row],[Investment years]]&lt;$AB$24,Tabella4281838485[[#This Row],[Yearly investment]]+AJ108,0)</f>
        <v>0</v>
      </c>
      <c r="AI109" s="171">
        <f>Tabella4281838485[[#This Row],[Tot invested]]*$AB$25</f>
        <v>0</v>
      </c>
      <c r="AJ109" s="171">
        <f>Tabella4281838485[[#This Row],[Tot invested]]+Tabella4281838485[[#This Row],[Interests]]</f>
        <v>0</v>
      </c>
      <c r="AK109" s="171"/>
      <c r="AP109" t="str">
        <f t="shared" si="45"/>
        <v/>
      </c>
      <c r="AQ109" s="170" t="str">
        <f t="shared" si="46"/>
        <v/>
      </c>
      <c r="AR109" t="str">
        <f t="shared" si="47"/>
        <v/>
      </c>
      <c r="AS109" s="171">
        <f>IF(Tabella428183848586[[#This Row],[Investment years]]&lt;$AN$24,SUMIF('CF Timeline'!$C$5:$BC$5,Tabella428183848586[[#This Row],[Year]],'CF Timeline'!$C$60:$BC$60),0)</f>
        <v>0</v>
      </c>
      <c r="AT109" s="171">
        <f>IF(Tabella428183848586[[#This Row],[Investment years]]&lt;$AN$24,Tabella428183848586[[#This Row],[Yearly investment]]+AV108,0)</f>
        <v>0</v>
      </c>
      <c r="AU109" s="171">
        <f>Tabella428183848586[[#This Row],[Tot invested]]*$AN$25</f>
        <v>0</v>
      </c>
      <c r="AV109" s="171">
        <f>Tabella428183848586[[#This Row],[Tot invested]]+Tabella428183848586[[#This Row],[Interests]]</f>
        <v>0</v>
      </c>
      <c r="AW109" s="171"/>
    </row>
    <row r="110" spans="6:49">
      <c r="F110" t="str">
        <f t="shared" si="36"/>
        <v/>
      </c>
      <c r="G110" s="170" t="str">
        <f t="shared" si="37"/>
        <v/>
      </c>
      <c r="H110" t="str">
        <f t="shared" si="38"/>
        <v/>
      </c>
      <c r="I110" s="171">
        <f>IF(Tabella428183[[#This Row],[Investment years]]&lt;$C$24,SUMIF('CF Timeline'!$C$5:$BC$5,Tabella428183[[#This Row],[Year]],'CF Timeline'!$C$57:$BC$57),0)</f>
        <v>0</v>
      </c>
      <c r="J110" s="171">
        <f>IF(Tabella428183[[#This Row],[Investment years]]&lt;$C$24,Tabella428183[[#This Row],[Yearly investment]]+L109,0)</f>
        <v>0</v>
      </c>
      <c r="K110" s="171">
        <f>Tabella428183[[#This Row],[Tot invested]]*$C$25</f>
        <v>0</v>
      </c>
      <c r="L110" s="171">
        <f>Tabella428183[[#This Row],[Tot invested]]+Tabella428183[[#This Row],[Interests]]</f>
        <v>0</v>
      </c>
      <c r="M110" s="171">
        <f t="shared" ref="M110:M113" si="48">IF(F110&lt;=$C$6,$C$16,"")</f>
        <v>0</v>
      </c>
      <c r="R110" t="str">
        <f t="shared" si="39"/>
        <v/>
      </c>
      <c r="S110" s="170" t="str">
        <f t="shared" si="40"/>
        <v/>
      </c>
      <c r="T110" t="str">
        <f t="shared" si="41"/>
        <v/>
      </c>
      <c r="U110" s="171">
        <f>IF(Tabella42818384[[#This Row],[Investment years]]&lt;$P$24,SUMIF('CF Timeline'!$C$5:$BC$5,Tabella42818384[[#This Row],[Year]],'CF Timeline'!$C$58:$BC$58),0)</f>
        <v>0</v>
      </c>
      <c r="V110" s="171">
        <f>IF(Tabella42818384[[#This Row],[Investment years]]&lt;$P$24,Tabella42818384[[#This Row],[Yearly investment]]+X109,0)</f>
        <v>0</v>
      </c>
      <c r="W110" s="171">
        <f>Tabella42818384[[#This Row],[Tot invested]]*$P$25</f>
        <v>0</v>
      </c>
      <c r="X110" s="171">
        <f>Tabella42818384[[#This Row],[Tot invested]]+Tabella42818384[[#This Row],[Interests]]</f>
        <v>0</v>
      </c>
      <c r="Y110" s="171">
        <f t="shared" ref="Y110:Y113" si="49">IF(R110&lt;=$C$6,$C$16,"")</f>
        <v>0</v>
      </c>
      <c r="AD110" t="str">
        <f t="shared" si="42"/>
        <v/>
      </c>
      <c r="AE110" s="170" t="str">
        <f t="shared" si="43"/>
        <v/>
      </c>
      <c r="AF110" t="str">
        <f t="shared" si="44"/>
        <v/>
      </c>
      <c r="AG110" s="171">
        <f>IF(Tabella4281838485[[#This Row],[Investment years]]&lt;$AB$24,SUMIF('CF Timeline'!$C$5:$BC$5,Tabella4281838485[[#This Row],[Year]],'CF Timeline'!$C$59:$BC$59),0)</f>
        <v>0</v>
      </c>
      <c r="AH110" s="171">
        <f>IF(Tabella4281838485[[#This Row],[Investment years]]&lt;$AB$24,Tabella4281838485[[#This Row],[Yearly investment]]+AJ109,0)</f>
        <v>0</v>
      </c>
      <c r="AI110" s="171">
        <f>Tabella4281838485[[#This Row],[Tot invested]]*$AB$25</f>
        <v>0</v>
      </c>
      <c r="AJ110" s="171">
        <f>Tabella4281838485[[#This Row],[Tot invested]]+Tabella4281838485[[#This Row],[Interests]]</f>
        <v>0</v>
      </c>
      <c r="AK110" s="171">
        <f t="shared" ref="AK110:AK113" si="50">IF(AD110&lt;=$C$6,$C$16,"")</f>
        <v>0</v>
      </c>
      <c r="AP110" t="str">
        <f t="shared" si="45"/>
        <v/>
      </c>
      <c r="AQ110" s="170" t="str">
        <f t="shared" si="46"/>
        <v/>
      </c>
      <c r="AR110" t="str">
        <f t="shared" si="47"/>
        <v/>
      </c>
      <c r="AS110" s="171">
        <f>IF(Tabella428183848586[[#This Row],[Investment years]]&lt;$AN$24,SUMIF('CF Timeline'!$C$5:$BC$5,Tabella428183848586[[#This Row],[Year]],'CF Timeline'!$C$60:$BC$60),0)</f>
        <v>0</v>
      </c>
      <c r="AT110" s="171">
        <f>IF(Tabella428183848586[[#This Row],[Investment years]]&lt;$AN$24,Tabella428183848586[[#This Row],[Yearly investment]]+AV109,0)</f>
        <v>0</v>
      </c>
      <c r="AU110" s="171">
        <f>Tabella428183848586[[#This Row],[Tot invested]]*$AN$25</f>
        <v>0</v>
      </c>
      <c r="AV110" s="171">
        <f>Tabella428183848586[[#This Row],[Tot invested]]+Tabella428183848586[[#This Row],[Interests]]</f>
        <v>0</v>
      </c>
      <c r="AW110" s="171">
        <f t="shared" ref="AW110:AW113" si="51">IF(AP110&lt;=$C$6,$C$16,"")</f>
        <v>0</v>
      </c>
    </row>
    <row r="111" spans="6:49">
      <c r="F111" t="str">
        <f t="shared" si="36"/>
        <v/>
      </c>
      <c r="G111" s="170" t="str">
        <f t="shared" si="37"/>
        <v/>
      </c>
      <c r="H111" t="str">
        <f t="shared" si="38"/>
        <v/>
      </c>
      <c r="I111" s="171">
        <f>IF(Tabella428183[[#This Row],[Investment years]]&lt;$C$24,SUMIF('CF Timeline'!$C$5:$BC$5,Tabella428183[[#This Row],[Year]],'CF Timeline'!$C$57:$BC$57),0)</f>
        <v>0</v>
      </c>
      <c r="J111" s="171">
        <f>IF(Tabella428183[[#This Row],[Investment years]]&lt;$C$24,Tabella428183[[#This Row],[Yearly investment]]+L110,0)</f>
        <v>0</v>
      </c>
      <c r="K111" s="171">
        <f>Tabella428183[[#This Row],[Tot invested]]*$C$25</f>
        <v>0</v>
      </c>
      <c r="L111" s="171">
        <f>Tabella428183[[#This Row],[Tot invested]]+Tabella428183[[#This Row],[Interests]]</f>
        <v>0</v>
      </c>
      <c r="M111" s="171">
        <f t="shared" si="48"/>
        <v>0</v>
      </c>
      <c r="R111" t="str">
        <f t="shared" si="39"/>
        <v/>
      </c>
      <c r="S111" s="170" t="str">
        <f t="shared" si="40"/>
        <v/>
      </c>
      <c r="T111" t="str">
        <f t="shared" si="41"/>
        <v/>
      </c>
      <c r="U111" s="171">
        <f>IF(Tabella42818384[[#This Row],[Investment years]]&lt;$P$24,SUMIF('CF Timeline'!$C$5:$BC$5,Tabella42818384[[#This Row],[Year]],'CF Timeline'!$C$58:$BC$58),0)</f>
        <v>0</v>
      </c>
      <c r="V111" s="171">
        <f>IF(Tabella42818384[[#This Row],[Investment years]]&lt;$P$24,Tabella42818384[[#This Row],[Yearly investment]]+X110,0)</f>
        <v>0</v>
      </c>
      <c r="W111" s="171">
        <f>Tabella42818384[[#This Row],[Tot invested]]*$P$25</f>
        <v>0</v>
      </c>
      <c r="X111" s="171">
        <f>Tabella42818384[[#This Row],[Tot invested]]+Tabella42818384[[#This Row],[Interests]]</f>
        <v>0</v>
      </c>
      <c r="Y111" s="171">
        <f t="shared" si="49"/>
        <v>0</v>
      </c>
      <c r="AD111" t="str">
        <f t="shared" si="42"/>
        <v/>
      </c>
      <c r="AE111" s="170" t="str">
        <f t="shared" si="43"/>
        <v/>
      </c>
      <c r="AF111" t="str">
        <f t="shared" si="44"/>
        <v/>
      </c>
      <c r="AG111" s="171">
        <f>IF(Tabella4281838485[[#This Row],[Investment years]]&lt;$AB$24,SUMIF('CF Timeline'!$C$5:$BC$5,Tabella4281838485[[#This Row],[Year]],'CF Timeline'!$C$59:$BC$59),0)</f>
        <v>0</v>
      </c>
      <c r="AH111" s="171">
        <f>IF(Tabella4281838485[[#This Row],[Investment years]]&lt;$AB$24,Tabella4281838485[[#This Row],[Yearly investment]]+AJ110,0)</f>
        <v>0</v>
      </c>
      <c r="AI111" s="171">
        <f>Tabella4281838485[[#This Row],[Tot invested]]*$AB$25</f>
        <v>0</v>
      </c>
      <c r="AJ111" s="171">
        <f>Tabella4281838485[[#This Row],[Tot invested]]+Tabella4281838485[[#This Row],[Interests]]</f>
        <v>0</v>
      </c>
      <c r="AK111" s="171">
        <f t="shared" si="50"/>
        <v>0</v>
      </c>
      <c r="AP111" t="str">
        <f t="shared" si="45"/>
        <v/>
      </c>
      <c r="AQ111" s="170" t="str">
        <f t="shared" si="46"/>
        <v/>
      </c>
      <c r="AR111" t="str">
        <f t="shared" si="47"/>
        <v/>
      </c>
      <c r="AS111" s="171">
        <f>IF(Tabella428183848586[[#This Row],[Investment years]]&lt;$AN$24,SUMIF('CF Timeline'!$C$5:$BC$5,Tabella428183848586[[#This Row],[Year]],'CF Timeline'!$C$60:$BC$60),0)</f>
        <v>0</v>
      </c>
      <c r="AT111" s="171">
        <f>IF(Tabella428183848586[[#This Row],[Investment years]]&lt;$AN$24,Tabella428183848586[[#This Row],[Yearly investment]]+AV110,0)</f>
        <v>0</v>
      </c>
      <c r="AU111" s="171">
        <f>Tabella428183848586[[#This Row],[Tot invested]]*$AN$25</f>
        <v>0</v>
      </c>
      <c r="AV111" s="171">
        <f>Tabella428183848586[[#This Row],[Tot invested]]+Tabella428183848586[[#This Row],[Interests]]</f>
        <v>0</v>
      </c>
      <c r="AW111" s="171">
        <f t="shared" si="51"/>
        <v>0</v>
      </c>
    </row>
    <row r="112" spans="6:49">
      <c r="F112" t="str">
        <f t="shared" si="36"/>
        <v/>
      </c>
      <c r="G112" s="170" t="str">
        <f t="shared" si="37"/>
        <v/>
      </c>
      <c r="H112" t="str">
        <f t="shared" si="38"/>
        <v/>
      </c>
      <c r="I112" s="171">
        <f>IF(Tabella428183[[#This Row],[Investment years]]&lt;$C$24,SUMIF('CF Timeline'!$C$5:$BC$5,Tabella428183[[#This Row],[Year]],'CF Timeline'!$C$57:$BC$57),0)</f>
        <v>0</v>
      </c>
      <c r="J112" s="171">
        <f>IF(Tabella428183[[#This Row],[Investment years]]&lt;$C$24,Tabella428183[[#This Row],[Yearly investment]]+L111,0)</f>
        <v>0</v>
      </c>
      <c r="K112" s="171">
        <f>Tabella428183[[#This Row],[Tot invested]]*$C$25</f>
        <v>0</v>
      </c>
      <c r="L112" s="171">
        <f>Tabella428183[[#This Row],[Tot invested]]+Tabella428183[[#This Row],[Interests]]</f>
        <v>0</v>
      </c>
      <c r="M112" s="171">
        <f t="shared" si="48"/>
        <v>0</v>
      </c>
      <c r="R112" t="str">
        <f t="shared" si="39"/>
        <v/>
      </c>
      <c r="S112" s="170" t="str">
        <f t="shared" si="40"/>
        <v/>
      </c>
      <c r="T112" t="str">
        <f t="shared" si="41"/>
        <v/>
      </c>
      <c r="U112" s="171">
        <f>IF(Tabella42818384[[#This Row],[Investment years]]&lt;$P$24,SUMIF('CF Timeline'!$C$5:$BC$5,Tabella42818384[[#This Row],[Year]],'CF Timeline'!$C$58:$BC$58),0)</f>
        <v>0</v>
      </c>
      <c r="V112" s="171">
        <f>IF(Tabella42818384[[#This Row],[Investment years]]&lt;$P$24,Tabella42818384[[#This Row],[Yearly investment]]+X111,0)</f>
        <v>0</v>
      </c>
      <c r="W112" s="171">
        <f>Tabella42818384[[#This Row],[Tot invested]]*$P$25</f>
        <v>0</v>
      </c>
      <c r="X112" s="171">
        <f>Tabella42818384[[#This Row],[Tot invested]]+Tabella42818384[[#This Row],[Interests]]</f>
        <v>0</v>
      </c>
      <c r="Y112" s="171">
        <f t="shared" si="49"/>
        <v>0</v>
      </c>
      <c r="AD112" t="str">
        <f t="shared" si="42"/>
        <v/>
      </c>
      <c r="AE112" s="170" t="str">
        <f t="shared" si="43"/>
        <v/>
      </c>
      <c r="AF112" t="str">
        <f t="shared" si="44"/>
        <v/>
      </c>
      <c r="AG112" s="171">
        <f>IF(Tabella4281838485[[#This Row],[Investment years]]&lt;$AB$24,SUMIF('CF Timeline'!$C$5:$BC$5,Tabella4281838485[[#This Row],[Year]],'CF Timeline'!$C$59:$BC$59),0)</f>
        <v>0</v>
      </c>
      <c r="AH112" s="171">
        <f>IF(Tabella4281838485[[#This Row],[Investment years]]&lt;$AB$24,Tabella4281838485[[#This Row],[Yearly investment]]+AJ111,0)</f>
        <v>0</v>
      </c>
      <c r="AI112" s="171">
        <f>Tabella4281838485[[#This Row],[Tot invested]]*$AB$25</f>
        <v>0</v>
      </c>
      <c r="AJ112" s="171">
        <f>Tabella4281838485[[#This Row],[Tot invested]]+Tabella4281838485[[#This Row],[Interests]]</f>
        <v>0</v>
      </c>
      <c r="AK112" s="171">
        <f t="shared" si="50"/>
        <v>0</v>
      </c>
      <c r="AP112" t="str">
        <f t="shared" si="45"/>
        <v/>
      </c>
      <c r="AQ112" s="170" t="str">
        <f t="shared" si="46"/>
        <v/>
      </c>
      <c r="AR112" t="str">
        <f t="shared" si="47"/>
        <v/>
      </c>
      <c r="AS112" s="171">
        <f>IF(Tabella428183848586[[#This Row],[Investment years]]&lt;$AN$24,SUMIF('CF Timeline'!$C$5:$BC$5,Tabella428183848586[[#This Row],[Year]],'CF Timeline'!$C$60:$BC$60),0)</f>
        <v>0</v>
      </c>
      <c r="AT112" s="171">
        <f>IF(Tabella428183848586[[#This Row],[Investment years]]&lt;$AN$24,Tabella428183848586[[#This Row],[Yearly investment]]+AV111,0)</f>
        <v>0</v>
      </c>
      <c r="AU112" s="171">
        <f>Tabella428183848586[[#This Row],[Tot invested]]*$AN$25</f>
        <v>0</v>
      </c>
      <c r="AV112" s="171">
        <f>Tabella428183848586[[#This Row],[Tot invested]]+Tabella428183848586[[#This Row],[Interests]]</f>
        <v>0</v>
      </c>
      <c r="AW112" s="171">
        <f t="shared" si="51"/>
        <v>0</v>
      </c>
    </row>
    <row r="113" spans="6:49">
      <c r="F113" t="str">
        <f t="shared" si="36"/>
        <v/>
      </c>
      <c r="G113" s="170" t="str">
        <f t="shared" si="37"/>
        <v/>
      </c>
      <c r="H113" t="str">
        <f t="shared" si="38"/>
        <v/>
      </c>
      <c r="I113" s="171">
        <f>IF(Tabella428183[[#This Row],[Investment years]]&lt;$C$24,SUMIF('CF Timeline'!$C$5:$BC$5,Tabella428183[[#This Row],[Year]],'CF Timeline'!$C$57:$BC$57),0)</f>
        <v>0</v>
      </c>
      <c r="J113" s="171">
        <f>IF(Tabella428183[[#This Row],[Investment years]]&lt;$C$24,Tabella428183[[#This Row],[Yearly investment]]+L112,0)</f>
        <v>0</v>
      </c>
      <c r="K113" s="171">
        <f>Tabella428183[[#This Row],[Tot invested]]*$C$25</f>
        <v>0</v>
      </c>
      <c r="L113" s="171">
        <f>Tabella428183[[#This Row],[Tot invested]]+Tabella428183[[#This Row],[Interests]]</f>
        <v>0</v>
      </c>
      <c r="M113" s="171">
        <f t="shared" si="48"/>
        <v>0</v>
      </c>
      <c r="R113" t="str">
        <f t="shared" si="39"/>
        <v/>
      </c>
      <c r="S113" s="170" t="str">
        <f t="shared" si="40"/>
        <v/>
      </c>
      <c r="T113" t="str">
        <f t="shared" si="41"/>
        <v/>
      </c>
      <c r="U113" s="171">
        <f>IF(Tabella42818384[[#This Row],[Investment years]]&lt;$P$24,SUMIF('CF Timeline'!$C$5:$BC$5,Tabella42818384[[#This Row],[Year]],'CF Timeline'!$C$58:$BC$58),0)</f>
        <v>0</v>
      </c>
      <c r="V113" s="171">
        <f>IF(Tabella42818384[[#This Row],[Investment years]]&lt;$P$24,Tabella42818384[[#This Row],[Yearly investment]]+X112,0)</f>
        <v>0</v>
      </c>
      <c r="W113" s="171">
        <f>Tabella42818384[[#This Row],[Tot invested]]*$P$25</f>
        <v>0</v>
      </c>
      <c r="X113" s="171">
        <f>Tabella42818384[[#This Row],[Tot invested]]+Tabella42818384[[#This Row],[Interests]]</f>
        <v>0</v>
      </c>
      <c r="Y113" s="171">
        <f t="shared" si="49"/>
        <v>0</v>
      </c>
      <c r="AD113" t="str">
        <f t="shared" si="42"/>
        <v/>
      </c>
      <c r="AE113" s="170" t="str">
        <f t="shared" si="43"/>
        <v/>
      </c>
      <c r="AF113" t="str">
        <f t="shared" si="44"/>
        <v/>
      </c>
      <c r="AG113" s="171">
        <f>IF(Tabella4281838485[[#This Row],[Investment years]]&lt;$AB$24,SUMIF('CF Timeline'!$C$5:$BC$5,Tabella4281838485[[#This Row],[Year]],'CF Timeline'!$C$59:$BC$59),0)</f>
        <v>0</v>
      </c>
      <c r="AH113" s="171">
        <f>IF(Tabella4281838485[[#This Row],[Investment years]]&lt;$AB$24,Tabella4281838485[[#This Row],[Yearly investment]]+AJ112,0)</f>
        <v>0</v>
      </c>
      <c r="AI113" s="171">
        <f>Tabella4281838485[[#This Row],[Tot invested]]*$AB$25</f>
        <v>0</v>
      </c>
      <c r="AJ113" s="171">
        <f>Tabella4281838485[[#This Row],[Tot invested]]+Tabella4281838485[[#This Row],[Interests]]</f>
        <v>0</v>
      </c>
      <c r="AK113" s="171">
        <f t="shared" si="50"/>
        <v>0</v>
      </c>
      <c r="AP113" t="str">
        <f t="shared" si="45"/>
        <v/>
      </c>
      <c r="AQ113" s="170" t="str">
        <f t="shared" si="46"/>
        <v/>
      </c>
      <c r="AR113" t="str">
        <f t="shared" si="47"/>
        <v/>
      </c>
      <c r="AS113" s="171">
        <f>IF(Tabella428183848586[[#This Row],[Investment years]]&lt;$AN$24,SUMIF('CF Timeline'!$C$5:$BC$5,Tabella428183848586[[#This Row],[Year]],'CF Timeline'!$C$60:$BC$60),0)</f>
        <v>0</v>
      </c>
      <c r="AT113" s="171">
        <f>IF(Tabella428183848586[[#This Row],[Investment years]]&lt;$AN$24,Tabella428183848586[[#This Row],[Yearly investment]]+AV112,0)</f>
        <v>0</v>
      </c>
      <c r="AU113" s="171">
        <f>Tabella428183848586[[#This Row],[Tot invested]]*$AN$25</f>
        <v>0</v>
      </c>
      <c r="AV113" s="171">
        <f>Tabella428183848586[[#This Row],[Tot invested]]+Tabella428183848586[[#This Row],[Interests]]</f>
        <v>0</v>
      </c>
      <c r="AW113" s="171">
        <f t="shared" si="51"/>
        <v>0</v>
      </c>
    </row>
    <row r="114" spans="6:49">
      <c r="F114" t="s">
        <v>135</v>
      </c>
      <c r="K114" s="145" t="e">
        <f ca="1">SUBTOTAL(109,Tabella428183[Interests])</f>
        <v>#REF!</v>
      </c>
      <c r="L114" s="145" t="e">
        <f ca="1">SUMIF(G70:G113,G71+C24-1,Tabella428183[[#Headers],[#Data],[Total]])</f>
        <v>#REF!</v>
      </c>
      <c r="M114">
        <f>SUBTOTAL(103,Tabella428183[Colonna5])</f>
        <v>4</v>
      </c>
      <c r="R114" t="s">
        <v>135</v>
      </c>
      <c r="W114" s="145" t="e">
        <f ca="1">SUBTOTAL(109,Tabella42818384[Interests])</f>
        <v>#REF!</v>
      </c>
      <c r="X114" s="145" t="e">
        <f ca="1">SUMIF(S70:S113,S71+P24-1,Tabella42818384[[#Headers],[#Data],[Total]])</f>
        <v>#REF!</v>
      </c>
      <c r="Y114">
        <f>SUBTOTAL(103,Tabella42818384[Colonna5])</f>
        <v>4</v>
      </c>
      <c r="AD114" t="s">
        <v>135</v>
      </c>
      <c r="AI114" s="145" t="e">
        <f ca="1">SUBTOTAL(109,Tabella4281838485[Interests])</f>
        <v>#REF!</v>
      </c>
      <c r="AJ114" s="145" t="e">
        <f ca="1">SUMIF(AE70:AE113,AE71+AB24-1,Tabella4281838485[[#Headers],[#Data],[Total]])</f>
        <v>#REF!</v>
      </c>
      <c r="AK114">
        <f>SUBTOTAL(103,Tabella4281838485[Colonna5])</f>
        <v>4</v>
      </c>
      <c r="AP114" t="s">
        <v>135</v>
      </c>
      <c r="AU114" s="145" t="e">
        <f ca="1">SUBTOTAL(109,Tabella428183848586[Interests])</f>
        <v>#REF!</v>
      </c>
      <c r="AV114" s="145" t="e">
        <f ca="1">SUMIF(AQ70:AQ113,AQ71+AN24-1,Tabella428183848586[[#Headers],[#Data],[Total]])</f>
        <v>#REF!</v>
      </c>
      <c r="AW114">
        <f>SUBTOTAL(103,Tabella428183848586[Colonna5])</f>
        <v>4</v>
      </c>
    </row>
  </sheetData>
  <pageMargins left="0.7" right="0.7" top="0.75" bottom="0.75" header="0.3" footer="0.3"/>
  <drawing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C4F5-C653-A44C-9D61-6A532E690685}">
  <dimension ref="B5:P59"/>
  <sheetViews>
    <sheetView topLeftCell="A9" zoomScale="135" zoomScaleNormal="140" workbookViewId="0">
      <selection activeCell="D9" sqref="D9"/>
    </sheetView>
  </sheetViews>
  <sheetFormatPr baseColWidth="10" defaultColWidth="11" defaultRowHeight="16"/>
  <cols>
    <col min="2" max="2" width="35.5" customWidth="1"/>
    <col min="3" max="3" width="21" customWidth="1"/>
    <col min="4" max="4" width="16.33203125" customWidth="1"/>
    <col min="5" max="5" width="23.33203125" customWidth="1"/>
    <col min="6" max="6" width="16.1640625" customWidth="1"/>
    <col min="7" max="8" width="11.5" customWidth="1"/>
    <col min="9" max="9" width="13" customWidth="1"/>
    <col min="10" max="10" width="14.5" customWidth="1"/>
    <col min="11" max="11" width="22.33203125" customWidth="1"/>
    <col min="12" max="13" width="18.33203125" customWidth="1"/>
  </cols>
  <sheetData>
    <row r="5" spans="2:16">
      <c r="B5" s="7" t="s">
        <v>55</v>
      </c>
      <c r="C5" s="21"/>
      <c r="D5" s="21"/>
      <c r="E5" s="21"/>
      <c r="F5" s="21"/>
    </row>
    <row r="6" spans="2:16">
      <c r="B6" s="13" t="s">
        <v>4790</v>
      </c>
      <c r="C6" s="122"/>
      <c r="D6" s="122"/>
      <c r="E6" s="122"/>
      <c r="F6" s="122"/>
      <c r="I6" s="168" t="s">
        <v>13</v>
      </c>
      <c r="J6" s="168" t="s">
        <v>16</v>
      </c>
      <c r="K6" s="168" t="s">
        <v>54</v>
      </c>
      <c r="L6" s="168"/>
      <c r="M6" s="168"/>
      <c r="N6" s="168"/>
      <c r="O6" s="168"/>
      <c r="P6" s="168"/>
    </row>
    <row r="7" spans="2:16">
      <c r="B7" s="2" t="s">
        <v>4792</v>
      </c>
      <c r="C7" s="2">
        <f>'General overview'!$C$5</f>
        <v>28</v>
      </c>
      <c r="D7" s="2" t="s">
        <v>18</v>
      </c>
      <c r="E7" s="179" t="str">
        <f>'General overview'!$C$71</f>
        <v>AG</v>
      </c>
      <c r="F7" s="2"/>
      <c r="I7">
        <f>C7</f>
        <v>28</v>
      </c>
      <c r="J7" s="144">
        <f ca="1">YEAR(TODAY())</f>
        <v>2024</v>
      </c>
      <c r="K7" s="24">
        <f>C9</f>
        <v>3740.1035022699089</v>
      </c>
      <c r="L7" s="124"/>
      <c r="M7" s="124"/>
      <c r="N7" s="124"/>
      <c r="O7" s="124"/>
      <c r="P7" s="145"/>
    </row>
    <row r="8" spans="2:16">
      <c r="B8" s="2" t="s">
        <v>4804</v>
      </c>
      <c r="C8" s="6">
        <f>'General overview'!C7</f>
        <v>8712</v>
      </c>
      <c r="D8" s="6"/>
      <c r="E8" s="6"/>
      <c r="F8" s="6"/>
      <c r="I8">
        <f>I7+1</f>
        <v>29</v>
      </c>
      <c r="J8">
        <f t="shared" ref="J8:J39" ca="1" si="0">IFERROR(IF(I8&lt;=$C$21,J7+1,""),"")</f>
        <v>2025</v>
      </c>
      <c r="K8" s="24">
        <f>K7*(1+SUMIF($B$12:$B$37,$E$7,$E$12:$E$37))</f>
        <v>3816.2790902325496</v>
      </c>
      <c r="L8" s="124"/>
      <c r="M8" s="124"/>
      <c r="N8" s="124"/>
      <c r="O8" s="124"/>
      <c r="P8" s="145"/>
    </row>
    <row r="9" spans="2:16">
      <c r="B9" s="2" t="s">
        <v>4805</v>
      </c>
      <c r="C9" s="104">
        <f>SUMIF(B12:B37,E7,F12:F37)</f>
        <v>3740.1035022699089</v>
      </c>
      <c r="D9" s="6"/>
      <c r="E9" s="6">
        <f>IF($E$7=$B$12,$D$12*(1+$E$12), IF($E$7=$B$13,$D$12*(1+$E$13), IF($E$7=$B$14,$D$12*(1+$E$14), IF($E$7=$B$15,$D$12*(1+$E$15), IF($E$7=$B$16,$D$12*(1+$E$16),IF($E$7=$B$17,$D$12*(1+$E$17),IF($E$7=$B$18,$D$12*(1+$E$18),IF($E$7=$B$19,$D$12*(1+$E$19), IF($E$7=$B$20,$D$12*(1+$E$20), IF($E$7=$B$21,$D$12*(1+$E$21), IF($E$7=$B$22,$D$12*(1+$E$22), IF($E$7=$B$23,$D$12*(1+$E$23), IF($E$7=$B$24,$D$12*(1+$E$24), IF($E$7=$B$25,$D$12*(1+$E$25), IF($E$7=$B$26,$D$12*(1+$E$26), IF($E$7=$B$27,$D$12*(1+$E$27), IF($E$7=$B$28,$D$12*(1+$E$28), IF($E$7=$B$29,$D$12*(1+$E$29), IF($E$7=$B$30,$D$12*(1+$E$30), IF($E$7=$B$31,$D$12*(1+$E$31), IF($E$7=$B$32,$D$12*(1+$E$32), IF($E$7=$B$33,$D$12*(1+$E$33), IF($E$7=$B$34,$D$12*(1+$E$34), IF($E$7=$B$35,$D$12*(1+$E$35), IF($E$7=$B$36,$D$12*(1+$E$36), IF($E$7=$B$37,$D$12*(1+$E$37)))))))))))))))))))))))))))</f>
        <v>3955.6099569598505</v>
      </c>
      <c r="F9" s="6"/>
      <c r="I9">
        <f t="shared" ref="I9:I36" si="1">I8+1</f>
        <v>30</v>
      </c>
      <c r="J9">
        <f t="shared" ca="1" si="0"/>
        <v>2026</v>
      </c>
      <c r="K9" s="24">
        <f t="shared" ref="K9:K59" si="2">K8*(1+SUMIF($B$12:$B$37,$E$7,$E$12:$E$37))</f>
        <v>3894.0061647243551</v>
      </c>
      <c r="L9" s="124"/>
      <c r="M9" s="124"/>
      <c r="N9" s="124"/>
      <c r="O9" s="124"/>
      <c r="P9" s="145"/>
    </row>
    <row r="10" spans="2:16">
      <c r="B10" s="2"/>
      <c r="C10" s="174"/>
      <c r="D10" s="6"/>
      <c r="E10" s="6"/>
      <c r="F10" s="6"/>
      <c r="I10">
        <f t="shared" si="1"/>
        <v>31</v>
      </c>
      <c r="J10">
        <f t="shared" ca="1" si="0"/>
        <v>2027</v>
      </c>
      <c r="K10" s="24">
        <f t="shared" si="2"/>
        <v>3973.3163252447789</v>
      </c>
      <c r="L10" s="124"/>
      <c r="M10" s="124"/>
      <c r="N10" s="124"/>
      <c r="O10" s="124"/>
      <c r="P10" s="145"/>
    </row>
    <row r="11" spans="2:16" ht="34">
      <c r="B11" s="181" t="s">
        <v>4806</v>
      </c>
      <c r="C11" s="182"/>
      <c r="D11" s="135" t="s">
        <v>4807</v>
      </c>
      <c r="E11" s="132" t="s">
        <v>4808</v>
      </c>
      <c r="F11" s="135">
        <v>2024</v>
      </c>
      <c r="I11">
        <f t="shared" si="1"/>
        <v>32</v>
      </c>
      <c r="J11">
        <f t="shared" ca="1" si="0"/>
        <v>2028</v>
      </c>
      <c r="K11" s="24">
        <f t="shared" si="2"/>
        <v>4054.2418148878828</v>
      </c>
      <c r="L11" s="124"/>
      <c r="M11" s="124"/>
      <c r="N11" s="124"/>
      <c r="O11" s="124"/>
      <c r="P11" s="145"/>
    </row>
    <row r="12" spans="2:16">
      <c r="B12" s="134" t="s">
        <v>136</v>
      </c>
      <c r="C12" s="46">
        <f>D12/12</f>
        <v>323.05443565662949</v>
      </c>
      <c r="D12" s="46">
        <v>3876.6532278795539</v>
      </c>
      <c r="E12" s="180">
        <v>2.0099270923793069E-2</v>
      </c>
      <c r="F12" s="46">
        <f>D12*(1+E12)</f>
        <v>3954.5711313843017</v>
      </c>
      <c r="I12">
        <f t="shared" si="1"/>
        <v>33</v>
      </c>
      <c r="J12">
        <f t="shared" ca="1" si="0"/>
        <v>2029</v>
      </c>
      <c r="K12" s="24">
        <f t="shared" si="2"/>
        <v>4136.8155334505836</v>
      </c>
      <c r="L12" s="124"/>
      <c r="M12" s="124"/>
      <c r="N12" s="124"/>
      <c r="O12" s="124"/>
      <c r="P12" s="145"/>
    </row>
    <row r="13" spans="2:16">
      <c r="B13" s="134" t="s">
        <v>138</v>
      </c>
      <c r="C13" s="46">
        <f t="shared" ref="C13:C37" si="3">D13/12</f>
        <v>338.22005020066973</v>
      </c>
      <c r="D13" s="46">
        <v>4058.6406024080366</v>
      </c>
      <c r="E13" s="180">
        <v>1.9119549310960035E-2</v>
      </c>
      <c r="F13" s="46">
        <f t="shared" ref="F13:F37" si="4">D13*(1+E13)</f>
        <v>4136.2399815412409</v>
      </c>
      <c r="I13">
        <f t="shared" si="1"/>
        <v>34</v>
      </c>
      <c r="J13">
        <f t="shared" ca="1" si="0"/>
        <v>2030</v>
      </c>
      <c r="K13" s="24">
        <f t="shared" si="2"/>
        <v>4221.0710508078791</v>
      </c>
      <c r="L13" s="124"/>
      <c r="M13" s="124"/>
      <c r="N13" s="124"/>
      <c r="O13" s="124"/>
      <c r="P13" s="145"/>
    </row>
    <row r="14" spans="2:16">
      <c r="B14" s="134" t="s">
        <v>140</v>
      </c>
      <c r="C14" s="46">
        <f t="shared" si="3"/>
        <v>284.21045721921865</v>
      </c>
      <c r="D14" s="46">
        <v>3410.5254866306236</v>
      </c>
      <c r="E14" s="180">
        <v>1.9997603141266404E-2</v>
      </c>
      <c r="F14" s="46">
        <f t="shared" si="4"/>
        <v>3478.727821815437</v>
      </c>
      <c r="I14">
        <f t="shared" si="1"/>
        <v>35</v>
      </c>
      <c r="J14">
        <f t="shared" ca="1" si="0"/>
        <v>2031</v>
      </c>
      <c r="K14" s="24">
        <f t="shared" si="2"/>
        <v>4307.0426205604872</v>
      </c>
      <c r="L14" s="124"/>
      <c r="M14" s="124"/>
      <c r="N14" s="124"/>
      <c r="O14" s="124"/>
      <c r="P14" s="145"/>
    </row>
    <row r="15" spans="2:16">
      <c r="B15" s="134" t="s">
        <v>150</v>
      </c>
      <c r="C15" s="46">
        <f t="shared" si="3"/>
        <v>252.57925709329209</v>
      </c>
      <c r="D15" s="46">
        <v>3030.951085119505</v>
      </c>
      <c r="E15" s="180">
        <v>1.3269781664495082E-2</v>
      </c>
      <c r="F15" s="46">
        <f t="shared" si="4"/>
        <v>3071.1711442548053</v>
      </c>
      <c r="G15" s="124"/>
      <c r="H15" s="124"/>
      <c r="I15">
        <f t="shared" si="1"/>
        <v>36</v>
      </c>
      <c r="J15">
        <f t="shared" ca="1" si="0"/>
        <v>2032</v>
      </c>
      <c r="K15" s="24">
        <f t="shared" si="2"/>
        <v>4394.7651939604548</v>
      </c>
      <c r="L15" s="124"/>
      <c r="M15" s="124"/>
      <c r="N15" s="124"/>
      <c r="O15" s="124"/>
      <c r="P15" s="145"/>
    </row>
    <row r="16" spans="2:16">
      <c r="B16" s="134" t="s">
        <v>156</v>
      </c>
      <c r="C16" s="46">
        <f t="shared" si="3"/>
        <v>285.42055686848045</v>
      </c>
      <c r="D16" s="46">
        <v>3425.0466824217651</v>
      </c>
      <c r="E16" s="180">
        <v>2.2409575610750718E-2</v>
      </c>
      <c r="F16" s="46">
        <f t="shared" si="4"/>
        <v>3501.8005250218466</v>
      </c>
      <c r="I16">
        <f t="shared" si="1"/>
        <v>37</v>
      </c>
      <c r="J16">
        <f t="shared" ca="1" si="0"/>
        <v>2033</v>
      </c>
      <c r="K16" s="24">
        <f t="shared" si="2"/>
        <v>4484.2744341203879</v>
      </c>
      <c r="L16" s="124"/>
      <c r="M16" s="124"/>
      <c r="N16" s="124"/>
      <c r="O16" s="124"/>
      <c r="P16" s="145"/>
    </row>
    <row r="17" spans="2:16">
      <c r="B17" s="134" t="s">
        <v>148</v>
      </c>
      <c r="C17" s="46">
        <f t="shared" si="3"/>
        <v>270.43865472029779</v>
      </c>
      <c r="D17" s="46">
        <v>3245.2638566435735</v>
      </c>
      <c r="E17" s="180">
        <v>2.2755070420130474E-2</v>
      </c>
      <c r="F17" s="46">
        <f t="shared" si="4"/>
        <v>3319.1100642334022</v>
      </c>
      <c r="I17">
        <f t="shared" si="1"/>
        <v>38</v>
      </c>
      <c r="J17">
        <f t="shared" ca="1" si="0"/>
        <v>2034</v>
      </c>
      <c r="K17" s="24">
        <f t="shared" si="2"/>
        <v>4575.6067305120896</v>
      </c>
      <c r="L17" s="124"/>
      <c r="M17" s="124"/>
      <c r="N17" s="124"/>
      <c r="O17" s="124"/>
      <c r="P17" s="145"/>
    </row>
    <row r="18" spans="2:16">
      <c r="B18" s="134" t="s">
        <v>147</v>
      </c>
      <c r="C18" s="46">
        <f t="shared" si="3"/>
        <v>270.21286816240917</v>
      </c>
      <c r="D18" s="46">
        <v>3242.5544179489098</v>
      </c>
      <c r="E18" s="180">
        <v>2.7559325503467895E-2</v>
      </c>
      <c r="F18" s="46">
        <f t="shared" si="4"/>
        <v>3331.9170306158717</v>
      </c>
      <c r="I18">
        <f t="shared" si="1"/>
        <v>39</v>
      </c>
      <c r="J18">
        <f t="shared" ca="1" si="0"/>
        <v>2035</v>
      </c>
      <c r="K18" s="24">
        <f t="shared" si="2"/>
        <v>4668.7992137604906</v>
      </c>
      <c r="L18" s="124"/>
      <c r="M18" s="124"/>
      <c r="N18" s="124"/>
      <c r="O18" s="124"/>
      <c r="P18" s="145"/>
    </row>
    <row r="19" spans="2:16">
      <c r="B19" s="134" t="s">
        <v>149</v>
      </c>
      <c r="C19" s="46">
        <f t="shared" si="3"/>
        <v>290.31418674513361</v>
      </c>
      <c r="D19" s="46">
        <v>3483.7702409416033</v>
      </c>
      <c r="E19" s="180">
        <v>2.1133402409475935E-2</v>
      </c>
      <c r="F19" s="46">
        <f t="shared" si="4"/>
        <v>3557.3941593455793</v>
      </c>
      <c r="I19">
        <f t="shared" si="1"/>
        <v>40</v>
      </c>
      <c r="J19">
        <f t="shared" ca="1" si="0"/>
        <v>2036</v>
      </c>
      <c r="K19" s="24">
        <f t="shared" si="2"/>
        <v>4763.8897707388933</v>
      </c>
      <c r="L19" s="124"/>
      <c r="M19" s="124"/>
      <c r="N19" s="124"/>
      <c r="O19" s="124"/>
      <c r="P19" s="145"/>
    </row>
    <row r="20" spans="2:16">
      <c r="B20" s="134" t="s">
        <v>158</v>
      </c>
      <c r="C20" s="46">
        <f t="shared" si="3"/>
        <v>269.41955887726812</v>
      </c>
      <c r="D20" s="46">
        <v>3233.0347065272176</v>
      </c>
      <c r="E20" s="180">
        <v>1.9089747099642358E-2</v>
      </c>
      <c r="F20" s="46">
        <f t="shared" si="4"/>
        <v>3294.7525214391885</v>
      </c>
      <c r="I20">
        <f t="shared" si="1"/>
        <v>41</v>
      </c>
      <c r="J20">
        <f t="shared" ca="1" si="0"/>
        <v>2037</v>
      </c>
      <c r="K20" s="24">
        <f t="shared" si="2"/>
        <v>4860.9170599716645</v>
      </c>
      <c r="L20" s="124"/>
      <c r="M20" s="124"/>
      <c r="N20" s="124"/>
      <c r="O20" s="124"/>
      <c r="P20" s="145"/>
    </row>
    <row r="21" spans="2:16">
      <c r="B21" s="134" t="s">
        <v>152</v>
      </c>
      <c r="C21" s="46">
        <f t="shared" si="3"/>
        <v>309.19316343563997</v>
      </c>
      <c r="D21" s="46">
        <v>3710.3179612276799</v>
      </c>
      <c r="E21" s="180">
        <v>2.3296338142485551E-2</v>
      </c>
      <c r="F21" s="46">
        <f t="shared" si="4"/>
        <v>3796.7547830685776</v>
      </c>
      <c r="I21">
        <f t="shared" si="1"/>
        <v>42</v>
      </c>
      <c r="J21">
        <f t="shared" ca="1" si="0"/>
        <v>2038</v>
      </c>
      <c r="K21" s="24">
        <f t="shared" si="2"/>
        <v>4959.9205273506404</v>
      </c>
      <c r="L21" s="124"/>
      <c r="M21" s="124"/>
      <c r="N21" s="124"/>
      <c r="O21" s="124"/>
      <c r="P21" s="145"/>
    </row>
    <row r="22" spans="2:16">
      <c r="B22" s="134" t="s">
        <v>157</v>
      </c>
      <c r="C22" s="46">
        <f t="shared" si="3"/>
        <v>330.68571481169232</v>
      </c>
      <c r="D22" s="46">
        <v>3968.2285777403076</v>
      </c>
      <c r="E22" s="180">
        <v>2.607097342704676E-2</v>
      </c>
      <c r="F22" s="46">
        <f t="shared" si="4"/>
        <v>4071.6841595430228</v>
      </c>
      <c r="I22">
        <f t="shared" si="1"/>
        <v>43</v>
      </c>
      <c r="J22">
        <f t="shared" ca="1" si="0"/>
        <v>2039</v>
      </c>
      <c r="K22" s="24">
        <f t="shared" si="2"/>
        <v>5060.9404221716259</v>
      </c>
      <c r="L22" s="124"/>
      <c r="M22" s="124"/>
      <c r="N22" s="124"/>
      <c r="O22" s="124"/>
      <c r="P22" s="145"/>
    </row>
    <row r="23" spans="2:16">
      <c r="B23" s="134" t="s">
        <v>144</v>
      </c>
      <c r="C23" s="46">
        <f t="shared" si="3"/>
        <v>423.17525960023858</v>
      </c>
      <c r="D23" s="46">
        <v>5078.1031152028627</v>
      </c>
      <c r="E23" s="180">
        <v>1.3850045347697341E-2</v>
      </c>
      <c r="F23" s="46">
        <f t="shared" si="4"/>
        <v>5148.4350736287051</v>
      </c>
      <c r="I23">
        <f t="shared" si="1"/>
        <v>44</v>
      </c>
      <c r="J23">
        <f t="shared" ca="1" si="0"/>
        <v>2040</v>
      </c>
      <c r="K23" s="24">
        <f t="shared" si="2"/>
        <v>5164.0178134975185</v>
      </c>
      <c r="L23" s="124"/>
      <c r="M23" s="124"/>
      <c r="N23" s="124"/>
      <c r="O23" s="124"/>
      <c r="P23" s="145"/>
    </row>
    <row r="24" spans="2:16">
      <c r="B24" s="134" t="s">
        <v>160</v>
      </c>
      <c r="C24" s="46">
        <f t="shared" si="3"/>
        <v>376.65915850815873</v>
      </c>
      <c r="D24" s="46">
        <v>4519.9099020979047</v>
      </c>
      <c r="E24" s="180">
        <v>2.7417754107428947E-2</v>
      </c>
      <c r="F24" s="46">
        <f t="shared" si="4"/>
        <v>4643.8356803813585</v>
      </c>
      <c r="I24">
        <f t="shared" si="1"/>
        <v>45</v>
      </c>
      <c r="J24">
        <f t="shared" ca="1" si="0"/>
        <v>2041</v>
      </c>
      <c r="K24" s="24">
        <f t="shared" si="2"/>
        <v>5269.1946068547031</v>
      </c>
      <c r="L24" s="124"/>
      <c r="M24" s="124"/>
      <c r="N24" s="124"/>
      <c r="O24" s="124"/>
      <c r="P24" s="145"/>
    </row>
    <row r="25" spans="2:16">
      <c r="B25" s="134" t="s">
        <v>146</v>
      </c>
      <c r="C25" s="46">
        <f t="shared" si="3"/>
        <v>322.25569328266653</v>
      </c>
      <c r="D25" s="46">
        <v>3867.0683193919986</v>
      </c>
      <c r="E25" s="180">
        <v>2.3814451191343993E-2</v>
      </c>
      <c r="F25" s="46">
        <f t="shared" si="4"/>
        <v>3959.1604291377521</v>
      </c>
      <c r="I25">
        <f t="shared" si="1"/>
        <v>46</v>
      </c>
      <c r="J25">
        <f t="shared" ca="1" si="0"/>
        <v>2042</v>
      </c>
      <c r="K25" s="24">
        <f t="shared" si="2"/>
        <v>5376.5135612695012</v>
      </c>
      <c r="L25" s="124"/>
      <c r="M25" s="124"/>
      <c r="N25" s="124"/>
      <c r="O25" s="124"/>
      <c r="P25" s="145"/>
    </row>
    <row r="26" spans="2:16">
      <c r="B26" s="134" t="s">
        <v>154</v>
      </c>
      <c r="C26" s="46">
        <f t="shared" si="3"/>
        <v>284.55028867260296</v>
      </c>
      <c r="D26" s="46">
        <v>3414.6034640712355</v>
      </c>
      <c r="E26" s="180">
        <v>2.7112904751746141E-2</v>
      </c>
      <c r="F26" s="46">
        <f t="shared" si="4"/>
        <v>3507.1832825575816</v>
      </c>
      <c r="I26">
        <f t="shared" si="1"/>
        <v>47</v>
      </c>
      <c r="J26">
        <f t="shared" ca="1" si="0"/>
        <v>2043</v>
      </c>
      <c r="K26" s="24">
        <f t="shared" si="2"/>
        <v>5486.0183066516138</v>
      </c>
      <c r="L26" s="124"/>
      <c r="M26" s="124"/>
      <c r="N26" s="124"/>
      <c r="O26" s="124"/>
      <c r="P26" s="145"/>
    </row>
    <row r="27" spans="2:16">
      <c r="B27" s="134" t="s">
        <v>155</v>
      </c>
      <c r="C27" s="46">
        <f t="shared" si="3"/>
        <v>231.02665300530131</v>
      </c>
      <c r="D27" s="46">
        <v>2772.3198360636156</v>
      </c>
      <c r="E27" s="180">
        <v>1.7458333184794467E-2</v>
      </c>
      <c r="F27" s="46">
        <f t="shared" si="4"/>
        <v>2820.7199194564287</v>
      </c>
      <c r="I27">
        <f t="shared" si="1"/>
        <v>48</v>
      </c>
      <c r="J27">
        <f t="shared" ca="1" si="0"/>
        <v>2044</v>
      </c>
      <c r="K27" s="24">
        <f t="shared" si="2"/>
        <v>5597.7533615316106</v>
      </c>
      <c r="L27" s="124"/>
      <c r="M27" s="124"/>
      <c r="N27" s="124"/>
      <c r="O27" s="124"/>
      <c r="P27" s="145"/>
    </row>
    <row r="28" spans="2:16">
      <c r="B28" s="134" t="s">
        <v>142</v>
      </c>
      <c r="C28" s="46">
        <f t="shared" si="3"/>
        <v>291.15911931792522</v>
      </c>
      <c r="D28" s="46">
        <v>3493.9094318151028</v>
      </c>
      <c r="E28" s="180">
        <v>2.2341215809292183E-2</v>
      </c>
      <c r="F28" s="46">
        <f t="shared" si="4"/>
        <v>3571.9676164494053</v>
      </c>
      <c r="I28">
        <f t="shared" si="1"/>
        <v>49</v>
      </c>
      <c r="J28">
        <f t="shared" ca="1" si="0"/>
        <v>2045</v>
      </c>
      <c r="K28" s="24">
        <f t="shared" si="2"/>
        <v>5711.7641511596848</v>
      </c>
      <c r="L28" s="124"/>
      <c r="M28" s="124"/>
      <c r="N28" s="124"/>
      <c r="O28" s="124"/>
      <c r="P28" s="145"/>
    </row>
    <row r="29" spans="2:16">
      <c r="B29" s="134" t="s">
        <v>151</v>
      </c>
      <c r="C29" s="46">
        <f t="shared" si="3"/>
        <v>290.48251986516044</v>
      </c>
      <c r="D29" s="46">
        <v>3485.7902383819255</v>
      </c>
      <c r="E29" s="180">
        <v>2.3499092121132041E-2</v>
      </c>
      <c r="F29" s="46">
        <f t="shared" si="4"/>
        <v>3567.7031443086053</v>
      </c>
      <c r="I29">
        <f t="shared" si="1"/>
        <v>50</v>
      </c>
      <c r="J29">
        <f t="shared" ca="1" si="0"/>
        <v>2046</v>
      </c>
      <c r="K29" s="24">
        <f t="shared" si="2"/>
        <v>5828.0970259730311</v>
      </c>
      <c r="L29" s="124"/>
      <c r="M29" s="124"/>
      <c r="N29" s="124"/>
      <c r="O29" s="124"/>
      <c r="P29" s="145"/>
    </row>
    <row r="30" spans="2:16">
      <c r="B30" s="134" t="s">
        <v>143</v>
      </c>
      <c r="C30" s="46">
        <f t="shared" si="3"/>
        <v>305.45403600708266</v>
      </c>
      <c r="D30" s="46">
        <v>3665.448432084992</v>
      </c>
      <c r="E30" s="180">
        <v>2.0367240616846347E-2</v>
      </c>
      <c r="F30" s="46">
        <f t="shared" si="4"/>
        <v>3740.1035022699089</v>
      </c>
      <c r="I30">
        <f t="shared" si="1"/>
        <v>51</v>
      </c>
      <c r="J30">
        <f t="shared" ca="1" si="0"/>
        <v>2047</v>
      </c>
      <c r="K30" s="24">
        <f t="shared" si="2"/>
        <v>5946.7992804393498</v>
      </c>
      <c r="L30" s="124"/>
      <c r="M30" s="124"/>
      <c r="N30" s="124"/>
      <c r="O30" s="124"/>
      <c r="P30" s="145"/>
    </row>
    <row r="31" spans="2:16">
      <c r="B31" s="134" t="s">
        <v>145</v>
      </c>
      <c r="C31" s="46">
        <f t="shared" si="3"/>
        <v>294.10440566103557</v>
      </c>
      <c r="D31" s="46">
        <v>3529.2528679324269</v>
      </c>
      <c r="E31" s="180">
        <v>2.5419891768787759E-2</v>
      </c>
      <c r="F31" s="46">
        <f t="shared" si="4"/>
        <v>3618.9660938599532</v>
      </c>
      <c r="I31">
        <f t="shared" si="1"/>
        <v>52</v>
      </c>
      <c r="J31">
        <f t="shared" ca="1" si="0"/>
        <v>2048</v>
      </c>
      <c r="K31" s="24">
        <f t="shared" si="2"/>
        <v>6067.919172284146</v>
      </c>
      <c r="L31" s="124"/>
      <c r="M31" s="124"/>
      <c r="N31" s="124"/>
      <c r="O31" s="124"/>
      <c r="P31" s="145"/>
    </row>
    <row r="32" spans="2:16">
      <c r="B32" s="134" t="s">
        <v>141</v>
      </c>
      <c r="C32" s="46">
        <f t="shared" si="3"/>
        <v>388.6501353145195</v>
      </c>
      <c r="D32" s="46">
        <v>4663.801623774234</v>
      </c>
      <c r="E32" s="180">
        <v>3.5306309882682831E-2</v>
      </c>
      <c r="F32" s="46">
        <f t="shared" si="4"/>
        <v>4828.4632491345665</v>
      </c>
      <c r="I32">
        <f t="shared" si="1"/>
        <v>53</v>
      </c>
      <c r="J32">
        <f t="shared" ca="1" si="0"/>
        <v>2049</v>
      </c>
      <c r="K32" s="24">
        <f t="shared" si="2"/>
        <v>6191.5059421096321</v>
      </c>
      <c r="L32" s="124"/>
      <c r="M32" s="124"/>
      <c r="N32" s="124"/>
      <c r="O32" s="124"/>
      <c r="P32" s="145"/>
    </row>
    <row r="33" spans="2:16">
      <c r="B33" s="134" t="s">
        <v>139</v>
      </c>
      <c r="C33" s="46">
        <f t="shared" si="3"/>
        <v>363.97127142713748</v>
      </c>
      <c r="D33" s="46">
        <v>4367.6552571256498</v>
      </c>
      <c r="E33" s="180">
        <v>2.5257768143764483E-2</v>
      </c>
      <c r="F33" s="46">
        <f t="shared" si="4"/>
        <v>4477.9724809420231</v>
      </c>
      <c r="I33">
        <f t="shared" si="1"/>
        <v>54</v>
      </c>
      <c r="J33">
        <f t="shared" ca="1" si="0"/>
        <v>2050</v>
      </c>
      <c r="K33" s="24">
        <f t="shared" si="2"/>
        <v>6317.6098334132121</v>
      </c>
      <c r="L33" s="124"/>
      <c r="M33" s="124"/>
      <c r="N33" s="124"/>
      <c r="O33" s="124"/>
      <c r="P33" s="145"/>
    </row>
    <row r="34" spans="2:16">
      <c r="B34" s="134" t="s">
        <v>159</v>
      </c>
      <c r="C34" s="46">
        <f t="shared" si="3"/>
        <v>307.98144046339564</v>
      </c>
      <c r="D34" s="46">
        <v>3695.7772855607477</v>
      </c>
      <c r="E34" s="180">
        <v>2.4854867461895112E-2</v>
      </c>
      <c r="F34" s="46">
        <f t="shared" si="4"/>
        <v>3787.6353401620427</v>
      </c>
      <c r="I34">
        <f t="shared" si="1"/>
        <v>55</v>
      </c>
      <c r="J34">
        <f t="shared" ca="1" si="0"/>
        <v>2051</v>
      </c>
      <c r="K34" s="24">
        <f t="shared" si="2"/>
        <v>6446.2821130136927</v>
      </c>
      <c r="L34" s="124"/>
      <c r="M34" s="124"/>
      <c r="N34" s="124"/>
      <c r="O34" s="124"/>
      <c r="P34" s="145"/>
    </row>
    <row r="35" spans="2:16">
      <c r="B35" s="134" t="s">
        <v>153</v>
      </c>
      <c r="C35" s="46">
        <f t="shared" si="3"/>
        <v>378.73696385430691</v>
      </c>
      <c r="D35" s="46">
        <v>4544.8435662516831</v>
      </c>
      <c r="E35" s="180">
        <v>4.0140665571883449E-2</v>
      </c>
      <c r="F35" s="46">
        <f t="shared" si="4"/>
        <v>4727.2766119211183</v>
      </c>
      <c r="I35">
        <f t="shared" si="1"/>
        <v>56</v>
      </c>
      <c r="J35">
        <f t="shared" ca="1" si="0"/>
        <v>2052</v>
      </c>
      <c r="K35" s="24">
        <f t="shared" si="2"/>
        <v>6577.5750918935146</v>
      </c>
      <c r="L35" s="124"/>
      <c r="M35" s="124"/>
      <c r="N35" s="124"/>
      <c r="O35" s="124"/>
      <c r="P35" s="145"/>
    </row>
    <row r="36" spans="2:16">
      <c r="B36" s="134" t="s">
        <v>137</v>
      </c>
      <c r="C36" s="46">
        <f t="shared" si="3"/>
        <v>415.22359522799769</v>
      </c>
      <c r="D36" s="46">
        <v>4982.6831427359721</v>
      </c>
      <c r="E36" s="180">
        <v>2.4079586169160134E-2</v>
      </c>
      <c r="F36" s="46">
        <f t="shared" si="4"/>
        <v>5102.6640908251038</v>
      </c>
      <c r="I36">
        <f t="shared" si="1"/>
        <v>57</v>
      </c>
      <c r="J36">
        <f t="shared" ca="1" si="0"/>
        <v>2053</v>
      </c>
      <c r="K36" s="24">
        <f t="shared" si="2"/>
        <v>6711.5421464654846</v>
      </c>
      <c r="L36" s="124"/>
      <c r="M36" s="124"/>
      <c r="N36" s="124"/>
      <c r="O36" s="124"/>
      <c r="P36" s="145"/>
    </row>
    <row r="37" spans="2:16">
      <c r="B37" s="134" t="s">
        <v>2502</v>
      </c>
      <c r="C37" s="46">
        <f t="shared" si="3"/>
        <v>355.61711169491269</v>
      </c>
      <c r="D37" s="46">
        <v>4267.4053403389526</v>
      </c>
      <c r="E37" s="180">
        <v>3.1347995036403113E-2</v>
      </c>
      <c r="F37" s="46">
        <f t="shared" si="4"/>
        <v>4401.1799417662178</v>
      </c>
      <c r="I37">
        <f t="shared" ref="I37:I59" si="5">I36+1</f>
        <v>58</v>
      </c>
      <c r="J37">
        <f t="shared" ca="1" si="0"/>
        <v>2054</v>
      </c>
      <c r="K37" s="24">
        <f t="shared" si="2"/>
        <v>6848.2377402726515</v>
      </c>
      <c r="L37" s="124"/>
      <c r="M37" s="124"/>
      <c r="N37" s="124"/>
      <c r="O37" s="124"/>
      <c r="P37" s="145"/>
    </row>
    <row r="38" spans="2:16">
      <c r="I38">
        <f t="shared" si="5"/>
        <v>59</v>
      </c>
      <c r="J38">
        <f t="shared" ca="1" si="0"/>
        <v>2055</v>
      </c>
      <c r="K38" s="24">
        <f t="shared" si="2"/>
        <v>6987.717446130152</v>
      </c>
      <c r="L38" s="124"/>
      <c r="M38" s="124"/>
      <c r="N38" s="124"/>
      <c r="O38" s="124"/>
      <c r="P38" s="145"/>
    </row>
    <row r="39" spans="2:16">
      <c r="I39">
        <f t="shared" si="5"/>
        <v>60</v>
      </c>
      <c r="J39">
        <f t="shared" ca="1" si="0"/>
        <v>2056</v>
      </c>
      <c r="K39" s="24">
        <f t="shared" si="2"/>
        <v>7130.0379687180193</v>
      </c>
      <c r="L39" s="124"/>
      <c r="M39" s="124"/>
      <c r="N39" s="124"/>
      <c r="O39" s="124"/>
      <c r="P39" s="145"/>
    </row>
    <row r="40" spans="2:16">
      <c r="I40">
        <f t="shared" si="5"/>
        <v>61</v>
      </c>
      <c r="J40">
        <f t="shared" ref="J40:J59" ca="1" si="6">IFERROR(IF(I40&lt;=$C$21,J39+1,""),"")</f>
        <v>2057</v>
      </c>
      <c r="K40" s="24">
        <f t="shared" si="2"/>
        <v>7275.2571676341486</v>
      </c>
      <c r="L40" s="124"/>
      <c r="M40" s="124"/>
      <c r="N40" s="124"/>
      <c r="O40" s="124"/>
      <c r="P40" s="145"/>
    </row>
    <row r="41" spans="2:16">
      <c r="I41">
        <f t="shared" si="5"/>
        <v>62</v>
      </c>
      <c r="J41">
        <f t="shared" ca="1" si="6"/>
        <v>2058</v>
      </c>
      <c r="K41" s="24">
        <f t="shared" si="2"/>
        <v>7423.4340809167888</v>
      </c>
      <c r="L41" s="124"/>
      <c r="M41" s="124"/>
      <c r="N41" s="124"/>
      <c r="O41" s="124"/>
      <c r="P41" s="145"/>
    </row>
    <row r="42" spans="2:16">
      <c r="I42">
        <f t="shared" si="5"/>
        <v>63</v>
      </c>
      <c r="J42">
        <f t="shared" ca="1" si="6"/>
        <v>2059</v>
      </c>
      <c r="K42" s="24">
        <f t="shared" si="2"/>
        <v>7574.6289490461177</v>
      </c>
      <c r="L42" s="124"/>
      <c r="M42" s="124"/>
      <c r="N42" s="124"/>
      <c r="O42" s="124"/>
      <c r="P42" s="145"/>
    </row>
    <row r="43" spans="2:16">
      <c r="I43">
        <f t="shared" si="5"/>
        <v>64</v>
      </c>
      <c r="J43">
        <f t="shared" ca="1" si="6"/>
        <v>2060</v>
      </c>
      <c r="K43" s="24">
        <f t="shared" si="2"/>
        <v>7728.9032394346696</v>
      </c>
      <c r="L43" s="124"/>
      <c r="M43" s="124"/>
      <c r="N43" s="124"/>
      <c r="O43" s="124"/>
      <c r="P43" s="145"/>
    </row>
    <row r="44" spans="2:16">
      <c r="I44">
        <f t="shared" si="5"/>
        <v>65</v>
      </c>
      <c r="J44">
        <f t="shared" ca="1" si="6"/>
        <v>2061</v>
      </c>
      <c r="K44" s="24">
        <f t="shared" si="2"/>
        <v>7886.3196714165579</v>
      </c>
      <c r="L44" s="124"/>
      <c r="M44" s="124"/>
      <c r="N44" s="124"/>
      <c r="O44" s="124"/>
      <c r="P44" s="145"/>
    </row>
    <row r="45" spans="2:16">
      <c r="I45">
        <f t="shared" si="5"/>
        <v>66</v>
      </c>
      <c r="J45">
        <f t="shared" ca="1" si="6"/>
        <v>2062</v>
      </c>
      <c r="K45" s="24">
        <f t="shared" si="2"/>
        <v>8046.9422417456672</v>
      </c>
      <c r="L45" s="124"/>
      <c r="M45" s="124"/>
      <c r="N45" s="124"/>
      <c r="O45" s="124"/>
      <c r="P45" s="145"/>
    </row>
    <row r="46" spans="2:16">
      <c r="I46">
        <f t="shared" si="5"/>
        <v>67</v>
      </c>
      <c r="J46">
        <f t="shared" ca="1" si="6"/>
        <v>2063</v>
      </c>
      <c r="K46" s="24">
        <f t="shared" si="2"/>
        <v>8210.8362506131652</v>
      </c>
      <c r="L46" s="124"/>
      <c r="M46" s="124"/>
      <c r="N46" s="124"/>
      <c r="O46" s="124"/>
      <c r="P46" s="145"/>
    </row>
    <row r="47" spans="2:16">
      <c r="I47">
        <f t="shared" si="5"/>
        <v>68</v>
      </c>
      <c r="J47">
        <f t="shared" ca="1" si="6"/>
        <v>2064</v>
      </c>
      <c r="K47" s="24">
        <f t="shared" si="2"/>
        <v>8378.0683281949277</v>
      </c>
      <c r="L47" s="124"/>
      <c r="M47" s="124"/>
      <c r="N47" s="124"/>
      <c r="O47" s="124"/>
      <c r="P47" s="145"/>
    </row>
    <row r="48" spans="2:16">
      <c r="I48">
        <f t="shared" si="5"/>
        <v>69</v>
      </c>
      <c r="J48">
        <f t="shared" ca="1" si="6"/>
        <v>2065</v>
      </c>
      <c r="K48" s="24">
        <f t="shared" si="2"/>
        <v>8548.7064617396518</v>
      </c>
      <c r="L48" s="124"/>
      <c r="M48" s="124"/>
      <c r="N48" s="124"/>
      <c r="O48" s="124"/>
      <c r="P48" s="145"/>
    </row>
    <row r="49" spans="9:16">
      <c r="I49">
        <f t="shared" si="5"/>
        <v>70</v>
      </c>
      <c r="J49">
        <f t="shared" ca="1" si="6"/>
        <v>2066</v>
      </c>
      <c r="K49" s="24">
        <f t="shared" si="2"/>
        <v>8722.8200232086911</v>
      </c>
      <c r="L49" s="124"/>
      <c r="M49" s="124"/>
      <c r="N49" s="124"/>
      <c r="O49" s="124"/>
      <c r="P49" s="145"/>
    </row>
    <row r="50" spans="9:16">
      <c r="I50">
        <f t="shared" si="5"/>
        <v>71</v>
      </c>
      <c r="J50">
        <f t="shared" ca="1" si="6"/>
        <v>2067</v>
      </c>
      <c r="K50" s="24">
        <f t="shared" si="2"/>
        <v>8900.4797974788271</v>
      </c>
      <c r="L50" s="124"/>
      <c r="M50" s="124"/>
      <c r="N50" s="124"/>
      <c r="O50" s="124"/>
      <c r="P50" s="145"/>
    </row>
    <row r="51" spans="9:16">
      <c r="I51">
        <f t="shared" si="5"/>
        <v>72</v>
      </c>
      <c r="J51">
        <f t="shared" ca="1" si="6"/>
        <v>2068</v>
      </c>
      <c r="K51" s="24">
        <f t="shared" si="2"/>
        <v>9081.7580111194566</v>
      </c>
      <c r="L51" s="124"/>
      <c r="M51" s="124"/>
      <c r="N51" s="124"/>
      <c r="O51" s="124"/>
      <c r="P51" s="145"/>
    </row>
    <row r="52" spans="9:16">
      <c r="I52">
        <f t="shared" si="5"/>
        <v>73</v>
      </c>
      <c r="J52">
        <f t="shared" ca="1" si="6"/>
        <v>2069</v>
      </c>
      <c r="K52" s="24">
        <f t="shared" si="2"/>
        <v>9266.7283617558969</v>
      </c>
      <c r="L52" s="124"/>
      <c r="M52" s="124"/>
      <c r="N52" s="124"/>
      <c r="O52" s="124"/>
      <c r="P52" s="145"/>
    </row>
    <row r="53" spans="9:16">
      <c r="I53">
        <f t="shared" si="5"/>
        <v>74</v>
      </c>
      <c r="J53">
        <f t="shared" ca="1" si="6"/>
        <v>2070</v>
      </c>
      <c r="K53" s="24">
        <f t="shared" si="2"/>
        <v>9455.4660480307321</v>
      </c>
      <c r="L53" s="124"/>
      <c r="M53" s="124"/>
      <c r="N53" s="124"/>
      <c r="O53" s="124"/>
      <c r="P53" s="145"/>
    </row>
    <row r="54" spans="9:16">
      <c r="I54">
        <f t="shared" si="5"/>
        <v>75</v>
      </c>
      <c r="J54">
        <f t="shared" ca="1" si="6"/>
        <v>2071</v>
      </c>
      <c r="K54" s="24">
        <f t="shared" si="2"/>
        <v>9648.0478001753945</v>
      </c>
      <c r="L54" s="124"/>
      <c r="M54" s="124"/>
      <c r="N54" s="124"/>
      <c r="O54" s="124"/>
      <c r="P54" s="145"/>
    </row>
    <row r="55" spans="9:16">
      <c r="I55">
        <f t="shared" si="5"/>
        <v>76</v>
      </c>
      <c r="J55">
        <f t="shared" ca="1" si="6"/>
        <v>2072</v>
      </c>
      <c r="K55" s="24">
        <f t="shared" si="2"/>
        <v>9844.5519112044003</v>
      </c>
      <c r="L55" s="124"/>
      <c r="M55" s="124"/>
      <c r="N55" s="124"/>
      <c r="O55" s="124"/>
      <c r="P55" s="145"/>
    </row>
    <row r="56" spans="9:16">
      <c r="I56">
        <f t="shared" si="5"/>
        <v>77</v>
      </c>
      <c r="J56">
        <f t="shared" ca="1" si="6"/>
        <v>2073</v>
      </c>
      <c r="K56" s="24">
        <f t="shared" si="2"/>
        <v>10045.058268744933</v>
      </c>
      <c r="L56" s="124"/>
      <c r="M56" s="124"/>
      <c r="N56" s="124"/>
      <c r="O56" s="124"/>
      <c r="P56" s="145"/>
    </row>
    <row r="57" spans="9:16">
      <c r="I57">
        <f t="shared" si="5"/>
        <v>78</v>
      </c>
      <c r="J57">
        <f t="shared" ca="1" si="6"/>
        <v>2074</v>
      </c>
      <c r="K57" s="24">
        <f t="shared" si="2"/>
        <v>10249.648387514702</v>
      </c>
      <c r="L57" s="124"/>
      <c r="M57" s="124"/>
      <c r="N57" s="124"/>
      <c r="O57" s="124"/>
      <c r="P57" s="145"/>
    </row>
    <row r="58" spans="9:16">
      <c r="I58">
        <f t="shared" si="5"/>
        <v>79</v>
      </c>
      <c r="J58">
        <f t="shared" ca="1" si="6"/>
        <v>2075</v>
      </c>
      <c r="K58" s="24">
        <f t="shared" si="2"/>
        <v>10458.405442461284</v>
      </c>
      <c r="L58" s="124"/>
      <c r="M58" s="124"/>
      <c r="N58" s="124"/>
      <c r="O58" s="124"/>
      <c r="P58" s="145"/>
    </row>
    <row r="59" spans="9:16">
      <c r="I59">
        <f t="shared" si="5"/>
        <v>80</v>
      </c>
      <c r="J59">
        <f t="shared" ca="1" si="6"/>
        <v>2076</v>
      </c>
      <c r="K59" s="24">
        <f t="shared" si="2"/>
        <v>10671.414302576428</v>
      </c>
      <c r="L59" s="124"/>
      <c r="M59" s="124"/>
      <c r="N59" s="124"/>
      <c r="O59" s="124"/>
      <c r="P59" s="145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4ECD4-203F-5A48-88DC-66A456D1C720}">
  <dimension ref="B5:P59"/>
  <sheetViews>
    <sheetView zoomScale="113" zoomScaleNormal="140" workbookViewId="0">
      <selection activeCell="E8" sqref="E8"/>
    </sheetView>
  </sheetViews>
  <sheetFormatPr baseColWidth="10" defaultColWidth="11" defaultRowHeight="16"/>
  <cols>
    <col min="2" max="2" width="35.5" customWidth="1"/>
    <col min="3" max="3" width="21" customWidth="1"/>
    <col min="4" max="4" width="16.33203125" customWidth="1"/>
    <col min="5" max="5" width="23.33203125" customWidth="1"/>
    <col min="6" max="6" width="16.1640625" customWidth="1"/>
    <col min="7" max="8" width="11.5" customWidth="1"/>
    <col min="9" max="9" width="13" customWidth="1"/>
    <col min="10" max="10" width="14.5" customWidth="1"/>
    <col min="11" max="11" width="22.33203125" customWidth="1"/>
    <col min="12" max="13" width="18.33203125" customWidth="1"/>
  </cols>
  <sheetData>
    <row r="5" spans="2:16">
      <c r="B5" s="7" t="s">
        <v>55</v>
      </c>
      <c r="C5" s="21"/>
      <c r="D5" s="21"/>
      <c r="E5" s="21"/>
      <c r="F5" s="21"/>
    </row>
    <row r="6" spans="2:16">
      <c r="B6" s="13" t="s">
        <v>4790</v>
      </c>
      <c r="C6" s="122"/>
      <c r="D6" s="122"/>
      <c r="E6" s="122"/>
      <c r="F6" s="122"/>
      <c r="I6" s="168" t="s">
        <v>13</v>
      </c>
      <c r="J6" s="168" t="s">
        <v>16</v>
      </c>
      <c r="K6" s="168" t="s">
        <v>54</v>
      </c>
      <c r="L6" s="168"/>
      <c r="M6" s="168"/>
      <c r="N6" s="168"/>
      <c r="O6" s="168"/>
      <c r="P6" s="168"/>
    </row>
    <row r="7" spans="2:16">
      <c r="B7" s="2" t="s">
        <v>4792</v>
      </c>
      <c r="C7" s="2">
        <f>'General overview'!$C$5</f>
        <v>28</v>
      </c>
      <c r="D7" s="2" t="s">
        <v>18</v>
      </c>
      <c r="E7" s="179" t="str">
        <f>IFERROR(INDEX(Taxes!$B$78:$B$2220, MATCH(C8,Taxes!F78:F2220, 0)), INDEX(Taxes!$B$78:$B$2220, MATCH(C8, Taxes!F78:F2220,-1)))</f>
        <v>ZH</v>
      </c>
      <c r="F7" s="2"/>
      <c r="I7">
        <f>C7</f>
        <v>28</v>
      </c>
      <c r="J7" s="144">
        <f ca="1">YEAR(TODAY())</f>
        <v>2024</v>
      </c>
      <c r="K7" s="24">
        <f>C9</f>
        <v>3954.5711313843017</v>
      </c>
      <c r="L7" s="124"/>
      <c r="M7" s="124"/>
      <c r="N7" s="124"/>
      <c r="O7" s="124"/>
      <c r="P7" s="145"/>
    </row>
    <row r="8" spans="2:16">
      <c r="B8" s="2" t="s">
        <v>4804</v>
      </c>
      <c r="C8" s="6">
        <f>IF(ISNUMBER(E8),E8,VLOOKUP(E8,Realestate!B2:D2407,3,FALSE))</f>
        <v>8712</v>
      </c>
      <c r="D8" s="6" t="s">
        <v>4857</v>
      </c>
      <c r="E8" s="6">
        <f>'General overview'!C31</f>
        <v>8712</v>
      </c>
      <c r="F8" s="6"/>
      <c r="I8">
        <f>I7+1</f>
        <v>29</v>
      </c>
      <c r="J8">
        <f t="shared" ref="J8:J59" ca="1" si="0">IFERROR(IF(I8&lt;=$C$21,J7+1,""),"")</f>
        <v>2025</v>
      </c>
      <c r="K8" s="24">
        <f>K7*(1+SUMIF($B$12:$B$37,$E$7,$E$12:$E$37))</f>
        <v>4034.0551279414053</v>
      </c>
      <c r="L8" s="124"/>
      <c r="M8" s="124"/>
      <c r="N8" s="124"/>
      <c r="O8" s="124"/>
      <c r="P8" s="145"/>
    </row>
    <row r="9" spans="2:16">
      <c r="B9" s="2" t="s">
        <v>4805</v>
      </c>
      <c r="C9" s="104">
        <f>SUMIF(B12:B37,E7,F12:F37)</f>
        <v>3954.5711313843017</v>
      </c>
      <c r="D9" s="6"/>
      <c r="E9" s="6"/>
      <c r="F9" s="6"/>
      <c r="I9">
        <f t="shared" ref="I9:I59" si="1">I8+1</f>
        <v>30</v>
      </c>
      <c r="J9">
        <f t="shared" ca="1" si="0"/>
        <v>2026</v>
      </c>
      <c r="K9" s="24">
        <f t="shared" ref="K9:K59" si="2">K8*(1+SUMIF($B$12:$B$37,$E$7,$E$12:$E$37))</f>
        <v>4115.1366948794166</v>
      </c>
      <c r="L9" s="124"/>
      <c r="M9" s="124"/>
      <c r="N9" s="124"/>
      <c r="O9" s="124"/>
      <c r="P9" s="145"/>
    </row>
    <row r="10" spans="2:16">
      <c r="B10" s="2"/>
      <c r="C10" s="174"/>
      <c r="D10" s="6"/>
      <c r="E10" s="6"/>
      <c r="F10" s="6"/>
      <c r="I10">
        <f t="shared" si="1"/>
        <v>31</v>
      </c>
      <c r="J10">
        <f t="shared" ca="1" si="0"/>
        <v>2027</v>
      </c>
      <c r="K10" s="24">
        <f t="shared" si="2"/>
        <v>4197.8479421982402</v>
      </c>
      <c r="L10" s="124"/>
      <c r="M10" s="124"/>
      <c r="N10" s="124"/>
      <c r="O10" s="124"/>
      <c r="P10" s="145"/>
    </row>
    <row r="11" spans="2:16" ht="34">
      <c r="B11" s="181" t="s">
        <v>4806</v>
      </c>
      <c r="C11" s="182"/>
      <c r="D11" s="135" t="s">
        <v>4807</v>
      </c>
      <c r="E11" s="132" t="s">
        <v>4808</v>
      </c>
      <c r="F11" s="135">
        <v>2024</v>
      </c>
      <c r="I11">
        <f t="shared" si="1"/>
        <v>32</v>
      </c>
      <c r="J11">
        <f t="shared" ca="1" si="0"/>
        <v>2028</v>
      </c>
      <c r="K11" s="24">
        <f t="shared" si="2"/>
        <v>4282.2216252853696</v>
      </c>
      <c r="L11" s="124"/>
      <c r="M11" s="124"/>
      <c r="N11" s="124"/>
      <c r="O11" s="124"/>
      <c r="P11" s="145"/>
    </row>
    <row r="12" spans="2:16">
      <c r="B12" s="134" t="s">
        <v>136</v>
      </c>
      <c r="C12" s="46">
        <f>D12/12</f>
        <v>323.05443565662949</v>
      </c>
      <c r="D12" s="46">
        <v>3876.6532278795539</v>
      </c>
      <c r="E12" s="180">
        <v>2.0099270923793069E-2</v>
      </c>
      <c r="F12" s="46">
        <f>D12*(1+E12)</f>
        <v>3954.5711313843017</v>
      </c>
      <c r="I12">
        <f t="shared" si="1"/>
        <v>33</v>
      </c>
      <c r="J12">
        <f t="shared" ca="1" si="0"/>
        <v>2029</v>
      </c>
      <c r="K12" s="24">
        <f t="shared" si="2"/>
        <v>4368.2911578877056</v>
      </c>
      <c r="L12" s="124"/>
      <c r="M12" s="124"/>
      <c r="N12" s="124"/>
      <c r="O12" s="124"/>
      <c r="P12" s="145"/>
    </row>
    <row r="13" spans="2:16">
      <c r="B13" s="134" t="s">
        <v>138</v>
      </c>
      <c r="C13" s="46">
        <f t="shared" ref="C13:C37" si="3">D13/12</f>
        <v>338.22005020066973</v>
      </c>
      <c r="D13" s="46">
        <v>4058.6406024080366</v>
      </c>
      <c r="E13" s="180">
        <v>1.9119549310960035E-2</v>
      </c>
      <c r="F13" s="46">
        <f t="shared" ref="F13:F37" si="4">D13*(1+E13)</f>
        <v>4136.2399815412409</v>
      </c>
      <c r="I13">
        <f t="shared" si="1"/>
        <v>34</v>
      </c>
      <c r="J13">
        <f t="shared" ca="1" si="0"/>
        <v>2030</v>
      </c>
      <c r="K13" s="24">
        <f t="shared" si="2"/>
        <v>4456.0906253440999</v>
      </c>
      <c r="L13" s="124"/>
      <c r="M13" s="124"/>
      <c r="N13" s="124"/>
      <c r="O13" s="124"/>
      <c r="P13" s="145"/>
    </row>
    <row r="14" spans="2:16">
      <c r="B14" s="134" t="s">
        <v>140</v>
      </c>
      <c r="C14" s="46">
        <f t="shared" si="3"/>
        <v>284.21045721921865</v>
      </c>
      <c r="D14" s="46">
        <v>3410.5254866306236</v>
      </c>
      <c r="E14" s="180">
        <v>1.9997603141266404E-2</v>
      </c>
      <c r="F14" s="46">
        <f t="shared" si="4"/>
        <v>3478.727821815437</v>
      </c>
      <c r="I14">
        <f t="shared" si="1"/>
        <v>35</v>
      </c>
      <c r="J14">
        <f t="shared" ca="1" si="0"/>
        <v>2031</v>
      </c>
      <c r="K14" s="24">
        <f t="shared" si="2"/>
        <v>4545.654798083865</v>
      </c>
      <c r="L14" s="124"/>
      <c r="M14" s="124"/>
      <c r="N14" s="124"/>
      <c r="O14" s="124"/>
      <c r="P14" s="145"/>
    </row>
    <row r="15" spans="2:16">
      <c r="B15" s="134" t="s">
        <v>150</v>
      </c>
      <c r="C15" s="46">
        <f t="shared" si="3"/>
        <v>252.57925709329209</v>
      </c>
      <c r="D15" s="46">
        <v>3030.951085119505</v>
      </c>
      <c r="E15" s="180">
        <v>1.3269781664495082E-2</v>
      </c>
      <c r="F15" s="46">
        <f t="shared" si="4"/>
        <v>3071.1711442548053</v>
      </c>
      <c r="G15" s="124"/>
      <c r="H15" s="124"/>
      <c r="I15">
        <f t="shared" si="1"/>
        <v>36</v>
      </c>
      <c r="J15">
        <f t="shared" ca="1" si="0"/>
        <v>2032</v>
      </c>
      <c r="K15" s="24">
        <f t="shared" si="2"/>
        <v>4637.0191453965926</v>
      </c>
      <c r="L15" s="124"/>
      <c r="M15" s="124"/>
      <c r="N15" s="124"/>
      <c r="O15" s="124"/>
      <c r="P15" s="145"/>
    </row>
    <row r="16" spans="2:16">
      <c r="B16" s="134" t="s">
        <v>156</v>
      </c>
      <c r="C16" s="46">
        <f t="shared" si="3"/>
        <v>285.42055686848045</v>
      </c>
      <c r="D16" s="46">
        <v>3425.0466824217651</v>
      </c>
      <c r="E16" s="180">
        <v>2.2409575610750718E-2</v>
      </c>
      <c r="F16" s="46">
        <f t="shared" si="4"/>
        <v>3501.8005250218466</v>
      </c>
      <c r="I16">
        <f t="shared" si="1"/>
        <v>37</v>
      </c>
      <c r="J16">
        <f t="shared" ca="1" si="0"/>
        <v>2033</v>
      </c>
      <c r="K16" s="24">
        <f t="shared" si="2"/>
        <v>4730.2198494787344</v>
      </c>
      <c r="L16" s="124"/>
      <c r="M16" s="124"/>
      <c r="N16" s="124"/>
      <c r="O16" s="124"/>
      <c r="P16" s="145"/>
    </row>
    <row r="17" spans="2:16">
      <c r="B17" s="134" t="s">
        <v>148</v>
      </c>
      <c r="C17" s="46">
        <f t="shared" si="3"/>
        <v>270.43865472029779</v>
      </c>
      <c r="D17" s="46">
        <v>3245.2638566435735</v>
      </c>
      <c r="E17" s="180">
        <v>2.2755070420130474E-2</v>
      </c>
      <c r="F17" s="46">
        <f t="shared" si="4"/>
        <v>3319.1100642334022</v>
      </c>
      <c r="I17">
        <f t="shared" si="1"/>
        <v>38</v>
      </c>
      <c r="J17">
        <f t="shared" ca="1" si="0"/>
        <v>2034</v>
      </c>
      <c r="K17" s="24">
        <f t="shared" si="2"/>
        <v>4825.2938197625108</v>
      </c>
      <c r="L17" s="124"/>
      <c r="M17" s="124"/>
      <c r="N17" s="124"/>
      <c r="O17" s="124"/>
      <c r="P17" s="145"/>
    </row>
    <row r="18" spans="2:16">
      <c r="B18" s="134" t="s">
        <v>147</v>
      </c>
      <c r="C18" s="46">
        <f t="shared" si="3"/>
        <v>270.21286816240917</v>
      </c>
      <c r="D18" s="46">
        <v>3242.5544179489098</v>
      </c>
      <c r="E18" s="180">
        <v>2.7559325503467895E-2</v>
      </c>
      <c r="F18" s="46">
        <f t="shared" si="4"/>
        <v>3331.9170306158717</v>
      </c>
      <c r="I18">
        <f t="shared" si="1"/>
        <v>39</v>
      </c>
      <c r="J18">
        <f t="shared" ca="1" si="0"/>
        <v>2035</v>
      </c>
      <c r="K18" s="24">
        <f t="shared" si="2"/>
        <v>4922.2787075328215</v>
      </c>
      <c r="L18" s="124"/>
      <c r="M18" s="124"/>
      <c r="N18" s="124"/>
      <c r="O18" s="124"/>
      <c r="P18" s="145"/>
    </row>
    <row r="19" spans="2:16">
      <c r="B19" s="134" t="s">
        <v>149</v>
      </c>
      <c r="C19" s="46">
        <f t="shared" si="3"/>
        <v>290.31418674513361</v>
      </c>
      <c r="D19" s="46">
        <v>3483.7702409416033</v>
      </c>
      <c r="E19" s="180">
        <v>2.1133402409475935E-2</v>
      </c>
      <c r="F19" s="46">
        <f t="shared" si="4"/>
        <v>3557.3941593455793</v>
      </c>
      <c r="I19">
        <f t="shared" si="1"/>
        <v>40</v>
      </c>
      <c r="J19">
        <f t="shared" ca="1" si="0"/>
        <v>2036</v>
      </c>
      <c r="K19" s="24">
        <f t="shared" si="2"/>
        <v>5021.212920837942</v>
      </c>
      <c r="L19" s="124"/>
      <c r="M19" s="124"/>
      <c r="N19" s="124"/>
      <c r="O19" s="124"/>
      <c r="P19" s="145"/>
    </row>
    <row r="20" spans="2:16">
      <c r="B20" s="134" t="s">
        <v>158</v>
      </c>
      <c r="C20" s="46">
        <f t="shared" si="3"/>
        <v>269.41955887726812</v>
      </c>
      <c r="D20" s="46">
        <v>3233.0347065272176</v>
      </c>
      <c r="E20" s="180">
        <v>1.9089747099642358E-2</v>
      </c>
      <c r="F20" s="46">
        <f t="shared" si="4"/>
        <v>3294.7525214391885</v>
      </c>
      <c r="I20">
        <f t="shared" si="1"/>
        <v>41</v>
      </c>
      <c r="J20">
        <f t="shared" ca="1" si="0"/>
        <v>2037</v>
      </c>
      <c r="K20" s="24">
        <f t="shared" si="2"/>
        <v>5122.1356396999136</v>
      </c>
      <c r="L20" s="124"/>
      <c r="M20" s="124"/>
      <c r="N20" s="124"/>
      <c r="O20" s="124"/>
      <c r="P20" s="145"/>
    </row>
    <row r="21" spans="2:16">
      <c r="B21" s="134" t="s">
        <v>152</v>
      </c>
      <c r="C21" s="46">
        <f t="shared" si="3"/>
        <v>309.19316343563997</v>
      </c>
      <c r="D21" s="46">
        <v>3710.3179612276799</v>
      </c>
      <c r="E21" s="180">
        <v>2.3296338142485551E-2</v>
      </c>
      <c r="F21" s="46">
        <f t="shared" si="4"/>
        <v>3796.7547830685776</v>
      </c>
      <c r="I21">
        <f t="shared" si="1"/>
        <v>42</v>
      </c>
      <c r="J21">
        <f t="shared" ca="1" si="0"/>
        <v>2038</v>
      </c>
      <c r="K21" s="24">
        <f t="shared" si="2"/>
        <v>5225.0868316306578</v>
      </c>
      <c r="L21" s="124"/>
      <c r="M21" s="124"/>
      <c r="N21" s="124"/>
      <c r="O21" s="124"/>
      <c r="P21" s="145"/>
    </row>
    <row r="22" spans="2:16">
      <c r="B22" s="134" t="s">
        <v>157</v>
      </c>
      <c r="C22" s="46">
        <f t="shared" si="3"/>
        <v>330.68571481169232</v>
      </c>
      <c r="D22" s="46">
        <v>3968.2285777403076</v>
      </c>
      <c r="E22" s="180">
        <v>2.607097342704676E-2</v>
      </c>
      <c r="F22" s="46">
        <f t="shared" si="4"/>
        <v>4071.6841595430228</v>
      </c>
      <c r="I22">
        <f t="shared" si="1"/>
        <v>43</v>
      </c>
      <c r="J22">
        <f t="shared" ca="1" si="0"/>
        <v>2039</v>
      </c>
      <c r="K22" s="24">
        <f t="shared" si="2"/>
        <v>5330.1072674599454</v>
      </c>
      <c r="L22" s="124"/>
      <c r="M22" s="124"/>
      <c r="N22" s="124"/>
      <c r="O22" s="124"/>
      <c r="P22" s="145"/>
    </row>
    <row r="23" spans="2:16">
      <c r="B23" s="134" t="s">
        <v>144</v>
      </c>
      <c r="C23" s="46">
        <f t="shared" si="3"/>
        <v>423.17525960023858</v>
      </c>
      <c r="D23" s="46">
        <v>5078.1031152028627</v>
      </c>
      <c r="E23" s="180">
        <v>1.3850045347697341E-2</v>
      </c>
      <c r="F23" s="46">
        <f t="shared" si="4"/>
        <v>5148.4350736287051</v>
      </c>
      <c r="I23">
        <f t="shared" si="1"/>
        <v>44</v>
      </c>
      <c r="J23">
        <f t="shared" ca="1" si="0"/>
        <v>2040</v>
      </c>
      <c r="K23" s="24">
        <f t="shared" si="2"/>
        <v>5437.2385374815012</v>
      </c>
      <c r="L23" s="124"/>
      <c r="M23" s="124"/>
      <c r="N23" s="124"/>
      <c r="O23" s="124"/>
      <c r="P23" s="145"/>
    </row>
    <row r="24" spans="2:16">
      <c r="B24" s="134" t="s">
        <v>160</v>
      </c>
      <c r="C24" s="46">
        <f t="shared" si="3"/>
        <v>376.65915850815873</v>
      </c>
      <c r="D24" s="46">
        <v>4519.9099020979047</v>
      </c>
      <c r="E24" s="180">
        <v>2.7417754107428947E-2</v>
      </c>
      <c r="F24" s="46">
        <f t="shared" si="4"/>
        <v>4643.8356803813585</v>
      </c>
      <c r="I24">
        <f t="shared" si="1"/>
        <v>45</v>
      </c>
      <c r="J24">
        <f t="shared" ca="1" si="0"/>
        <v>2041</v>
      </c>
      <c r="K24" s="24">
        <f t="shared" si="2"/>
        <v>5546.5230679236302</v>
      </c>
      <c r="L24" s="124"/>
      <c r="M24" s="124"/>
      <c r="N24" s="124"/>
      <c r="O24" s="124"/>
      <c r="P24" s="145"/>
    </row>
    <row r="25" spans="2:16">
      <c r="B25" s="134" t="s">
        <v>146</v>
      </c>
      <c r="C25" s="46">
        <f t="shared" si="3"/>
        <v>322.25569328266653</v>
      </c>
      <c r="D25" s="46">
        <v>3867.0683193919986</v>
      </c>
      <c r="E25" s="180">
        <v>2.3814451191343993E-2</v>
      </c>
      <c r="F25" s="46">
        <f t="shared" si="4"/>
        <v>3959.1604291377521</v>
      </c>
      <c r="I25">
        <f t="shared" si="1"/>
        <v>46</v>
      </c>
      <c r="J25">
        <f t="shared" ca="1" si="0"/>
        <v>2042</v>
      </c>
      <c r="K25" s="24">
        <f t="shared" si="2"/>
        <v>5658.0041377508951</v>
      </c>
      <c r="L25" s="124"/>
      <c r="M25" s="124"/>
      <c r="N25" s="124"/>
      <c r="O25" s="124"/>
      <c r="P25" s="145"/>
    </row>
    <row r="26" spans="2:16">
      <c r="B26" s="134" t="s">
        <v>154</v>
      </c>
      <c r="C26" s="46">
        <f t="shared" si="3"/>
        <v>284.55028867260296</v>
      </c>
      <c r="D26" s="46">
        <v>3414.6034640712355</v>
      </c>
      <c r="E26" s="180">
        <v>2.7112904751746141E-2</v>
      </c>
      <c r="F26" s="46">
        <f t="shared" si="4"/>
        <v>3507.1832825575816</v>
      </c>
      <c r="I26">
        <f t="shared" si="1"/>
        <v>47</v>
      </c>
      <c r="J26">
        <f t="shared" ca="1" si="0"/>
        <v>2043</v>
      </c>
      <c r="K26" s="24">
        <f t="shared" si="2"/>
        <v>5771.7258958034927</v>
      </c>
      <c r="L26" s="124"/>
      <c r="M26" s="124"/>
      <c r="N26" s="124"/>
      <c r="O26" s="124"/>
      <c r="P26" s="145"/>
    </row>
    <row r="27" spans="2:16">
      <c r="B27" s="134" t="s">
        <v>155</v>
      </c>
      <c r="C27" s="46">
        <f t="shared" si="3"/>
        <v>231.02665300530131</v>
      </c>
      <c r="D27" s="46">
        <v>2772.3198360636156</v>
      </c>
      <c r="E27" s="180">
        <v>1.7458333184794467E-2</v>
      </c>
      <c r="F27" s="46">
        <f t="shared" si="4"/>
        <v>2820.7199194564287</v>
      </c>
      <c r="I27">
        <f t="shared" si="1"/>
        <v>48</v>
      </c>
      <c r="J27">
        <f t="shared" ca="1" si="0"/>
        <v>2044</v>
      </c>
      <c r="K27" s="24">
        <f t="shared" si="2"/>
        <v>5887.7333782811193</v>
      </c>
      <c r="L27" s="124"/>
      <c r="M27" s="124"/>
      <c r="N27" s="124"/>
      <c r="O27" s="124"/>
      <c r="P27" s="145"/>
    </row>
    <row r="28" spans="2:16">
      <c r="B28" s="134" t="s">
        <v>142</v>
      </c>
      <c r="C28" s="46">
        <f t="shared" si="3"/>
        <v>291.15911931792522</v>
      </c>
      <c r="D28" s="46">
        <v>3493.9094318151028</v>
      </c>
      <c r="E28" s="180">
        <v>2.2341215809292183E-2</v>
      </c>
      <c r="F28" s="46">
        <f t="shared" si="4"/>
        <v>3571.9676164494053</v>
      </c>
      <c r="I28">
        <f t="shared" si="1"/>
        <v>49</v>
      </c>
      <c r="J28">
        <f t="shared" ca="1" si="0"/>
        <v>2045</v>
      </c>
      <c r="K28" s="24">
        <f t="shared" si="2"/>
        <v>6006.0725265782512</v>
      </c>
      <c r="L28" s="124"/>
      <c r="M28" s="124"/>
      <c r="N28" s="124"/>
      <c r="O28" s="124"/>
      <c r="P28" s="145"/>
    </row>
    <row r="29" spans="2:16">
      <c r="B29" s="134" t="s">
        <v>151</v>
      </c>
      <c r="C29" s="46">
        <f t="shared" si="3"/>
        <v>290.48251986516044</v>
      </c>
      <c r="D29" s="46">
        <v>3485.7902383819255</v>
      </c>
      <c r="E29" s="180">
        <v>2.3499092121132041E-2</v>
      </c>
      <c r="F29" s="46">
        <f t="shared" si="4"/>
        <v>3567.7031443086053</v>
      </c>
      <c r="I29">
        <f t="shared" si="1"/>
        <v>50</v>
      </c>
      <c r="J29">
        <f t="shared" ca="1" si="0"/>
        <v>2046</v>
      </c>
      <c r="K29" s="24">
        <f t="shared" si="2"/>
        <v>6126.7902054778979</v>
      </c>
      <c r="L29" s="124"/>
      <c r="M29" s="124"/>
      <c r="N29" s="124"/>
      <c r="O29" s="124"/>
      <c r="P29" s="145"/>
    </row>
    <row r="30" spans="2:16">
      <c r="B30" s="134" t="s">
        <v>143</v>
      </c>
      <c r="C30" s="46">
        <f t="shared" si="3"/>
        <v>305.45403600708266</v>
      </c>
      <c r="D30" s="46">
        <v>3665.448432084992</v>
      </c>
      <c r="E30" s="180">
        <v>2.0367240616846347E-2</v>
      </c>
      <c r="F30" s="46">
        <f t="shared" si="4"/>
        <v>3740.1035022699089</v>
      </c>
      <c r="I30">
        <f t="shared" si="1"/>
        <v>51</v>
      </c>
      <c r="J30">
        <f t="shared" ca="1" si="0"/>
        <v>2047</v>
      </c>
      <c r="K30" s="24">
        <f t="shared" si="2"/>
        <v>6249.9342217110398</v>
      </c>
      <c r="L30" s="124"/>
      <c r="M30" s="124"/>
      <c r="N30" s="124"/>
      <c r="O30" s="124"/>
      <c r="P30" s="145"/>
    </row>
    <row r="31" spans="2:16">
      <c r="B31" s="134" t="s">
        <v>145</v>
      </c>
      <c r="C31" s="46">
        <f t="shared" si="3"/>
        <v>294.10440566103557</v>
      </c>
      <c r="D31" s="46">
        <v>3529.2528679324269</v>
      </c>
      <c r="E31" s="180">
        <v>2.5419891768787759E-2</v>
      </c>
      <c r="F31" s="46">
        <f t="shared" si="4"/>
        <v>3618.9660938599532</v>
      </c>
      <c r="I31">
        <f t="shared" si="1"/>
        <v>52</v>
      </c>
      <c r="J31">
        <f t="shared" ca="1" si="0"/>
        <v>2048</v>
      </c>
      <c r="K31" s="24">
        <f t="shared" si="2"/>
        <v>6375.5533428890958</v>
      </c>
      <c r="L31" s="124"/>
      <c r="M31" s="124"/>
      <c r="N31" s="124"/>
      <c r="O31" s="124"/>
      <c r="P31" s="145"/>
    </row>
    <row r="32" spans="2:16">
      <c r="B32" s="134" t="s">
        <v>141</v>
      </c>
      <c r="C32" s="46">
        <f t="shared" si="3"/>
        <v>388.6501353145195</v>
      </c>
      <c r="D32" s="46">
        <v>4663.801623774234</v>
      </c>
      <c r="E32" s="180">
        <v>3.5306309882682831E-2</v>
      </c>
      <c r="F32" s="46">
        <f t="shared" si="4"/>
        <v>4828.4632491345665</v>
      </c>
      <c r="I32">
        <f t="shared" si="1"/>
        <v>53</v>
      </c>
      <c r="J32">
        <f t="shared" ca="1" si="0"/>
        <v>2049</v>
      </c>
      <c r="K32" s="24">
        <f t="shared" si="2"/>
        <v>6503.6973168169179</v>
      </c>
      <c r="L32" s="124"/>
      <c r="M32" s="124"/>
      <c r="N32" s="124"/>
      <c r="O32" s="124"/>
      <c r="P32" s="145"/>
    </row>
    <row r="33" spans="2:16">
      <c r="B33" s="134" t="s">
        <v>139</v>
      </c>
      <c r="C33" s="46">
        <f t="shared" si="3"/>
        <v>363.97127142713748</v>
      </c>
      <c r="D33" s="46">
        <v>4367.6552571256498</v>
      </c>
      <c r="E33" s="180">
        <v>2.5257768143764483E-2</v>
      </c>
      <c r="F33" s="46">
        <f t="shared" si="4"/>
        <v>4477.9724809420231</v>
      </c>
      <c r="I33">
        <f t="shared" si="1"/>
        <v>54</v>
      </c>
      <c r="J33">
        <f t="shared" ca="1" si="0"/>
        <v>2050</v>
      </c>
      <c r="K33" s="24">
        <f t="shared" si="2"/>
        <v>6634.4168911939669</v>
      </c>
      <c r="L33" s="124"/>
      <c r="M33" s="124"/>
      <c r="N33" s="124"/>
      <c r="O33" s="124"/>
      <c r="P33" s="145"/>
    </row>
    <row r="34" spans="2:16">
      <c r="B34" s="134" t="s">
        <v>159</v>
      </c>
      <c r="C34" s="46">
        <f t="shared" si="3"/>
        <v>307.98144046339564</v>
      </c>
      <c r="D34" s="46">
        <v>3695.7772855607477</v>
      </c>
      <c r="E34" s="180">
        <v>2.4854867461895112E-2</v>
      </c>
      <c r="F34" s="46">
        <f t="shared" si="4"/>
        <v>3787.6353401620427</v>
      </c>
      <c r="I34">
        <f t="shared" si="1"/>
        <v>55</v>
      </c>
      <c r="J34">
        <f t="shared" ca="1" si="0"/>
        <v>2051</v>
      </c>
      <c r="K34" s="24">
        <f t="shared" si="2"/>
        <v>6767.7638337114631</v>
      </c>
      <c r="L34" s="124"/>
      <c r="M34" s="124"/>
      <c r="N34" s="124"/>
      <c r="O34" s="124"/>
      <c r="P34" s="145"/>
    </row>
    <row r="35" spans="2:16">
      <c r="B35" s="134" t="s">
        <v>153</v>
      </c>
      <c r="C35" s="46">
        <f t="shared" si="3"/>
        <v>378.73696385430691</v>
      </c>
      <c r="D35" s="46">
        <v>4544.8435662516831</v>
      </c>
      <c r="E35" s="180">
        <v>4.0140665571883449E-2</v>
      </c>
      <c r="F35" s="46">
        <f t="shared" si="4"/>
        <v>4727.2766119211183</v>
      </c>
      <c r="I35">
        <f t="shared" si="1"/>
        <v>56</v>
      </c>
      <c r="J35">
        <f t="shared" ca="1" si="0"/>
        <v>2052</v>
      </c>
      <c r="K35" s="24">
        <f t="shared" si="2"/>
        <v>6903.7909525534778</v>
      </c>
      <c r="L35" s="124"/>
      <c r="M35" s="124"/>
      <c r="N35" s="124"/>
      <c r="O35" s="124"/>
      <c r="P35" s="145"/>
    </row>
    <row r="36" spans="2:16">
      <c r="B36" s="134" t="s">
        <v>137</v>
      </c>
      <c r="C36" s="46">
        <f t="shared" si="3"/>
        <v>415.22359522799769</v>
      </c>
      <c r="D36" s="46">
        <v>4982.6831427359721</v>
      </c>
      <c r="E36" s="180">
        <v>2.4079586169160134E-2</v>
      </c>
      <c r="F36" s="46">
        <f t="shared" si="4"/>
        <v>5102.6640908251038</v>
      </c>
      <c r="I36">
        <f t="shared" si="1"/>
        <v>57</v>
      </c>
      <c r="J36">
        <f t="shared" ca="1" si="0"/>
        <v>2053</v>
      </c>
      <c r="K36" s="24">
        <f t="shared" si="2"/>
        <v>7042.5521173100815</v>
      </c>
      <c r="L36" s="124"/>
      <c r="M36" s="124"/>
      <c r="N36" s="124"/>
      <c r="O36" s="124"/>
      <c r="P36" s="145"/>
    </row>
    <row r="37" spans="2:16">
      <c r="B37" s="134" t="s">
        <v>2502</v>
      </c>
      <c r="C37" s="46">
        <f t="shared" si="3"/>
        <v>355.61711169491269</v>
      </c>
      <c r="D37" s="46">
        <v>4267.4053403389526</v>
      </c>
      <c r="E37" s="180">
        <v>3.1347995036403113E-2</v>
      </c>
      <c r="F37" s="46">
        <f t="shared" si="4"/>
        <v>4401.1799417662178</v>
      </c>
      <c r="I37">
        <f t="shared" si="1"/>
        <v>58</v>
      </c>
      <c r="J37">
        <f t="shared" ca="1" si="0"/>
        <v>2054</v>
      </c>
      <c r="K37" s="24">
        <f t="shared" si="2"/>
        <v>7184.102280310829</v>
      </c>
      <c r="L37" s="124"/>
      <c r="M37" s="124"/>
      <c r="N37" s="124"/>
      <c r="O37" s="124"/>
      <c r="P37" s="145"/>
    </row>
    <row r="38" spans="2:16">
      <c r="I38">
        <f t="shared" si="1"/>
        <v>59</v>
      </c>
      <c r="J38">
        <f t="shared" ca="1" si="0"/>
        <v>2055</v>
      </c>
      <c r="K38" s="24">
        <f t="shared" si="2"/>
        <v>7328.4974983870361</v>
      </c>
      <c r="L38" s="124"/>
      <c r="M38" s="124"/>
      <c r="N38" s="124"/>
      <c r="O38" s="124"/>
      <c r="P38" s="145"/>
    </row>
    <row r="39" spans="2:16">
      <c r="I39">
        <f t="shared" si="1"/>
        <v>60</v>
      </c>
      <c r="J39">
        <f t="shared" ca="1" si="0"/>
        <v>2056</v>
      </c>
      <c r="K39" s="24">
        <f t="shared" si="2"/>
        <v>7475.7949550714566</v>
      </c>
      <c r="L39" s="124"/>
      <c r="M39" s="124"/>
      <c r="N39" s="124"/>
      <c r="O39" s="124"/>
      <c r="P39" s="145"/>
    </row>
    <row r="40" spans="2:16">
      <c r="I40">
        <f t="shared" si="1"/>
        <v>61</v>
      </c>
      <c r="J40">
        <f t="shared" ca="1" si="0"/>
        <v>2057</v>
      </c>
      <c r="K40" s="24">
        <f t="shared" si="2"/>
        <v>7626.0529832441634</v>
      </c>
      <c r="L40" s="124"/>
      <c r="M40" s="124"/>
      <c r="N40" s="124"/>
      <c r="O40" s="124"/>
      <c r="P40" s="145"/>
    </row>
    <row r="41" spans="2:16">
      <c r="I41">
        <f t="shared" si="1"/>
        <v>62</v>
      </c>
      <c r="J41">
        <f t="shared" ca="1" si="0"/>
        <v>2058</v>
      </c>
      <c r="K41" s="24">
        <f t="shared" si="2"/>
        <v>7779.3310882335882</v>
      </c>
      <c r="L41" s="124"/>
      <c r="M41" s="124"/>
      <c r="N41" s="124"/>
      <c r="O41" s="124"/>
      <c r="P41" s="145"/>
    </row>
    <row r="42" spans="2:16">
      <c r="I42">
        <f t="shared" si="1"/>
        <v>63</v>
      </c>
      <c r="J42">
        <f t="shared" ca="1" si="0"/>
        <v>2059</v>
      </c>
      <c r="K42" s="24">
        <f t="shared" si="2"/>
        <v>7935.6899713818812</v>
      </c>
      <c r="L42" s="124"/>
      <c r="M42" s="124"/>
      <c r="N42" s="124"/>
      <c r="O42" s="124"/>
      <c r="P42" s="145"/>
    </row>
    <row r="43" spans="2:16">
      <c r="I43">
        <f t="shared" si="1"/>
        <v>64</v>
      </c>
      <c r="J43">
        <f t="shared" ca="1" si="0"/>
        <v>2060</v>
      </c>
      <c r="K43" s="24">
        <f t="shared" si="2"/>
        <v>8095.1915540839127</v>
      </c>
      <c r="L43" s="124"/>
      <c r="M43" s="124"/>
      <c r="N43" s="124"/>
      <c r="O43" s="124"/>
      <c r="P43" s="145"/>
    </row>
    <row r="44" spans="2:16">
      <c r="I44">
        <f t="shared" si="1"/>
        <v>65</v>
      </c>
      <c r="J44">
        <f t="shared" ca="1" si="0"/>
        <v>2061</v>
      </c>
      <c r="K44" s="24">
        <f t="shared" si="2"/>
        <v>8257.8990023094466</v>
      </c>
      <c r="L44" s="124"/>
      <c r="M44" s="124"/>
      <c r="N44" s="124"/>
      <c r="O44" s="124"/>
      <c r="P44" s="145"/>
    </row>
    <row r="45" spans="2:16">
      <c r="I45">
        <f t="shared" si="1"/>
        <v>66</v>
      </c>
      <c r="J45">
        <f t="shared" ca="1" si="0"/>
        <v>2062</v>
      </c>
      <c r="K45" s="24">
        <f t="shared" si="2"/>
        <v>8423.8767516181852</v>
      </c>
      <c r="L45" s="124"/>
      <c r="M45" s="124"/>
      <c r="N45" s="124"/>
      <c r="O45" s="124"/>
      <c r="P45" s="145"/>
    </row>
    <row r="46" spans="2:16">
      <c r="I46">
        <f t="shared" si="1"/>
        <v>67</v>
      </c>
      <c r="J46">
        <f t="shared" ca="1" si="0"/>
        <v>2063</v>
      </c>
      <c r="K46" s="24">
        <f t="shared" si="2"/>
        <v>8593.1905326776014</v>
      </c>
      <c r="L46" s="124"/>
      <c r="M46" s="124"/>
      <c r="N46" s="124"/>
      <c r="O46" s="124"/>
      <c r="P46" s="145"/>
    </row>
    <row r="47" spans="2:16">
      <c r="I47">
        <f t="shared" si="1"/>
        <v>68</v>
      </c>
      <c r="J47">
        <f t="shared" ca="1" si="0"/>
        <v>2064</v>
      </c>
      <c r="K47" s="24">
        <f t="shared" si="2"/>
        <v>8765.9073972936621</v>
      </c>
      <c r="L47" s="124"/>
      <c r="M47" s="124"/>
      <c r="N47" s="124"/>
      <c r="O47" s="124"/>
      <c r="P47" s="145"/>
    </row>
    <row r="48" spans="2:16">
      <c r="I48">
        <f t="shared" si="1"/>
        <v>69</v>
      </c>
      <c r="J48">
        <f t="shared" ca="1" si="0"/>
        <v>2065</v>
      </c>
      <c r="K48" s="24">
        <f t="shared" si="2"/>
        <v>8942.0957449647485</v>
      </c>
      <c r="L48" s="124"/>
      <c r="M48" s="124"/>
      <c r="N48" s="124"/>
      <c r="O48" s="124"/>
      <c r="P48" s="145"/>
    </row>
    <row r="49" spans="9:16">
      <c r="I49">
        <f t="shared" si="1"/>
        <v>70</v>
      </c>
      <c r="J49">
        <f t="shared" ca="1" si="0"/>
        <v>2066</v>
      </c>
      <c r="K49" s="24">
        <f t="shared" si="2"/>
        <v>9121.8253499692928</v>
      </c>
      <c r="L49" s="124"/>
      <c r="M49" s="124"/>
      <c r="N49" s="124"/>
      <c r="O49" s="124"/>
      <c r="P49" s="145"/>
    </row>
    <row r="50" spans="9:16">
      <c r="I50">
        <f t="shared" si="1"/>
        <v>71</v>
      </c>
      <c r="J50">
        <f t="shared" ca="1" si="0"/>
        <v>2067</v>
      </c>
      <c r="K50" s="24">
        <f t="shared" si="2"/>
        <v>9305.1673889978483</v>
      </c>
      <c r="L50" s="124"/>
      <c r="M50" s="124"/>
      <c r="N50" s="124"/>
      <c r="O50" s="124"/>
      <c r="P50" s="145"/>
    </row>
    <row r="51" spans="9:16">
      <c r="I51">
        <f t="shared" si="1"/>
        <v>72</v>
      </c>
      <c r="J51">
        <f t="shared" ca="1" si="0"/>
        <v>2068</v>
      </c>
      <c r="K51" s="24">
        <f t="shared" si="2"/>
        <v>9492.1944693405603</v>
      </c>
      <c r="L51" s="124"/>
      <c r="M51" s="124"/>
      <c r="N51" s="124"/>
      <c r="O51" s="124"/>
      <c r="P51" s="145"/>
    </row>
    <row r="52" spans="9:16">
      <c r="I52">
        <f t="shared" si="1"/>
        <v>73</v>
      </c>
      <c r="J52">
        <f t="shared" ca="1" si="0"/>
        <v>2069</v>
      </c>
      <c r="K52" s="24">
        <f t="shared" si="2"/>
        <v>9682.9806576411665</v>
      </c>
      <c r="L52" s="124"/>
      <c r="M52" s="124"/>
      <c r="N52" s="124"/>
      <c r="O52" s="124"/>
      <c r="P52" s="145"/>
    </row>
    <row r="53" spans="9:16">
      <c r="I53">
        <f t="shared" si="1"/>
        <v>74</v>
      </c>
      <c r="J53">
        <f t="shared" ca="1" si="0"/>
        <v>2070</v>
      </c>
      <c r="K53" s="24">
        <f t="shared" si="2"/>
        <v>9877.6015092289435</v>
      </c>
      <c r="L53" s="124"/>
      <c r="M53" s="124"/>
      <c r="N53" s="124"/>
      <c r="O53" s="124"/>
      <c r="P53" s="145"/>
    </row>
    <row r="54" spans="9:16">
      <c r="I54">
        <f t="shared" si="1"/>
        <v>75</v>
      </c>
      <c r="J54">
        <f t="shared" ca="1" si="0"/>
        <v>2071</v>
      </c>
      <c r="K54" s="24">
        <f t="shared" si="2"/>
        <v>10076.134098040204</v>
      </c>
      <c r="L54" s="124"/>
      <c r="M54" s="124"/>
      <c r="N54" s="124"/>
      <c r="O54" s="124"/>
      <c r="P54" s="145"/>
    </row>
    <row r="55" spans="9:16">
      <c r="I55">
        <f t="shared" si="1"/>
        <v>76</v>
      </c>
      <c r="J55">
        <f t="shared" ca="1" si="0"/>
        <v>2072</v>
      </c>
      <c r="K55" s="24">
        <f t="shared" si="2"/>
        <v>10278.657047141183</v>
      </c>
      <c r="L55" s="124"/>
      <c r="M55" s="124"/>
      <c r="N55" s="124"/>
      <c r="O55" s="124"/>
      <c r="P55" s="145"/>
    </row>
    <row r="56" spans="9:16">
      <c r="I56">
        <f t="shared" si="1"/>
        <v>77</v>
      </c>
      <c r="J56">
        <f t="shared" ca="1" si="0"/>
        <v>2073</v>
      </c>
      <c r="K56" s="24">
        <f t="shared" si="2"/>
        <v>10485.250559864429</v>
      </c>
      <c r="L56" s="124"/>
      <c r="M56" s="124"/>
      <c r="N56" s="124"/>
      <c r="O56" s="124"/>
      <c r="P56" s="145"/>
    </row>
    <row r="57" spans="9:16">
      <c r="I57">
        <f t="shared" si="1"/>
        <v>78</v>
      </c>
      <c r="J57">
        <f t="shared" ca="1" si="0"/>
        <v>2074</v>
      </c>
      <c r="K57" s="24">
        <f t="shared" si="2"/>
        <v>10695.996451570998</v>
      </c>
      <c r="L57" s="124"/>
      <c r="M57" s="124"/>
      <c r="N57" s="124"/>
      <c r="O57" s="124"/>
      <c r="P57" s="145"/>
    </row>
    <row r="58" spans="9:16">
      <c r="I58">
        <f t="shared" si="1"/>
        <v>79</v>
      </c>
      <c r="J58">
        <f t="shared" ca="1" si="0"/>
        <v>2075</v>
      </c>
      <c r="K58" s="24">
        <f t="shared" si="2"/>
        <v>10910.978182051052</v>
      </c>
      <c r="L58" s="124"/>
      <c r="M58" s="124"/>
      <c r="N58" s="124"/>
      <c r="O58" s="124"/>
      <c r="P58" s="145"/>
    </row>
    <row r="59" spans="9:16">
      <c r="I59">
        <f t="shared" si="1"/>
        <v>80</v>
      </c>
      <c r="J59">
        <f t="shared" ca="1" si="0"/>
        <v>2076</v>
      </c>
      <c r="K59" s="24">
        <f t="shared" si="2"/>
        <v>11130.280888575691</v>
      </c>
      <c r="L59" s="124"/>
      <c r="M59" s="124"/>
      <c r="N59" s="124"/>
      <c r="O59" s="124"/>
      <c r="P59" s="145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50AE-D2BE-E04B-88DA-BF79AD67E982}">
  <sheetPr>
    <tabColor rgb="FF92D050"/>
  </sheetPr>
  <dimension ref="B3:I10"/>
  <sheetViews>
    <sheetView topLeftCell="B1" zoomScale="160" zoomScaleNormal="160" workbookViewId="0">
      <selection activeCell="I4" sqref="I4"/>
    </sheetView>
  </sheetViews>
  <sheetFormatPr baseColWidth="10" defaultColWidth="11" defaultRowHeight="16"/>
  <cols>
    <col min="2" max="2" width="15.33203125" customWidth="1"/>
    <col min="3" max="3" width="50.5" customWidth="1"/>
    <col min="4" max="4" width="16.83203125" customWidth="1"/>
    <col min="5" max="5" width="16.33203125" customWidth="1"/>
    <col min="6" max="6" width="17.6640625" customWidth="1"/>
    <col min="7" max="7" width="19" customWidth="1"/>
  </cols>
  <sheetData>
    <row r="3" spans="2:9">
      <c r="B3" s="7" t="s">
        <v>4809</v>
      </c>
      <c r="C3" s="7"/>
      <c r="D3" s="7"/>
      <c r="E3" s="7"/>
      <c r="F3" s="7"/>
      <c r="G3" s="7"/>
    </row>
    <row r="4" spans="2:9" ht="34">
      <c r="B4" s="132" t="s">
        <v>4810</v>
      </c>
      <c r="C4" s="133" t="s">
        <v>4811</v>
      </c>
      <c r="D4" s="132" t="s">
        <v>4812</v>
      </c>
      <c r="E4" s="132" t="s">
        <v>4813</v>
      </c>
      <c r="F4" s="132" t="s">
        <v>4814</v>
      </c>
      <c r="G4" s="135" t="s">
        <v>4815</v>
      </c>
      <c r="I4" t="s">
        <v>4816</v>
      </c>
    </row>
    <row r="5" spans="2:9">
      <c r="B5" s="137" t="s">
        <v>4817</v>
      </c>
      <c r="C5" s="134" t="s">
        <v>4818</v>
      </c>
      <c r="D5" s="138">
        <v>2.5000000000000001E-3</v>
      </c>
      <c r="E5" s="142">
        <v>5.0000000000000001E-3</v>
      </c>
      <c r="F5" s="138">
        <v>0.01</v>
      </c>
      <c r="G5" s="92" t="s">
        <v>4819</v>
      </c>
      <c r="I5" s="210" t="s">
        <v>4820</v>
      </c>
    </row>
    <row r="6" spans="2:9">
      <c r="B6" s="136" t="s">
        <v>4821</v>
      </c>
      <c r="C6" s="134" t="s">
        <v>4822</v>
      </c>
      <c r="D6" s="138">
        <v>1.4999999999999999E-2</v>
      </c>
      <c r="E6" s="142">
        <v>0.02</v>
      </c>
      <c r="F6" s="138">
        <v>0.03</v>
      </c>
      <c r="G6" s="92" t="s">
        <v>4823</v>
      </c>
    </row>
    <row r="7" spans="2:9">
      <c r="B7" s="137" t="s">
        <v>4824</v>
      </c>
      <c r="C7" s="134" t="s">
        <v>4825</v>
      </c>
      <c r="D7" s="138">
        <v>0.03</v>
      </c>
      <c r="E7" s="142">
        <v>0.04</v>
      </c>
      <c r="F7" s="138">
        <v>0.05</v>
      </c>
      <c r="G7" s="92" t="s">
        <v>4826</v>
      </c>
    </row>
    <row r="8" spans="2:9">
      <c r="B8" s="137" t="s">
        <v>4827</v>
      </c>
      <c r="C8" s="134" t="s">
        <v>4828</v>
      </c>
      <c r="D8" s="138">
        <v>0.05</v>
      </c>
      <c r="E8" s="142">
        <v>0.06</v>
      </c>
      <c r="F8" s="138">
        <v>0.08</v>
      </c>
      <c r="G8" s="92" t="s">
        <v>4829</v>
      </c>
    </row>
    <row r="9" spans="2:9">
      <c r="B9" s="139"/>
      <c r="C9" s="140"/>
      <c r="D9" s="141"/>
      <c r="E9" s="141"/>
      <c r="F9" s="141"/>
      <c r="G9" s="19"/>
    </row>
    <row r="10" spans="2:9">
      <c r="B10" s="19"/>
      <c r="C10" s="140"/>
      <c r="D10" s="141"/>
      <c r="E10" s="141"/>
      <c r="F10" s="141"/>
      <c r="G10" s="19"/>
    </row>
  </sheetData>
  <hyperlinks>
    <hyperlink ref="I5" r:id="rId1" location="dteaccordionitem_1372226434-469315072" xr:uid="{EC269B9C-9DC9-C448-B4E9-869ACA71BABC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118A6-92FC-9D41-8F81-55D10148C78A}">
  <dimension ref="B3:Q106"/>
  <sheetViews>
    <sheetView zoomScale="167" zoomScaleNormal="150" workbookViewId="0">
      <selection activeCell="F11" sqref="F11"/>
    </sheetView>
  </sheetViews>
  <sheetFormatPr baseColWidth="10" defaultColWidth="11" defaultRowHeight="16"/>
  <cols>
    <col min="2" max="2" width="46.33203125" customWidth="1"/>
    <col min="3" max="3" width="18.5" customWidth="1"/>
    <col min="5" max="5" width="33" customWidth="1"/>
    <col min="6" max="6" width="20.6640625" customWidth="1"/>
    <col min="11" max="11" width="16.5" customWidth="1"/>
    <col min="12" max="15" width="20.83203125" customWidth="1"/>
    <col min="16" max="16" width="19.33203125" customWidth="1"/>
    <col min="17" max="17" width="22.6640625" customWidth="1"/>
  </cols>
  <sheetData>
    <row r="3" spans="2:17">
      <c r="B3" s="7" t="s">
        <v>4830</v>
      </c>
      <c r="C3" s="1"/>
      <c r="E3" s="7" t="s">
        <v>4831</v>
      </c>
      <c r="F3" s="7"/>
      <c r="I3" s="23" t="s">
        <v>13</v>
      </c>
      <c r="J3" s="23" t="s">
        <v>16</v>
      </c>
      <c r="K3" s="23" t="s">
        <v>4784</v>
      </c>
      <c r="L3" s="23" t="s">
        <v>4785</v>
      </c>
      <c r="M3" s="23" t="s">
        <v>4786</v>
      </c>
      <c r="N3" s="23" t="s">
        <v>4787</v>
      </c>
      <c r="O3" s="23" t="s">
        <v>4788</v>
      </c>
      <c r="P3" s="23" t="s">
        <v>4832</v>
      </c>
      <c r="Q3" s="23" t="s">
        <v>4833</v>
      </c>
    </row>
    <row r="4" spans="2:17">
      <c r="B4" s="13" t="s">
        <v>2</v>
      </c>
      <c r="C4" s="122"/>
      <c r="E4" s="13" t="s">
        <v>2</v>
      </c>
      <c r="F4" s="122"/>
      <c r="I4">
        <f>IFERROR(IF($C$6&lt;=$C$5,$C$6,""),"")</f>
        <v>28</v>
      </c>
      <c r="J4" s="144">
        <f ca="1">YEAR(TODAY())</f>
        <v>2024</v>
      </c>
      <c r="K4">
        <f>IFERROR(0,"")</f>
        <v>0</v>
      </c>
      <c r="L4" s="124">
        <f>IF(I4&lt;=$C$5,-FV(Investments!$E$5/12,'Pension calculator 3a'!K4*12,$C$13,0,1),"")</f>
        <v>0</v>
      </c>
      <c r="M4" s="124">
        <f>IF(I4&lt;=$C$5,-FV($C$17/12,K4*12,$C$13,0,1),"")</f>
        <v>0</v>
      </c>
      <c r="N4" s="124">
        <f>IF(I4&lt;=$C$5,-FV($C$11/12,K4*12,$C$13,0,1),"")</f>
        <v>0</v>
      </c>
      <c r="O4" s="124">
        <f>IF(I4&lt;=$C$5,-FV($C$20/12,K4*12,$C$13,0,1),"")</f>
        <v>0</v>
      </c>
      <c r="P4" s="145">
        <f>IF(I4&lt;=$C$5,$C$15,"")</f>
        <v>0</v>
      </c>
      <c r="Q4" s="124">
        <f>IFERROR(M4+(O4-M4),"")</f>
        <v>0</v>
      </c>
    </row>
    <row r="5" spans="2:17">
      <c r="B5" s="2" t="s">
        <v>4834</v>
      </c>
      <c r="C5" s="2">
        <f>'General overview'!C60</f>
        <v>65</v>
      </c>
      <c r="E5" s="2" t="s">
        <v>4835</v>
      </c>
      <c r="F5" s="4">
        <f ca="1">SUMIF(Tabella25[[#Headers],[#Data],[Age]],'Pension calculator 3a'!C5-1,Tabella25[Salary and pension])</f>
        <v>329446.52923808293</v>
      </c>
      <c r="I5">
        <f>IFERROR(IF(I4+1&lt;=$C$5,I4+1,""),"")</f>
        <v>29</v>
      </c>
      <c r="J5">
        <f ca="1">IFERROR(IF(I5&lt;=$C$5,J4+1,""),"")</f>
        <v>2025</v>
      </c>
      <c r="K5">
        <f>IFERROR(I5-$I$4,"")</f>
        <v>1</v>
      </c>
      <c r="L5" s="124">
        <f>IF(I5&lt;=$C$5,-FV(Investments!$E$5/12,'Pension calculator 3a'!K5*12,$C$13,0,1),"")</f>
        <v>0</v>
      </c>
      <c r="M5" s="124">
        <f t="shared" ref="M5:M46" si="0">IF(I5&lt;=$C$5,-FV($C$17/12,K5*12,$C$13,0,1),"")</f>
        <v>0</v>
      </c>
      <c r="N5" s="124">
        <f t="shared" ref="N5:N46" si="1">IF(I5&lt;=$C$5,-FV($C$11/12,K5*12,$C$13,0,1),"")</f>
        <v>0</v>
      </c>
      <c r="O5" s="124">
        <f t="shared" ref="O5:O46" si="2">IF(I5&lt;=$C$5,-FV($C$20/12,K5*12,$C$13,0,1),"")</f>
        <v>0</v>
      </c>
      <c r="P5" s="145">
        <f t="shared" ref="P5:P46" si="3">IF(I5&lt;=$C$5,$C$15,"")</f>
        <v>0</v>
      </c>
      <c r="Q5" s="124">
        <f t="shared" ref="Q5:Q46" si="4">IFERROR(M5+(O5-M5),"")</f>
        <v>0</v>
      </c>
    </row>
    <row r="6" spans="2:17">
      <c r="B6" s="2" t="s">
        <v>4836</v>
      </c>
      <c r="C6" s="2">
        <f>'General overview'!C5</f>
        <v>28</v>
      </c>
      <c r="E6" s="2" t="s">
        <v>4837</v>
      </c>
      <c r="F6" s="2">
        <v>86</v>
      </c>
      <c r="I6">
        <f t="shared" ref="I6:I46" si="5">IFERROR(IF(I5+1&lt;=$C$5,I5+1,""),"")</f>
        <v>30</v>
      </c>
      <c r="J6">
        <f t="shared" ref="J6:J46" ca="1" si="6">IFERROR(IF(I6&lt;=$C$5,J5+1,""),"")</f>
        <v>2026</v>
      </c>
      <c r="K6">
        <f t="shared" ref="K6:K46" si="7">IFERROR(I6-$I$4,"")</f>
        <v>2</v>
      </c>
      <c r="L6" s="124">
        <f>IF(I6&lt;=$C$5,-FV(Investments!$E$5/12,'Pension calculator 3a'!K6*12,$C$13,0,1),"")</f>
        <v>0</v>
      </c>
      <c r="M6" s="124">
        <f t="shared" si="0"/>
        <v>0</v>
      </c>
      <c r="N6" s="124">
        <f t="shared" si="1"/>
        <v>0</v>
      </c>
      <c r="O6" s="124">
        <f t="shared" si="2"/>
        <v>0</v>
      </c>
      <c r="P6" s="145">
        <f t="shared" si="3"/>
        <v>0</v>
      </c>
      <c r="Q6" s="124">
        <f t="shared" si="4"/>
        <v>0</v>
      </c>
    </row>
    <row r="7" spans="2:17">
      <c r="B7" s="2" t="s">
        <v>4838</v>
      </c>
      <c r="C7" s="115">
        <f ca="1">F11</f>
        <v>5534701.6911997935</v>
      </c>
      <c r="E7" s="2" t="s">
        <v>4839</v>
      </c>
      <c r="F7" s="2">
        <f>F6-C5</f>
        <v>21</v>
      </c>
      <c r="I7">
        <f t="shared" si="5"/>
        <v>31</v>
      </c>
      <c r="J7">
        <f t="shared" ca="1" si="6"/>
        <v>2027</v>
      </c>
      <c r="K7">
        <f t="shared" si="7"/>
        <v>3</v>
      </c>
      <c r="L7" s="124">
        <f>IF(I7&lt;=$C$5,-FV(Investments!$E$5/12,'Pension calculator 3a'!K7*12,$C$13,0,1),"")</f>
        <v>0</v>
      </c>
      <c r="M7" s="124">
        <f t="shared" si="0"/>
        <v>0</v>
      </c>
      <c r="N7" s="124">
        <f t="shared" si="1"/>
        <v>0</v>
      </c>
      <c r="O7" s="124">
        <f t="shared" si="2"/>
        <v>0</v>
      </c>
      <c r="P7" s="145">
        <f t="shared" si="3"/>
        <v>0</v>
      </c>
      <c r="Q7" s="124">
        <f t="shared" si="4"/>
        <v>0</v>
      </c>
    </row>
    <row r="8" spans="2:17">
      <c r="B8" s="2" t="s">
        <v>4840</v>
      </c>
      <c r="C8" s="115">
        <f>'General overview'!C62</f>
        <v>0</v>
      </c>
      <c r="E8" s="2" t="s">
        <v>4841</v>
      </c>
      <c r="F8" s="4">
        <f>'Income and Pension'!G109</f>
        <v>107583.77781328086</v>
      </c>
      <c r="I8">
        <f t="shared" si="5"/>
        <v>32</v>
      </c>
      <c r="J8">
        <f t="shared" ca="1" si="6"/>
        <v>2028</v>
      </c>
      <c r="K8">
        <f t="shared" si="7"/>
        <v>4</v>
      </c>
      <c r="L8" s="124">
        <f>IF(I8&lt;=$C$5,-FV(Investments!$E$5/12,'Pension calculator 3a'!K8*12,$C$13,0,1),"")</f>
        <v>0</v>
      </c>
      <c r="M8" s="124">
        <f t="shared" si="0"/>
        <v>0</v>
      </c>
      <c r="N8" s="124">
        <f t="shared" si="1"/>
        <v>0</v>
      </c>
      <c r="O8" s="124">
        <f t="shared" si="2"/>
        <v>0</v>
      </c>
      <c r="P8" s="145">
        <f t="shared" si="3"/>
        <v>0</v>
      </c>
      <c r="Q8" s="124">
        <f t="shared" si="4"/>
        <v>0</v>
      </c>
    </row>
    <row r="9" spans="2:17">
      <c r="B9" s="13" t="s">
        <v>4793</v>
      </c>
      <c r="C9" s="13"/>
      <c r="E9" s="13" t="s">
        <v>4793</v>
      </c>
      <c r="F9" s="13"/>
      <c r="I9">
        <f t="shared" si="5"/>
        <v>33</v>
      </c>
      <c r="J9">
        <f t="shared" ca="1" si="6"/>
        <v>2029</v>
      </c>
      <c r="K9">
        <f t="shared" si="7"/>
        <v>5</v>
      </c>
      <c r="L9" s="124">
        <f>IF(I9&lt;=$C$5,-FV(Investments!$E$5/12,'Pension calculator 3a'!K9*12,$C$13,0,1),"")</f>
        <v>0</v>
      </c>
      <c r="M9" s="124">
        <f t="shared" si="0"/>
        <v>0</v>
      </c>
      <c r="N9" s="124">
        <f t="shared" si="1"/>
        <v>0</v>
      </c>
      <c r="O9" s="124">
        <f t="shared" si="2"/>
        <v>0</v>
      </c>
      <c r="P9" s="145">
        <f t="shared" si="3"/>
        <v>0</v>
      </c>
      <c r="Q9" s="124">
        <f t="shared" si="4"/>
        <v>0</v>
      </c>
    </row>
    <row r="10" spans="2:17">
      <c r="B10" s="2" t="s">
        <v>4794</v>
      </c>
      <c r="C10" s="2">
        <f>C5-C6</f>
        <v>37</v>
      </c>
      <c r="E10" s="130">
        <v>0.8</v>
      </c>
      <c r="F10" s="115">
        <f ca="1">F5*0.8</f>
        <v>263557.22339046636</v>
      </c>
      <c r="I10">
        <f t="shared" si="5"/>
        <v>34</v>
      </c>
      <c r="J10">
        <f t="shared" ca="1" si="6"/>
        <v>2030</v>
      </c>
      <c r="K10">
        <f t="shared" si="7"/>
        <v>6</v>
      </c>
      <c r="L10" s="124">
        <f>IF(I10&lt;=$C$5,-FV(Investments!$E$5/12,'Pension calculator 3a'!K10*12,$C$13,0,1),"")</f>
        <v>0</v>
      </c>
      <c r="M10" s="124">
        <f t="shared" si="0"/>
        <v>0</v>
      </c>
      <c r="N10" s="124">
        <f t="shared" si="1"/>
        <v>0</v>
      </c>
      <c r="O10" s="124">
        <f t="shared" si="2"/>
        <v>0</v>
      </c>
      <c r="P10" s="145">
        <f t="shared" si="3"/>
        <v>0</v>
      </c>
      <c r="Q10" s="124">
        <f t="shared" si="4"/>
        <v>0</v>
      </c>
    </row>
    <row r="11" spans="2:17">
      <c r="B11" s="2" t="s">
        <v>4795</v>
      </c>
      <c r="C11" s="143">
        <f>IF(C$10&lt;2,Investments!$E$5,IF(C$10&lt;5,Investments!$E$6,IF(C$10&lt;10,Investments!$E$7,IF(C$10&gt;=10,Investments!$E$8))))</f>
        <v>0.06</v>
      </c>
      <c r="E11" s="2" t="s">
        <v>4842</v>
      </c>
      <c r="F11" s="131">
        <f ca="1">F10*F7</f>
        <v>5534701.6911997935</v>
      </c>
      <c r="I11">
        <f t="shared" si="5"/>
        <v>35</v>
      </c>
      <c r="J11">
        <f t="shared" ca="1" si="6"/>
        <v>2031</v>
      </c>
      <c r="K11">
        <f t="shared" si="7"/>
        <v>7</v>
      </c>
      <c r="L11" s="124">
        <f>IF(I11&lt;=$C$5,-FV(Investments!$E$5/12,'Pension calculator 3a'!K11*12,$C$13,0,1),"")</f>
        <v>0</v>
      </c>
      <c r="M11" s="124">
        <f t="shared" si="0"/>
        <v>0</v>
      </c>
      <c r="N11" s="124">
        <f t="shared" si="1"/>
        <v>0</v>
      </c>
      <c r="O11" s="124">
        <f t="shared" si="2"/>
        <v>0</v>
      </c>
      <c r="P11" s="145">
        <f t="shared" si="3"/>
        <v>0</v>
      </c>
      <c r="Q11" s="124">
        <f t="shared" si="4"/>
        <v>0</v>
      </c>
    </row>
    <row r="12" spans="2:17">
      <c r="B12" s="2" t="s">
        <v>4797</v>
      </c>
      <c r="C12" s="36">
        <f>-PMT(C11,C10,0,IF('General overview'!C61="No",C8,'Pension calculator 3a'!C7),1)</f>
        <v>0</v>
      </c>
      <c r="I12">
        <f t="shared" si="5"/>
        <v>36</v>
      </c>
      <c r="J12">
        <f t="shared" ca="1" si="6"/>
        <v>2032</v>
      </c>
      <c r="K12">
        <f t="shared" si="7"/>
        <v>8</v>
      </c>
      <c r="L12" s="124">
        <f>IF(I12&lt;=$C$5,-FV(Investments!$E$5/12,'Pension calculator 3a'!K12*12,$C$13,0,1),"")</f>
        <v>0</v>
      </c>
      <c r="M12" s="124">
        <f t="shared" si="0"/>
        <v>0</v>
      </c>
      <c r="N12" s="124">
        <f t="shared" si="1"/>
        <v>0</v>
      </c>
      <c r="O12" s="124">
        <f t="shared" si="2"/>
        <v>0</v>
      </c>
      <c r="P12" s="145">
        <f t="shared" si="3"/>
        <v>0</v>
      </c>
      <c r="Q12" s="124">
        <f t="shared" si="4"/>
        <v>0</v>
      </c>
    </row>
    <row r="13" spans="2:17">
      <c r="B13" s="2" t="s">
        <v>4798</v>
      </c>
      <c r="C13" s="129">
        <f>-PMT(C11/12,C10*12,0,IF('General overview'!C61="No",C8,'Pension calculator 3a'!C7),1)</f>
        <v>0</v>
      </c>
      <c r="E13" t="s">
        <v>4837</v>
      </c>
      <c r="I13">
        <f t="shared" si="5"/>
        <v>37</v>
      </c>
      <c r="J13">
        <f t="shared" ca="1" si="6"/>
        <v>2033</v>
      </c>
      <c r="K13">
        <f t="shared" si="7"/>
        <v>9</v>
      </c>
      <c r="L13" s="124">
        <f>IF(I13&lt;=$C$5,-FV(Investments!$E$5/12,'Pension calculator 3a'!K13*12,$C$13,0,1),"")</f>
        <v>0</v>
      </c>
      <c r="M13" s="124">
        <f t="shared" si="0"/>
        <v>0</v>
      </c>
      <c r="N13" s="124">
        <f t="shared" si="1"/>
        <v>0</v>
      </c>
      <c r="O13" s="124">
        <f t="shared" si="2"/>
        <v>0</v>
      </c>
      <c r="P13" s="145">
        <f t="shared" si="3"/>
        <v>0</v>
      </c>
      <c r="Q13" s="124">
        <f t="shared" si="4"/>
        <v>0</v>
      </c>
    </row>
    <row r="14" spans="2:17">
      <c r="B14" s="13" t="s">
        <v>4799</v>
      </c>
      <c r="C14" s="11"/>
      <c r="E14" t="s">
        <v>4986</v>
      </c>
      <c r="I14">
        <f t="shared" si="5"/>
        <v>38</v>
      </c>
      <c r="J14">
        <f t="shared" ca="1" si="6"/>
        <v>2034</v>
      </c>
      <c r="K14">
        <f t="shared" si="7"/>
        <v>10</v>
      </c>
      <c r="L14" s="124">
        <f>IF(I14&lt;=$C$5,-FV(Investments!$E$5/12,'Pension calculator 3a'!K14*12,$C$13,0,1),"")</f>
        <v>0</v>
      </c>
      <c r="M14" s="124">
        <f t="shared" si="0"/>
        <v>0</v>
      </c>
      <c r="N14" s="124">
        <f t="shared" si="1"/>
        <v>0</v>
      </c>
      <c r="O14" s="124">
        <f t="shared" si="2"/>
        <v>0</v>
      </c>
      <c r="P14" s="145">
        <f t="shared" si="3"/>
        <v>0</v>
      </c>
      <c r="Q14" s="124">
        <f t="shared" si="4"/>
        <v>0</v>
      </c>
    </row>
    <row r="15" spans="2:17">
      <c r="B15" s="2" t="s">
        <v>4800</v>
      </c>
      <c r="C15" s="115">
        <f>IF('General overview'!C61="No",C8,'Pension calculator 3a'!C7)</f>
        <v>0</v>
      </c>
      <c r="I15">
        <f t="shared" si="5"/>
        <v>39</v>
      </c>
      <c r="J15">
        <f t="shared" ca="1" si="6"/>
        <v>2035</v>
      </c>
      <c r="K15">
        <f t="shared" si="7"/>
        <v>11</v>
      </c>
      <c r="L15" s="124">
        <f>IF(I15&lt;=$C$5,-FV(Investments!$E$5/12,'Pension calculator 3a'!K15*12,$C$13,0,1),"")</f>
        <v>0</v>
      </c>
      <c r="M15" s="124">
        <f t="shared" si="0"/>
        <v>0</v>
      </c>
      <c r="N15" s="124">
        <f t="shared" si="1"/>
        <v>0</v>
      </c>
      <c r="O15" s="124">
        <f t="shared" si="2"/>
        <v>0</v>
      </c>
      <c r="P15" s="145">
        <f t="shared" si="3"/>
        <v>0</v>
      </c>
      <c r="Q15" s="124">
        <f t="shared" si="4"/>
        <v>0</v>
      </c>
    </row>
    <row r="16" spans="2:17">
      <c r="B16" s="2" t="s">
        <v>4801</v>
      </c>
      <c r="C16" s="115"/>
      <c r="I16">
        <f t="shared" si="5"/>
        <v>40</v>
      </c>
      <c r="J16">
        <f t="shared" ca="1" si="6"/>
        <v>2036</v>
      </c>
      <c r="K16">
        <f t="shared" si="7"/>
        <v>12</v>
      </c>
      <c r="L16" s="124">
        <f>IF(I16&lt;=$C$5,-FV(Investments!$E$5/12,'Pension calculator 3a'!K16*12,$C$13,0,1),"")</f>
        <v>0</v>
      </c>
      <c r="M16" s="124">
        <f t="shared" si="0"/>
        <v>0</v>
      </c>
      <c r="N16" s="124">
        <f t="shared" si="1"/>
        <v>0</v>
      </c>
      <c r="O16" s="124">
        <f t="shared" si="2"/>
        <v>0</v>
      </c>
      <c r="P16" s="145">
        <f t="shared" si="3"/>
        <v>0</v>
      </c>
      <c r="Q16" s="124">
        <f t="shared" si="4"/>
        <v>0</v>
      </c>
    </row>
    <row r="17" spans="2:17">
      <c r="B17" s="126" t="s">
        <v>4795</v>
      </c>
      <c r="C17" s="127">
        <f>IF(C$10&lt;2,Investments!$D$5,IF(C$10&lt;5,Investments!$D$6,IF(C$10&lt;10,Investments!$D$7,IF(C$10&gt;=10,Investments!$D$8))))</f>
        <v>0.05</v>
      </c>
      <c r="I17">
        <f t="shared" si="5"/>
        <v>41</v>
      </c>
      <c r="J17">
        <f t="shared" ca="1" si="6"/>
        <v>2037</v>
      </c>
      <c r="K17">
        <f t="shared" si="7"/>
        <v>13</v>
      </c>
      <c r="L17" s="124">
        <f>IF(I17&lt;=$C$5,-FV(Investments!$E$5/12,'Pension calculator 3a'!K17*12,$C$13,0,1),"")</f>
        <v>0</v>
      </c>
      <c r="M17" s="124">
        <f t="shared" si="0"/>
        <v>0</v>
      </c>
      <c r="N17" s="124">
        <f t="shared" si="1"/>
        <v>0</v>
      </c>
      <c r="O17" s="124">
        <f t="shared" si="2"/>
        <v>0</v>
      </c>
      <c r="P17" s="145">
        <f t="shared" si="3"/>
        <v>0</v>
      </c>
      <c r="Q17" s="124">
        <f t="shared" si="4"/>
        <v>0</v>
      </c>
    </row>
    <row r="18" spans="2:17">
      <c r="B18" s="126" t="s">
        <v>4802</v>
      </c>
      <c r="C18" s="128">
        <f>-FV(C17/12,C10*12,C13,0,1)</f>
        <v>0</v>
      </c>
      <c r="I18">
        <f t="shared" si="5"/>
        <v>42</v>
      </c>
      <c r="J18">
        <f t="shared" ca="1" si="6"/>
        <v>2038</v>
      </c>
      <c r="K18">
        <f t="shared" si="7"/>
        <v>14</v>
      </c>
      <c r="L18" s="124">
        <f>IF(I18&lt;=$C$5,-FV(Investments!$E$5/12,'Pension calculator 3a'!K18*12,$C$13,0,1),"")</f>
        <v>0</v>
      </c>
      <c r="M18" s="124">
        <f t="shared" si="0"/>
        <v>0</v>
      </c>
      <c r="N18" s="124">
        <f t="shared" si="1"/>
        <v>0</v>
      </c>
      <c r="O18" s="124">
        <f t="shared" si="2"/>
        <v>0</v>
      </c>
      <c r="P18" s="145">
        <f t="shared" si="3"/>
        <v>0</v>
      </c>
      <c r="Q18" s="124">
        <f t="shared" si="4"/>
        <v>0</v>
      </c>
    </row>
    <row r="19" spans="2:17">
      <c r="B19" s="2" t="s">
        <v>4788</v>
      </c>
      <c r="C19" s="2"/>
      <c r="I19">
        <f t="shared" si="5"/>
        <v>43</v>
      </c>
      <c r="J19">
        <f t="shared" ca="1" si="6"/>
        <v>2039</v>
      </c>
      <c r="K19">
        <f t="shared" si="7"/>
        <v>15</v>
      </c>
      <c r="L19" s="124">
        <f>IF(I19&lt;=$C$5,-FV(Investments!$E$5/12,'Pension calculator 3a'!K19*12,$C$13,0,1),"")</f>
        <v>0</v>
      </c>
      <c r="M19" s="124">
        <f t="shared" si="0"/>
        <v>0</v>
      </c>
      <c r="N19" s="124">
        <f t="shared" si="1"/>
        <v>0</v>
      </c>
      <c r="O19" s="124">
        <f t="shared" si="2"/>
        <v>0</v>
      </c>
      <c r="P19" s="145">
        <f t="shared" si="3"/>
        <v>0</v>
      </c>
      <c r="Q19" s="124">
        <f t="shared" si="4"/>
        <v>0</v>
      </c>
    </row>
    <row r="20" spans="2:17">
      <c r="B20" s="126" t="s">
        <v>4795</v>
      </c>
      <c r="C20" s="127">
        <f>IF(C$10&lt;2,Investments!$F$5,IF(C$10&lt;5,Investments!$F$6,IF(C$10&lt;10,Investments!$F$7,IF(C$10&gt;=10,Investments!$F$8))))</f>
        <v>0.08</v>
      </c>
      <c r="I20">
        <f t="shared" si="5"/>
        <v>44</v>
      </c>
      <c r="J20">
        <f t="shared" ca="1" si="6"/>
        <v>2040</v>
      </c>
      <c r="K20">
        <f t="shared" si="7"/>
        <v>16</v>
      </c>
      <c r="L20" s="124">
        <f>IF(I20&lt;=$C$5,-FV(Investments!$E$5/12,'Pension calculator 3a'!K20*12,$C$13,0,1),"")</f>
        <v>0</v>
      </c>
      <c r="M20" s="124">
        <f t="shared" si="0"/>
        <v>0</v>
      </c>
      <c r="N20" s="124">
        <f t="shared" si="1"/>
        <v>0</v>
      </c>
      <c r="O20" s="124">
        <f t="shared" si="2"/>
        <v>0</v>
      </c>
      <c r="P20" s="145">
        <f t="shared" si="3"/>
        <v>0</v>
      </c>
      <c r="Q20" s="124">
        <f t="shared" si="4"/>
        <v>0</v>
      </c>
    </row>
    <row r="21" spans="2:17">
      <c r="B21" s="126" t="s">
        <v>4803</v>
      </c>
      <c r="C21" s="128">
        <f>-FV(C20/12,C10*12,C13,0,1)</f>
        <v>0</v>
      </c>
      <c r="I21">
        <f t="shared" si="5"/>
        <v>45</v>
      </c>
      <c r="J21">
        <f t="shared" ca="1" si="6"/>
        <v>2041</v>
      </c>
      <c r="K21">
        <f t="shared" si="7"/>
        <v>17</v>
      </c>
      <c r="L21" s="124">
        <f>IF(I21&lt;=$C$5,-FV(Investments!$E$5/12,'Pension calculator 3a'!K21*12,$C$13,0,1),"")</f>
        <v>0</v>
      </c>
      <c r="M21" s="124">
        <f t="shared" si="0"/>
        <v>0</v>
      </c>
      <c r="N21" s="124">
        <f t="shared" si="1"/>
        <v>0</v>
      </c>
      <c r="O21" s="124">
        <f t="shared" si="2"/>
        <v>0</v>
      </c>
      <c r="P21" s="145">
        <f t="shared" si="3"/>
        <v>0</v>
      </c>
      <c r="Q21" s="124">
        <f t="shared" si="4"/>
        <v>0</v>
      </c>
    </row>
    <row r="22" spans="2:17">
      <c r="B22" s="134" t="s">
        <v>4843</v>
      </c>
      <c r="C22" s="2"/>
      <c r="I22">
        <f t="shared" si="5"/>
        <v>46</v>
      </c>
      <c r="J22">
        <f t="shared" ca="1" si="6"/>
        <v>2042</v>
      </c>
      <c r="K22">
        <f t="shared" si="7"/>
        <v>18</v>
      </c>
      <c r="L22" s="124">
        <f>IF(I22&lt;=$C$5,-FV(Investments!$E$5/12,'Pension calculator 3a'!K22*12,$C$13,0,1),"")</f>
        <v>0</v>
      </c>
      <c r="M22" s="124">
        <f t="shared" si="0"/>
        <v>0</v>
      </c>
      <c r="N22" s="124">
        <f t="shared" si="1"/>
        <v>0</v>
      </c>
      <c r="O22" s="124">
        <f t="shared" si="2"/>
        <v>0</v>
      </c>
      <c r="P22" s="145">
        <f t="shared" si="3"/>
        <v>0</v>
      </c>
      <c r="Q22" s="124">
        <f t="shared" si="4"/>
        <v>0</v>
      </c>
    </row>
    <row r="23" spans="2:17">
      <c r="B23" s="126" t="s">
        <v>4795</v>
      </c>
      <c r="C23" s="39">
        <v>5.0000000000000001E-3</v>
      </c>
      <c r="I23">
        <f t="shared" si="5"/>
        <v>47</v>
      </c>
      <c r="J23">
        <f t="shared" ca="1" si="6"/>
        <v>2043</v>
      </c>
      <c r="K23">
        <f t="shared" si="7"/>
        <v>19</v>
      </c>
      <c r="L23" s="124">
        <f>IF(I23&lt;=$C$5,-FV(Investments!$E$5/12,'Pension calculator 3a'!K23*12,$C$13,0,1),"")</f>
        <v>0</v>
      </c>
      <c r="M23" s="124">
        <f t="shared" si="0"/>
        <v>0</v>
      </c>
      <c r="N23" s="124">
        <f t="shared" si="1"/>
        <v>0</v>
      </c>
      <c r="O23" s="124">
        <f t="shared" si="2"/>
        <v>0</v>
      </c>
      <c r="P23" s="145">
        <f t="shared" si="3"/>
        <v>0</v>
      </c>
      <c r="Q23" s="124">
        <f t="shared" si="4"/>
        <v>0</v>
      </c>
    </row>
    <row r="24" spans="2:17">
      <c r="B24" s="126" t="s">
        <v>4803</v>
      </c>
      <c r="C24" s="128">
        <f>-FV(C23/12,C10*12,C13,0,1)</f>
        <v>0</v>
      </c>
      <c r="I24">
        <f t="shared" si="5"/>
        <v>48</v>
      </c>
      <c r="J24">
        <f t="shared" ca="1" si="6"/>
        <v>2044</v>
      </c>
      <c r="K24">
        <f t="shared" si="7"/>
        <v>20</v>
      </c>
      <c r="L24" s="124">
        <f>IF(I24&lt;=$C$5,-FV(Investments!$E$5/12,'Pension calculator 3a'!K24*12,$C$13,0,1),"")</f>
        <v>0</v>
      </c>
      <c r="M24" s="124">
        <f t="shared" si="0"/>
        <v>0</v>
      </c>
      <c r="N24" s="124">
        <f t="shared" si="1"/>
        <v>0</v>
      </c>
      <c r="O24" s="124">
        <f t="shared" si="2"/>
        <v>0</v>
      </c>
      <c r="P24" s="145">
        <f t="shared" si="3"/>
        <v>0</v>
      </c>
      <c r="Q24" s="124">
        <f t="shared" si="4"/>
        <v>0</v>
      </c>
    </row>
    <row r="25" spans="2:17">
      <c r="I25">
        <f t="shared" si="5"/>
        <v>49</v>
      </c>
      <c r="J25">
        <f t="shared" ca="1" si="6"/>
        <v>2045</v>
      </c>
      <c r="K25">
        <f t="shared" si="7"/>
        <v>21</v>
      </c>
      <c r="L25" s="124">
        <f>IF(I25&lt;=$C$5,-FV(Investments!$E$5/12,'Pension calculator 3a'!K25*12,$C$13,0,1),"")</f>
        <v>0</v>
      </c>
      <c r="M25" s="124">
        <f t="shared" si="0"/>
        <v>0</v>
      </c>
      <c r="N25" s="124">
        <f t="shared" si="1"/>
        <v>0</v>
      </c>
      <c r="O25" s="124">
        <f t="shared" si="2"/>
        <v>0</v>
      </c>
      <c r="P25" s="145">
        <f t="shared" si="3"/>
        <v>0</v>
      </c>
      <c r="Q25" s="124">
        <f t="shared" si="4"/>
        <v>0</v>
      </c>
    </row>
    <row r="26" spans="2:17">
      <c r="I26">
        <f t="shared" si="5"/>
        <v>50</v>
      </c>
      <c r="J26">
        <f t="shared" ca="1" si="6"/>
        <v>2046</v>
      </c>
      <c r="K26">
        <f t="shared" si="7"/>
        <v>22</v>
      </c>
      <c r="L26" s="124">
        <f>IF(I26&lt;=$C$5,-FV(Investments!$E$5/12,'Pension calculator 3a'!K26*12,$C$13,0,1),"")</f>
        <v>0</v>
      </c>
      <c r="M26" s="124">
        <f t="shared" si="0"/>
        <v>0</v>
      </c>
      <c r="N26" s="124">
        <f t="shared" si="1"/>
        <v>0</v>
      </c>
      <c r="O26" s="124">
        <f t="shared" si="2"/>
        <v>0</v>
      </c>
      <c r="P26" s="145">
        <f t="shared" si="3"/>
        <v>0</v>
      </c>
      <c r="Q26" s="124">
        <f t="shared" si="4"/>
        <v>0</v>
      </c>
    </row>
    <row r="27" spans="2:17">
      <c r="I27">
        <f t="shared" si="5"/>
        <v>51</v>
      </c>
      <c r="J27">
        <f t="shared" ca="1" si="6"/>
        <v>2047</v>
      </c>
      <c r="K27">
        <f t="shared" si="7"/>
        <v>23</v>
      </c>
      <c r="L27" s="124">
        <f>IF(I27&lt;=$C$5,-FV(Investments!$E$5/12,'Pension calculator 3a'!K27*12,$C$13,0,1),"")</f>
        <v>0</v>
      </c>
      <c r="M27" s="124">
        <f t="shared" si="0"/>
        <v>0</v>
      </c>
      <c r="N27" s="124">
        <f t="shared" si="1"/>
        <v>0</v>
      </c>
      <c r="O27" s="124">
        <f t="shared" si="2"/>
        <v>0</v>
      </c>
      <c r="P27" s="145">
        <f t="shared" si="3"/>
        <v>0</v>
      </c>
      <c r="Q27" s="124">
        <f t="shared" si="4"/>
        <v>0</v>
      </c>
    </row>
    <row r="28" spans="2:17">
      <c r="I28">
        <f t="shared" si="5"/>
        <v>52</v>
      </c>
      <c r="J28">
        <f t="shared" ca="1" si="6"/>
        <v>2048</v>
      </c>
      <c r="K28">
        <f t="shared" si="7"/>
        <v>24</v>
      </c>
      <c r="L28" s="124">
        <f>IF(I28&lt;=$C$5,-FV(Investments!$E$5/12,'Pension calculator 3a'!K28*12,$C$13,0,1),"")</f>
        <v>0</v>
      </c>
      <c r="M28" s="124">
        <f t="shared" si="0"/>
        <v>0</v>
      </c>
      <c r="N28" s="124">
        <f t="shared" si="1"/>
        <v>0</v>
      </c>
      <c r="O28" s="124">
        <f t="shared" si="2"/>
        <v>0</v>
      </c>
      <c r="P28" s="145">
        <f t="shared" si="3"/>
        <v>0</v>
      </c>
      <c r="Q28" s="124">
        <f t="shared" si="4"/>
        <v>0</v>
      </c>
    </row>
    <row r="29" spans="2:17">
      <c r="I29">
        <f>IFERROR(IF(I28+1&lt;=$C$5,I28+1,""),"")</f>
        <v>53</v>
      </c>
      <c r="J29">
        <f t="shared" ca="1" si="6"/>
        <v>2049</v>
      </c>
      <c r="K29">
        <f t="shared" si="7"/>
        <v>25</v>
      </c>
      <c r="L29" s="124">
        <f>IF(I29&lt;=$C$5,-FV(Investments!$E$5/12,'Pension calculator 3a'!K29*12,$C$13,0,1),"")</f>
        <v>0</v>
      </c>
      <c r="M29" s="124">
        <f t="shared" si="0"/>
        <v>0</v>
      </c>
      <c r="N29" s="124">
        <f t="shared" si="1"/>
        <v>0</v>
      </c>
      <c r="O29" s="124">
        <f t="shared" si="2"/>
        <v>0</v>
      </c>
      <c r="P29" s="145">
        <f t="shared" si="3"/>
        <v>0</v>
      </c>
      <c r="Q29" s="124">
        <f t="shared" si="4"/>
        <v>0</v>
      </c>
    </row>
    <row r="30" spans="2:17">
      <c r="I30">
        <f t="shared" si="5"/>
        <v>54</v>
      </c>
      <c r="J30">
        <f t="shared" ca="1" si="6"/>
        <v>2050</v>
      </c>
      <c r="K30">
        <f t="shared" si="7"/>
        <v>26</v>
      </c>
      <c r="L30" s="124">
        <f>IF(I30&lt;=$C$5,-FV(Investments!$E$5/12,'Pension calculator 3a'!K30*12,$C$13,0,1),"")</f>
        <v>0</v>
      </c>
      <c r="M30" s="124">
        <f t="shared" si="0"/>
        <v>0</v>
      </c>
      <c r="N30" s="124">
        <f t="shared" si="1"/>
        <v>0</v>
      </c>
      <c r="O30" s="124">
        <f t="shared" si="2"/>
        <v>0</v>
      </c>
      <c r="P30" s="145">
        <f t="shared" si="3"/>
        <v>0</v>
      </c>
      <c r="Q30" s="124">
        <f t="shared" si="4"/>
        <v>0</v>
      </c>
    </row>
    <row r="31" spans="2:17">
      <c r="I31">
        <f t="shared" si="5"/>
        <v>55</v>
      </c>
      <c r="J31">
        <f t="shared" ca="1" si="6"/>
        <v>2051</v>
      </c>
      <c r="K31">
        <f t="shared" si="7"/>
        <v>27</v>
      </c>
      <c r="L31" s="124">
        <f>IF(I31&lt;=$C$5,-FV(Investments!$E$5/12,'Pension calculator 3a'!K31*12,$C$13,0,1),"")</f>
        <v>0</v>
      </c>
      <c r="M31" s="124">
        <f t="shared" si="0"/>
        <v>0</v>
      </c>
      <c r="N31" s="124">
        <f t="shared" si="1"/>
        <v>0</v>
      </c>
      <c r="O31" s="124">
        <f t="shared" si="2"/>
        <v>0</v>
      </c>
      <c r="P31" s="145">
        <f t="shared" si="3"/>
        <v>0</v>
      </c>
      <c r="Q31" s="124">
        <f t="shared" si="4"/>
        <v>0</v>
      </c>
    </row>
    <row r="32" spans="2:17">
      <c r="I32">
        <f t="shared" si="5"/>
        <v>56</v>
      </c>
      <c r="J32">
        <f t="shared" ca="1" si="6"/>
        <v>2052</v>
      </c>
      <c r="K32">
        <f t="shared" si="7"/>
        <v>28</v>
      </c>
      <c r="L32" s="124">
        <f>IF(I32&lt;=$C$5,-FV(Investments!$E$5/12,'Pension calculator 3a'!K32*12,$C$13,0,1),"")</f>
        <v>0</v>
      </c>
      <c r="M32" s="124">
        <f t="shared" si="0"/>
        <v>0</v>
      </c>
      <c r="N32" s="124">
        <f t="shared" si="1"/>
        <v>0</v>
      </c>
      <c r="O32" s="124">
        <f t="shared" si="2"/>
        <v>0</v>
      </c>
      <c r="P32" s="145">
        <f t="shared" si="3"/>
        <v>0</v>
      </c>
      <c r="Q32" s="124">
        <f t="shared" si="4"/>
        <v>0</v>
      </c>
    </row>
    <row r="33" spans="9:17">
      <c r="I33">
        <f t="shared" si="5"/>
        <v>57</v>
      </c>
      <c r="J33">
        <f t="shared" ca="1" si="6"/>
        <v>2053</v>
      </c>
      <c r="K33">
        <f t="shared" si="7"/>
        <v>29</v>
      </c>
      <c r="L33" s="124">
        <f>IF(I33&lt;=$C$5,-FV(Investments!$E$5/12,'Pension calculator 3a'!K33*12,$C$13,0,1),"")</f>
        <v>0</v>
      </c>
      <c r="M33" s="124">
        <f t="shared" si="0"/>
        <v>0</v>
      </c>
      <c r="N33" s="124">
        <f t="shared" si="1"/>
        <v>0</v>
      </c>
      <c r="O33" s="124">
        <f t="shared" si="2"/>
        <v>0</v>
      </c>
      <c r="P33" s="145">
        <f t="shared" si="3"/>
        <v>0</v>
      </c>
      <c r="Q33" s="124">
        <f t="shared" si="4"/>
        <v>0</v>
      </c>
    </row>
    <row r="34" spans="9:17">
      <c r="I34">
        <f t="shared" si="5"/>
        <v>58</v>
      </c>
      <c r="J34">
        <f t="shared" ca="1" si="6"/>
        <v>2054</v>
      </c>
      <c r="K34">
        <f t="shared" si="7"/>
        <v>30</v>
      </c>
      <c r="L34" s="124">
        <f>IF(I34&lt;=$C$5,-FV(Investments!$E$5/12,'Pension calculator 3a'!K34*12,$C$13,0,1),"")</f>
        <v>0</v>
      </c>
      <c r="M34" s="124">
        <f t="shared" si="0"/>
        <v>0</v>
      </c>
      <c r="N34" s="124">
        <f t="shared" si="1"/>
        <v>0</v>
      </c>
      <c r="O34" s="124">
        <f t="shared" si="2"/>
        <v>0</v>
      </c>
      <c r="P34" s="145">
        <f t="shared" si="3"/>
        <v>0</v>
      </c>
      <c r="Q34" s="124">
        <f t="shared" si="4"/>
        <v>0</v>
      </c>
    </row>
    <row r="35" spans="9:17">
      <c r="I35">
        <f t="shared" si="5"/>
        <v>59</v>
      </c>
      <c r="J35">
        <f t="shared" ca="1" si="6"/>
        <v>2055</v>
      </c>
      <c r="K35">
        <f t="shared" si="7"/>
        <v>31</v>
      </c>
      <c r="L35" s="124">
        <f>IF(I35&lt;=$C$5,-FV(Investments!$E$5/12,'Pension calculator 3a'!K35*12,$C$13,0,1),"")</f>
        <v>0</v>
      </c>
      <c r="M35" s="124">
        <f t="shared" si="0"/>
        <v>0</v>
      </c>
      <c r="N35" s="124">
        <f t="shared" si="1"/>
        <v>0</v>
      </c>
      <c r="O35" s="124">
        <f t="shared" si="2"/>
        <v>0</v>
      </c>
      <c r="P35" s="145">
        <f t="shared" si="3"/>
        <v>0</v>
      </c>
      <c r="Q35" s="124">
        <f t="shared" si="4"/>
        <v>0</v>
      </c>
    </row>
    <row r="36" spans="9:17">
      <c r="I36">
        <f t="shared" si="5"/>
        <v>60</v>
      </c>
      <c r="J36">
        <f t="shared" ca="1" si="6"/>
        <v>2056</v>
      </c>
      <c r="K36">
        <f t="shared" si="7"/>
        <v>32</v>
      </c>
      <c r="L36" s="124">
        <f>IF(I36&lt;=$C$5,-FV(Investments!$E$5/12,'Pension calculator 3a'!K36*12,$C$13,0,1),"")</f>
        <v>0</v>
      </c>
      <c r="M36" s="124">
        <f t="shared" si="0"/>
        <v>0</v>
      </c>
      <c r="N36" s="124">
        <f t="shared" si="1"/>
        <v>0</v>
      </c>
      <c r="O36" s="124">
        <f t="shared" si="2"/>
        <v>0</v>
      </c>
      <c r="P36" s="145">
        <f t="shared" si="3"/>
        <v>0</v>
      </c>
      <c r="Q36" s="124">
        <f t="shared" si="4"/>
        <v>0</v>
      </c>
    </row>
    <row r="37" spans="9:17">
      <c r="I37">
        <f t="shared" si="5"/>
        <v>61</v>
      </c>
      <c r="J37">
        <f t="shared" ca="1" si="6"/>
        <v>2057</v>
      </c>
      <c r="K37">
        <f t="shared" si="7"/>
        <v>33</v>
      </c>
      <c r="L37" s="124">
        <f>IF(I37&lt;=$C$5,-FV(Investments!$E$5/12,'Pension calculator 3a'!K37*12,$C$13,0,1),"")</f>
        <v>0</v>
      </c>
      <c r="M37" s="124">
        <f t="shared" si="0"/>
        <v>0</v>
      </c>
      <c r="N37" s="124">
        <f t="shared" si="1"/>
        <v>0</v>
      </c>
      <c r="O37" s="124">
        <f t="shared" si="2"/>
        <v>0</v>
      </c>
      <c r="P37" s="145">
        <f t="shared" si="3"/>
        <v>0</v>
      </c>
      <c r="Q37" s="124">
        <f t="shared" si="4"/>
        <v>0</v>
      </c>
    </row>
    <row r="38" spans="9:17">
      <c r="I38">
        <f t="shared" si="5"/>
        <v>62</v>
      </c>
      <c r="J38">
        <f t="shared" ca="1" si="6"/>
        <v>2058</v>
      </c>
      <c r="K38">
        <f t="shared" si="7"/>
        <v>34</v>
      </c>
      <c r="L38" s="124">
        <f>IF(I38&lt;=$C$5,-FV(Investments!$E$5/12,'Pension calculator 3a'!K38*12,$C$13,0,1),"")</f>
        <v>0</v>
      </c>
      <c r="M38" s="124">
        <f t="shared" si="0"/>
        <v>0</v>
      </c>
      <c r="N38" s="124">
        <f t="shared" si="1"/>
        <v>0</v>
      </c>
      <c r="O38" s="124">
        <f t="shared" si="2"/>
        <v>0</v>
      </c>
      <c r="P38" s="145">
        <f t="shared" si="3"/>
        <v>0</v>
      </c>
      <c r="Q38" s="124">
        <f t="shared" si="4"/>
        <v>0</v>
      </c>
    </row>
    <row r="39" spans="9:17">
      <c r="I39">
        <f t="shared" si="5"/>
        <v>63</v>
      </c>
      <c r="J39">
        <f t="shared" ca="1" si="6"/>
        <v>2059</v>
      </c>
      <c r="K39">
        <f t="shared" si="7"/>
        <v>35</v>
      </c>
      <c r="L39" s="124">
        <f>IF(I39&lt;=$C$5,-FV(Investments!$E$5/12,'Pension calculator 3a'!K39*12,$C$13,0,1),"")</f>
        <v>0</v>
      </c>
      <c r="M39" s="124">
        <f t="shared" si="0"/>
        <v>0</v>
      </c>
      <c r="N39" s="124">
        <f t="shared" si="1"/>
        <v>0</v>
      </c>
      <c r="O39" s="124">
        <f t="shared" si="2"/>
        <v>0</v>
      </c>
      <c r="P39" s="145">
        <f t="shared" si="3"/>
        <v>0</v>
      </c>
      <c r="Q39" s="124">
        <f t="shared" si="4"/>
        <v>0</v>
      </c>
    </row>
    <row r="40" spans="9:17">
      <c r="I40">
        <f>IFERROR(IF(I39+1&lt;=$C$5,I39+1,""),"")</f>
        <v>64</v>
      </c>
      <c r="J40">
        <f t="shared" ca="1" si="6"/>
        <v>2060</v>
      </c>
      <c r="K40">
        <f t="shared" si="7"/>
        <v>36</v>
      </c>
      <c r="L40" s="124">
        <f>IF(I40&lt;=$C$5,-FV(Investments!$E$5/12,'Pension calculator 3a'!K40*12,$C$13,0,1),"")</f>
        <v>0</v>
      </c>
      <c r="M40" s="124">
        <f t="shared" si="0"/>
        <v>0</v>
      </c>
      <c r="N40" s="124">
        <f t="shared" si="1"/>
        <v>0</v>
      </c>
      <c r="O40" s="124">
        <f t="shared" si="2"/>
        <v>0</v>
      </c>
      <c r="P40" s="145">
        <f t="shared" si="3"/>
        <v>0</v>
      </c>
      <c r="Q40" s="124">
        <f t="shared" si="4"/>
        <v>0</v>
      </c>
    </row>
    <row r="41" spans="9:17">
      <c r="I41">
        <f t="shared" si="5"/>
        <v>65</v>
      </c>
      <c r="J41">
        <f t="shared" ca="1" si="6"/>
        <v>2061</v>
      </c>
      <c r="K41">
        <f t="shared" si="7"/>
        <v>37</v>
      </c>
      <c r="L41" s="124">
        <f>IF(I41&lt;=$C$5,-FV(Investments!$E$5/12,'Pension calculator 3a'!K41*12,$C$13,0,1),"")</f>
        <v>0</v>
      </c>
      <c r="M41" s="124">
        <f t="shared" si="0"/>
        <v>0</v>
      </c>
      <c r="N41" s="124">
        <f t="shared" si="1"/>
        <v>0</v>
      </c>
      <c r="O41" s="124">
        <f t="shared" si="2"/>
        <v>0</v>
      </c>
      <c r="P41" s="145">
        <f t="shared" si="3"/>
        <v>0</v>
      </c>
      <c r="Q41" s="124">
        <f t="shared" si="4"/>
        <v>0</v>
      </c>
    </row>
    <row r="42" spans="9:17">
      <c r="I42" t="str">
        <f t="shared" si="5"/>
        <v/>
      </c>
      <c r="J42" t="str">
        <f>IFERROR(IF(I42&lt;=$C$5,J41+1,""),"")</f>
        <v/>
      </c>
      <c r="K42" t="str">
        <f t="shared" si="7"/>
        <v/>
      </c>
      <c r="L42" s="124" t="str">
        <f>IF(I42&lt;=$C$5,-FV(Investments!$E$5/12,'Pension calculator 3a'!K42*12,$C$13,0,1),"")</f>
        <v/>
      </c>
      <c r="M42" s="124" t="str">
        <f t="shared" si="0"/>
        <v/>
      </c>
      <c r="N42" s="124" t="str">
        <f t="shared" si="1"/>
        <v/>
      </c>
      <c r="O42" s="124" t="str">
        <f t="shared" si="2"/>
        <v/>
      </c>
      <c r="P42" s="145" t="str">
        <f t="shared" si="3"/>
        <v/>
      </c>
      <c r="Q42" s="124" t="str">
        <f t="shared" si="4"/>
        <v/>
      </c>
    </row>
    <row r="43" spans="9:17">
      <c r="I43" t="str">
        <f t="shared" si="5"/>
        <v/>
      </c>
      <c r="J43" t="str">
        <f t="shared" si="6"/>
        <v/>
      </c>
      <c r="K43" t="str">
        <f t="shared" si="7"/>
        <v/>
      </c>
      <c r="L43" s="124" t="str">
        <f>IF(I43&lt;=$C$5,-FV(Investments!$E$5/12,'Pension calculator 3a'!K43*12,$C$13,0,1),"")</f>
        <v/>
      </c>
      <c r="M43" s="124" t="str">
        <f t="shared" si="0"/>
        <v/>
      </c>
      <c r="N43" s="124" t="str">
        <f t="shared" si="1"/>
        <v/>
      </c>
      <c r="O43" s="124" t="str">
        <f t="shared" si="2"/>
        <v/>
      </c>
      <c r="P43" s="145" t="str">
        <f t="shared" si="3"/>
        <v/>
      </c>
      <c r="Q43" s="124" t="str">
        <f t="shared" si="4"/>
        <v/>
      </c>
    </row>
    <row r="44" spans="9:17">
      <c r="I44" t="str">
        <f t="shared" si="5"/>
        <v/>
      </c>
      <c r="J44" t="str">
        <f t="shared" si="6"/>
        <v/>
      </c>
      <c r="K44" t="str">
        <f t="shared" si="7"/>
        <v/>
      </c>
      <c r="L44" s="124" t="str">
        <f>IF(I44&lt;=$C$5,-FV(Investments!$E$5/12,'Pension calculator 3a'!K44*12,$C$13,0,1),"")</f>
        <v/>
      </c>
      <c r="M44" s="124" t="str">
        <f t="shared" si="0"/>
        <v/>
      </c>
      <c r="N44" s="124" t="str">
        <f t="shared" si="1"/>
        <v/>
      </c>
      <c r="O44" s="124" t="str">
        <f t="shared" si="2"/>
        <v/>
      </c>
      <c r="P44" s="145" t="str">
        <f t="shared" si="3"/>
        <v/>
      </c>
      <c r="Q44" s="124" t="str">
        <f t="shared" si="4"/>
        <v/>
      </c>
    </row>
    <row r="45" spans="9:17">
      <c r="I45" t="str">
        <f t="shared" si="5"/>
        <v/>
      </c>
      <c r="J45" t="str">
        <f t="shared" si="6"/>
        <v/>
      </c>
      <c r="K45" t="str">
        <f t="shared" si="7"/>
        <v/>
      </c>
      <c r="L45" s="124" t="str">
        <f>IF(I45&lt;=$C$5,-FV(Investments!$E$5/12,'Pension calculator 3a'!K45*12,$C$13,0,1),"")</f>
        <v/>
      </c>
      <c r="M45" s="124" t="str">
        <f t="shared" si="0"/>
        <v/>
      </c>
      <c r="N45" s="124" t="str">
        <f t="shared" si="1"/>
        <v/>
      </c>
      <c r="O45" s="124" t="str">
        <f t="shared" si="2"/>
        <v/>
      </c>
      <c r="P45" s="145" t="str">
        <f t="shared" si="3"/>
        <v/>
      </c>
      <c r="Q45" s="124" t="str">
        <f t="shared" si="4"/>
        <v/>
      </c>
    </row>
    <row r="46" spans="9:17">
      <c r="I46" t="str">
        <f t="shared" si="5"/>
        <v/>
      </c>
      <c r="J46" t="str">
        <f t="shared" si="6"/>
        <v/>
      </c>
      <c r="K46" t="str">
        <f t="shared" si="7"/>
        <v/>
      </c>
      <c r="L46" s="124" t="str">
        <f>IF(I46&lt;=$C$5,-FV(Investments!$E$5/12,'Pension calculator 3a'!K46*12,$C$13,0,1),"")</f>
        <v/>
      </c>
      <c r="M46" s="124" t="str">
        <f t="shared" si="0"/>
        <v/>
      </c>
      <c r="N46" s="124" t="str">
        <f t="shared" si="1"/>
        <v/>
      </c>
      <c r="O46" s="124" t="str">
        <f t="shared" si="2"/>
        <v/>
      </c>
      <c r="P46" s="145" t="str">
        <f t="shared" si="3"/>
        <v/>
      </c>
      <c r="Q46" s="124" t="str">
        <f t="shared" si="4"/>
        <v/>
      </c>
    </row>
    <row r="47" spans="9:17">
      <c r="I47" t="str">
        <f t="shared" ref="I47:I56" si="8">IFERROR(IF(I46+1&lt;=$C$5,I46+1,""),"")</f>
        <v/>
      </c>
      <c r="J47" t="str">
        <f t="shared" ref="J47:J56" si="9">IFERROR(IF(I47&lt;=$C$5,J46+1,""),"")</f>
        <v/>
      </c>
      <c r="K47" t="str">
        <f t="shared" ref="K47:K56" si="10">IFERROR(I47-$I$4,"")</f>
        <v/>
      </c>
      <c r="L47" s="124" t="str">
        <f>IF(I47&lt;=$C$5,-FV(Investments!$E$5/12,'Pension calculator 3a'!K47*12,$C$13,0,1),"")</f>
        <v/>
      </c>
      <c r="M47" s="124" t="str">
        <f t="shared" ref="M47:M56" si="11">IF(I47&lt;=$C$5,-FV($C$17/12,K47*12,$C$13,0,1),"")</f>
        <v/>
      </c>
      <c r="N47" s="124" t="str">
        <f t="shared" ref="N47:N56" si="12">IF(I47&lt;=$C$5,-FV($C$11/12,K47*12,$C$13,0,1),"")</f>
        <v/>
      </c>
      <c r="O47" s="124" t="str">
        <f t="shared" ref="O47:O56" si="13">IF(I47&lt;=$C$5,-FV($C$20/12,K47*12,$C$13,0,1),"")</f>
        <v/>
      </c>
      <c r="P47" s="145" t="str">
        <f t="shared" ref="P47:P56" si="14">IF(I47&lt;=$C$5,$C$15,"")</f>
        <v/>
      </c>
      <c r="Q47" s="124" t="str">
        <f t="shared" ref="Q47:Q56" si="15">IFERROR(M47+(O47-M47),"")</f>
        <v/>
      </c>
    </row>
    <row r="48" spans="9:17">
      <c r="I48" t="str">
        <f t="shared" si="8"/>
        <v/>
      </c>
      <c r="J48" t="str">
        <f t="shared" si="9"/>
        <v/>
      </c>
      <c r="K48" t="str">
        <f t="shared" si="10"/>
        <v/>
      </c>
      <c r="L48" s="124" t="str">
        <f>IF(I48&lt;=$C$5,-FV(Investments!$E$5/12,'Pension calculator 3a'!K48*12,$C$13,0,1),"")</f>
        <v/>
      </c>
      <c r="M48" s="124" t="str">
        <f t="shared" si="11"/>
        <v/>
      </c>
      <c r="N48" s="124" t="str">
        <f t="shared" si="12"/>
        <v/>
      </c>
      <c r="O48" s="124" t="str">
        <f t="shared" si="13"/>
        <v/>
      </c>
      <c r="P48" s="145" t="str">
        <f t="shared" si="14"/>
        <v/>
      </c>
      <c r="Q48" s="124" t="str">
        <f t="shared" si="15"/>
        <v/>
      </c>
    </row>
    <row r="49" spans="9:17">
      <c r="I49" t="str">
        <f t="shared" si="8"/>
        <v/>
      </c>
      <c r="J49" t="str">
        <f t="shared" si="9"/>
        <v/>
      </c>
      <c r="K49" t="str">
        <f t="shared" si="10"/>
        <v/>
      </c>
      <c r="L49" s="124" t="str">
        <f>IF(I49&lt;=$C$5,-FV(Investments!$E$5/12,'Pension calculator 3a'!K49*12,$C$13,0,1),"")</f>
        <v/>
      </c>
      <c r="M49" s="124" t="str">
        <f t="shared" si="11"/>
        <v/>
      </c>
      <c r="N49" s="124" t="str">
        <f t="shared" si="12"/>
        <v/>
      </c>
      <c r="O49" s="124" t="str">
        <f t="shared" si="13"/>
        <v/>
      </c>
      <c r="P49" s="145" t="str">
        <f t="shared" si="14"/>
        <v/>
      </c>
      <c r="Q49" s="124" t="str">
        <f t="shared" si="15"/>
        <v/>
      </c>
    </row>
    <row r="50" spans="9:17">
      <c r="I50" t="str">
        <f t="shared" si="8"/>
        <v/>
      </c>
      <c r="J50" t="str">
        <f t="shared" si="9"/>
        <v/>
      </c>
      <c r="K50" t="str">
        <f t="shared" si="10"/>
        <v/>
      </c>
      <c r="L50" s="124" t="str">
        <f>IF(I50&lt;=$C$5,-FV(Investments!$E$5/12,'Pension calculator 3a'!K50*12,$C$13,0,1),"")</f>
        <v/>
      </c>
      <c r="M50" s="124" t="str">
        <f t="shared" si="11"/>
        <v/>
      </c>
      <c r="N50" s="124" t="str">
        <f t="shared" si="12"/>
        <v/>
      </c>
      <c r="O50" s="124" t="str">
        <f t="shared" si="13"/>
        <v/>
      </c>
      <c r="P50" s="145" t="str">
        <f t="shared" si="14"/>
        <v/>
      </c>
      <c r="Q50" s="124" t="str">
        <f t="shared" si="15"/>
        <v/>
      </c>
    </row>
    <row r="51" spans="9:17">
      <c r="I51" t="str">
        <f t="shared" si="8"/>
        <v/>
      </c>
      <c r="J51" t="str">
        <f t="shared" si="9"/>
        <v/>
      </c>
      <c r="K51" t="str">
        <f t="shared" si="10"/>
        <v/>
      </c>
      <c r="L51" s="124" t="str">
        <f>IF(I51&lt;=$C$5,-FV(Investments!$E$5/12,'Pension calculator 3a'!K51*12,$C$13,0,1),"")</f>
        <v/>
      </c>
      <c r="M51" s="124" t="str">
        <f t="shared" si="11"/>
        <v/>
      </c>
      <c r="N51" s="124" t="str">
        <f t="shared" si="12"/>
        <v/>
      </c>
      <c r="O51" s="124" t="str">
        <f t="shared" si="13"/>
        <v/>
      </c>
      <c r="P51" s="145" t="str">
        <f t="shared" si="14"/>
        <v/>
      </c>
      <c r="Q51" s="124" t="str">
        <f t="shared" si="15"/>
        <v/>
      </c>
    </row>
    <row r="52" spans="9:17">
      <c r="I52" t="str">
        <f t="shared" si="8"/>
        <v/>
      </c>
      <c r="J52" t="str">
        <f t="shared" si="9"/>
        <v/>
      </c>
      <c r="K52" t="str">
        <f t="shared" si="10"/>
        <v/>
      </c>
      <c r="L52" s="124" t="str">
        <f>IF(I52&lt;=$C$5,-FV(Investments!$E$5/12,'Pension calculator 3a'!K52*12,$C$13,0,1),"")</f>
        <v/>
      </c>
      <c r="M52" s="124" t="str">
        <f t="shared" si="11"/>
        <v/>
      </c>
      <c r="N52" s="124" t="str">
        <f t="shared" si="12"/>
        <v/>
      </c>
      <c r="O52" s="124" t="str">
        <f t="shared" si="13"/>
        <v/>
      </c>
      <c r="P52" s="145" t="str">
        <f t="shared" si="14"/>
        <v/>
      </c>
      <c r="Q52" s="124" t="str">
        <f t="shared" si="15"/>
        <v/>
      </c>
    </row>
    <row r="53" spans="9:17">
      <c r="I53" t="str">
        <f t="shared" si="8"/>
        <v/>
      </c>
      <c r="J53" t="str">
        <f t="shared" si="9"/>
        <v/>
      </c>
      <c r="K53" t="str">
        <f t="shared" si="10"/>
        <v/>
      </c>
      <c r="L53" s="124" t="str">
        <f>IF(I53&lt;=$C$5,-FV(Investments!$E$5/12,'Pension calculator 3a'!K53*12,$C$13,0,1),"")</f>
        <v/>
      </c>
      <c r="M53" s="124" t="str">
        <f t="shared" si="11"/>
        <v/>
      </c>
      <c r="N53" s="124" t="str">
        <f t="shared" si="12"/>
        <v/>
      </c>
      <c r="O53" s="124" t="str">
        <f t="shared" si="13"/>
        <v/>
      </c>
      <c r="P53" s="145" t="str">
        <f t="shared" si="14"/>
        <v/>
      </c>
      <c r="Q53" s="124" t="str">
        <f t="shared" si="15"/>
        <v/>
      </c>
    </row>
    <row r="54" spans="9:17">
      <c r="I54" t="str">
        <f t="shared" si="8"/>
        <v/>
      </c>
      <c r="J54" t="str">
        <f t="shared" si="9"/>
        <v/>
      </c>
      <c r="K54" t="str">
        <f t="shared" si="10"/>
        <v/>
      </c>
      <c r="L54" s="124" t="str">
        <f>IF(I54&lt;=$C$5,-FV(Investments!$E$5/12,'Pension calculator 3a'!K54*12,$C$13,0,1),"")</f>
        <v/>
      </c>
      <c r="M54" s="124" t="str">
        <f t="shared" si="11"/>
        <v/>
      </c>
      <c r="N54" s="124" t="str">
        <f t="shared" si="12"/>
        <v/>
      </c>
      <c r="O54" s="124" t="str">
        <f t="shared" si="13"/>
        <v/>
      </c>
      <c r="P54" s="145" t="str">
        <f t="shared" si="14"/>
        <v/>
      </c>
      <c r="Q54" s="124" t="str">
        <f t="shared" si="15"/>
        <v/>
      </c>
    </row>
    <row r="55" spans="9:17">
      <c r="I55" t="str">
        <f t="shared" si="8"/>
        <v/>
      </c>
      <c r="J55" t="str">
        <f t="shared" si="9"/>
        <v/>
      </c>
      <c r="K55" t="str">
        <f t="shared" si="10"/>
        <v/>
      </c>
      <c r="L55" s="124" t="str">
        <f>IF(I55&lt;=$C$5,-FV(Investments!$E$5/12,'Pension calculator 3a'!K55*12,$C$13,0,1),"")</f>
        <v/>
      </c>
      <c r="M55" s="124" t="str">
        <f t="shared" si="11"/>
        <v/>
      </c>
      <c r="N55" s="124" t="str">
        <f t="shared" si="12"/>
        <v/>
      </c>
      <c r="O55" s="124" t="str">
        <f t="shared" si="13"/>
        <v/>
      </c>
      <c r="P55" s="145" t="str">
        <f t="shared" si="14"/>
        <v/>
      </c>
      <c r="Q55" s="124" t="str">
        <f t="shared" si="15"/>
        <v/>
      </c>
    </row>
    <row r="56" spans="9:17">
      <c r="I56" t="str">
        <f t="shared" si="8"/>
        <v/>
      </c>
      <c r="J56" t="str">
        <f t="shared" si="9"/>
        <v/>
      </c>
      <c r="K56" t="str">
        <f t="shared" si="10"/>
        <v/>
      </c>
      <c r="L56" s="124" t="str">
        <f>IF(I56&lt;=$C$5,-FV(Investments!$E$5/12,'Pension calculator 3a'!K56*12,$C$13,0,1),"")</f>
        <v/>
      </c>
      <c r="M56" s="124" t="str">
        <f t="shared" si="11"/>
        <v/>
      </c>
      <c r="N56" s="124" t="str">
        <f t="shared" si="12"/>
        <v/>
      </c>
      <c r="O56" s="124" t="str">
        <f t="shared" si="13"/>
        <v/>
      </c>
      <c r="P56" s="145" t="str">
        <f t="shared" si="14"/>
        <v/>
      </c>
      <c r="Q56" s="124" t="str">
        <f t="shared" si="15"/>
        <v/>
      </c>
    </row>
    <row r="62" spans="9:17">
      <c r="I62" s="23" t="s">
        <v>13</v>
      </c>
      <c r="J62" s="23" t="s">
        <v>16</v>
      </c>
      <c r="K62" s="23" t="s">
        <v>4784</v>
      </c>
      <c r="L62" s="82" t="s">
        <v>4885</v>
      </c>
      <c r="M62" s="82" t="s">
        <v>4886</v>
      </c>
      <c r="N62" s="82" t="s">
        <v>88</v>
      </c>
      <c r="O62" s="82" t="s">
        <v>4887</v>
      </c>
      <c r="P62" s="23" t="s">
        <v>4884</v>
      </c>
    </row>
    <row r="63" spans="9:17">
      <c r="I63">
        <f>IFERROR(IF(C6&lt;=$C$5,C6,""),"")</f>
        <v>28</v>
      </c>
      <c r="J63" s="169">
        <f ca="1">YEAR(TODAY())</f>
        <v>2024</v>
      </c>
      <c r="K63">
        <f>IFERROR(0,"")</f>
        <v>0</v>
      </c>
      <c r="L63" s="171">
        <f ca="1">IF(Tabella428187[[#This Row],[Investment years]]&lt;$C$10,SUMIF('CF Timeline'!$C$5:$BC$5,Tabella428187[[#This Row],[Year]],'CF Timeline'!$C$61:$BC$61),0)</f>
        <v>0</v>
      </c>
      <c r="M63" s="171">
        <f ca="1">Tabella428187[[#This Row],[Yearly investment]]</f>
        <v>0</v>
      </c>
      <c r="N63" s="171">
        <f ca="1">Tabella428187[[#This Row],[Tot invested]]*$C$11</f>
        <v>0</v>
      </c>
      <c r="O63" s="171">
        <f ca="1">Tabella428187[[#This Row],[Tot invested]]+Tabella428187[[#This Row],[Interests]]</f>
        <v>0</v>
      </c>
      <c r="P63" s="171"/>
    </row>
    <row r="64" spans="9:17">
      <c r="I64">
        <f>IFERROR(IF(I63+1&lt;=$C$5,I63+1,""),"")</f>
        <v>29</v>
      </c>
      <c r="J64" s="170">
        <f ca="1">IFERROR(IF(I64&lt;=$C$5,J63+1,""),"")</f>
        <v>2025</v>
      </c>
      <c r="K64">
        <f>IFERROR(I64-$I$63,"")</f>
        <v>1</v>
      </c>
      <c r="L64" s="171" t="e">
        <f ca="1">IF(Tabella428187[[#This Row],[Investment years]]&lt;$C$10,SUMIF('CF Timeline'!$C$5:$BC$5,Tabella428187[[#This Row],[Year]],'CF Timeline'!$C$61:$BC$61),0)</f>
        <v>#REF!</v>
      </c>
      <c r="M64" s="171" t="e">
        <f ca="1">IF(Tabella428187[[#This Row],[Investment years]]&lt;$C$10,Tabella428187[[#This Row],[Yearly investment]]+O63,0)</f>
        <v>#REF!</v>
      </c>
      <c r="N64" s="171" t="e">
        <f ca="1">Tabella428187[[#This Row],[Tot invested]]*$C$11</f>
        <v>#REF!</v>
      </c>
      <c r="O64" s="171" t="e">
        <f ca="1">Tabella428187[[#This Row],[Tot invested]]+Tabella428187[[#This Row],[Interests]]</f>
        <v>#REF!</v>
      </c>
      <c r="P64" s="171"/>
    </row>
    <row r="65" spans="9:16">
      <c r="I65">
        <f t="shared" ref="I65:I105" si="16">IFERROR(IF(I64+1&lt;=$C$5,I64+1,""),"")</f>
        <v>30</v>
      </c>
      <c r="J65" s="170">
        <f t="shared" ref="J65:J105" ca="1" si="17">IFERROR(IF(I65&lt;=$C$5,J64+1,""),"")</f>
        <v>2026</v>
      </c>
      <c r="K65">
        <f t="shared" ref="K65:K105" si="18">IFERROR(I65-$I$63,"")</f>
        <v>2</v>
      </c>
      <c r="L65" s="171" t="e">
        <f ca="1">IF(Tabella428187[[#This Row],[Investment years]]&lt;$C$10,SUMIF('CF Timeline'!$C$5:$BC$5,Tabella428187[[#This Row],[Year]],'CF Timeline'!$C$61:$BC$61),0)</f>
        <v>#REF!</v>
      </c>
      <c r="M65" s="171" t="e">
        <f ca="1">IF(Tabella428187[[#This Row],[Investment years]]&lt;$C$10,Tabella428187[[#This Row],[Yearly investment]]+O64,0)</f>
        <v>#REF!</v>
      </c>
      <c r="N65" s="171" t="e">
        <f ca="1">Tabella428187[[#This Row],[Tot invested]]*$C$11</f>
        <v>#REF!</v>
      </c>
      <c r="O65" s="171" t="e">
        <f ca="1">Tabella428187[[#This Row],[Tot invested]]+Tabella428187[[#This Row],[Interests]]</f>
        <v>#REF!</v>
      </c>
      <c r="P65" s="171"/>
    </row>
    <row r="66" spans="9:16">
      <c r="I66">
        <f t="shared" si="16"/>
        <v>31</v>
      </c>
      <c r="J66" s="170">
        <f t="shared" ca="1" si="17"/>
        <v>2027</v>
      </c>
      <c r="K66">
        <f t="shared" si="18"/>
        <v>3</v>
      </c>
      <c r="L66" s="171" t="e">
        <f ca="1">IF(Tabella428187[[#This Row],[Investment years]]&lt;$C$10,SUMIF('CF Timeline'!$C$5:$BC$5,Tabella428187[[#This Row],[Year]],'CF Timeline'!$C$61:$BC$61),0)</f>
        <v>#REF!</v>
      </c>
      <c r="M66" s="171" t="e">
        <f ca="1">IF(Tabella428187[[#This Row],[Investment years]]&lt;$C$10,Tabella428187[[#This Row],[Yearly investment]]+O65,0)</f>
        <v>#REF!</v>
      </c>
      <c r="N66" s="171" t="e">
        <f ca="1">Tabella428187[[#This Row],[Tot invested]]*$C$11</f>
        <v>#REF!</v>
      </c>
      <c r="O66" s="171" t="e">
        <f ca="1">Tabella428187[[#This Row],[Tot invested]]+Tabella428187[[#This Row],[Interests]]</f>
        <v>#REF!</v>
      </c>
      <c r="P66" s="171"/>
    </row>
    <row r="67" spans="9:16">
      <c r="I67">
        <f t="shared" si="16"/>
        <v>32</v>
      </c>
      <c r="J67" s="170">
        <f t="shared" ca="1" si="17"/>
        <v>2028</v>
      </c>
      <c r="K67">
        <f t="shared" si="18"/>
        <v>4</v>
      </c>
      <c r="L67" s="171" t="e">
        <f ca="1">IF(Tabella428187[[#This Row],[Investment years]]&lt;$C$10,SUMIF('CF Timeline'!$C$5:$BC$5,Tabella428187[[#This Row],[Year]],'CF Timeline'!$C$61:$BC$61),0)</f>
        <v>#REF!</v>
      </c>
      <c r="M67" s="171" t="e">
        <f ca="1">IF(Tabella428187[[#This Row],[Investment years]]&lt;$C$10,Tabella428187[[#This Row],[Yearly investment]]+O66,0)</f>
        <v>#REF!</v>
      </c>
      <c r="N67" s="171" t="e">
        <f ca="1">Tabella428187[[#This Row],[Tot invested]]*$C$11</f>
        <v>#REF!</v>
      </c>
      <c r="O67" s="171" t="e">
        <f ca="1">Tabella428187[[#This Row],[Tot invested]]+Tabella428187[[#This Row],[Interests]]</f>
        <v>#REF!</v>
      </c>
      <c r="P67" s="171"/>
    </row>
    <row r="68" spans="9:16">
      <c r="I68">
        <f t="shared" si="16"/>
        <v>33</v>
      </c>
      <c r="J68" s="170">
        <f t="shared" ca="1" si="17"/>
        <v>2029</v>
      </c>
      <c r="K68">
        <f t="shared" si="18"/>
        <v>5</v>
      </c>
      <c r="L68" s="171" t="e">
        <f ca="1">IF(Tabella428187[[#This Row],[Investment years]]&lt;$C$10,SUMIF('CF Timeline'!$C$5:$BC$5,Tabella428187[[#This Row],[Year]],'CF Timeline'!$C$61:$BC$61),0)</f>
        <v>#REF!</v>
      </c>
      <c r="M68" s="171" t="e">
        <f ca="1">IF(Tabella428187[[#This Row],[Investment years]]&lt;$C$10,Tabella428187[[#This Row],[Yearly investment]]+O67,0)</f>
        <v>#REF!</v>
      </c>
      <c r="N68" s="171" t="e">
        <f ca="1">Tabella428187[[#This Row],[Tot invested]]*$C$11</f>
        <v>#REF!</v>
      </c>
      <c r="O68" s="171" t="e">
        <f ca="1">Tabella428187[[#This Row],[Tot invested]]+Tabella428187[[#This Row],[Interests]]</f>
        <v>#REF!</v>
      </c>
      <c r="P68" s="171"/>
    </row>
    <row r="69" spans="9:16">
      <c r="I69">
        <f t="shared" si="16"/>
        <v>34</v>
      </c>
      <c r="J69" s="170">
        <f t="shared" ca="1" si="17"/>
        <v>2030</v>
      </c>
      <c r="K69">
        <f t="shared" si="18"/>
        <v>6</v>
      </c>
      <c r="L69" s="171" t="e">
        <f ca="1">IF(Tabella428187[[#This Row],[Investment years]]&lt;$C$10,SUMIF('CF Timeline'!$C$5:$BC$5,Tabella428187[[#This Row],[Year]],'CF Timeline'!$C$61:$BC$61),0)</f>
        <v>#REF!</v>
      </c>
      <c r="M69" s="171" t="e">
        <f ca="1">IF(Tabella428187[[#This Row],[Investment years]]&lt;$C$10,Tabella428187[[#This Row],[Yearly investment]]+O68,0)</f>
        <v>#REF!</v>
      </c>
      <c r="N69" s="171" t="e">
        <f ca="1">Tabella428187[[#This Row],[Tot invested]]*$C$11</f>
        <v>#REF!</v>
      </c>
      <c r="O69" s="171" t="e">
        <f ca="1">Tabella428187[[#This Row],[Tot invested]]+Tabella428187[[#This Row],[Interests]]</f>
        <v>#REF!</v>
      </c>
      <c r="P69" s="171"/>
    </row>
    <row r="70" spans="9:16">
      <c r="I70">
        <f t="shared" si="16"/>
        <v>35</v>
      </c>
      <c r="J70" s="170">
        <f t="shared" ca="1" si="17"/>
        <v>2031</v>
      </c>
      <c r="K70">
        <f t="shared" si="18"/>
        <v>7</v>
      </c>
      <c r="L70" s="171" t="e">
        <f ca="1">IF(Tabella428187[[#This Row],[Investment years]]&lt;$C$10,SUMIF('CF Timeline'!$C$5:$BC$5,Tabella428187[[#This Row],[Year]],'CF Timeline'!$C$61:$BC$61),0)</f>
        <v>#REF!</v>
      </c>
      <c r="M70" s="171" t="e">
        <f ca="1">IF(Tabella428187[[#This Row],[Investment years]]&lt;$C$10,Tabella428187[[#This Row],[Yearly investment]]+O69,0)</f>
        <v>#REF!</v>
      </c>
      <c r="N70" s="171" t="e">
        <f ca="1">Tabella428187[[#This Row],[Tot invested]]*$C$11</f>
        <v>#REF!</v>
      </c>
      <c r="O70" s="171" t="e">
        <f ca="1">Tabella428187[[#This Row],[Tot invested]]+Tabella428187[[#This Row],[Interests]]</f>
        <v>#REF!</v>
      </c>
      <c r="P70" s="171"/>
    </row>
    <row r="71" spans="9:16">
      <c r="I71">
        <f t="shared" si="16"/>
        <v>36</v>
      </c>
      <c r="J71" s="170">
        <f t="shared" ca="1" si="17"/>
        <v>2032</v>
      </c>
      <c r="K71">
        <f t="shared" si="18"/>
        <v>8</v>
      </c>
      <c r="L71" s="171" t="e">
        <f ca="1">IF(Tabella428187[[#This Row],[Investment years]]&lt;$C$10,SUMIF('CF Timeline'!$C$5:$BC$5,Tabella428187[[#This Row],[Year]],'CF Timeline'!$C$61:$BC$61),0)</f>
        <v>#REF!</v>
      </c>
      <c r="M71" s="171" t="e">
        <f ca="1">IF(Tabella428187[[#This Row],[Investment years]]&lt;$C$10,Tabella428187[[#This Row],[Yearly investment]]+O70,0)</f>
        <v>#REF!</v>
      </c>
      <c r="N71" s="171" t="e">
        <f ca="1">Tabella428187[[#This Row],[Tot invested]]*$C$11</f>
        <v>#REF!</v>
      </c>
      <c r="O71" s="171" t="e">
        <f ca="1">Tabella428187[[#This Row],[Tot invested]]+Tabella428187[[#This Row],[Interests]]</f>
        <v>#REF!</v>
      </c>
      <c r="P71" s="171"/>
    </row>
    <row r="72" spans="9:16">
      <c r="I72">
        <f t="shared" si="16"/>
        <v>37</v>
      </c>
      <c r="J72" s="170">
        <f t="shared" ca="1" si="17"/>
        <v>2033</v>
      </c>
      <c r="K72">
        <f t="shared" si="18"/>
        <v>9</v>
      </c>
      <c r="L72" s="171">
        <f ca="1">IF(Tabella428187[[#This Row],[Investment years]]&lt;$C$10,SUMIF('CF Timeline'!$C$5:$BC$5,Tabella428187[[#This Row],[Year]],'CF Timeline'!$C$61:$BC$61),0)</f>
        <v>0</v>
      </c>
      <c r="M72" s="171" t="e">
        <f ca="1">IF(Tabella428187[[#This Row],[Investment years]]&lt;$C$10,Tabella428187[[#This Row],[Yearly investment]]+O71,0)</f>
        <v>#REF!</v>
      </c>
      <c r="N72" s="171" t="e">
        <f ca="1">Tabella428187[[#This Row],[Tot invested]]*$C$11</f>
        <v>#REF!</v>
      </c>
      <c r="O72" s="171" t="e">
        <f ca="1">Tabella428187[[#This Row],[Tot invested]]+Tabella428187[[#This Row],[Interests]]</f>
        <v>#REF!</v>
      </c>
      <c r="P72" s="171"/>
    </row>
    <row r="73" spans="9:16">
      <c r="I73">
        <f t="shared" si="16"/>
        <v>38</v>
      </c>
      <c r="J73" s="170">
        <f t="shared" ca="1" si="17"/>
        <v>2034</v>
      </c>
      <c r="K73">
        <f t="shared" si="18"/>
        <v>10</v>
      </c>
      <c r="L73" s="171">
        <f ca="1">IF(Tabella428187[[#This Row],[Investment years]]&lt;$C$10,SUMIF('CF Timeline'!$C$5:$BC$5,Tabella428187[[#This Row],[Year]],'CF Timeline'!$C$61:$BC$61),0)</f>
        <v>0</v>
      </c>
      <c r="M73" s="171" t="e">
        <f ca="1">IF(Tabella428187[[#This Row],[Investment years]]&lt;$C$10,Tabella428187[[#This Row],[Yearly investment]]+O72,0)</f>
        <v>#REF!</v>
      </c>
      <c r="N73" s="171" t="e">
        <f ca="1">Tabella428187[[#This Row],[Tot invested]]*$C$11</f>
        <v>#REF!</v>
      </c>
      <c r="O73" s="171" t="e">
        <f ca="1">Tabella428187[[#This Row],[Tot invested]]+Tabella428187[[#This Row],[Interests]]</f>
        <v>#REF!</v>
      </c>
      <c r="P73" s="171"/>
    </row>
    <row r="74" spans="9:16">
      <c r="I74">
        <f t="shared" si="16"/>
        <v>39</v>
      </c>
      <c r="J74" s="170">
        <f t="shared" ca="1" si="17"/>
        <v>2035</v>
      </c>
      <c r="K74">
        <f t="shared" si="18"/>
        <v>11</v>
      </c>
      <c r="L74" s="171">
        <f ca="1">IF(Tabella428187[[#This Row],[Investment years]]&lt;$C$10,SUMIF('CF Timeline'!$C$5:$BC$5,Tabella428187[[#This Row],[Year]],'CF Timeline'!$C$61:$BC$61),0)</f>
        <v>0</v>
      </c>
      <c r="M74" s="171" t="e">
        <f ca="1">IF(Tabella428187[[#This Row],[Investment years]]&lt;$C$10,Tabella428187[[#This Row],[Yearly investment]]+O73,0)</f>
        <v>#REF!</v>
      </c>
      <c r="N74" s="171" t="e">
        <f ca="1">Tabella428187[[#This Row],[Tot invested]]*$C$11</f>
        <v>#REF!</v>
      </c>
      <c r="O74" s="171" t="e">
        <f ca="1">Tabella428187[[#This Row],[Tot invested]]+Tabella428187[[#This Row],[Interests]]</f>
        <v>#REF!</v>
      </c>
      <c r="P74" s="171"/>
    </row>
    <row r="75" spans="9:16">
      <c r="I75">
        <f t="shared" si="16"/>
        <v>40</v>
      </c>
      <c r="J75" s="170">
        <f t="shared" ca="1" si="17"/>
        <v>2036</v>
      </c>
      <c r="K75">
        <f t="shared" si="18"/>
        <v>12</v>
      </c>
      <c r="L75" s="171">
        <f ca="1">IF(Tabella428187[[#This Row],[Investment years]]&lt;$C$10,SUMIF('CF Timeline'!$C$5:$BC$5,Tabella428187[[#This Row],[Year]],'CF Timeline'!$C$61:$BC$61),0)</f>
        <v>0</v>
      </c>
      <c r="M75" s="171" t="e">
        <f ca="1">IF(Tabella428187[[#This Row],[Investment years]]&lt;$C$10,Tabella428187[[#This Row],[Yearly investment]]+O74,0)</f>
        <v>#REF!</v>
      </c>
      <c r="N75" s="171" t="e">
        <f ca="1">Tabella428187[[#This Row],[Tot invested]]*$C$11</f>
        <v>#REF!</v>
      </c>
      <c r="O75" s="171" t="e">
        <f ca="1">Tabella428187[[#This Row],[Tot invested]]+Tabella428187[[#This Row],[Interests]]</f>
        <v>#REF!</v>
      </c>
      <c r="P75" s="171"/>
    </row>
    <row r="76" spans="9:16">
      <c r="I76">
        <f t="shared" si="16"/>
        <v>41</v>
      </c>
      <c r="J76" s="170">
        <f t="shared" ca="1" si="17"/>
        <v>2037</v>
      </c>
      <c r="K76">
        <f t="shared" si="18"/>
        <v>13</v>
      </c>
      <c r="L76" s="171">
        <f ca="1">IF(Tabella428187[[#This Row],[Investment years]]&lt;$C$10,SUMIF('CF Timeline'!$C$5:$BC$5,Tabella428187[[#This Row],[Year]],'CF Timeline'!$C$61:$BC$61),0)</f>
        <v>0</v>
      </c>
      <c r="M76" s="171" t="e">
        <f ca="1">IF(Tabella428187[[#This Row],[Investment years]]&lt;$C$10,Tabella428187[[#This Row],[Yearly investment]]+O75,0)</f>
        <v>#REF!</v>
      </c>
      <c r="N76" s="171" t="e">
        <f ca="1">Tabella428187[[#This Row],[Tot invested]]*$C$11</f>
        <v>#REF!</v>
      </c>
      <c r="O76" s="171" t="e">
        <f ca="1">Tabella428187[[#This Row],[Tot invested]]+Tabella428187[[#This Row],[Interests]]</f>
        <v>#REF!</v>
      </c>
      <c r="P76" s="171"/>
    </row>
    <row r="77" spans="9:16">
      <c r="I77">
        <f t="shared" si="16"/>
        <v>42</v>
      </c>
      <c r="J77" s="170">
        <f t="shared" ca="1" si="17"/>
        <v>2038</v>
      </c>
      <c r="K77">
        <f t="shared" si="18"/>
        <v>14</v>
      </c>
      <c r="L77" s="171">
        <f ca="1">IF(Tabella428187[[#This Row],[Investment years]]&lt;$C$10,SUMIF('CF Timeline'!$C$5:$BC$5,Tabella428187[[#This Row],[Year]],'CF Timeline'!$C$61:$BC$61),0)</f>
        <v>0</v>
      </c>
      <c r="M77" s="171" t="e">
        <f ca="1">IF(Tabella428187[[#This Row],[Investment years]]&lt;$C$10,Tabella428187[[#This Row],[Yearly investment]]+O76,0)</f>
        <v>#REF!</v>
      </c>
      <c r="N77" s="171" t="e">
        <f ca="1">Tabella428187[[#This Row],[Tot invested]]*$C$11</f>
        <v>#REF!</v>
      </c>
      <c r="O77" s="171" t="e">
        <f ca="1">Tabella428187[[#This Row],[Tot invested]]+Tabella428187[[#This Row],[Interests]]</f>
        <v>#REF!</v>
      </c>
      <c r="P77" s="171"/>
    </row>
    <row r="78" spans="9:16">
      <c r="I78">
        <f t="shared" si="16"/>
        <v>43</v>
      </c>
      <c r="J78" s="170">
        <f t="shared" ca="1" si="17"/>
        <v>2039</v>
      </c>
      <c r="K78">
        <f t="shared" si="18"/>
        <v>15</v>
      </c>
      <c r="L78" s="171">
        <f ca="1">IF(Tabella428187[[#This Row],[Investment years]]&lt;$C$10,SUMIF('CF Timeline'!$C$5:$BC$5,Tabella428187[[#This Row],[Year]],'CF Timeline'!$C$61:$BC$61),0)</f>
        <v>0</v>
      </c>
      <c r="M78" s="171" t="e">
        <f ca="1">IF(Tabella428187[[#This Row],[Investment years]]&lt;$C$10,Tabella428187[[#This Row],[Yearly investment]]+O77,0)</f>
        <v>#REF!</v>
      </c>
      <c r="N78" s="171" t="e">
        <f ca="1">Tabella428187[[#This Row],[Tot invested]]*$C$11</f>
        <v>#REF!</v>
      </c>
      <c r="O78" s="171" t="e">
        <f ca="1">Tabella428187[[#This Row],[Tot invested]]+Tabella428187[[#This Row],[Interests]]</f>
        <v>#REF!</v>
      </c>
      <c r="P78" s="171"/>
    </row>
    <row r="79" spans="9:16">
      <c r="I79">
        <f t="shared" si="16"/>
        <v>44</v>
      </c>
      <c r="J79" s="170">
        <f t="shared" ca="1" si="17"/>
        <v>2040</v>
      </c>
      <c r="K79">
        <f t="shared" si="18"/>
        <v>16</v>
      </c>
      <c r="L79" s="171">
        <f ca="1">IF(Tabella428187[[#This Row],[Investment years]]&lt;$C$10,SUMIF('CF Timeline'!$C$5:$BC$5,Tabella428187[[#This Row],[Year]],'CF Timeline'!$C$61:$BC$61),0)</f>
        <v>0</v>
      </c>
      <c r="M79" s="171" t="e">
        <f ca="1">IF(Tabella428187[[#This Row],[Investment years]]&lt;$C$10,Tabella428187[[#This Row],[Yearly investment]]+O78,0)</f>
        <v>#REF!</v>
      </c>
      <c r="N79" s="171" t="e">
        <f ca="1">Tabella428187[[#This Row],[Tot invested]]*$C$11</f>
        <v>#REF!</v>
      </c>
      <c r="O79" s="171" t="e">
        <f ca="1">Tabella428187[[#This Row],[Tot invested]]+Tabella428187[[#This Row],[Interests]]</f>
        <v>#REF!</v>
      </c>
      <c r="P79" s="171"/>
    </row>
    <row r="80" spans="9:16">
      <c r="I80">
        <f t="shared" si="16"/>
        <v>45</v>
      </c>
      <c r="J80" s="170">
        <f t="shared" ca="1" si="17"/>
        <v>2041</v>
      </c>
      <c r="K80">
        <f t="shared" si="18"/>
        <v>17</v>
      </c>
      <c r="L80" s="171">
        <f ca="1">IF(Tabella428187[[#This Row],[Investment years]]&lt;$C$10,SUMIF('CF Timeline'!$C$5:$BC$5,Tabella428187[[#This Row],[Year]],'CF Timeline'!$C$61:$BC$61),0)</f>
        <v>0</v>
      </c>
      <c r="M80" s="171" t="e">
        <f ca="1">IF(Tabella428187[[#This Row],[Investment years]]&lt;$C$10,Tabella428187[[#This Row],[Yearly investment]]+O79,0)</f>
        <v>#REF!</v>
      </c>
      <c r="N80" s="171" t="e">
        <f ca="1">Tabella428187[[#This Row],[Tot invested]]*$C$11</f>
        <v>#REF!</v>
      </c>
      <c r="O80" s="171" t="e">
        <f ca="1">Tabella428187[[#This Row],[Tot invested]]+Tabella428187[[#This Row],[Interests]]</f>
        <v>#REF!</v>
      </c>
      <c r="P80" s="171"/>
    </row>
    <row r="81" spans="9:16">
      <c r="I81">
        <f t="shared" si="16"/>
        <v>46</v>
      </c>
      <c r="J81" s="170">
        <f t="shared" ca="1" si="17"/>
        <v>2042</v>
      </c>
      <c r="K81">
        <f t="shared" si="18"/>
        <v>18</v>
      </c>
      <c r="L81" s="171">
        <f ca="1">IF(Tabella428187[[#This Row],[Investment years]]&lt;$C$10,SUMIF('CF Timeline'!$C$5:$BC$5,Tabella428187[[#This Row],[Year]],'CF Timeline'!$C$61:$BC$61),0)</f>
        <v>0</v>
      </c>
      <c r="M81" s="171" t="e">
        <f ca="1">IF(Tabella428187[[#This Row],[Investment years]]&lt;$C$10,Tabella428187[[#This Row],[Yearly investment]]+O80,0)</f>
        <v>#REF!</v>
      </c>
      <c r="N81" s="171" t="e">
        <f ca="1">Tabella428187[[#This Row],[Tot invested]]*$C$11</f>
        <v>#REF!</v>
      </c>
      <c r="O81" s="171" t="e">
        <f ca="1">Tabella428187[[#This Row],[Tot invested]]+Tabella428187[[#This Row],[Interests]]</f>
        <v>#REF!</v>
      </c>
      <c r="P81" s="171"/>
    </row>
    <row r="82" spans="9:16">
      <c r="I82">
        <f t="shared" si="16"/>
        <v>47</v>
      </c>
      <c r="J82" s="170">
        <f t="shared" ca="1" si="17"/>
        <v>2043</v>
      </c>
      <c r="K82">
        <f t="shared" si="18"/>
        <v>19</v>
      </c>
      <c r="L82" s="171">
        <f ca="1">IF(Tabella428187[[#This Row],[Investment years]]&lt;$C$10,SUMIF('CF Timeline'!$C$5:$BC$5,Tabella428187[[#This Row],[Year]],'CF Timeline'!$C$61:$BC$61),0)</f>
        <v>0</v>
      </c>
      <c r="M82" s="171" t="e">
        <f ca="1">IF(Tabella428187[[#This Row],[Investment years]]&lt;$C$10,Tabella428187[[#This Row],[Yearly investment]]+O81,0)</f>
        <v>#REF!</v>
      </c>
      <c r="N82" s="171" t="e">
        <f ca="1">Tabella428187[[#This Row],[Tot invested]]*$C$11</f>
        <v>#REF!</v>
      </c>
      <c r="O82" s="171" t="e">
        <f ca="1">Tabella428187[[#This Row],[Tot invested]]+Tabella428187[[#This Row],[Interests]]</f>
        <v>#REF!</v>
      </c>
      <c r="P82" s="171"/>
    </row>
    <row r="83" spans="9:16">
      <c r="I83">
        <f t="shared" si="16"/>
        <v>48</v>
      </c>
      <c r="J83" s="170">
        <f t="shared" ca="1" si="17"/>
        <v>2044</v>
      </c>
      <c r="K83">
        <f t="shared" si="18"/>
        <v>20</v>
      </c>
      <c r="L83" s="171">
        <f ca="1">IF(Tabella428187[[#This Row],[Investment years]]&lt;$C$10,SUMIF('CF Timeline'!$C$5:$BC$5,Tabella428187[[#This Row],[Year]],'CF Timeline'!$C$61:$BC$61),0)</f>
        <v>0</v>
      </c>
      <c r="M83" s="171" t="e">
        <f ca="1">IF(Tabella428187[[#This Row],[Investment years]]&lt;$C$10,Tabella428187[[#This Row],[Yearly investment]]+O82,0)</f>
        <v>#REF!</v>
      </c>
      <c r="N83" s="171" t="e">
        <f ca="1">Tabella428187[[#This Row],[Tot invested]]*$C$11</f>
        <v>#REF!</v>
      </c>
      <c r="O83" s="171" t="e">
        <f ca="1">Tabella428187[[#This Row],[Tot invested]]+Tabella428187[[#This Row],[Interests]]</f>
        <v>#REF!</v>
      </c>
      <c r="P83" s="171"/>
    </row>
    <row r="84" spans="9:16">
      <c r="I84">
        <f t="shared" si="16"/>
        <v>49</v>
      </c>
      <c r="J84" s="170">
        <f t="shared" ca="1" si="17"/>
        <v>2045</v>
      </c>
      <c r="K84">
        <f t="shared" si="18"/>
        <v>21</v>
      </c>
      <c r="L84" s="171">
        <f ca="1">IF(Tabella428187[[#This Row],[Investment years]]&lt;$C$10,SUMIF('CF Timeline'!$C$5:$BC$5,Tabella428187[[#This Row],[Year]],'CF Timeline'!$C$61:$BC$61),0)</f>
        <v>0</v>
      </c>
      <c r="M84" s="171" t="e">
        <f ca="1">IF(Tabella428187[[#This Row],[Investment years]]&lt;$C$10,Tabella428187[[#This Row],[Yearly investment]]+O83,0)</f>
        <v>#REF!</v>
      </c>
      <c r="N84" s="171" t="e">
        <f ca="1">Tabella428187[[#This Row],[Tot invested]]*$C$11</f>
        <v>#REF!</v>
      </c>
      <c r="O84" s="171" t="e">
        <f ca="1">Tabella428187[[#This Row],[Tot invested]]+Tabella428187[[#This Row],[Interests]]</f>
        <v>#REF!</v>
      </c>
      <c r="P84" s="171"/>
    </row>
    <row r="85" spans="9:16">
      <c r="I85">
        <f t="shared" si="16"/>
        <v>50</v>
      </c>
      <c r="J85" s="170">
        <f t="shared" ca="1" si="17"/>
        <v>2046</v>
      </c>
      <c r="K85">
        <f t="shared" si="18"/>
        <v>22</v>
      </c>
      <c r="L85" s="171" t="e">
        <f ca="1">IF(Tabella428187[[#This Row],[Investment years]]&lt;$C$10,SUMIF('CF Timeline'!$C$5:$BC$5,Tabella428187[[#This Row],[Year]],'CF Timeline'!$C$61:$BC$61),0)</f>
        <v>#DIV/0!</v>
      </c>
      <c r="M85" s="171" t="e">
        <f ca="1">IF(Tabella428187[[#This Row],[Investment years]]&lt;$C$10,Tabella428187[[#This Row],[Yearly investment]]+O84,0)</f>
        <v>#DIV/0!</v>
      </c>
      <c r="N85" s="171" t="e">
        <f ca="1">Tabella428187[[#This Row],[Tot invested]]*$C$11</f>
        <v>#DIV/0!</v>
      </c>
      <c r="O85" s="171" t="e">
        <f ca="1">Tabella428187[[#This Row],[Tot invested]]+Tabella428187[[#This Row],[Interests]]</f>
        <v>#DIV/0!</v>
      </c>
      <c r="P85" s="171"/>
    </row>
    <row r="86" spans="9:16">
      <c r="I86">
        <f t="shared" si="16"/>
        <v>51</v>
      </c>
      <c r="J86" s="170">
        <f t="shared" ca="1" si="17"/>
        <v>2047</v>
      </c>
      <c r="K86">
        <f t="shared" si="18"/>
        <v>23</v>
      </c>
      <c r="L86" s="171" t="e">
        <f ca="1">IF(Tabella428187[[#This Row],[Investment years]]&lt;$C$10,SUMIF('CF Timeline'!$C$5:$BC$5,Tabella428187[[#This Row],[Year]],'CF Timeline'!$C$61:$BC$61),0)</f>
        <v>#DIV/0!</v>
      </c>
      <c r="M86" s="171" t="e">
        <f ca="1">IF(Tabella428187[[#This Row],[Investment years]]&lt;$C$10,Tabella428187[[#This Row],[Yearly investment]]+O85,0)</f>
        <v>#DIV/0!</v>
      </c>
      <c r="N86" s="171" t="e">
        <f ca="1">Tabella428187[[#This Row],[Tot invested]]*$C$11</f>
        <v>#DIV/0!</v>
      </c>
      <c r="O86" s="171" t="e">
        <f ca="1">Tabella428187[[#This Row],[Tot invested]]+Tabella428187[[#This Row],[Interests]]</f>
        <v>#DIV/0!</v>
      </c>
      <c r="P86" s="171"/>
    </row>
    <row r="87" spans="9:16">
      <c r="I87">
        <f t="shared" si="16"/>
        <v>52</v>
      </c>
      <c r="J87" s="170">
        <f t="shared" ca="1" si="17"/>
        <v>2048</v>
      </c>
      <c r="K87">
        <f t="shared" si="18"/>
        <v>24</v>
      </c>
      <c r="L87" s="171" t="e">
        <f ca="1">IF(Tabella428187[[#This Row],[Investment years]]&lt;$C$10,SUMIF('CF Timeline'!$C$5:$BC$5,Tabella428187[[#This Row],[Year]],'CF Timeline'!$C$61:$BC$61),0)</f>
        <v>#DIV/0!</v>
      </c>
      <c r="M87" s="171" t="e">
        <f ca="1">IF(Tabella428187[[#This Row],[Investment years]]&lt;$C$10,Tabella428187[[#This Row],[Yearly investment]]+O86,0)</f>
        <v>#DIV/0!</v>
      </c>
      <c r="N87" s="171" t="e">
        <f ca="1">Tabella428187[[#This Row],[Tot invested]]*$C$11</f>
        <v>#DIV/0!</v>
      </c>
      <c r="O87" s="171" t="e">
        <f ca="1">Tabella428187[[#This Row],[Tot invested]]+Tabella428187[[#This Row],[Interests]]</f>
        <v>#DIV/0!</v>
      </c>
      <c r="P87" s="171"/>
    </row>
    <row r="88" spans="9:16">
      <c r="I88">
        <f t="shared" si="16"/>
        <v>53</v>
      </c>
      <c r="J88" s="170">
        <f t="shared" ca="1" si="17"/>
        <v>2049</v>
      </c>
      <c r="K88">
        <f t="shared" si="18"/>
        <v>25</v>
      </c>
      <c r="L88" s="171" t="e">
        <f ca="1">IF(Tabella428187[[#This Row],[Investment years]]&lt;$C$10,SUMIF('CF Timeline'!$C$5:$BC$5,Tabella428187[[#This Row],[Year]],'CF Timeline'!$C$61:$BC$61),0)</f>
        <v>#DIV/0!</v>
      </c>
      <c r="M88" s="171" t="e">
        <f ca="1">IF(Tabella428187[[#This Row],[Investment years]]&lt;$C$10,Tabella428187[[#This Row],[Yearly investment]]+O87,0)</f>
        <v>#DIV/0!</v>
      </c>
      <c r="N88" s="171" t="e">
        <f ca="1">Tabella428187[[#This Row],[Tot invested]]*$C$11</f>
        <v>#DIV/0!</v>
      </c>
      <c r="O88" s="171" t="e">
        <f ca="1">Tabella428187[[#This Row],[Tot invested]]+Tabella428187[[#This Row],[Interests]]</f>
        <v>#DIV/0!</v>
      </c>
      <c r="P88" s="171"/>
    </row>
    <row r="89" spans="9:16">
      <c r="I89">
        <f t="shared" si="16"/>
        <v>54</v>
      </c>
      <c r="J89" s="170">
        <f t="shared" ca="1" si="17"/>
        <v>2050</v>
      </c>
      <c r="K89">
        <f t="shared" si="18"/>
        <v>26</v>
      </c>
      <c r="L89" s="171" t="e">
        <f ca="1">IF(Tabella428187[[#This Row],[Investment years]]&lt;$C$10,SUMIF('CF Timeline'!$C$5:$BC$5,Tabella428187[[#This Row],[Year]],'CF Timeline'!$C$61:$BC$61),0)</f>
        <v>#DIV/0!</v>
      </c>
      <c r="M89" s="171" t="e">
        <f ca="1">IF(Tabella428187[[#This Row],[Investment years]]&lt;$C$10,Tabella428187[[#This Row],[Yearly investment]]+O88,0)</f>
        <v>#DIV/0!</v>
      </c>
      <c r="N89" s="171" t="e">
        <f ca="1">Tabella428187[[#This Row],[Tot invested]]*$C$11</f>
        <v>#DIV/0!</v>
      </c>
      <c r="O89" s="171" t="e">
        <f ca="1">Tabella428187[[#This Row],[Tot invested]]+Tabella428187[[#This Row],[Interests]]</f>
        <v>#DIV/0!</v>
      </c>
      <c r="P89" s="171"/>
    </row>
    <row r="90" spans="9:16">
      <c r="I90">
        <f t="shared" si="16"/>
        <v>55</v>
      </c>
      <c r="J90" s="170">
        <f t="shared" ca="1" si="17"/>
        <v>2051</v>
      </c>
      <c r="K90">
        <f t="shared" si="18"/>
        <v>27</v>
      </c>
      <c r="L90" s="171" t="e">
        <f ca="1">IF(Tabella428187[[#This Row],[Investment years]]&lt;$C$10,SUMIF('CF Timeline'!$C$5:$BC$5,Tabella428187[[#This Row],[Year]],'CF Timeline'!$C$61:$BC$61),0)</f>
        <v>#DIV/0!</v>
      </c>
      <c r="M90" s="171" t="e">
        <f ca="1">IF(Tabella428187[[#This Row],[Investment years]]&lt;$C$10,Tabella428187[[#This Row],[Yearly investment]]+O89,0)</f>
        <v>#DIV/0!</v>
      </c>
      <c r="N90" s="171" t="e">
        <f ca="1">Tabella428187[[#This Row],[Tot invested]]*$C$11</f>
        <v>#DIV/0!</v>
      </c>
      <c r="O90" s="171" t="e">
        <f ca="1">Tabella428187[[#This Row],[Tot invested]]+Tabella428187[[#This Row],[Interests]]</f>
        <v>#DIV/0!</v>
      </c>
      <c r="P90" s="171"/>
    </row>
    <row r="91" spans="9:16">
      <c r="I91">
        <f t="shared" si="16"/>
        <v>56</v>
      </c>
      <c r="J91" s="170">
        <f t="shared" ca="1" si="17"/>
        <v>2052</v>
      </c>
      <c r="K91">
        <f t="shared" si="18"/>
        <v>28</v>
      </c>
      <c r="L91" s="171" t="e">
        <f ca="1">IF(Tabella428187[[#This Row],[Investment years]]&lt;$C$10,SUMIF('CF Timeline'!$C$5:$BC$5,Tabella428187[[#This Row],[Year]],'CF Timeline'!$C$61:$BC$61),0)</f>
        <v>#DIV/0!</v>
      </c>
      <c r="M91" s="171" t="e">
        <f ca="1">IF(Tabella428187[[#This Row],[Investment years]]&lt;$C$10,Tabella428187[[#This Row],[Yearly investment]]+O90,0)</f>
        <v>#DIV/0!</v>
      </c>
      <c r="N91" s="171" t="e">
        <f ca="1">Tabella428187[[#This Row],[Tot invested]]*$C$11</f>
        <v>#DIV/0!</v>
      </c>
      <c r="O91" s="171" t="e">
        <f ca="1">Tabella428187[[#This Row],[Tot invested]]+Tabella428187[[#This Row],[Interests]]</f>
        <v>#DIV/0!</v>
      </c>
      <c r="P91" s="171"/>
    </row>
    <row r="92" spans="9:16">
      <c r="I92">
        <f t="shared" si="16"/>
        <v>57</v>
      </c>
      <c r="J92" s="170">
        <f t="shared" ca="1" si="17"/>
        <v>2053</v>
      </c>
      <c r="K92">
        <f t="shared" si="18"/>
        <v>29</v>
      </c>
      <c r="L92" s="171" t="e">
        <f ca="1">IF(Tabella428187[[#This Row],[Investment years]]&lt;$C$10,SUMIF('CF Timeline'!$C$5:$BC$5,Tabella428187[[#This Row],[Year]],'CF Timeline'!$C$61:$BC$61),0)</f>
        <v>#DIV/0!</v>
      </c>
      <c r="M92" s="171" t="e">
        <f ca="1">IF(Tabella428187[[#This Row],[Investment years]]&lt;$C$10,Tabella428187[[#This Row],[Yearly investment]]+O91,0)</f>
        <v>#DIV/0!</v>
      </c>
      <c r="N92" s="171" t="e">
        <f ca="1">Tabella428187[[#This Row],[Tot invested]]*$C$11</f>
        <v>#DIV/0!</v>
      </c>
      <c r="O92" s="171" t="e">
        <f ca="1">Tabella428187[[#This Row],[Tot invested]]+Tabella428187[[#This Row],[Interests]]</f>
        <v>#DIV/0!</v>
      </c>
      <c r="P92" s="171"/>
    </row>
    <row r="93" spans="9:16">
      <c r="I93">
        <f t="shared" si="16"/>
        <v>58</v>
      </c>
      <c r="J93" s="170">
        <f t="shared" ca="1" si="17"/>
        <v>2054</v>
      </c>
      <c r="K93">
        <f t="shared" si="18"/>
        <v>30</v>
      </c>
      <c r="L93" s="171" t="e">
        <f ca="1">IF(Tabella428187[[#This Row],[Investment years]]&lt;$C$10,SUMIF('CF Timeline'!$C$5:$BC$5,Tabella428187[[#This Row],[Year]],'CF Timeline'!$C$61:$BC$61),0)</f>
        <v>#DIV/0!</v>
      </c>
      <c r="M93" s="171" t="e">
        <f ca="1">IF(Tabella428187[[#This Row],[Investment years]]&lt;$C$10,Tabella428187[[#This Row],[Yearly investment]]+O92,0)</f>
        <v>#DIV/0!</v>
      </c>
      <c r="N93" s="171" t="e">
        <f ca="1">Tabella428187[[#This Row],[Tot invested]]*$C$11</f>
        <v>#DIV/0!</v>
      </c>
      <c r="O93" s="171" t="e">
        <f ca="1">Tabella428187[[#This Row],[Tot invested]]+Tabella428187[[#This Row],[Interests]]</f>
        <v>#DIV/0!</v>
      </c>
      <c r="P93" s="171"/>
    </row>
    <row r="94" spans="9:16">
      <c r="I94">
        <f t="shared" si="16"/>
        <v>59</v>
      </c>
      <c r="J94" s="170">
        <f t="shared" ca="1" si="17"/>
        <v>2055</v>
      </c>
      <c r="K94">
        <f t="shared" si="18"/>
        <v>31</v>
      </c>
      <c r="L94" s="171" t="e">
        <f ca="1">IF(Tabella428187[[#This Row],[Investment years]]&lt;$C$10,SUMIF('CF Timeline'!$C$5:$BC$5,Tabella428187[[#This Row],[Year]],'CF Timeline'!$C$61:$BC$61),0)</f>
        <v>#DIV/0!</v>
      </c>
      <c r="M94" s="171" t="e">
        <f ca="1">IF(Tabella428187[[#This Row],[Investment years]]&lt;$C$10,Tabella428187[[#This Row],[Yearly investment]]+O93,0)</f>
        <v>#DIV/0!</v>
      </c>
      <c r="N94" s="171" t="e">
        <f ca="1">Tabella428187[[#This Row],[Tot invested]]*$C$11</f>
        <v>#DIV/0!</v>
      </c>
      <c r="O94" s="171" t="e">
        <f ca="1">Tabella428187[[#This Row],[Tot invested]]+Tabella428187[[#This Row],[Interests]]</f>
        <v>#DIV/0!</v>
      </c>
      <c r="P94" s="171"/>
    </row>
    <row r="95" spans="9:16">
      <c r="I95">
        <f t="shared" si="16"/>
        <v>60</v>
      </c>
      <c r="J95" s="170">
        <f t="shared" ca="1" si="17"/>
        <v>2056</v>
      </c>
      <c r="K95">
        <f t="shared" si="18"/>
        <v>32</v>
      </c>
      <c r="L95" s="171" t="e">
        <f ca="1">IF(Tabella428187[[#This Row],[Investment years]]&lt;$C$10,SUMIF('CF Timeline'!$C$5:$BC$5,Tabella428187[[#This Row],[Year]],'CF Timeline'!$C$61:$BC$61),0)</f>
        <v>#DIV/0!</v>
      </c>
      <c r="M95" s="171" t="e">
        <f ca="1">IF(Tabella428187[[#This Row],[Investment years]]&lt;$C$10,Tabella428187[[#This Row],[Yearly investment]]+O94,0)</f>
        <v>#DIV/0!</v>
      </c>
      <c r="N95" s="171" t="e">
        <f ca="1">Tabella428187[[#This Row],[Tot invested]]*$C$11</f>
        <v>#DIV/0!</v>
      </c>
      <c r="O95" s="171" t="e">
        <f ca="1">Tabella428187[[#This Row],[Tot invested]]+Tabella428187[[#This Row],[Interests]]</f>
        <v>#DIV/0!</v>
      </c>
      <c r="P95" s="171"/>
    </row>
    <row r="96" spans="9:16">
      <c r="I96">
        <f t="shared" si="16"/>
        <v>61</v>
      </c>
      <c r="J96" s="170">
        <f t="shared" ca="1" si="17"/>
        <v>2057</v>
      </c>
      <c r="K96">
        <f t="shared" si="18"/>
        <v>33</v>
      </c>
      <c r="L96" s="171" t="e">
        <f ca="1">IF(Tabella428187[[#This Row],[Investment years]]&lt;$C$10,SUMIF('CF Timeline'!$C$5:$BC$5,Tabella428187[[#This Row],[Year]],'CF Timeline'!$C$61:$BC$61),0)</f>
        <v>#DIV/0!</v>
      </c>
      <c r="M96" s="171" t="e">
        <f ca="1">IF(Tabella428187[[#This Row],[Investment years]]&lt;$C$10,Tabella428187[[#This Row],[Yearly investment]]+O95,0)</f>
        <v>#DIV/0!</v>
      </c>
      <c r="N96" s="171" t="e">
        <f ca="1">Tabella428187[[#This Row],[Tot invested]]*$C$11</f>
        <v>#DIV/0!</v>
      </c>
      <c r="O96" s="171" t="e">
        <f ca="1">Tabella428187[[#This Row],[Tot invested]]+Tabella428187[[#This Row],[Interests]]</f>
        <v>#DIV/0!</v>
      </c>
      <c r="P96" s="171"/>
    </row>
    <row r="97" spans="9:16">
      <c r="I97">
        <f t="shared" si="16"/>
        <v>62</v>
      </c>
      <c r="J97" s="170">
        <f t="shared" ca="1" si="17"/>
        <v>2058</v>
      </c>
      <c r="K97">
        <f t="shared" si="18"/>
        <v>34</v>
      </c>
      <c r="L97" s="171" t="e">
        <f ca="1">IF(Tabella428187[[#This Row],[Investment years]]&lt;$C$10,SUMIF('CF Timeline'!$C$5:$BC$5,Tabella428187[[#This Row],[Year]],'CF Timeline'!$C$61:$BC$61),0)</f>
        <v>#DIV/0!</v>
      </c>
      <c r="M97" s="171" t="e">
        <f ca="1">IF(Tabella428187[[#This Row],[Investment years]]&lt;$C$10,Tabella428187[[#This Row],[Yearly investment]]+O96,0)</f>
        <v>#DIV/0!</v>
      </c>
      <c r="N97" s="171" t="e">
        <f ca="1">Tabella428187[[#This Row],[Tot invested]]*$C$11</f>
        <v>#DIV/0!</v>
      </c>
      <c r="O97" s="171" t="e">
        <f ca="1">Tabella428187[[#This Row],[Tot invested]]+Tabella428187[[#This Row],[Interests]]</f>
        <v>#DIV/0!</v>
      </c>
      <c r="P97" s="171"/>
    </row>
    <row r="98" spans="9:16">
      <c r="I98">
        <f t="shared" si="16"/>
        <v>63</v>
      </c>
      <c r="J98" s="170">
        <f t="shared" ca="1" si="17"/>
        <v>2059</v>
      </c>
      <c r="K98">
        <f t="shared" si="18"/>
        <v>35</v>
      </c>
      <c r="L98" s="171" t="e">
        <f ca="1">IF(Tabella428187[[#This Row],[Investment years]]&lt;$C$10,SUMIF('CF Timeline'!$C$5:$BC$5,Tabella428187[[#This Row],[Year]],'CF Timeline'!$C$61:$BC$61),0)</f>
        <v>#DIV/0!</v>
      </c>
      <c r="M98" s="171" t="e">
        <f ca="1">IF(Tabella428187[[#This Row],[Investment years]]&lt;$C$10,Tabella428187[[#This Row],[Yearly investment]]+O97,0)</f>
        <v>#DIV/0!</v>
      </c>
      <c r="N98" s="171" t="e">
        <f ca="1">Tabella428187[[#This Row],[Tot invested]]*$C$11</f>
        <v>#DIV/0!</v>
      </c>
      <c r="O98" s="171" t="e">
        <f ca="1">Tabella428187[[#This Row],[Tot invested]]+Tabella428187[[#This Row],[Interests]]</f>
        <v>#DIV/0!</v>
      </c>
      <c r="P98" s="171"/>
    </row>
    <row r="99" spans="9:16">
      <c r="I99">
        <f t="shared" si="16"/>
        <v>64</v>
      </c>
      <c r="J99" s="170">
        <f t="shared" ca="1" si="17"/>
        <v>2060</v>
      </c>
      <c r="K99">
        <f t="shared" si="18"/>
        <v>36</v>
      </c>
      <c r="L99" s="171" t="e">
        <f ca="1">IF(Tabella428187[[#This Row],[Investment years]]&lt;$C$10,SUMIF('CF Timeline'!$C$5:$BC$5,Tabella428187[[#This Row],[Year]],'CF Timeline'!$C$61:$BC$61),0)</f>
        <v>#DIV/0!</v>
      </c>
      <c r="M99" s="171" t="e">
        <f ca="1">IF(Tabella428187[[#This Row],[Investment years]]&lt;$C$10,Tabella428187[[#This Row],[Yearly investment]]+O98,0)</f>
        <v>#DIV/0!</v>
      </c>
      <c r="N99" s="171" t="e">
        <f ca="1">Tabella428187[[#This Row],[Tot invested]]*$C$11</f>
        <v>#DIV/0!</v>
      </c>
      <c r="O99" s="171" t="e">
        <f ca="1">Tabella428187[[#This Row],[Tot invested]]+Tabella428187[[#This Row],[Interests]]</f>
        <v>#DIV/0!</v>
      </c>
      <c r="P99" s="171"/>
    </row>
    <row r="100" spans="9:16">
      <c r="I100">
        <f t="shared" si="16"/>
        <v>65</v>
      </c>
      <c r="J100" s="170">
        <f t="shared" ca="1" si="17"/>
        <v>2061</v>
      </c>
      <c r="K100">
        <f t="shared" si="18"/>
        <v>37</v>
      </c>
      <c r="L100" s="171">
        <f>IF(Tabella428187[[#This Row],[Investment years]]&lt;$C$10,SUMIF('CF Timeline'!$C$5:$BC$5,Tabella428187[[#This Row],[Year]],'CF Timeline'!$C$61:$BC$61),0)</f>
        <v>0</v>
      </c>
      <c r="M100" s="171">
        <f>IF(Tabella428187[[#This Row],[Investment years]]&lt;$C$10,Tabella428187[[#This Row],[Yearly investment]]+O99,0)</f>
        <v>0</v>
      </c>
      <c r="N100" s="171">
        <f>Tabella428187[[#This Row],[Tot invested]]*$C$11</f>
        <v>0</v>
      </c>
      <c r="O100" s="171">
        <f>Tabella428187[[#This Row],[Tot invested]]+Tabella428187[[#This Row],[Interests]]</f>
        <v>0</v>
      </c>
      <c r="P100" s="171"/>
    </row>
    <row r="101" spans="9:16">
      <c r="I101" t="str">
        <f t="shared" si="16"/>
        <v/>
      </c>
      <c r="J101" s="170" t="str">
        <f t="shared" si="17"/>
        <v/>
      </c>
      <c r="K101" t="str">
        <f t="shared" si="18"/>
        <v/>
      </c>
      <c r="L101" s="171">
        <f>IF(Tabella428187[[#This Row],[Investment years]]&lt;$C$10,SUMIF('CF Timeline'!$C$5:$BC$5,Tabella428187[[#This Row],[Year]],'CF Timeline'!$C$61:$BC$61),0)</f>
        <v>0</v>
      </c>
      <c r="M101" s="171">
        <f>IF(Tabella428187[[#This Row],[Investment years]]&lt;$C$10,Tabella428187[[#This Row],[Yearly investment]]+O100,0)</f>
        <v>0</v>
      </c>
      <c r="N101" s="171">
        <f>Tabella428187[[#This Row],[Tot invested]]*$C$11</f>
        <v>0</v>
      </c>
      <c r="O101" s="171">
        <f>Tabella428187[[#This Row],[Tot invested]]+Tabella428187[[#This Row],[Interests]]</f>
        <v>0</v>
      </c>
      <c r="P101" s="171"/>
    </row>
    <row r="102" spans="9:16">
      <c r="I102" t="str">
        <f t="shared" si="16"/>
        <v/>
      </c>
      <c r="J102" s="170" t="str">
        <f t="shared" si="17"/>
        <v/>
      </c>
      <c r="K102" t="str">
        <f t="shared" si="18"/>
        <v/>
      </c>
      <c r="L102" s="171">
        <f>IF(Tabella428187[[#This Row],[Investment years]]&lt;$C$10,SUMIF('CF Timeline'!$C$5:$BC$5,Tabella428187[[#This Row],[Year]],'CF Timeline'!$C$61:$BC$61),0)</f>
        <v>0</v>
      </c>
      <c r="M102" s="171">
        <f>IF(Tabella428187[[#This Row],[Investment years]]&lt;$C$10,Tabella428187[[#This Row],[Yearly investment]]+O101,0)</f>
        <v>0</v>
      </c>
      <c r="N102" s="171">
        <f>Tabella428187[[#This Row],[Tot invested]]*$C$11</f>
        <v>0</v>
      </c>
      <c r="O102" s="171">
        <f>Tabella428187[[#This Row],[Tot invested]]+Tabella428187[[#This Row],[Interests]]</f>
        <v>0</v>
      </c>
      <c r="P102" s="171" t="str">
        <f t="shared" ref="P102:P105" si="19">IF(I102&lt;=$C$6,$C$16,"")</f>
        <v/>
      </c>
    </row>
    <row r="103" spans="9:16">
      <c r="I103" t="str">
        <f t="shared" si="16"/>
        <v/>
      </c>
      <c r="J103" s="170" t="str">
        <f t="shared" si="17"/>
        <v/>
      </c>
      <c r="K103" t="str">
        <f t="shared" si="18"/>
        <v/>
      </c>
      <c r="L103" s="171">
        <f>IF(Tabella428187[[#This Row],[Investment years]]&lt;$C$10,SUMIF('CF Timeline'!$C$5:$BC$5,Tabella428187[[#This Row],[Year]],'CF Timeline'!$C$61:$BC$61),0)</f>
        <v>0</v>
      </c>
      <c r="M103" s="171">
        <f>IF(Tabella428187[[#This Row],[Investment years]]&lt;$C$10,Tabella428187[[#This Row],[Yearly investment]]+O102,0)</f>
        <v>0</v>
      </c>
      <c r="N103" s="171">
        <f>Tabella428187[[#This Row],[Tot invested]]*$C$11</f>
        <v>0</v>
      </c>
      <c r="O103" s="171">
        <f>Tabella428187[[#This Row],[Tot invested]]+Tabella428187[[#This Row],[Interests]]</f>
        <v>0</v>
      </c>
      <c r="P103" s="171" t="str">
        <f t="shared" si="19"/>
        <v/>
      </c>
    </row>
    <row r="104" spans="9:16">
      <c r="I104" t="str">
        <f t="shared" si="16"/>
        <v/>
      </c>
      <c r="J104" s="170" t="str">
        <f t="shared" si="17"/>
        <v/>
      </c>
      <c r="K104" t="str">
        <f t="shared" si="18"/>
        <v/>
      </c>
      <c r="L104" s="171">
        <f>IF(Tabella428187[[#This Row],[Investment years]]&lt;$C$10,SUMIF('CF Timeline'!$C$5:$BC$5,Tabella428187[[#This Row],[Year]],'CF Timeline'!$C$61:$BC$61),0)</f>
        <v>0</v>
      </c>
      <c r="M104" s="171">
        <f>IF(Tabella428187[[#This Row],[Investment years]]&lt;$C$10,Tabella428187[[#This Row],[Yearly investment]]+O103,0)</f>
        <v>0</v>
      </c>
      <c r="N104" s="171">
        <f>Tabella428187[[#This Row],[Tot invested]]*$C$11</f>
        <v>0</v>
      </c>
      <c r="O104" s="171">
        <f>Tabella428187[[#This Row],[Tot invested]]+Tabella428187[[#This Row],[Interests]]</f>
        <v>0</v>
      </c>
      <c r="P104" s="171" t="str">
        <f t="shared" si="19"/>
        <v/>
      </c>
    </row>
    <row r="105" spans="9:16">
      <c r="I105" t="str">
        <f t="shared" si="16"/>
        <v/>
      </c>
      <c r="J105" s="170" t="str">
        <f t="shared" si="17"/>
        <v/>
      </c>
      <c r="K105" t="str">
        <f t="shared" si="18"/>
        <v/>
      </c>
      <c r="L105" s="171">
        <f>IF(Tabella428187[[#This Row],[Investment years]]&lt;$C$10,SUMIF('CF Timeline'!$C$5:$BC$5,Tabella428187[[#This Row],[Year]],'CF Timeline'!$C$61:$BC$61),0)</f>
        <v>0</v>
      </c>
      <c r="M105" s="171">
        <f>IF(Tabella428187[[#This Row],[Investment years]]&lt;$C$10,Tabella428187[[#This Row],[Yearly investment]]+O104,0)</f>
        <v>0</v>
      </c>
      <c r="N105" s="171">
        <f>Tabella428187[[#This Row],[Tot invested]]*$C$11</f>
        <v>0</v>
      </c>
      <c r="O105" s="171">
        <f>Tabella428187[[#This Row],[Tot invested]]+Tabella428187[[#This Row],[Interests]]</f>
        <v>0</v>
      </c>
      <c r="P105" s="171" t="str">
        <f t="shared" si="19"/>
        <v/>
      </c>
    </row>
    <row r="106" spans="9:16">
      <c r="I106" t="s">
        <v>135</v>
      </c>
      <c r="N106" s="145" t="e">
        <f ca="1">SUBTOTAL(109,Tabella428187[Interests])</f>
        <v>#REF!</v>
      </c>
      <c r="O106" s="145" t="e">
        <f ca="1">SUMIF(J62:J105,J63+C10-1,Tabella428187[[#Headers],[#Data],[Total]])</f>
        <v>#DIV/0!</v>
      </c>
      <c r="P106">
        <f>SUBTOTAL(103,Tabella428187[Colonna5])</f>
        <v>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94EA-2D21-7E47-85A7-33A8AEDF63BF}">
  <dimension ref="B3:P96"/>
  <sheetViews>
    <sheetView zoomScale="161" zoomScaleNormal="130" workbookViewId="0">
      <selection activeCell="M5" sqref="M5"/>
    </sheetView>
  </sheetViews>
  <sheetFormatPr baseColWidth="10" defaultColWidth="11" defaultRowHeight="16"/>
  <cols>
    <col min="2" max="2" width="35.6640625" customWidth="1"/>
    <col min="3" max="3" width="21.83203125" customWidth="1"/>
    <col min="4" max="4" width="11.33203125" bestFit="1" customWidth="1"/>
    <col min="11" max="11" width="17" customWidth="1"/>
    <col min="12" max="16" width="19" customWidth="1"/>
  </cols>
  <sheetData>
    <row r="3" spans="2:16">
      <c r="B3" s="7" t="s">
        <v>4844</v>
      </c>
      <c r="C3" s="1"/>
      <c r="I3" s="23" t="s">
        <v>13</v>
      </c>
      <c r="J3" s="23" t="s">
        <v>16</v>
      </c>
      <c r="K3" s="23" t="s">
        <v>4784</v>
      </c>
      <c r="L3" s="23" t="s">
        <v>4785</v>
      </c>
      <c r="M3" s="23" t="s">
        <v>4786</v>
      </c>
      <c r="N3" s="23" t="s">
        <v>4787</v>
      </c>
      <c r="O3" s="23" t="s">
        <v>4788</v>
      </c>
      <c r="P3" s="23" t="s">
        <v>4832</v>
      </c>
    </row>
    <row r="4" spans="2:16">
      <c r="B4" s="13" t="s">
        <v>2</v>
      </c>
      <c r="C4" s="122"/>
      <c r="I4">
        <f>IFERROR(IF(C5&lt;=$C$6,C5,""),"")</f>
        <v>28</v>
      </c>
      <c r="J4" s="169">
        <f ca="1">YEAR(TODAY())</f>
        <v>2024</v>
      </c>
      <c r="K4">
        <f>IF('General overview'!C27="Buy",1,0)</f>
        <v>1</v>
      </c>
      <c r="L4" s="171">
        <f>IF(I4&lt;=$C$6,-FV(Investments!$E$5/12,'House calculator '!K4*12,'House calculator '!$C$14,0,1),"")</f>
        <v>59453.833257247941</v>
      </c>
      <c r="M4" s="171">
        <f>IF(I4&lt;=$C$6,-FV($C$18/12,K4*12,$C$14,0,1),"")</f>
        <v>60923.645938284986</v>
      </c>
      <c r="N4" s="171">
        <f>IF(I4&lt;=$C$6,-FV($C$12/12,K4*12,$C$14,0,1),"")</f>
        <v>61255.799385308681</v>
      </c>
      <c r="O4" s="171">
        <f>IF(I4&lt;=$C$6,-FV($C$21/12,K4*12,$C$14,0,1),"")</f>
        <v>61926.232000703378</v>
      </c>
      <c r="P4" s="171">
        <f>IF(I4&lt;=$C$6,$C$16,"")</f>
        <v>925238.85166964959</v>
      </c>
    </row>
    <row r="5" spans="2:16">
      <c r="B5" s="2" t="s">
        <v>4836</v>
      </c>
      <c r="C5" s="2">
        <f>'General overview'!C5</f>
        <v>28</v>
      </c>
      <c r="I5">
        <f>IFERROR(IF(I4+1&lt;=$C$6,I4+1,""),"")</f>
        <v>29</v>
      </c>
      <c r="J5" s="170">
        <f ca="1">IFERROR(IF(I5&lt;=$C$6,J4+1,""),"")</f>
        <v>2025</v>
      </c>
      <c r="K5">
        <f>IF('General overview'!$C$27="Buy",I5-($I$4-1),0)</f>
        <v>2</v>
      </c>
      <c r="L5" s="171">
        <f>IF(I5&lt;=$C$6,-FV(Investments!$E$5/12,'House calculator '!K5*12,'House calculator '!$C$14,0,1),"")</f>
        <v>119205.61786967647</v>
      </c>
      <c r="M5" s="171">
        <f t="shared" ref="M5:M46" si="0">IF(I5&lt;=$C$6,-FV($C$18/12,K5*12,$C$14,0,1),"")</f>
        <v>124964.26122864736</v>
      </c>
      <c r="N5" s="171">
        <f t="shared" ref="N5:N46" si="1">IF(I5&lt;=$C$6,-FV($C$12/12,K5*12,$C$14,0,1),"")</f>
        <v>126289.722440714</v>
      </c>
      <c r="O5" s="171">
        <f t="shared" ref="O5:O46" si="2">IF(I5&lt;=$C$6,-FV($C$21/12,K5*12,$C$14,0,1),"")</f>
        <v>128992.31071591267</v>
      </c>
      <c r="P5" s="171">
        <f t="shared" ref="P5:P46" si="3">IF(I5&lt;=$C$6,$C$16,"")</f>
        <v>925238.85166964959</v>
      </c>
    </row>
    <row r="6" spans="2:16">
      <c r="B6" s="2" t="s">
        <v>4845</v>
      </c>
      <c r="C6" s="2">
        <f>'General overview'!C29</f>
        <v>38</v>
      </c>
      <c r="I6">
        <f t="shared" ref="I6:I46" si="4">IFERROR(IF(I5+1&lt;=$C$6,I5+1,""),"")</f>
        <v>30</v>
      </c>
      <c r="J6" s="170">
        <f t="shared" ref="J6:J46" ca="1" si="5">IFERROR(IF(I6&lt;=$C$6,J5+1,""),"")</f>
        <v>2026</v>
      </c>
      <c r="K6">
        <f>IF('General overview'!$C$27="Buy",I6-($I$4-1),0)</f>
        <v>3</v>
      </c>
      <c r="L6" s="171">
        <f>IF(I6&lt;=$C$6,-FV(Investments!$E$5/12,'House calculator '!K6*12,'House calculator '!$C$14,0,1),"")</f>
        <v>179256.84701283713</v>
      </c>
      <c r="M6" s="171">
        <f t="shared" si="0"/>
        <v>192281.31593877851</v>
      </c>
      <c r="N6" s="171">
        <f t="shared" si="1"/>
        <v>195334.79556714045</v>
      </c>
      <c r="O6" s="171">
        <f t="shared" si="2"/>
        <v>201624.84088799782</v>
      </c>
      <c r="P6" s="171">
        <f t="shared" si="3"/>
        <v>925238.85166964959</v>
      </c>
    </row>
    <row r="7" spans="2:16">
      <c r="B7" s="2" t="s">
        <v>4846</v>
      </c>
      <c r="C7" s="115">
        <f>'General overview'!C80</f>
        <v>1993120</v>
      </c>
      <c r="I7">
        <f t="shared" si="4"/>
        <v>31</v>
      </c>
      <c r="J7" s="170">
        <f t="shared" ca="1" si="5"/>
        <v>2027</v>
      </c>
      <c r="K7">
        <f>IF('General overview'!$C$27="Buy",I7-($I$4-1),0)</f>
        <v>4</v>
      </c>
      <c r="L7" s="171">
        <f>IF(I7&lt;=$C$6,-FV(Investments!$E$5/12,'House calculator '!K7*12,'House calculator '!$C$14,0,1),"")</f>
        <v>239609.02134528288</v>
      </c>
      <c r="M7" s="171">
        <f t="shared" si="0"/>
        <v>263042.43892768864</v>
      </c>
      <c r="N7" s="171">
        <f t="shared" si="1"/>
        <v>268638.41772402939</v>
      </c>
      <c r="O7" s="171">
        <f t="shared" si="2"/>
        <v>280285.83524254779</v>
      </c>
      <c r="P7" s="171">
        <f t="shared" si="3"/>
        <v>925238.85166964959</v>
      </c>
    </row>
    <row r="8" spans="2:16">
      <c r="B8" s="2" t="s">
        <v>4847</v>
      </c>
      <c r="C8" s="115">
        <f>'General overview'!C81</f>
        <v>2313097.129174124</v>
      </c>
      <c r="I8">
        <f t="shared" si="4"/>
        <v>32</v>
      </c>
      <c r="J8" s="170">
        <f t="shared" ca="1" si="5"/>
        <v>2028</v>
      </c>
      <c r="K8">
        <f>IF('General overview'!$C$27="Buy",I8-($I$4-1),0)</f>
        <v>5</v>
      </c>
      <c r="L8" s="171">
        <f>IF(I8&lt;=$C$6,-FV(Investments!$E$5/12,'House calculator '!K8*12,'House calculator '!$C$14,0,1),"")</f>
        <v>300263.6490460952</v>
      </c>
      <c r="M8" s="171">
        <f t="shared" si="0"/>
        <v>337423.83526495402</v>
      </c>
      <c r="N8" s="171">
        <f t="shared" si="1"/>
        <v>346463.2468972971</v>
      </c>
      <c r="O8" s="171">
        <f t="shared" si="2"/>
        <v>365475.65333351365</v>
      </c>
      <c r="P8" s="171">
        <f t="shared" si="3"/>
        <v>925238.85166964959</v>
      </c>
    </row>
    <row r="9" spans="2:16">
      <c r="B9" s="2" t="s">
        <v>4848</v>
      </c>
      <c r="C9" s="115">
        <f>'General overview'!C81*IF('General overview'!C34&gt;0,(1-'General overview'!C34),0.2)</f>
        <v>925238.85166964959</v>
      </c>
      <c r="E9" s="124"/>
      <c r="I9">
        <f t="shared" si="4"/>
        <v>33</v>
      </c>
      <c r="J9" s="170">
        <f t="shared" ca="1" si="5"/>
        <v>2029</v>
      </c>
      <c r="K9">
        <f>IF('General overview'!$C$27="Buy",I9-($I$4-1),0)</f>
        <v>6</v>
      </c>
      <c r="L9" s="171">
        <f>IF(I9&lt;=$C$6,-FV(Investments!$E$5/12,'House calculator '!K9*12,'House calculator '!$C$14,0,1),"")</f>
        <v>361222.24585253309</v>
      </c>
      <c r="M9" s="171">
        <f t="shared" si="0"/>
        <v>415610.72500592738</v>
      </c>
      <c r="N9" s="171">
        <f t="shared" si="1"/>
        <v>429088.1412427004</v>
      </c>
      <c r="O9" s="171">
        <f t="shared" si="2"/>
        <v>457736.18431105115</v>
      </c>
      <c r="P9" s="171">
        <f t="shared" si="3"/>
        <v>925238.85166964959</v>
      </c>
    </row>
    <row r="10" spans="2:16">
      <c r="B10" s="13" t="s">
        <v>4793</v>
      </c>
      <c r="C10" s="13"/>
      <c r="I10">
        <f t="shared" si="4"/>
        <v>34</v>
      </c>
      <c r="J10" s="170">
        <f t="shared" ca="1" si="5"/>
        <v>2030</v>
      </c>
      <c r="K10">
        <f>IF('General overview'!$C$27="Buy",I10-($I$4-1),0)</f>
        <v>7</v>
      </c>
      <c r="L10" s="171">
        <f>IF(I10&lt;=$C$6,-FV(Investments!$E$5/12,'House calculator '!K10*12,'House calculator '!$C$14,0,1),"")</f>
        <v>422486.33509795228</v>
      </c>
      <c r="M10" s="171">
        <f t="shared" si="0"/>
        <v>497797.80441551877</v>
      </c>
      <c r="N10" s="171">
        <f t="shared" si="1"/>
        <v>516809.15827686351</v>
      </c>
      <c r="O10" s="171">
        <f t="shared" si="2"/>
        <v>557654.29385752336</v>
      </c>
      <c r="P10" s="171">
        <f t="shared" si="3"/>
        <v>925238.85166964959</v>
      </c>
    </row>
    <row r="11" spans="2:16">
      <c r="B11" s="2" t="s">
        <v>4794</v>
      </c>
      <c r="C11" s="2">
        <f>C6-(C5-1)</f>
        <v>11</v>
      </c>
      <c r="I11">
        <f t="shared" si="4"/>
        <v>35</v>
      </c>
      <c r="J11" s="170">
        <f t="shared" ca="1" si="5"/>
        <v>2031</v>
      </c>
      <c r="K11">
        <f>IF('General overview'!$C$27="Buy",I11-($I$4-1),0)</f>
        <v>8</v>
      </c>
      <c r="L11" s="171">
        <f>IF(I11&lt;=$C$6,-FV(Investments!$E$5/12,'House calculator '!K11*12,'House calculator '!$C$14,0,1),"")</f>
        <v>484057.44774984923</v>
      </c>
      <c r="M11" s="171">
        <f t="shared" si="0"/>
        <v>584189.7307890614</v>
      </c>
      <c r="N11" s="171">
        <f t="shared" si="1"/>
        <v>609940.61569622182</v>
      </c>
      <c r="O11" s="171">
        <f t="shared" si="2"/>
        <v>665865.55721749156</v>
      </c>
      <c r="P11" s="171">
        <f t="shared" si="3"/>
        <v>925238.85166964959</v>
      </c>
    </row>
    <row r="12" spans="2:16">
      <c r="B12" s="2" t="s">
        <v>4795</v>
      </c>
      <c r="C12" s="143">
        <f>IF(C$11&lt;2,Investments!$E$5,IF(C$11&lt;5,Investments!$E$6,IF(C$11&lt;10,Investments!$E$7,IF(C$11&gt;=10,Investments!$E$8))))</f>
        <v>0.06</v>
      </c>
      <c r="E12" s="124"/>
      <c r="I12">
        <f t="shared" si="4"/>
        <v>36</v>
      </c>
      <c r="J12" s="170">
        <f t="shared" ca="1" si="5"/>
        <v>2032</v>
      </c>
      <c r="K12">
        <f>IF('General overview'!$C$27="Buy",I12-($I$4-1),0)</f>
        <v>9</v>
      </c>
      <c r="L12" s="171">
        <f>IF(I12&lt;=$C$6,-FV(Investments!$E$5/12,'House calculator '!K12*12,'House calculator '!$C$14,0,1),"")</f>
        <v>545937.12244812073</v>
      </c>
      <c r="M12" s="171">
        <f t="shared" si="0"/>
        <v>675001.63207753364</v>
      </c>
      <c r="N12" s="171">
        <f t="shared" si="1"/>
        <v>708816.21762495779</v>
      </c>
      <c r="O12" s="171">
        <f t="shared" si="2"/>
        <v>783058.30206735444</v>
      </c>
      <c r="P12" s="171">
        <f t="shared" si="3"/>
        <v>925238.85166964959</v>
      </c>
    </row>
    <row r="13" spans="2:16">
      <c r="B13" s="2" t="s">
        <v>4797</v>
      </c>
      <c r="C13" s="146">
        <f>IF(K4&lt;=0,0,PMT(C12,C11,0,-C9))</f>
        <v>61799.421345002222</v>
      </c>
      <c r="I13">
        <f t="shared" si="4"/>
        <v>37</v>
      </c>
      <c r="J13" s="170">
        <f t="shared" ca="1" si="5"/>
        <v>2033</v>
      </c>
      <c r="K13">
        <f>IF('General overview'!$C$27="Buy",I13-($I$4-1),0)</f>
        <v>10</v>
      </c>
      <c r="L13" s="171">
        <f>IF(I13&lt;=$C$6,-FV(Investments!$E$5/12,'House calculator '!K13*12,'House calculator '!$C$14,0,1),"")</f>
        <v>608126.90554352349</v>
      </c>
      <c r="M13" s="171">
        <f t="shared" si="0"/>
        <v>770459.64258617279</v>
      </c>
      <c r="N13" s="171">
        <f t="shared" si="1"/>
        <v>813790.2503274437</v>
      </c>
      <c r="O13" s="171">
        <f t="shared" si="2"/>
        <v>909977.9869411746</v>
      </c>
      <c r="P13" s="171">
        <f t="shared" si="3"/>
        <v>925238.85166964959</v>
      </c>
    </row>
    <row r="14" spans="2:16">
      <c r="B14" s="2" t="s">
        <v>4798</v>
      </c>
      <c r="C14" s="129">
        <f>IF(K4&lt;=0,0,-PMT(C12/12,C11*12,0,C9,1))</f>
        <v>4941.0835373336504</v>
      </c>
      <c r="D14" s="513"/>
      <c r="I14">
        <f t="shared" si="4"/>
        <v>38</v>
      </c>
      <c r="J14">
        <f t="shared" ca="1" si="5"/>
        <v>2034</v>
      </c>
      <c r="K14">
        <f>IF('General overview'!$C$27="Buy",I14-($I$4-1),0)</f>
        <v>11</v>
      </c>
      <c r="L14" s="171">
        <f>IF(I14&lt;=$C$6,-FV(Investments!$E$5/12,'House calculator '!K14*12,'House calculator '!$C$14,0,1),"")</f>
        <v>670628.35113630292</v>
      </c>
      <c r="M14" s="171">
        <f t="shared" si="0"/>
        <v>870801.46608044824</v>
      </c>
      <c r="N14" s="171">
        <f t="shared" si="1"/>
        <v>925238.85166961083</v>
      </c>
      <c r="O14" s="171">
        <f t="shared" si="2"/>
        <v>1047431.9430636864</v>
      </c>
      <c r="P14" s="171">
        <f t="shared" si="3"/>
        <v>925238.85166964959</v>
      </c>
    </row>
    <row r="15" spans="2:16">
      <c r="B15" s="13" t="s">
        <v>4799</v>
      </c>
      <c r="C15" s="11"/>
      <c r="I15" t="str">
        <f t="shared" si="4"/>
        <v/>
      </c>
      <c r="J15" t="str">
        <f t="shared" si="5"/>
        <v/>
      </c>
      <c r="K15" t="e">
        <f>IF('General overview'!$C$27="Buy",I15-($I$4-1),0)</f>
        <v>#VALUE!</v>
      </c>
      <c r="L15" s="171" t="str">
        <f>IF(I15&lt;=$C$6,-FV(Investments!$E$5/12,'House calculator '!K15*12,'House calculator '!$C$14,0,1),"")</f>
        <v/>
      </c>
      <c r="M15" s="171" t="str">
        <f t="shared" si="0"/>
        <v/>
      </c>
      <c r="N15" s="171" t="str">
        <f t="shared" si="1"/>
        <v/>
      </c>
      <c r="O15" s="171" t="str">
        <f t="shared" si="2"/>
        <v/>
      </c>
      <c r="P15" s="171" t="str">
        <f t="shared" si="3"/>
        <v/>
      </c>
    </row>
    <row r="16" spans="2:16">
      <c r="B16" s="2" t="s">
        <v>4800</v>
      </c>
      <c r="C16" s="115">
        <f>C9</f>
        <v>925238.85166964959</v>
      </c>
      <c r="I16" t="str">
        <f t="shared" si="4"/>
        <v/>
      </c>
      <c r="J16" t="str">
        <f t="shared" si="5"/>
        <v/>
      </c>
      <c r="K16" t="e">
        <f>IF('General overview'!$C$27="Buy",I16-($I$4-1),0)</f>
        <v>#VALUE!</v>
      </c>
      <c r="L16" s="171" t="str">
        <f>IF(I16&lt;=$C$6,-FV(Investments!$E$5/12,'House calculator '!K16*12,'House calculator '!$C$14,0,1),"")</f>
        <v/>
      </c>
      <c r="M16" s="171" t="str">
        <f t="shared" si="0"/>
        <v/>
      </c>
      <c r="N16" s="171" t="str">
        <f t="shared" si="1"/>
        <v/>
      </c>
      <c r="O16" s="171" t="str">
        <f t="shared" si="2"/>
        <v/>
      </c>
      <c r="P16" s="171" t="str">
        <f t="shared" si="3"/>
        <v/>
      </c>
    </row>
    <row r="17" spans="2:16">
      <c r="B17" s="2" t="s">
        <v>4801</v>
      </c>
      <c r="C17" s="115"/>
      <c r="I17" t="str">
        <f t="shared" si="4"/>
        <v/>
      </c>
      <c r="J17" t="str">
        <f t="shared" si="5"/>
        <v/>
      </c>
      <c r="K17" t="e">
        <f>IF('General overview'!$C$27="Buy",I17-($I$4-1),0)</f>
        <v>#VALUE!</v>
      </c>
      <c r="L17" s="171" t="str">
        <f>IF(I17&lt;=$C$6,-FV(Investments!$E$5/12,'House calculator '!K17*12,'House calculator '!$C$14,0,1),"")</f>
        <v/>
      </c>
      <c r="M17" s="171" t="str">
        <f t="shared" si="0"/>
        <v/>
      </c>
      <c r="N17" s="171" t="str">
        <f t="shared" si="1"/>
        <v/>
      </c>
      <c r="O17" s="171" t="str">
        <f t="shared" si="2"/>
        <v/>
      </c>
      <c r="P17" s="171" t="str">
        <f t="shared" si="3"/>
        <v/>
      </c>
    </row>
    <row r="18" spans="2:16">
      <c r="B18" s="126" t="s">
        <v>4795</v>
      </c>
      <c r="C18" s="127">
        <f>IF(C$11&lt;2,Investments!$D$5,IF(C$11&lt;5,Investments!$D$6,IF(C$11&lt;10,Investments!$D$7,IF(C$11&gt;=10,Investments!$D$8))))</f>
        <v>0.05</v>
      </c>
      <c r="I18" t="str">
        <f t="shared" si="4"/>
        <v/>
      </c>
      <c r="J18" t="str">
        <f t="shared" si="5"/>
        <v/>
      </c>
      <c r="K18" t="e">
        <f>IF('General overview'!$C$27="Buy",I18-($I$4-1),0)</f>
        <v>#VALUE!</v>
      </c>
      <c r="L18" s="171" t="str">
        <f>IF(I18&lt;=$C$6,-FV(Investments!$E$5/12,'House calculator '!K18*12,'House calculator '!$C$14,0,1),"")</f>
        <v/>
      </c>
      <c r="M18" s="171" t="str">
        <f t="shared" si="0"/>
        <v/>
      </c>
      <c r="N18" s="171" t="str">
        <f t="shared" si="1"/>
        <v/>
      </c>
      <c r="O18" s="171" t="str">
        <f t="shared" si="2"/>
        <v/>
      </c>
      <c r="P18" s="171" t="str">
        <f t="shared" si="3"/>
        <v/>
      </c>
    </row>
    <row r="19" spans="2:16">
      <c r="B19" s="126" t="s">
        <v>4802</v>
      </c>
      <c r="C19" s="128">
        <f>-FV(C18/12,C11*12,C14,0,1)</f>
        <v>870801.46608044824</v>
      </c>
      <c r="I19" t="str">
        <f t="shared" si="4"/>
        <v/>
      </c>
      <c r="J19" t="str">
        <f t="shared" si="5"/>
        <v/>
      </c>
      <c r="K19" t="e">
        <f>IF('General overview'!$C$27="Buy",I19-($I$4-1),0)</f>
        <v>#VALUE!</v>
      </c>
      <c r="L19" s="171" t="str">
        <f>IF(I19&lt;=$C$6,-FV(Investments!$E$5/12,'House calculator '!K19*12,'House calculator '!$C$14,0,1),"")</f>
        <v/>
      </c>
      <c r="M19" s="171" t="str">
        <f t="shared" si="0"/>
        <v/>
      </c>
      <c r="N19" s="171" t="str">
        <f t="shared" si="1"/>
        <v/>
      </c>
      <c r="O19" s="171" t="str">
        <f t="shared" si="2"/>
        <v/>
      </c>
      <c r="P19" s="171" t="str">
        <f t="shared" si="3"/>
        <v/>
      </c>
    </row>
    <row r="20" spans="2:16">
      <c r="B20" s="2" t="s">
        <v>4788</v>
      </c>
      <c r="C20" s="2"/>
      <c r="I20" t="str">
        <f t="shared" si="4"/>
        <v/>
      </c>
      <c r="J20" t="str">
        <f t="shared" si="5"/>
        <v/>
      </c>
      <c r="K20" t="e">
        <f>IF('General overview'!$C$27="Buy",I20-($I$4-1),0)</f>
        <v>#VALUE!</v>
      </c>
      <c r="L20" s="171" t="str">
        <f>IF(I20&lt;=$C$6,-FV(Investments!$E$5/12,'House calculator '!K20*12,'House calculator '!$C$14,0,1),"")</f>
        <v/>
      </c>
      <c r="M20" s="171" t="str">
        <f t="shared" si="0"/>
        <v/>
      </c>
      <c r="N20" s="171" t="str">
        <f t="shared" si="1"/>
        <v/>
      </c>
      <c r="O20" s="171" t="str">
        <f t="shared" si="2"/>
        <v/>
      </c>
      <c r="P20" s="171" t="str">
        <f t="shared" si="3"/>
        <v/>
      </c>
    </row>
    <row r="21" spans="2:16">
      <c r="B21" s="126" t="s">
        <v>4795</v>
      </c>
      <c r="C21" s="127">
        <f>IF(C$11&lt;2,Investments!$F$5,IF(C$11&lt;5,Investments!$F$6,IF(C$11&lt;10,Investments!$F$7,IF(C$11&gt;=10,Investments!$F$8))))</f>
        <v>0.08</v>
      </c>
      <c r="I21" t="str">
        <f t="shared" si="4"/>
        <v/>
      </c>
      <c r="J21" t="str">
        <f t="shared" si="5"/>
        <v/>
      </c>
      <c r="K21" t="e">
        <f>IF('General overview'!$C$27="Buy",I21-($I$4-1),0)</f>
        <v>#VALUE!</v>
      </c>
      <c r="L21" s="171" t="str">
        <f>IF(I21&lt;=$C$6,-FV(Investments!$E$5/12,'House calculator '!K21*12,'House calculator '!$C$14,0,1),"")</f>
        <v/>
      </c>
      <c r="M21" s="171" t="str">
        <f t="shared" si="0"/>
        <v/>
      </c>
      <c r="N21" s="171" t="str">
        <f t="shared" si="1"/>
        <v/>
      </c>
      <c r="O21" s="171" t="str">
        <f t="shared" si="2"/>
        <v/>
      </c>
      <c r="P21" s="171" t="str">
        <f t="shared" si="3"/>
        <v/>
      </c>
    </row>
    <row r="22" spans="2:16">
      <c r="B22" s="126" t="s">
        <v>4803</v>
      </c>
      <c r="C22" s="128">
        <f>-FV(C21/12,C11*12,C14,0,1)</f>
        <v>1047431.9430636864</v>
      </c>
      <c r="I22" t="str">
        <f t="shared" si="4"/>
        <v/>
      </c>
      <c r="J22" t="str">
        <f t="shared" si="5"/>
        <v/>
      </c>
      <c r="K22" t="e">
        <f>IF('General overview'!$C$27="Buy",I22-($I$4-1),0)</f>
        <v>#VALUE!</v>
      </c>
      <c r="L22" s="171" t="str">
        <f>IF(I22&lt;=$C$6,-FV(Investments!$E$5/12,'House calculator '!K22*12,'House calculator '!$C$14,0,1),"")</f>
        <v/>
      </c>
      <c r="M22" s="171" t="str">
        <f t="shared" si="0"/>
        <v/>
      </c>
      <c r="N22" s="171" t="str">
        <f t="shared" si="1"/>
        <v/>
      </c>
      <c r="O22" s="171" t="str">
        <f t="shared" si="2"/>
        <v/>
      </c>
      <c r="P22" s="171" t="str">
        <f t="shared" si="3"/>
        <v/>
      </c>
    </row>
    <row r="23" spans="2:16">
      <c r="B23" s="134" t="s">
        <v>4843</v>
      </c>
      <c r="C23" s="2"/>
      <c r="I23" t="str">
        <f t="shared" si="4"/>
        <v/>
      </c>
      <c r="J23" t="str">
        <f t="shared" si="5"/>
        <v/>
      </c>
      <c r="K23" t="e">
        <f>IF('General overview'!$C$27="Buy",I23-($I$4-1),0)</f>
        <v>#VALUE!</v>
      </c>
      <c r="L23" s="171" t="str">
        <f>IF(I23&lt;=$C$6,-FV(Investments!$E$5/12,'House calculator '!K23*12,'House calculator '!$C$14,0,1),"")</f>
        <v/>
      </c>
      <c r="M23" s="171" t="str">
        <f t="shared" si="0"/>
        <v/>
      </c>
      <c r="N23" s="171" t="str">
        <f t="shared" si="1"/>
        <v/>
      </c>
      <c r="O23" s="171" t="str">
        <f t="shared" si="2"/>
        <v/>
      </c>
      <c r="P23" s="171" t="str">
        <f t="shared" si="3"/>
        <v/>
      </c>
    </row>
    <row r="24" spans="2:16">
      <c r="B24" s="126" t="s">
        <v>4795</v>
      </c>
      <c r="C24" s="39">
        <v>5.0000000000000001E-3</v>
      </c>
      <c r="I24" t="str">
        <f t="shared" si="4"/>
        <v/>
      </c>
      <c r="J24" t="str">
        <f t="shared" si="5"/>
        <v/>
      </c>
      <c r="K24" t="e">
        <f>IF('General overview'!$C$27="Buy",I24-($I$4-1),0)</f>
        <v>#VALUE!</v>
      </c>
      <c r="L24" s="171" t="str">
        <f>IF(I24&lt;=$C$6,-FV(Investments!$E$5/12,'House calculator '!K24*12,'House calculator '!$C$14,0,1),"")</f>
        <v/>
      </c>
      <c r="M24" s="171" t="str">
        <f t="shared" si="0"/>
        <v/>
      </c>
      <c r="N24" s="171" t="str">
        <f t="shared" si="1"/>
        <v/>
      </c>
      <c r="O24" s="171" t="str">
        <f t="shared" si="2"/>
        <v/>
      </c>
      <c r="P24" s="171" t="str">
        <f t="shared" si="3"/>
        <v/>
      </c>
    </row>
    <row r="25" spans="2:16">
      <c r="B25" s="126" t="s">
        <v>4803</v>
      </c>
      <c r="C25" s="128">
        <f>-FV(C24/12,C11*12,C14,0,1)</f>
        <v>670628.35113630292</v>
      </c>
      <c r="I25" t="str">
        <f t="shared" si="4"/>
        <v/>
      </c>
      <c r="J25" t="str">
        <f t="shared" si="5"/>
        <v/>
      </c>
      <c r="K25" t="e">
        <f>IF('General overview'!$C$27="Buy",I25-($I$4-1),0)</f>
        <v>#VALUE!</v>
      </c>
      <c r="L25" s="171" t="str">
        <f>IF(I25&lt;=$C$6,-FV(Investments!$E$5/12,'House calculator '!K25*12,'House calculator '!$C$14,0,1),"")</f>
        <v/>
      </c>
      <c r="M25" s="171" t="str">
        <f t="shared" si="0"/>
        <v/>
      </c>
      <c r="N25" s="171" t="str">
        <f t="shared" si="1"/>
        <v/>
      </c>
      <c r="O25" s="171" t="str">
        <f t="shared" si="2"/>
        <v/>
      </c>
      <c r="P25" s="171" t="str">
        <f t="shared" si="3"/>
        <v/>
      </c>
    </row>
    <row r="26" spans="2:16">
      <c r="I26" t="str">
        <f t="shared" si="4"/>
        <v/>
      </c>
      <c r="J26" t="str">
        <f t="shared" si="5"/>
        <v/>
      </c>
      <c r="K26" t="e">
        <f>IF('General overview'!$C$27="Buy",I26-($I$4-1),0)</f>
        <v>#VALUE!</v>
      </c>
      <c r="L26" s="171" t="str">
        <f>IF(I26&lt;=$C$6,-FV(Investments!$E$5/12,'House calculator '!K26*12,'House calculator '!$C$14,0,1),"")</f>
        <v/>
      </c>
      <c r="M26" s="171" t="str">
        <f t="shared" si="0"/>
        <v/>
      </c>
      <c r="N26" s="171" t="str">
        <f t="shared" si="1"/>
        <v/>
      </c>
      <c r="O26" s="171" t="str">
        <f t="shared" si="2"/>
        <v/>
      </c>
      <c r="P26" s="171" t="str">
        <f t="shared" si="3"/>
        <v/>
      </c>
    </row>
    <row r="27" spans="2:16">
      <c r="I27" t="str">
        <f t="shared" si="4"/>
        <v/>
      </c>
      <c r="J27" t="str">
        <f t="shared" si="5"/>
        <v/>
      </c>
      <c r="K27" t="e">
        <f>IF('General overview'!$C$27="Buy",I27-($I$4-1),0)</f>
        <v>#VALUE!</v>
      </c>
      <c r="L27" s="171" t="str">
        <f>IF(I27&lt;=$C$6,-FV(Investments!$E$5/12,'House calculator '!K27*12,'House calculator '!$C$14,0,1),"")</f>
        <v/>
      </c>
      <c r="M27" s="171" t="str">
        <f t="shared" si="0"/>
        <v/>
      </c>
      <c r="N27" s="171" t="str">
        <f t="shared" si="1"/>
        <v/>
      </c>
      <c r="O27" s="171" t="str">
        <f t="shared" si="2"/>
        <v/>
      </c>
      <c r="P27" s="171" t="str">
        <f t="shared" si="3"/>
        <v/>
      </c>
    </row>
    <row r="28" spans="2:16">
      <c r="I28" t="str">
        <f t="shared" si="4"/>
        <v/>
      </c>
      <c r="J28" t="str">
        <f t="shared" si="5"/>
        <v/>
      </c>
      <c r="K28" t="e">
        <f>IF('General overview'!$C$27="Buy",I28-($I$4-1),0)</f>
        <v>#VALUE!</v>
      </c>
      <c r="L28" s="171" t="str">
        <f>IF(I28&lt;=$C$6,-FV(Investments!$E$5/12,'House calculator '!K28*12,'House calculator '!$C$14,0,1),"")</f>
        <v/>
      </c>
      <c r="M28" s="171" t="str">
        <f t="shared" si="0"/>
        <v/>
      </c>
      <c r="N28" s="171" t="str">
        <f t="shared" si="1"/>
        <v/>
      </c>
      <c r="O28" s="171" t="str">
        <f t="shared" si="2"/>
        <v/>
      </c>
      <c r="P28" s="171" t="str">
        <f t="shared" si="3"/>
        <v/>
      </c>
    </row>
    <row r="29" spans="2:16">
      <c r="I29" t="str">
        <f t="shared" si="4"/>
        <v/>
      </c>
      <c r="J29" t="str">
        <f t="shared" si="5"/>
        <v/>
      </c>
      <c r="K29" t="e">
        <f>IF('General overview'!$C$27="Buy",I29-($I$4-1),0)</f>
        <v>#VALUE!</v>
      </c>
      <c r="L29" s="171" t="str">
        <f>IF(I29&lt;=$C$6,-FV(Investments!$E$5/12,'House calculator '!K29*12,'House calculator '!$C$14,0,1),"")</f>
        <v/>
      </c>
      <c r="M29" s="171" t="str">
        <f t="shared" si="0"/>
        <v/>
      </c>
      <c r="N29" s="171" t="str">
        <f t="shared" si="1"/>
        <v/>
      </c>
      <c r="O29" s="171" t="str">
        <f t="shared" si="2"/>
        <v/>
      </c>
      <c r="P29" s="171" t="str">
        <f t="shared" si="3"/>
        <v/>
      </c>
    </row>
    <row r="30" spans="2:16">
      <c r="I30" t="str">
        <f>IFERROR(IF(I29+1&lt;=$C$6,I29+1,""),"")</f>
        <v/>
      </c>
      <c r="J30" t="str">
        <f t="shared" si="5"/>
        <v/>
      </c>
      <c r="K30" t="e">
        <f>IF('General overview'!$C$27="Buy",I30-($I$4-1),0)</f>
        <v>#VALUE!</v>
      </c>
      <c r="L30" s="171" t="str">
        <f>IF(I30&lt;=$C$6,-FV(Investments!$E$5/12,'House calculator '!K30*12,'House calculator '!$C$14,0,1),"")</f>
        <v/>
      </c>
      <c r="M30" s="171" t="str">
        <f t="shared" si="0"/>
        <v/>
      </c>
      <c r="N30" s="171" t="str">
        <f t="shared" si="1"/>
        <v/>
      </c>
      <c r="O30" s="171" t="str">
        <f t="shared" si="2"/>
        <v/>
      </c>
      <c r="P30" s="171" t="str">
        <f t="shared" si="3"/>
        <v/>
      </c>
    </row>
    <row r="31" spans="2:16">
      <c r="I31" t="str">
        <f t="shared" si="4"/>
        <v/>
      </c>
      <c r="J31" t="str">
        <f t="shared" si="5"/>
        <v/>
      </c>
      <c r="K31" t="e">
        <f>IF('General overview'!$C$27="Buy",I31-($I$4-1),0)</f>
        <v>#VALUE!</v>
      </c>
      <c r="L31" s="171" t="str">
        <f>IF(I31&lt;=$C$6,-FV(Investments!$E$5/12,'House calculator '!K31*12,'House calculator '!$C$14,0,1),"")</f>
        <v/>
      </c>
      <c r="M31" s="171" t="str">
        <f t="shared" si="0"/>
        <v/>
      </c>
      <c r="N31" s="171" t="str">
        <f t="shared" si="1"/>
        <v/>
      </c>
      <c r="O31" s="171" t="str">
        <f t="shared" si="2"/>
        <v/>
      </c>
      <c r="P31" s="171" t="str">
        <f t="shared" si="3"/>
        <v/>
      </c>
    </row>
    <row r="32" spans="2:16">
      <c r="I32" t="str">
        <f t="shared" si="4"/>
        <v/>
      </c>
      <c r="J32" t="str">
        <f t="shared" si="5"/>
        <v/>
      </c>
      <c r="K32" t="e">
        <f>IF('General overview'!$C$27="Buy",I32-($I$4-1),0)</f>
        <v>#VALUE!</v>
      </c>
      <c r="L32" s="171" t="str">
        <f>IF(I32&lt;=$C$6,-FV(Investments!$E$5/12,'House calculator '!K32*12,'House calculator '!$C$14,0,1),"")</f>
        <v/>
      </c>
      <c r="M32" s="171" t="str">
        <f t="shared" si="0"/>
        <v/>
      </c>
      <c r="N32" s="171" t="str">
        <f t="shared" si="1"/>
        <v/>
      </c>
      <c r="O32" s="171" t="str">
        <f t="shared" si="2"/>
        <v/>
      </c>
      <c r="P32" s="171" t="str">
        <f t="shared" si="3"/>
        <v/>
      </c>
    </row>
    <row r="33" spans="9:16">
      <c r="I33" t="str">
        <f t="shared" si="4"/>
        <v/>
      </c>
      <c r="J33" t="str">
        <f t="shared" si="5"/>
        <v/>
      </c>
      <c r="K33" t="e">
        <f>IF('General overview'!$C$27="Buy",I33-($I$4-1),0)</f>
        <v>#VALUE!</v>
      </c>
      <c r="L33" s="171" t="str">
        <f>IF(I33&lt;=$C$6,-FV(Investments!$E$5/12,'House calculator '!K33*12,'House calculator '!$C$14,0,1),"")</f>
        <v/>
      </c>
      <c r="M33" s="171" t="str">
        <f t="shared" si="0"/>
        <v/>
      </c>
      <c r="N33" s="171" t="str">
        <f t="shared" si="1"/>
        <v/>
      </c>
      <c r="O33" s="171" t="str">
        <f t="shared" si="2"/>
        <v/>
      </c>
      <c r="P33" s="171" t="str">
        <f t="shared" si="3"/>
        <v/>
      </c>
    </row>
    <row r="34" spans="9:16">
      <c r="I34" t="str">
        <f t="shared" si="4"/>
        <v/>
      </c>
      <c r="J34" t="str">
        <f t="shared" si="5"/>
        <v/>
      </c>
      <c r="K34" t="e">
        <f>IF('General overview'!$C$27="Buy",I34-($I$4-1),0)</f>
        <v>#VALUE!</v>
      </c>
      <c r="L34" s="171" t="str">
        <f>IF(I34&lt;=$C$6,-FV(Investments!$E$5/12,'House calculator '!K34*12,'House calculator '!$C$14,0,1),"")</f>
        <v/>
      </c>
      <c r="M34" s="171" t="str">
        <f t="shared" si="0"/>
        <v/>
      </c>
      <c r="N34" s="171" t="str">
        <f t="shared" si="1"/>
        <v/>
      </c>
      <c r="O34" s="171" t="str">
        <f t="shared" si="2"/>
        <v/>
      </c>
      <c r="P34" s="171" t="str">
        <f t="shared" si="3"/>
        <v/>
      </c>
    </row>
    <row r="35" spans="9:16">
      <c r="I35" t="str">
        <f t="shared" si="4"/>
        <v/>
      </c>
      <c r="J35" t="str">
        <f t="shared" si="5"/>
        <v/>
      </c>
      <c r="K35" t="e">
        <f>IF('General overview'!$C$27="Buy",I35-($I$4-1),0)</f>
        <v>#VALUE!</v>
      </c>
      <c r="L35" s="171" t="str">
        <f>IF(I35&lt;=$C$6,-FV(Investments!$E$5/12,'House calculator '!K35*12,'House calculator '!$C$14,0,1),"")</f>
        <v/>
      </c>
      <c r="M35" s="171" t="str">
        <f t="shared" si="0"/>
        <v/>
      </c>
      <c r="N35" s="171" t="str">
        <f t="shared" si="1"/>
        <v/>
      </c>
      <c r="O35" s="171" t="str">
        <f t="shared" si="2"/>
        <v/>
      </c>
      <c r="P35" s="171" t="str">
        <f t="shared" si="3"/>
        <v/>
      </c>
    </row>
    <row r="36" spans="9:16">
      <c r="I36" t="str">
        <f t="shared" si="4"/>
        <v/>
      </c>
      <c r="J36" t="str">
        <f t="shared" si="5"/>
        <v/>
      </c>
      <c r="K36" t="e">
        <f>IF('General overview'!$C$27="Buy",I36-($I$4-1),0)</f>
        <v>#VALUE!</v>
      </c>
      <c r="L36" s="171" t="str">
        <f>IF(I36&lt;=$C$6,-FV(Investments!$E$5/12,'House calculator '!K36*12,'House calculator '!$C$14,0,1),"")</f>
        <v/>
      </c>
      <c r="M36" s="171" t="str">
        <f t="shared" si="0"/>
        <v/>
      </c>
      <c r="N36" s="171" t="str">
        <f t="shared" si="1"/>
        <v/>
      </c>
      <c r="O36" s="171" t="str">
        <f t="shared" si="2"/>
        <v/>
      </c>
      <c r="P36" s="171" t="str">
        <f t="shared" si="3"/>
        <v/>
      </c>
    </row>
    <row r="37" spans="9:16">
      <c r="I37" t="str">
        <f t="shared" si="4"/>
        <v/>
      </c>
      <c r="J37" t="str">
        <f t="shared" si="5"/>
        <v/>
      </c>
      <c r="K37" t="e">
        <f>IF('General overview'!$C$27="Buy",I37-($I$4-1),0)</f>
        <v>#VALUE!</v>
      </c>
      <c r="L37" s="171" t="str">
        <f>IF(I37&lt;=$C$6,-FV(Investments!$E$5/12,'House calculator '!K37*12,'House calculator '!$C$14,0,1),"")</f>
        <v/>
      </c>
      <c r="M37" s="171" t="str">
        <f t="shared" si="0"/>
        <v/>
      </c>
      <c r="N37" s="171" t="str">
        <f t="shared" si="1"/>
        <v/>
      </c>
      <c r="O37" s="171" t="str">
        <f t="shared" si="2"/>
        <v/>
      </c>
      <c r="P37" s="171" t="str">
        <f t="shared" si="3"/>
        <v/>
      </c>
    </row>
    <row r="38" spans="9:16">
      <c r="I38" t="str">
        <f t="shared" si="4"/>
        <v/>
      </c>
      <c r="J38" t="str">
        <f t="shared" si="5"/>
        <v/>
      </c>
      <c r="K38" t="e">
        <f>IF('General overview'!$C$27="Buy",I38-($I$4-1),0)</f>
        <v>#VALUE!</v>
      </c>
      <c r="L38" s="171" t="str">
        <f>IF(I38&lt;=$C$6,-FV(Investments!$E$5/12,'House calculator '!K38*12,'House calculator '!$C$14,0,1),"")</f>
        <v/>
      </c>
      <c r="M38" s="171" t="str">
        <f t="shared" si="0"/>
        <v/>
      </c>
      <c r="N38" s="171" t="str">
        <f t="shared" si="1"/>
        <v/>
      </c>
      <c r="O38" s="171" t="str">
        <f t="shared" si="2"/>
        <v/>
      </c>
      <c r="P38" s="171" t="str">
        <f t="shared" si="3"/>
        <v/>
      </c>
    </row>
    <row r="39" spans="9:16">
      <c r="I39" t="str">
        <f t="shared" si="4"/>
        <v/>
      </c>
      <c r="J39" t="str">
        <f t="shared" si="5"/>
        <v/>
      </c>
      <c r="K39" t="e">
        <f>IF('General overview'!$C$27="Buy",I39-($I$4-1),0)</f>
        <v>#VALUE!</v>
      </c>
      <c r="L39" s="171" t="str">
        <f>IF(I39&lt;=$C$6,-FV(Investments!$E$5/12,'House calculator '!K39*12,'House calculator '!$C$14,0,1),"")</f>
        <v/>
      </c>
      <c r="M39" s="171" t="str">
        <f t="shared" si="0"/>
        <v/>
      </c>
      <c r="N39" s="171" t="str">
        <f t="shared" si="1"/>
        <v/>
      </c>
      <c r="O39" s="171" t="str">
        <f t="shared" si="2"/>
        <v/>
      </c>
      <c r="P39" s="171" t="str">
        <f t="shared" si="3"/>
        <v/>
      </c>
    </row>
    <row r="40" spans="9:16">
      <c r="I40" t="str">
        <f t="shared" si="4"/>
        <v/>
      </c>
      <c r="J40" t="str">
        <f t="shared" si="5"/>
        <v/>
      </c>
      <c r="K40" t="e">
        <f>IF('General overview'!$C$27="Buy",I40-($I$4-1),0)</f>
        <v>#VALUE!</v>
      </c>
      <c r="L40" s="171" t="str">
        <f>IF(I40&lt;=$C$6,-FV(Investments!$E$5/12,'House calculator '!K40*12,'House calculator '!$C$14,0,1),"")</f>
        <v/>
      </c>
      <c r="M40" s="171" t="str">
        <f t="shared" si="0"/>
        <v/>
      </c>
      <c r="N40" s="171" t="str">
        <f t="shared" si="1"/>
        <v/>
      </c>
      <c r="O40" s="171" t="str">
        <f t="shared" si="2"/>
        <v/>
      </c>
      <c r="P40" s="171" t="str">
        <f t="shared" si="3"/>
        <v/>
      </c>
    </row>
    <row r="41" spans="9:16">
      <c r="I41" t="str">
        <f t="shared" si="4"/>
        <v/>
      </c>
      <c r="J41" t="str">
        <f t="shared" si="5"/>
        <v/>
      </c>
      <c r="K41" t="e">
        <f>IF('General overview'!$C$27="Buy",I41-($I$4-1),0)</f>
        <v>#VALUE!</v>
      </c>
      <c r="L41" s="171" t="str">
        <f>IF(I41&lt;=$C$6,-FV(Investments!$E$5/12,'House calculator '!K41*12,'House calculator '!$C$14,0,1),"")</f>
        <v/>
      </c>
      <c r="M41" s="171" t="str">
        <f t="shared" si="0"/>
        <v/>
      </c>
      <c r="N41" s="171" t="str">
        <f t="shared" si="1"/>
        <v/>
      </c>
      <c r="O41" s="171" t="str">
        <f t="shared" si="2"/>
        <v/>
      </c>
      <c r="P41" s="171" t="str">
        <f t="shared" si="3"/>
        <v/>
      </c>
    </row>
    <row r="42" spans="9:16">
      <c r="I42" t="str">
        <f t="shared" si="4"/>
        <v/>
      </c>
      <c r="J42" t="str">
        <f t="shared" si="5"/>
        <v/>
      </c>
      <c r="K42" t="e">
        <f>IF('General overview'!$C$27="Buy",I42-($I$4-1),0)</f>
        <v>#VALUE!</v>
      </c>
      <c r="L42" s="171" t="str">
        <f>IF(I42&lt;=$C$6,-FV(Investments!$E$5/12,'House calculator '!K42*12,'House calculator '!$C$14,0,1),"")</f>
        <v/>
      </c>
      <c r="M42" s="171" t="str">
        <f t="shared" si="0"/>
        <v/>
      </c>
      <c r="N42" s="171" t="str">
        <f t="shared" si="1"/>
        <v/>
      </c>
      <c r="O42" s="171" t="str">
        <f t="shared" si="2"/>
        <v/>
      </c>
      <c r="P42" s="171" t="str">
        <f t="shared" si="3"/>
        <v/>
      </c>
    </row>
    <row r="43" spans="9:16">
      <c r="I43" t="str">
        <f t="shared" si="4"/>
        <v/>
      </c>
      <c r="J43" t="str">
        <f t="shared" si="5"/>
        <v/>
      </c>
      <c r="K43" t="e">
        <f>IF('General overview'!$C$27="Buy",I43-($I$4-1),0)</f>
        <v>#VALUE!</v>
      </c>
      <c r="L43" s="171" t="str">
        <f>IF(I43&lt;=$C$6,-FV(Investments!$E$5/12,'House calculator '!K43*12,'House calculator '!$C$14,0,1),"")</f>
        <v/>
      </c>
      <c r="M43" s="171" t="str">
        <f t="shared" si="0"/>
        <v/>
      </c>
      <c r="N43" s="171" t="str">
        <f t="shared" si="1"/>
        <v/>
      </c>
      <c r="O43" s="171" t="str">
        <f t="shared" si="2"/>
        <v/>
      </c>
      <c r="P43" s="171" t="str">
        <f t="shared" si="3"/>
        <v/>
      </c>
    </row>
    <row r="44" spans="9:16">
      <c r="I44" t="str">
        <f t="shared" si="4"/>
        <v/>
      </c>
      <c r="J44" t="str">
        <f t="shared" si="5"/>
        <v/>
      </c>
      <c r="K44" t="e">
        <f>IF('General overview'!$C$27="Buy",I44-($I$4-1),0)</f>
        <v>#VALUE!</v>
      </c>
      <c r="L44" s="171" t="str">
        <f>IF(I44&lt;=$C$6,-FV(Investments!$E$5/12,'House calculator '!K44*12,'House calculator '!$C$14,0,1),"")</f>
        <v/>
      </c>
      <c r="M44" s="171" t="str">
        <f t="shared" si="0"/>
        <v/>
      </c>
      <c r="N44" s="171" t="str">
        <f t="shared" si="1"/>
        <v/>
      </c>
      <c r="O44" s="171" t="str">
        <f t="shared" si="2"/>
        <v/>
      </c>
      <c r="P44" s="171" t="str">
        <f t="shared" si="3"/>
        <v/>
      </c>
    </row>
    <row r="45" spans="9:16">
      <c r="I45" t="str">
        <f t="shared" si="4"/>
        <v/>
      </c>
      <c r="J45" t="str">
        <f t="shared" si="5"/>
        <v/>
      </c>
      <c r="K45" t="e">
        <f>IF('General overview'!$C$27="Buy",I45-($I$4-1),0)</f>
        <v>#VALUE!</v>
      </c>
      <c r="L45" s="171" t="str">
        <f>IF(I45&lt;=$C$6,-FV(Investments!$E$5/12,'House calculator '!K45*12,'House calculator '!$C$14,0,1),"")</f>
        <v/>
      </c>
      <c r="M45" s="171" t="str">
        <f t="shared" si="0"/>
        <v/>
      </c>
      <c r="N45" s="171" t="str">
        <f t="shared" si="1"/>
        <v/>
      </c>
      <c r="O45" s="171" t="str">
        <f t="shared" si="2"/>
        <v/>
      </c>
      <c r="P45" s="171" t="str">
        <f t="shared" si="3"/>
        <v/>
      </c>
    </row>
    <row r="46" spans="9:16">
      <c r="I46" t="str">
        <f t="shared" si="4"/>
        <v/>
      </c>
      <c r="J46" t="str">
        <f t="shared" si="5"/>
        <v/>
      </c>
      <c r="K46" t="e">
        <f>IF('General overview'!$C$27="Buy",I46-($I$4-1),0)</f>
        <v>#VALUE!</v>
      </c>
      <c r="L46" s="171" t="str">
        <f>IF(I46&lt;=$C$6,-FV(Investments!$E$5/12,'House calculator '!K46*12,'House calculator '!$C$14,0,1),"")</f>
        <v/>
      </c>
      <c r="M46" s="171" t="str">
        <f t="shared" si="0"/>
        <v/>
      </c>
      <c r="N46" s="171" t="str">
        <f t="shared" si="1"/>
        <v/>
      </c>
      <c r="O46" s="171" t="str">
        <f t="shared" si="2"/>
        <v/>
      </c>
      <c r="P46" s="171" t="str">
        <f t="shared" si="3"/>
        <v/>
      </c>
    </row>
    <row r="52" spans="9:16">
      <c r="I52" s="23" t="s">
        <v>13</v>
      </c>
      <c r="J52" s="23" t="s">
        <v>16</v>
      </c>
      <c r="K52" s="23" t="s">
        <v>4784</v>
      </c>
      <c r="L52" s="82" t="s">
        <v>4885</v>
      </c>
      <c r="M52" s="82" t="s">
        <v>4886</v>
      </c>
      <c r="N52" s="82" t="s">
        <v>88</v>
      </c>
      <c r="O52" s="82" t="s">
        <v>4887</v>
      </c>
      <c r="P52" s="23" t="s">
        <v>4884</v>
      </c>
    </row>
    <row r="53" spans="9:16">
      <c r="I53">
        <f t="shared" ref="I53" si="6">IFERROR(IF(C5&lt;=$C$6,C5,""),"")</f>
        <v>28</v>
      </c>
      <c r="J53" s="169">
        <f ca="1">YEAR(TODAY())</f>
        <v>2024</v>
      </c>
      <c r="K53">
        <f>IFERROR(0,"")</f>
        <v>0</v>
      </c>
      <c r="L53" s="171">
        <f ca="1">IF(Tabella4281[[#This Row],[Investment years]]&lt;$C$11,SUMIF('CF Timeline'!$C$5:$BC$5,Tabella4281[[#This Row],[Year]],'CF Timeline'!$C$56:$BC$56),0)</f>
        <v>57792.98842355673</v>
      </c>
      <c r="M53" s="171">
        <f ca="1">Tabella4281[[#This Row],[Yearly investment]]</f>
        <v>57792.98842355673</v>
      </c>
      <c r="N53" s="171">
        <f ca="1">Tabella4281[[#This Row],[Tot invested]]*$C$12</f>
        <v>3467.5793054134037</v>
      </c>
      <c r="O53" s="171">
        <f ca="1">Tabella4281[[#This Row],[Tot invested]]+Tabella4281[[#This Row],[Interests]]</f>
        <v>61260.567728970134</v>
      </c>
      <c r="P53" s="171"/>
    </row>
    <row r="54" spans="9:16">
      <c r="I54">
        <f>IFERROR(IF(I53+1&lt;=$C$6,I53+1,""),"")</f>
        <v>29</v>
      </c>
      <c r="J54" s="170">
        <f ca="1">IFERROR(IF(I54&lt;=$C$6,J53+1,""),"")</f>
        <v>2025</v>
      </c>
      <c r="K54">
        <f>IFERROR(I54-$I$53,"")</f>
        <v>1</v>
      </c>
      <c r="L54" s="171" t="e">
        <f ca="1">IF(Tabella4281[[#This Row],[Investment years]]&lt;$C$11,SUMIF('CF Timeline'!$C$5:$BC$5,Tabella4281[[#This Row],[Year]],'CF Timeline'!$C$56:$BC$56),0)</f>
        <v>#REF!</v>
      </c>
      <c r="M54" s="171" t="e">
        <f ca="1">IF(Tabella4281[[#This Row],[Investment years]]&lt;$C$11,Tabella4281[[#This Row],[Yearly investment]]+O53,0)</f>
        <v>#REF!</v>
      </c>
      <c r="N54" s="171" t="e">
        <f ca="1">Tabella4281[[#This Row],[Tot invested]]*$C$12</f>
        <v>#REF!</v>
      </c>
      <c r="O54" s="171" t="e">
        <f ca="1">Tabella4281[[#This Row],[Tot invested]]+Tabella4281[[#This Row],[Interests]]</f>
        <v>#REF!</v>
      </c>
      <c r="P54" s="171"/>
    </row>
    <row r="55" spans="9:16">
      <c r="I55">
        <f t="shared" ref="I55:I95" si="7">IFERROR(IF(I54+1&lt;=$C$6,I54+1,""),"")</f>
        <v>30</v>
      </c>
      <c r="J55" s="170">
        <f t="shared" ref="J55:J95" ca="1" si="8">IFERROR(IF(I55&lt;=$C$6,J54+1,""),"")</f>
        <v>2026</v>
      </c>
      <c r="K55">
        <f t="shared" ref="K55:K95" si="9">IFERROR(I55-$I$53,"")</f>
        <v>2</v>
      </c>
      <c r="L55" s="171" t="e">
        <f ca="1">IF(Tabella4281[[#This Row],[Investment years]]&lt;$C$11,SUMIF('CF Timeline'!$C$5:$BC$5,Tabella4281[[#This Row],[Year]],'CF Timeline'!$C$56:$BC$56),0)</f>
        <v>#REF!</v>
      </c>
      <c r="M55" s="171" t="e">
        <f ca="1">IF(Tabella4281[[#This Row],[Investment years]]&lt;$C$11,Tabella4281[[#This Row],[Yearly investment]]+O54,0)</f>
        <v>#REF!</v>
      </c>
      <c r="N55" s="171" t="e">
        <f ca="1">Tabella4281[[#This Row],[Tot invested]]*$C$12</f>
        <v>#REF!</v>
      </c>
      <c r="O55" s="171" t="e">
        <f ca="1">Tabella4281[[#This Row],[Tot invested]]+Tabella4281[[#This Row],[Interests]]</f>
        <v>#REF!</v>
      </c>
      <c r="P55" s="171"/>
    </row>
    <row r="56" spans="9:16">
      <c r="I56">
        <f t="shared" si="7"/>
        <v>31</v>
      </c>
      <c r="J56" s="170">
        <f t="shared" ca="1" si="8"/>
        <v>2027</v>
      </c>
      <c r="K56">
        <f t="shared" si="9"/>
        <v>3</v>
      </c>
      <c r="L56" s="171" t="e">
        <f ca="1">IF(Tabella4281[[#This Row],[Investment years]]&lt;$C$11,SUMIF('CF Timeline'!$C$5:$BC$5,Tabella4281[[#This Row],[Year]],'CF Timeline'!$C$56:$BC$56),0)</f>
        <v>#REF!</v>
      </c>
      <c r="M56" s="171" t="e">
        <f ca="1">IF(Tabella4281[[#This Row],[Investment years]]&lt;$C$11,Tabella4281[[#This Row],[Yearly investment]]+O55,0)</f>
        <v>#REF!</v>
      </c>
      <c r="N56" s="171" t="e">
        <f ca="1">Tabella4281[[#This Row],[Tot invested]]*$C$12</f>
        <v>#REF!</v>
      </c>
      <c r="O56" s="171" t="e">
        <f ca="1">Tabella4281[[#This Row],[Tot invested]]+Tabella4281[[#This Row],[Interests]]</f>
        <v>#REF!</v>
      </c>
      <c r="P56" s="171"/>
    </row>
    <row r="57" spans="9:16">
      <c r="I57">
        <f t="shared" si="7"/>
        <v>32</v>
      </c>
      <c r="J57" s="170">
        <f t="shared" ca="1" si="8"/>
        <v>2028</v>
      </c>
      <c r="K57">
        <f t="shared" si="9"/>
        <v>4</v>
      </c>
      <c r="L57" s="171" t="e">
        <f ca="1">IF(Tabella4281[[#This Row],[Investment years]]&lt;$C$11,SUMIF('CF Timeline'!$C$5:$BC$5,Tabella4281[[#This Row],[Year]],'CF Timeline'!$C$56:$BC$56),0)</f>
        <v>#REF!</v>
      </c>
      <c r="M57" s="171" t="e">
        <f ca="1">IF(Tabella4281[[#This Row],[Investment years]]&lt;$C$11,Tabella4281[[#This Row],[Yearly investment]]+O56,0)</f>
        <v>#REF!</v>
      </c>
      <c r="N57" s="171" t="e">
        <f ca="1">Tabella4281[[#This Row],[Tot invested]]*$C$12</f>
        <v>#REF!</v>
      </c>
      <c r="O57" s="171" t="e">
        <f ca="1">Tabella4281[[#This Row],[Tot invested]]+Tabella4281[[#This Row],[Interests]]</f>
        <v>#REF!</v>
      </c>
      <c r="P57" s="171"/>
    </row>
    <row r="58" spans="9:16">
      <c r="I58">
        <f t="shared" si="7"/>
        <v>33</v>
      </c>
      <c r="J58" s="170">
        <f t="shared" ca="1" si="8"/>
        <v>2029</v>
      </c>
      <c r="K58">
        <f t="shared" si="9"/>
        <v>5</v>
      </c>
      <c r="L58" s="171" t="e">
        <f ca="1">IF(Tabella4281[[#This Row],[Investment years]]&lt;$C$11,SUMIF('CF Timeline'!$C$5:$BC$5,Tabella4281[[#This Row],[Year]],'CF Timeline'!$C$56:$BC$56),0)</f>
        <v>#REF!</v>
      </c>
      <c r="M58" s="171" t="e">
        <f ca="1">IF(Tabella4281[[#This Row],[Investment years]]&lt;$C$11,Tabella4281[[#This Row],[Yearly investment]]+O57,0)</f>
        <v>#REF!</v>
      </c>
      <c r="N58" s="171" t="e">
        <f ca="1">Tabella4281[[#This Row],[Tot invested]]*$C$12</f>
        <v>#REF!</v>
      </c>
      <c r="O58" s="171" t="e">
        <f ca="1">Tabella4281[[#This Row],[Tot invested]]+Tabella4281[[#This Row],[Interests]]</f>
        <v>#REF!</v>
      </c>
      <c r="P58" s="171"/>
    </row>
    <row r="59" spans="9:16">
      <c r="I59">
        <f t="shared" si="7"/>
        <v>34</v>
      </c>
      <c r="J59" s="170">
        <f t="shared" ca="1" si="8"/>
        <v>2030</v>
      </c>
      <c r="K59">
        <f t="shared" si="9"/>
        <v>6</v>
      </c>
      <c r="L59" s="171" t="e">
        <f ca="1">IF(Tabella4281[[#This Row],[Investment years]]&lt;$C$11,SUMIF('CF Timeline'!$C$5:$BC$5,Tabella4281[[#This Row],[Year]],'CF Timeline'!$C$56:$BC$56),0)</f>
        <v>#REF!</v>
      </c>
      <c r="M59" s="171" t="e">
        <f ca="1">IF(Tabella4281[[#This Row],[Investment years]]&lt;$C$11,Tabella4281[[#This Row],[Yearly investment]]+O58,0)</f>
        <v>#REF!</v>
      </c>
      <c r="N59" s="171" t="e">
        <f ca="1">Tabella4281[[#This Row],[Tot invested]]*$C$12</f>
        <v>#REF!</v>
      </c>
      <c r="O59" s="171" t="e">
        <f ca="1">Tabella4281[[#This Row],[Tot invested]]+Tabella4281[[#This Row],[Interests]]</f>
        <v>#REF!</v>
      </c>
      <c r="P59" s="171"/>
    </row>
    <row r="60" spans="9:16">
      <c r="I60">
        <f t="shared" si="7"/>
        <v>35</v>
      </c>
      <c r="J60" s="170">
        <f t="shared" ca="1" si="8"/>
        <v>2031</v>
      </c>
      <c r="K60">
        <f t="shared" si="9"/>
        <v>7</v>
      </c>
      <c r="L60" s="171" t="e">
        <f ca="1">IF(Tabella4281[[#This Row],[Investment years]]&lt;$C$11,SUMIF('CF Timeline'!$C$5:$BC$5,Tabella4281[[#This Row],[Year]],'CF Timeline'!$C$56:$BC$56),0)</f>
        <v>#REF!</v>
      </c>
      <c r="M60" s="171" t="e">
        <f ca="1">IF(Tabella4281[[#This Row],[Investment years]]&lt;$C$11,Tabella4281[[#This Row],[Yearly investment]]+O59,0)</f>
        <v>#REF!</v>
      </c>
      <c r="N60" s="171" t="e">
        <f ca="1">Tabella4281[[#This Row],[Tot invested]]*$C$12</f>
        <v>#REF!</v>
      </c>
      <c r="O60" s="171" t="e">
        <f ca="1">Tabella4281[[#This Row],[Tot invested]]+Tabella4281[[#This Row],[Interests]]</f>
        <v>#REF!</v>
      </c>
      <c r="P60" s="171"/>
    </row>
    <row r="61" spans="9:16">
      <c r="I61">
        <f t="shared" si="7"/>
        <v>36</v>
      </c>
      <c r="J61" s="170">
        <f t="shared" ca="1" si="8"/>
        <v>2032</v>
      </c>
      <c r="K61">
        <f t="shared" si="9"/>
        <v>8</v>
      </c>
      <c r="L61" s="171" t="e">
        <f ca="1">IF(Tabella4281[[#This Row],[Investment years]]&lt;$C$11,SUMIF('CF Timeline'!$C$5:$BC$5,Tabella4281[[#This Row],[Year]],'CF Timeline'!$C$56:$BC$56),0)</f>
        <v>#REF!</v>
      </c>
      <c r="M61" s="171" t="e">
        <f ca="1">IF(Tabella4281[[#This Row],[Investment years]]&lt;$C$11,Tabella4281[[#This Row],[Yearly investment]]+O60,0)</f>
        <v>#REF!</v>
      </c>
      <c r="N61" s="171" t="e">
        <f ca="1">Tabella4281[[#This Row],[Tot invested]]*$C$12</f>
        <v>#REF!</v>
      </c>
      <c r="O61" s="171" t="e">
        <f ca="1">Tabella4281[[#This Row],[Tot invested]]+Tabella4281[[#This Row],[Interests]]</f>
        <v>#REF!</v>
      </c>
      <c r="P61" s="171"/>
    </row>
    <row r="62" spans="9:16">
      <c r="I62">
        <f t="shared" si="7"/>
        <v>37</v>
      </c>
      <c r="J62" s="170">
        <f t="shared" ca="1" si="8"/>
        <v>2033</v>
      </c>
      <c r="K62">
        <f t="shared" si="9"/>
        <v>9</v>
      </c>
      <c r="L62" s="171">
        <f ca="1">IF(Tabella4281[[#This Row],[Investment years]]&lt;$C$11,SUMIF('CF Timeline'!$C$5:$BC$5,Tabella4281[[#This Row],[Year]],'CF Timeline'!$C$56:$BC$56),0)</f>
        <v>36067.488522771528</v>
      </c>
      <c r="M62" s="171" t="e">
        <f ca="1">IF(Tabella4281[[#This Row],[Investment years]]&lt;$C$11,Tabella4281[[#This Row],[Yearly investment]]+O61,0)</f>
        <v>#REF!</v>
      </c>
      <c r="N62" s="171" t="e">
        <f ca="1">Tabella4281[[#This Row],[Tot invested]]*$C$12</f>
        <v>#REF!</v>
      </c>
      <c r="O62" s="171" t="e">
        <f ca="1">Tabella4281[[#This Row],[Tot invested]]+Tabella4281[[#This Row],[Interests]]</f>
        <v>#REF!</v>
      </c>
      <c r="P62" s="171"/>
    </row>
    <row r="63" spans="9:16">
      <c r="I63">
        <f t="shared" si="7"/>
        <v>38</v>
      </c>
      <c r="J63">
        <f t="shared" ca="1" si="8"/>
        <v>2034</v>
      </c>
      <c r="K63">
        <f t="shared" si="9"/>
        <v>10</v>
      </c>
      <c r="L63" s="171">
        <f ca="1">IF(Tabella4281[[#This Row],[Investment years]]&lt;$C$11,SUMIF('CF Timeline'!$C$5:$BC$5,Tabella4281[[#This Row],[Year]],'CF Timeline'!$C$56:$BC$56),0)</f>
        <v>0</v>
      </c>
      <c r="M63" s="171" t="e">
        <f ca="1">IF(Tabella4281[[#This Row],[Investment years]]&lt;$C$11,Tabella4281[[#This Row],[Yearly investment]]+O62,0)</f>
        <v>#REF!</v>
      </c>
      <c r="N63" s="171" t="e">
        <f ca="1">Tabella4281[[#This Row],[Tot invested]]*$C$12</f>
        <v>#REF!</v>
      </c>
      <c r="O63" s="171" t="e">
        <f ca="1">Tabella4281[[#This Row],[Tot invested]]+Tabella4281[[#This Row],[Interests]]</f>
        <v>#REF!</v>
      </c>
      <c r="P63" s="171"/>
    </row>
    <row r="64" spans="9:16">
      <c r="I64" t="str">
        <f t="shared" si="7"/>
        <v/>
      </c>
      <c r="J64" t="str">
        <f t="shared" si="8"/>
        <v/>
      </c>
      <c r="K64" t="str">
        <f t="shared" si="9"/>
        <v/>
      </c>
      <c r="L64" s="171">
        <f>IF(Tabella4281[[#This Row],[Investment years]]&lt;$C$11,SUMIF('CF Timeline'!$C$5:$BC$5,Tabella4281[[#This Row],[Year]],'CF Timeline'!$C$56:$BC$56),0)</f>
        <v>0</v>
      </c>
      <c r="M64" s="171">
        <f>IF(Tabella4281[[#This Row],[Investment years]]&lt;$C$11,Tabella4281[[#This Row],[Yearly investment]]+O63,0)</f>
        <v>0</v>
      </c>
      <c r="N64" s="171">
        <f>Tabella4281[[#This Row],[Tot invested]]*$C$12</f>
        <v>0</v>
      </c>
      <c r="O64" s="171">
        <f>Tabella4281[[#This Row],[Tot invested]]+Tabella4281[[#This Row],[Interests]]</f>
        <v>0</v>
      </c>
      <c r="P64" s="171"/>
    </row>
    <row r="65" spans="9:16">
      <c r="I65" t="str">
        <f t="shared" si="7"/>
        <v/>
      </c>
      <c r="J65" t="str">
        <f t="shared" si="8"/>
        <v/>
      </c>
      <c r="K65" t="str">
        <f t="shared" si="9"/>
        <v/>
      </c>
      <c r="L65" s="171">
        <f>IF(Tabella4281[[#This Row],[Investment years]]&lt;$C$11,SUMIF('CF Timeline'!$C$5:$BC$5,Tabella4281[[#This Row],[Year]],'CF Timeline'!$C$56:$BC$56),0)</f>
        <v>0</v>
      </c>
      <c r="M65" s="171">
        <f>IF(Tabella4281[[#This Row],[Investment years]]&lt;$C$11,Tabella4281[[#This Row],[Yearly investment]]+O64,0)</f>
        <v>0</v>
      </c>
      <c r="N65" s="171">
        <f>Tabella4281[[#This Row],[Tot invested]]*$C$12</f>
        <v>0</v>
      </c>
      <c r="O65" s="171">
        <f>Tabella4281[[#This Row],[Tot invested]]+Tabella4281[[#This Row],[Interests]]</f>
        <v>0</v>
      </c>
      <c r="P65" s="171"/>
    </row>
    <row r="66" spans="9:16">
      <c r="I66" t="str">
        <f t="shared" si="7"/>
        <v/>
      </c>
      <c r="J66" t="str">
        <f t="shared" si="8"/>
        <v/>
      </c>
      <c r="K66" t="str">
        <f t="shared" si="9"/>
        <v/>
      </c>
      <c r="L66" s="171">
        <f>IF(Tabella4281[[#This Row],[Investment years]]&lt;$C$11,SUMIF('CF Timeline'!$C$5:$BC$5,Tabella4281[[#This Row],[Year]],'CF Timeline'!$C$56:$BC$56),0)</f>
        <v>0</v>
      </c>
      <c r="M66" s="171">
        <f>IF(Tabella4281[[#This Row],[Investment years]]&lt;$C$11,Tabella4281[[#This Row],[Yearly investment]]+O65,0)</f>
        <v>0</v>
      </c>
      <c r="N66" s="171">
        <f>Tabella4281[[#This Row],[Tot invested]]*$C$12</f>
        <v>0</v>
      </c>
      <c r="O66" s="171">
        <f>Tabella4281[[#This Row],[Tot invested]]+Tabella4281[[#This Row],[Interests]]</f>
        <v>0</v>
      </c>
      <c r="P66" s="171"/>
    </row>
    <row r="67" spans="9:16">
      <c r="I67" t="str">
        <f t="shared" si="7"/>
        <v/>
      </c>
      <c r="J67" t="str">
        <f t="shared" si="8"/>
        <v/>
      </c>
      <c r="K67" t="str">
        <f t="shared" si="9"/>
        <v/>
      </c>
      <c r="L67" s="171">
        <f>IF(Tabella4281[[#This Row],[Investment years]]&lt;$C$11,SUMIF('CF Timeline'!$C$5:$BC$5,Tabella4281[[#This Row],[Year]],'CF Timeline'!$C$56:$BC$56),0)</f>
        <v>0</v>
      </c>
      <c r="M67" s="171">
        <f>IF(Tabella4281[[#This Row],[Investment years]]&lt;$C$11,Tabella4281[[#This Row],[Yearly investment]]+O66,0)</f>
        <v>0</v>
      </c>
      <c r="N67" s="171">
        <f>Tabella4281[[#This Row],[Tot invested]]*$C$12</f>
        <v>0</v>
      </c>
      <c r="O67" s="171">
        <f>Tabella4281[[#This Row],[Tot invested]]+Tabella4281[[#This Row],[Interests]]</f>
        <v>0</v>
      </c>
      <c r="P67" s="171"/>
    </row>
    <row r="68" spans="9:16">
      <c r="I68" t="str">
        <f t="shared" si="7"/>
        <v/>
      </c>
      <c r="J68" t="str">
        <f t="shared" si="8"/>
        <v/>
      </c>
      <c r="K68" t="str">
        <f t="shared" si="9"/>
        <v/>
      </c>
      <c r="L68" s="171">
        <f>IF(Tabella4281[[#This Row],[Investment years]]&lt;$C$11,SUMIF('CF Timeline'!$C$5:$BC$5,Tabella4281[[#This Row],[Year]],'CF Timeline'!$C$56:$BC$56),0)</f>
        <v>0</v>
      </c>
      <c r="M68" s="171">
        <f>IF(Tabella4281[[#This Row],[Investment years]]&lt;$C$11,Tabella4281[[#This Row],[Yearly investment]]+O67,0)</f>
        <v>0</v>
      </c>
      <c r="N68" s="171">
        <f>Tabella4281[[#This Row],[Tot invested]]*$C$12</f>
        <v>0</v>
      </c>
      <c r="O68" s="171">
        <f>Tabella4281[[#This Row],[Tot invested]]+Tabella4281[[#This Row],[Interests]]</f>
        <v>0</v>
      </c>
      <c r="P68" s="171"/>
    </row>
    <row r="69" spans="9:16">
      <c r="I69" t="str">
        <f t="shared" si="7"/>
        <v/>
      </c>
      <c r="J69" t="str">
        <f t="shared" si="8"/>
        <v/>
      </c>
      <c r="K69" t="str">
        <f t="shared" si="9"/>
        <v/>
      </c>
      <c r="L69" s="171">
        <f>IF(Tabella4281[[#This Row],[Investment years]]&lt;$C$11,SUMIF('CF Timeline'!$C$5:$BC$5,Tabella4281[[#This Row],[Year]],'CF Timeline'!$C$56:$BC$56),0)</f>
        <v>0</v>
      </c>
      <c r="M69" s="171">
        <f>IF(Tabella4281[[#This Row],[Investment years]]&lt;$C$11,Tabella4281[[#This Row],[Yearly investment]]+O68,0)</f>
        <v>0</v>
      </c>
      <c r="N69" s="171">
        <f>Tabella4281[[#This Row],[Tot invested]]*$C$12</f>
        <v>0</v>
      </c>
      <c r="O69" s="171">
        <f>Tabella4281[[#This Row],[Tot invested]]+Tabella4281[[#This Row],[Interests]]</f>
        <v>0</v>
      </c>
      <c r="P69" s="171"/>
    </row>
    <row r="70" spans="9:16">
      <c r="I70" t="str">
        <f t="shared" si="7"/>
        <v/>
      </c>
      <c r="J70" t="str">
        <f t="shared" si="8"/>
        <v/>
      </c>
      <c r="K70" t="str">
        <f t="shared" si="9"/>
        <v/>
      </c>
      <c r="L70" s="171">
        <f>IF(Tabella4281[[#This Row],[Investment years]]&lt;$C$11,SUMIF('CF Timeline'!$C$5:$BC$5,Tabella4281[[#This Row],[Year]],'CF Timeline'!$C$56:$BC$56),0)</f>
        <v>0</v>
      </c>
      <c r="M70" s="171">
        <f>IF(Tabella4281[[#This Row],[Investment years]]&lt;$C$11,Tabella4281[[#This Row],[Yearly investment]]+O69,0)</f>
        <v>0</v>
      </c>
      <c r="N70" s="171">
        <f>Tabella4281[[#This Row],[Tot invested]]*$C$12</f>
        <v>0</v>
      </c>
      <c r="O70" s="171">
        <f>Tabella4281[[#This Row],[Tot invested]]+Tabella4281[[#This Row],[Interests]]</f>
        <v>0</v>
      </c>
      <c r="P70" s="171"/>
    </row>
    <row r="71" spans="9:16">
      <c r="I71" t="str">
        <f t="shared" si="7"/>
        <v/>
      </c>
      <c r="J71" t="str">
        <f t="shared" si="8"/>
        <v/>
      </c>
      <c r="K71" t="str">
        <f t="shared" si="9"/>
        <v/>
      </c>
      <c r="L71" s="171">
        <f>IF(Tabella4281[[#This Row],[Investment years]]&lt;$C$11,SUMIF('CF Timeline'!$C$5:$BC$5,Tabella4281[[#This Row],[Year]],'CF Timeline'!$C$56:$BC$56),0)</f>
        <v>0</v>
      </c>
      <c r="M71" s="171">
        <f>IF(Tabella4281[[#This Row],[Investment years]]&lt;$C$11,Tabella4281[[#This Row],[Yearly investment]]+O70,0)</f>
        <v>0</v>
      </c>
      <c r="N71" s="171">
        <f>Tabella4281[[#This Row],[Tot invested]]*$C$12</f>
        <v>0</v>
      </c>
      <c r="O71" s="171">
        <f>Tabella4281[[#This Row],[Tot invested]]+Tabella4281[[#This Row],[Interests]]</f>
        <v>0</v>
      </c>
      <c r="P71" s="171"/>
    </row>
    <row r="72" spans="9:16">
      <c r="I72" t="str">
        <f t="shared" si="7"/>
        <v/>
      </c>
      <c r="J72" t="str">
        <f t="shared" si="8"/>
        <v/>
      </c>
      <c r="K72" t="str">
        <f t="shared" si="9"/>
        <v/>
      </c>
      <c r="L72" s="171">
        <f>IF(Tabella4281[[#This Row],[Investment years]]&lt;$C$11,SUMIF('CF Timeline'!$C$5:$BC$5,Tabella4281[[#This Row],[Year]],'CF Timeline'!$C$56:$BC$56),0)</f>
        <v>0</v>
      </c>
      <c r="M72" s="171">
        <f>IF(Tabella4281[[#This Row],[Investment years]]&lt;$C$11,Tabella4281[[#This Row],[Yearly investment]]+O71,0)</f>
        <v>0</v>
      </c>
      <c r="N72" s="171">
        <f>Tabella4281[[#This Row],[Tot invested]]*$C$12</f>
        <v>0</v>
      </c>
      <c r="O72" s="171">
        <f>Tabella4281[[#This Row],[Tot invested]]+Tabella4281[[#This Row],[Interests]]</f>
        <v>0</v>
      </c>
      <c r="P72" s="171"/>
    </row>
    <row r="73" spans="9:16">
      <c r="I73" t="str">
        <f t="shared" si="7"/>
        <v/>
      </c>
      <c r="J73" t="str">
        <f t="shared" si="8"/>
        <v/>
      </c>
      <c r="K73" t="str">
        <f t="shared" si="9"/>
        <v/>
      </c>
      <c r="L73" s="171">
        <f>IF(Tabella4281[[#This Row],[Investment years]]&lt;$C$11,SUMIF('CF Timeline'!$C$5:$BC$5,Tabella4281[[#This Row],[Year]],'CF Timeline'!$C$56:$BC$56),0)</f>
        <v>0</v>
      </c>
      <c r="M73" s="171">
        <f>IF(Tabella4281[[#This Row],[Investment years]]&lt;$C$11,Tabella4281[[#This Row],[Yearly investment]]+O72,0)</f>
        <v>0</v>
      </c>
      <c r="N73" s="171">
        <f>Tabella4281[[#This Row],[Tot invested]]*$C$12</f>
        <v>0</v>
      </c>
      <c r="O73" s="171">
        <f>Tabella4281[[#This Row],[Tot invested]]+Tabella4281[[#This Row],[Interests]]</f>
        <v>0</v>
      </c>
      <c r="P73" s="171"/>
    </row>
    <row r="74" spans="9:16">
      <c r="I74" t="str">
        <f t="shared" si="7"/>
        <v/>
      </c>
      <c r="J74" t="str">
        <f t="shared" si="8"/>
        <v/>
      </c>
      <c r="K74" t="str">
        <f t="shared" si="9"/>
        <v/>
      </c>
      <c r="L74" s="171">
        <f>IF(Tabella4281[[#This Row],[Investment years]]&lt;$C$11,SUMIF('CF Timeline'!$C$5:$BC$5,Tabella4281[[#This Row],[Year]],'CF Timeline'!$C$56:$BC$56),0)</f>
        <v>0</v>
      </c>
      <c r="M74" s="171">
        <f>IF(Tabella4281[[#This Row],[Investment years]]&lt;$C$11,Tabella4281[[#This Row],[Yearly investment]]+O73,0)</f>
        <v>0</v>
      </c>
      <c r="N74" s="171">
        <f>Tabella4281[[#This Row],[Tot invested]]*$C$12</f>
        <v>0</v>
      </c>
      <c r="O74" s="171">
        <f>Tabella4281[[#This Row],[Tot invested]]+Tabella4281[[#This Row],[Interests]]</f>
        <v>0</v>
      </c>
      <c r="P74" s="171"/>
    </row>
    <row r="75" spans="9:16">
      <c r="I75" t="str">
        <f t="shared" si="7"/>
        <v/>
      </c>
      <c r="J75" t="str">
        <f t="shared" si="8"/>
        <v/>
      </c>
      <c r="K75" t="str">
        <f t="shared" si="9"/>
        <v/>
      </c>
      <c r="L75" s="171">
        <f>IF(Tabella4281[[#This Row],[Investment years]]&lt;$C$11,SUMIF('CF Timeline'!$C$5:$BC$5,Tabella4281[[#This Row],[Year]],'CF Timeline'!$C$56:$BC$56),0)</f>
        <v>0</v>
      </c>
      <c r="M75" s="171">
        <f>IF(Tabella4281[[#This Row],[Investment years]]&lt;$C$11,Tabella4281[[#This Row],[Yearly investment]]+O74,0)</f>
        <v>0</v>
      </c>
      <c r="N75" s="171">
        <f>Tabella4281[[#This Row],[Tot invested]]*$C$12</f>
        <v>0</v>
      </c>
      <c r="O75" s="171">
        <f>Tabella4281[[#This Row],[Tot invested]]+Tabella4281[[#This Row],[Interests]]</f>
        <v>0</v>
      </c>
      <c r="P75" s="171"/>
    </row>
    <row r="76" spans="9:16">
      <c r="I76" t="str">
        <f t="shared" si="7"/>
        <v/>
      </c>
      <c r="J76" t="str">
        <f t="shared" si="8"/>
        <v/>
      </c>
      <c r="K76" t="str">
        <f t="shared" si="9"/>
        <v/>
      </c>
      <c r="L76" s="171">
        <f>IF(Tabella4281[[#This Row],[Investment years]]&lt;$C$11,SUMIF('CF Timeline'!$C$5:$BC$5,Tabella4281[[#This Row],[Year]],'CF Timeline'!$C$56:$BC$56),0)</f>
        <v>0</v>
      </c>
      <c r="M76" s="171">
        <f>IF(Tabella4281[[#This Row],[Investment years]]&lt;$C$11,Tabella4281[[#This Row],[Yearly investment]]+O75,0)</f>
        <v>0</v>
      </c>
      <c r="N76" s="171">
        <f>Tabella4281[[#This Row],[Tot invested]]*$C$12</f>
        <v>0</v>
      </c>
      <c r="O76" s="171">
        <f>Tabella4281[[#This Row],[Tot invested]]+Tabella4281[[#This Row],[Interests]]</f>
        <v>0</v>
      </c>
      <c r="P76" s="171"/>
    </row>
    <row r="77" spans="9:16">
      <c r="I77" t="str">
        <f t="shared" si="7"/>
        <v/>
      </c>
      <c r="J77" t="str">
        <f t="shared" si="8"/>
        <v/>
      </c>
      <c r="K77" t="str">
        <f t="shared" si="9"/>
        <v/>
      </c>
      <c r="L77" s="171">
        <f>IF(Tabella4281[[#This Row],[Investment years]]&lt;$C$11,SUMIF('CF Timeline'!$C$5:$BC$5,Tabella4281[[#This Row],[Year]],'CF Timeline'!$C$56:$BC$56),0)</f>
        <v>0</v>
      </c>
      <c r="M77" s="171">
        <f>IF(Tabella4281[[#This Row],[Investment years]]&lt;$C$11,Tabella4281[[#This Row],[Yearly investment]]+O76,0)</f>
        <v>0</v>
      </c>
      <c r="N77" s="171">
        <f>Tabella4281[[#This Row],[Tot invested]]*$C$12</f>
        <v>0</v>
      </c>
      <c r="O77" s="171">
        <f>Tabella4281[[#This Row],[Tot invested]]+Tabella4281[[#This Row],[Interests]]</f>
        <v>0</v>
      </c>
      <c r="P77" s="171"/>
    </row>
    <row r="78" spans="9:16">
      <c r="I78" t="str">
        <f t="shared" si="7"/>
        <v/>
      </c>
      <c r="J78" t="str">
        <f t="shared" si="8"/>
        <v/>
      </c>
      <c r="K78" t="str">
        <f t="shared" si="9"/>
        <v/>
      </c>
      <c r="L78" s="171">
        <f>IF(Tabella4281[[#This Row],[Investment years]]&lt;$C$11,SUMIF('CF Timeline'!$C$5:$BC$5,Tabella4281[[#This Row],[Year]],'CF Timeline'!$C$56:$BC$56),0)</f>
        <v>0</v>
      </c>
      <c r="M78" s="171">
        <f>IF(Tabella4281[[#This Row],[Investment years]]&lt;$C$11,Tabella4281[[#This Row],[Yearly investment]]+O77,0)</f>
        <v>0</v>
      </c>
      <c r="N78" s="171">
        <f>Tabella4281[[#This Row],[Tot invested]]*$C$12</f>
        <v>0</v>
      </c>
      <c r="O78" s="171">
        <f>Tabella4281[[#This Row],[Tot invested]]+Tabella4281[[#This Row],[Interests]]</f>
        <v>0</v>
      </c>
      <c r="P78" s="171"/>
    </row>
    <row r="79" spans="9:16">
      <c r="I79" t="str">
        <f t="shared" si="7"/>
        <v/>
      </c>
      <c r="J79" t="str">
        <f t="shared" si="8"/>
        <v/>
      </c>
      <c r="K79" t="str">
        <f t="shared" si="9"/>
        <v/>
      </c>
      <c r="L79" s="171">
        <f>IF(Tabella4281[[#This Row],[Investment years]]&lt;$C$11,SUMIF('CF Timeline'!$C$5:$BC$5,Tabella4281[[#This Row],[Year]],'CF Timeline'!$C$56:$BC$56),0)</f>
        <v>0</v>
      </c>
      <c r="M79" s="171">
        <f>IF(Tabella4281[[#This Row],[Investment years]]&lt;$C$11,Tabella4281[[#This Row],[Yearly investment]]+O78,0)</f>
        <v>0</v>
      </c>
      <c r="N79" s="171">
        <f>Tabella4281[[#This Row],[Tot invested]]*$C$12</f>
        <v>0</v>
      </c>
      <c r="O79" s="171">
        <f>Tabella4281[[#This Row],[Tot invested]]+Tabella4281[[#This Row],[Interests]]</f>
        <v>0</v>
      </c>
      <c r="P79" s="171"/>
    </row>
    <row r="80" spans="9:16">
      <c r="I80" t="str">
        <f t="shared" si="7"/>
        <v/>
      </c>
      <c r="J80" t="str">
        <f t="shared" si="8"/>
        <v/>
      </c>
      <c r="K80" t="str">
        <f t="shared" si="9"/>
        <v/>
      </c>
      <c r="L80" s="171">
        <f>IF(Tabella4281[[#This Row],[Investment years]]&lt;$C$11,SUMIF('CF Timeline'!$C$5:$BC$5,Tabella4281[[#This Row],[Year]],'CF Timeline'!$C$56:$BC$56),0)</f>
        <v>0</v>
      </c>
      <c r="M80" s="171">
        <f>IF(Tabella4281[[#This Row],[Investment years]]&lt;$C$11,Tabella4281[[#This Row],[Yearly investment]]+O79,0)</f>
        <v>0</v>
      </c>
      <c r="N80" s="171">
        <f>Tabella4281[[#This Row],[Tot invested]]*$C$12</f>
        <v>0</v>
      </c>
      <c r="O80" s="171">
        <f>Tabella4281[[#This Row],[Tot invested]]+Tabella4281[[#This Row],[Interests]]</f>
        <v>0</v>
      </c>
      <c r="P80" s="171"/>
    </row>
    <row r="81" spans="9:16">
      <c r="I81" t="str">
        <f t="shared" si="7"/>
        <v/>
      </c>
      <c r="J81" t="str">
        <f t="shared" si="8"/>
        <v/>
      </c>
      <c r="K81" t="str">
        <f t="shared" si="9"/>
        <v/>
      </c>
      <c r="L81" s="171">
        <f>IF(Tabella4281[[#This Row],[Investment years]]&lt;$C$11,SUMIF('CF Timeline'!$C$5:$BC$5,Tabella4281[[#This Row],[Year]],'CF Timeline'!$C$56:$BC$56),0)</f>
        <v>0</v>
      </c>
      <c r="M81" s="171">
        <f>IF(Tabella4281[[#This Row],[Investment years]]&lt;$C$11,Tabella4281[[#This Row],[Yearly investment]]+O80,0)</f>
        <v>0</v>
      </c>
      <c r="N81" s="171">
        <f>Tabella4281[[#This Row],[Tot invested]]*$C$12</f>
        <v>0</v>
      </c>
      <c r="O81" s="171">
        <f>Tabella4281[[#This Row],[Tot invested]]+Tabella4281[[#This Row],[Interests]]</f>
        <v>0</v>
      </c>
      <c r="P81" s="171"/>
    </row>
    <row r="82" spans="9:16">
      <c r="I82" t="str">
        <f t="shared" si="7"/>
        <v/>
      </c>
      <c r="J82" t="str">
        <f t="shared" si="8"/>
        <v/>
      </c>
      <c r="K82" t="str">
        <f t="shared" si="9"/>
        <v/>
      </c>
      <c r="L82" s="171">
        <f>IF(Tabella4281[[#This Row],[Investment years]]&lt;$C$11,SUMIF('CF Timeline'!$C$5:$BC$5,Tabella4281[[#This Row],[Year]],'CF Timeline'!$C$56:$BC$56),0)</f>
        <v>0</v>
      </c>
      <c r="M82" s="171">
        <f>IF(Tabella4281[[#This Row],[Investment years]]&lt;$C$11,Tabella4281[[#This Row],[Yearly investment]]+O81,0)</f>
        <v>0</v>
      </c>
      <c r="N82" s="171">
        <f>Tabella4281[[#This Row],[Tot invested]]*$C$12</f>
        <v>0</v>
      </c>
      <c r="O82" s="171">
        <f>Tabella4281[[#This Row],[Tot invested]]+Tabella4281[[#This Row],[Interests]]</f>
        <v>0</v>
      </c>
      <c r="P82" s="171"/>
    </row>
    <row r="83" spans="9:16">
      <c r="I83" t="str">
        <f t="shared" si="7"/>
        <v/>
      </c>
      <c r="J83" t="str">
        <f t="shared" si="8"/>
        <v/>
      </c>
      <c r="K83" t="str">
        <f t="shared" si="9"/>
        <v/>
      </c>
      <c r="L83" s="171">
        <f>IF(Tabella4281[[#This Row],[Investment years]]&lt;$C$11,SUMIF('CF Timeline'!$C$5:$BC$5,Tabella4281[[#This Row],[Year]],'CF Timeline'!$C$56:$BC$56),0)</f>
        <v>0</v>
      </c>
      <c r="M83" s="171">
        <f>IF(Tabella4281[[#This Row],[Investment years]]&lt;$C$11,Tabella4281[[#This Row],[Yearly investment]]+O82,0)</f>
        <v>0</v>
      </c>
      <c r="N83" s="171">
        <f>Tabella4281[[#This Row],[Tot invested]]*$C$12</f>
        <v>0</v>
      </c>
      <c r="O83" s="171">
        <f>Tabella4281[[#This Row],[Tot invested]]+Tabella4281[[#This Row],[Interests]]</f>
        <v>0</v>
      </c>
      <c r="P83" s="171"/>
    </row>
    <row r="84" spans="9:16">
      <c r="I84" t="str">
        <f t="shared" si="7"/>
        <v/>
      </c>
      <c r="J84" t="str">
        <f t="shared" si="8"/>
        <v/>
      </c>
      <c r="K84" t="str">
        <f t="shared" si="9"/>
        <v/>
      </c>
      <c r="L84" s="171">
        <f>IF(Tabella4281[[#This Row],[Investment years]]&lt;$C$11,SUMIF('CF Timeline'!$C$5:$BC$5,Tabella4281[[#This Row],[Year]],'CF Timeline'!$C$56:$BC$56),0)</f>
        <v>0</v>
      </c>
      <c r="M84" s="171">
        <f>IF(Tabella4281[[#This Row],[Investment years]]&lt;$C$11,Tabella4281[[#This Row],[Yearly investment]]+O83,0)</f>
        <v>0</v>
      </c>
      <c r="N84" s="171">
        <f>Tabella4281[[#This Row],[Tot invested]]*$C$12</f>
        <v>0</v>
      </c>
      <c r="O84" s="171">
        <f>Tabella4281[[#This Row],[Tot invested]]+Tabella4281[[#This Row],[Interests]]</f>
        <v>0</v>
      </c>
      <c r="P84" s="171"/>
    </row>
    <row r="85" spans="9:16">
      <c r="I85" t="str">
        <f t="shared" si="7"/>
        <v/>
      </c>
      <c r="J85" t="str">
        <f t="shared" si="8"/>
        <v/>
      </c>
      <c r="K85" t="str">
        <f t="shared" si="9"/>
        <v/>
      </c>
      <c r="L85" s="171">
        <f>IF(Tabella4281[[#This Row],[Investment years]]&lt;$C$11,SUMIF('CF Timeline'!$C$5:$BC$5,Tabella4281[[#This Row],[Year]],'CF Timeline'!$C$56:$BC$56),0)</f>
        <v>0</v>
      </c>
      <c r="M85" s="171">
        <f>IF(Tabella4281[[#This Row],[Investment years]]&lt;$C$11,Tabella4281[[#This Row],[Yearly investment]]+O84,0)</f>
        <v>0</v>
      </c>
      <c r="N85" s="171">
        <f>Tabella4281[[#This Row],[Tot invested]]*$C$12</f>
        <v>0</v>
      </c>
      <c r="O85" s="171">
        <f>Tabella4281[[#This Row],[Tot invested]]+Tabella4281[[#This Row],[Interests]]</f>
        <v>0</v>
      </c>
      <c r="P85" s="171"/>
    </row>
    <row r="86" spans="9:16">
      <c r="I86" t="str">
        <f t="shared" si="7"/>
        <v/>
      </c>
      <c r="J86" t="str">
        <f t="shared" si="8"/>
        <v/>
      </c>
      <c r="K86" t="str">
        <f t="shared" si="9"/>
        <v/>
      </c>
      <c r="L86" s="171">
        <f>IF(Tabella4281[[#This Row],[Investment years]]&lt;$C$11,SUMIF('CF Timeline'!$C$5:$BC$5,Tabella4281[[#This Row],[Year]],'CF Timeline'!$C$56:$BC$56),0)</f>
        <v>0</v>
      </c>
      <c r="M86" s="171">
        <f>IF(Tabella4281[[#This Row],[Investment years]]&lt;$C$11,Tabella4281[[#This Row],[Yearly investment]]+O85,0)</f>
        <v>0</v>
      </c>
      <c r="N86" s="171">
        <f>Tabella4281[[#This Row],[Tot invested]]*$C$12</f>
        <v>0</v>
      </c>
      <c r="O86" s="171">
        <f>Tabella4281[[#This Row],[Tot invested]]+Tabella4281[[#This Row],[Interests]]</f>
        <v>0</v>
      </c>
      <c r="P86" s="171"/>
    </row>
    <row r="87" spans="9:16">
      <c r="I87" t="str">
        <f t="shared" si="7"/>
        <v/>
      </c>
      <c r="J87" t="str">
        <f t="shared" si="8"/>
        <v/>
      </c>
      <c r="K87" t="str">
        <f t="shared" si="9"/>
        <v/>
      </c>
      <c r="L87" s="171">
        <f>IF(Tabella4281[[#This Row],[Investment years]]&lt;$C$11,SUMIF('CF Timeline'!$C$5:$BC$5,Tabella4281[[#This Row],[Year]],'CF Timeline'!$C$56:$BC$56),0)</f>
        <v>0</v>
      </c>
      <c r="M87" s="171">
        <f>IF(Tabella4281[[#This Row],[Investment years]]&lt;$C$11,Tabella4281[[#This Row],[Yearly investment]]+O86,0)</f>
        <v>0</v>
      </c>
      <c r="N87" s="171">
        <f>Tabella4281[[#This Row],[Tot invested]]*$C$12</f>
        <v>0</v>
      </c>
      <c r="O87" s="171">
        <f>Tabella4281[[#This Row],[Tot invested]]+Tabella4281[[#This Row],[Interests]]</f>
        <v>0</v>
      </c>
      <c r="P87" s="171"/>
    </row>
    <row r="88" spans="9:16">
      <c r="I88" t="str">
        <f t="shared" si="7"/>
        <v/>
      </c>
      <c r="J88" t="str">
        <f t="shared" si="8"/>
        <v/>
      </c>
      <c r="K88" t="str">
        <f t="shared" si="9"/>
        <v/>
      </c>
      <c r="L88" s="171">
        <f>IF(Tabella4281[[#This Row],[Investment years]]&lt;$C$11,SUMIF('CF Timeline'!$C$5:$BC$5,Tabella4281[[#This Row],[Year]],'CF Timeline'!$C$56:$BC$56),0)</f>
        <v>0</v>
      </c>
      <c r="M88" s="171">
        <f>IF(Tabella4281[[#This Row],[Investment years]]&lt;$C$11,Tabella4281[[#This Row],[Yearly investment]]+O87,0)</f>
        <v>0</v>
      </c>
      <c r="N88" s="171">
        <f>Tabella4281[[#This Row],[Tot invested]]*$C$12</f>
        <v>0</v>
      </c>
      <c r="O88" s="171">
        <f>Tabella4281[[#This Row],[Tot invested]]+Tabella4281[[#This Row],[Interests]]</f>
        <v>0</v>
      </c>
      <c r="P88" s="171"/>
    </row>
    <row r="89" spans="9:16">
      <c r="I89" t="str">
        <f t="shared" si="7"/>
        <v/>
      </c>
      <c r="J89" t="str">
        <f t="shared" si="8"/>
        <v/>
      </c>
      <c r="K89" t="str">
        <f t="shared" si="9"/>
        <v/>
      </c>
      <c r="L89" s="171">
        <f>IF(Tabella4281[[#This Row],[Investment years]]&lt;$C$11,SUMIF('CF Timeline'!$C$5:$BC$5,Tabella4281[[#This Row],[Year]],'CF Timeline'!$C$56:$BC$56),0)</f>
        <v>0</v>
      </c>
      <c r="M89" s="171">
        <f>IF(Tabella4281[[#This Row],[Investment years]]&lt;$C$11,Tabella4281[[#This Row],[Yearly investment]]+O88,0)</f>
        <v>0</v>
      </c>
      <c r="N89" s="171">
        <f>Tabella4281[[#This Row],[Tot invested]]*$C$12</f>
        <v>0</v>
      </c>
      <c r="O89" s="171">
        <f>Tabella4281[[#This Row],[Tot invested]]+Tabella4281[[#This Row],[Interests]]</f>
        <v>0</v>
      </c>
      <c r="P89" s="171"/>
    </row>
    <row r="90" spans="9:16">
      <c r="I90" t="str">
        <f t="shared" si="7"/>
        <v/>
      </c>
      <c r="J90" t="str">
        <f t="shared" si="8"/>
        <v/>
      </c>
      <c r="K90" t="str">
        <f t="shared" si="9"/>
        <v/>
      </c>
      <c r="L90" s="171">
        <f>IF(Tabella4281[[#This Row],[Investment years]]&lt;$C$11,SUMIF('CF Timeline'!$C$5:$BC$5,Tabella4281[[#This Row],[Year]],'CF Timeline'!$C$56:$BC$56),0)</f>
        <v>0</v>
      </c>
      <c r="M90" s="171">
        <f>IF(Tabella4281[[#This Row],[Investment years]]&lt;$C$11,Tabella4281[[#This Row],[Yearly investment]]+O89,0)</f>
        <v>0</v>
      </c>
      <c r="N90" s="171">
        <f>Tabella4281[[#This Row],[Tot invested]]*$C$12</f>
        <v>0</v>
      </c>
      <c r="O90" s="171">
        <f>Tabella4281[[#This Row],[Tot invested]]+Tabella4281[[#This Row],[Interests]]</f>
        <v>0</v>
      </c>
      <c r="P90" s="171"/>
    </row>
    <row r="91" spans="9:16">
      <c r="I91" t="str">
        <f t="shared" si="7"/>
        <v/>
      </c>
      <c r="J91" t="str">
        <f t="shared" si="8"/>
        <v/>
      </c>
      <c r="K91" t="str">
        <f t="shared" si="9"/>
        <v/>
      </c>
      <c r="L91" s="171">
        <f>IF(Tabella4281[[#This Row],[Investment years]]&lt;$C$11,SUMIF('CF Timeline'!$C$5:$BC$5,Tabella4281[[#This Row],[Year]],'CF Timeline'!$C$56:$BC$56),0)</f>
        <v>0</v>
      </c>
      <c r="M91" s="171">
        <f>IF(Tabella4281[[#This Row],[Investment years]]&lt;$C$11,Tabella4281[[#This Row],[Yearly investment]]+O90,0)</f>
        <v>0</v>
      </c>
      <c r="N91" s="171">
        <f>Tabella4281[[#This Row],[Tot invested]]*$C$12</f>
        <v>0</v>
      </c>
      <c r="O91" s="171">
        <f>Tabella4281[[#This Row],[Tot invested]]+Tabella4281[[#This Row],[Interests]]</f>
        <v>0</v>
      </c>
      <c r="P91" s="171"/>
    </row>
    <row r="92" spans="9:16">
      <c r="I92" t="str">
        <f t="shared" si="7"/>
        <v/>
      </c>
      <c r="J92" t="str">
        <f t="shared" si="8"/>
        <v/>
      </c>
      <c r="K92" t="str">
        <f t="shared" si="9"/>
        <v/>
      </c>
      <c r="L92" s="171">
        <f>IF(Tabella4281[[#This Row],[Investment years]]&lt;$C$11,SUMIF('CF Timeline'!$C$5:$BC$5,Tabella4281[[#This Row],[Year]],'CF Timeline'!$C$56:$BC$56),0)</f>
        <v>0</v>
      </c>
      <c r="M92" s="171">
        <f>IF(Tabella4281[[#This Row],[Investment years]]&lt;$C$11,Tabella4281[[#This Row],[Yearly investment]]+O91,0)</f>
        <v>0</v>
      </c>
      <c r="N92" s="171">
        <f>Tabella4281[[#This Row],[Tot invested]]*$C$12</f>
        <v>0</v>
      </c>
      <c r="O92" s="171">
        <f>Tabella4281[[#This Row],[Tot invested]]+Tabella4281[[#This Row],[Interests]]</f>
        <v>0</v>
      </c>
      <c r="P92" s="171" t="str">
        <f t="shared" ref="P92:P95" si="10">IF(I92&lt;=$C$6,$C$16,"")</f>
        <v/>
      </c>
    </row>
    <row r="93" spans="9:16">
      <c r="I93" t="str">
        <f t="shared" si="7"/>
        <v/>
      </c>
      <c r="J93" t="str">
        <f t="shared" si="8"/>
        <v/>
      </c>
      <c r="K93" t="str">
        <f t="shared" si="9"/>
        <v/>
      </c>
      <c r="L93" s="171">
        <f>IF(Tabella4281[[#This Row],[Investment years]]&lt;$C$11,SUMIF('CF Timeline'!$C$5:$BC$5,Tabella4281[[#This Row],[Year]],'CF Timeline'!$C$56:$BC$56),0)</f>
        <v>0</v>
      </c>
      <c r="M93" s="171">
        <f>IF(Tabella4281[[#This Row],[Investment years]]&lt;$C$11,Tabella4281[[#This Row],[Yearly investment]]+O92,0)</f>
        <v>0</v>
      </c>
      <c r="N93" s="171">
        <f>Tabella4281[[#This Row],[Tot invested]]*$C$12</f>
        <v>0</v>
      </c>
      <c r="O93" s="171">
        <f>Tabella4281[[#This Row],[Tot invested]]+Tabella4281[[#This Row],[Interests]]</f>
        <v>0</v>
      </c>
      <c r="P93" s="171" t="str">
        <f t="shared" si="10"/>
        <v/>
      </c>
    </row>
    <row r="94" spans="9:16">
      <c r="I94" t="str">
        <f t="shared" si="7"/>
        <v/>
      </c>
      <c r="J94" t="str">
        <f t="shared" si="8"/>
        <v/>
      </c>
      <c r="K94" t="str">
        <f t="shared" si="9"/>
        <v/>
      </c>
      <c r="L94" s="171">
        <f>IF(Tabella4281[[#This Row],[Investment years]]&lt;$C$11,SUMIF('CF Timeline'!$C$5:$BC$5,Tabella4281[[#This Row],[Year]],'CF Timeline'!$C$56:$BC$56),0)</f>
        <v>0</v>
      </c>
      <c r="M94" s="171">
        <f>IF(Tabella4281[[#This Row],[Investment years]]&lt;$C$11,Tabella4281[[#This Row],[Yearly investment]]+O93,0)</f>
        <v>0</v>
      </c>
      <c r="N94" s="171">
        <f>Tabella4281[[#This Row],[Tot invested]]*$C$12</f>
        <v>0</v>
      </c>
      <c r="O94" s="171">
        <f>Tabella4281[[#This Row],[Tot invested]]+Tabella4281[[#This Row],[Interests]]</f>
        <v>0</v>
      </c>
      <c r="P94" s="171" t="str">
        <f t="shared" si="10"/>
        <v/>
      </c>
    </row>
    <row r="95" spans="9:16">
      <c r="I95" t="str">
        <f t="shared" si="7"/>
        <v/>
      </c>
      <c r="J95" t="str">
        <f t="shared" si="8"/>
        <v/>
      </c>
      <c r="K95" t="str">
        <f t="shared" si="9"/>
        <v/>
      </c>
      <c r="L95" s="171">
        <f>IF(Tabella4281[[#This Row],[Investment years]]&lt;$C$11,SUMIF('CF Timeline'!$C$5:$BC$5,Tabella4281[[#This Row],[Year]],'CF Timeline'!$C$56:$BC$56),0)</f>
        <v>0</v>
      </c>
      <c r="M95" s="171">
        <f>IF(Tabella4281[[#This Row],[Investment years]]&lt;$C$11,Tabella4281[[#This Row],[Yearly investment]]+O94,0)</f>
        <v>0</v>
      </c>
      <c r="N95" s="171">
        <f>Tabella4281[[#This Row],[Tot invested]]*$C$12</f>
        <v>0</v>
      </c>
      <c r="O95" s="171">
        <f>Tabella4281[[#This Row],[Tot invested]]+Tabella4281[[#This Row],[Interests]]</f>
        <v>0</v>
      </c>
      <c r="P95" s="171" t="str">
        <f t="shared" si="10"/>
        <v/>
      </c>
    </row>
    <row r="96" spans="9:16">
      <c r="I96" t="s">
        <v>135</v>
      </c>
      <c r="N96" s="145" t="e">
        <f ca="1">SUBTOTAL(109,Tabella4281[Interests])</f>
        <v>#REF!</v>
      </c>
      <c r="O96" s="145" t="e">
        <f ca="1">SUMIF(J52:J95,J53+C11-1,Tabella4281[[#Headers],[#Data],[Total]])</f>
        <v>#REF!</v>
      </c>
      <c r="P96">
        <f>SUBTOTAL(103,Tabella4281[Colonna5])</f>
        <v>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40968-3B0A-9F49-9929-DBFAB5CBD736}">
  <dimension ref="A1:AG2507"/>
  <sheetViews>
    <sheetView zoomScale="109" zoomScaleNormal="83" workbookViewId="0">
      <selection activeCell="J5" sqref="J5"/>
    </sheetView>
  </sheetViews>
  <sheetFormatPr baseColWidth="10" defaultColWidth="10.83203125" defaultRowHeight="16"/>
  <cols>
    <col min="1" max="1" width="5.33203125" bestFit="1" customWidth="1"/>
    <col min="2" max="2" width="24.1640625" bestFit="1" customWidth="1"/>
    <col min="3" max="3" width="20.1640625" bestFit="1" customWidth="1"/>
    <col min="4" max="4" width="5.33203125" bestFit="1" customWidth="1"/>
    <col min="5" max="5" width="16.5" bestFit="1" customWidth="1"/>
    <col min="6" max="6" width="14.6640625" bestFit="1" customWidth="1"/>
    <col min="7" max="7" width="15.5" bestFit="1" customWidth="1"/>
    <col min="8" max="8" width="14" bestFit="1" customWidth="1"/>
    <col min="9" max="9" width="10.1640625" customWidth="1"/>
    <col min="14" max="14" width="14.83203125" bestFit="1" customWidth="1"/>
    <col min="17" max="17" width="15.6640625" bestFit="1" customWidth="1"/>
    <col min="18" max="18" width="14.33203125" bestFit="1" customWidth="1"/>
    <col min="19" max="19" width="15.1640625" bestFit="1" customWidth="1"/>
    <col min="26" max="26" width="15.33203125" bestFit="1" customWidth="1"/>
    <col min="27" max="27" width="16.83203125" bestFit="1" customWidth="1"/>
    <col min="28" max="28" width="14.5" bestFit="1" customWidth="1"/>
  </cols>
  <sheetData>
    <row r="1" spans="1:29">
      <c r="A1" s="475" t="s">
        <v>43</v>
      </c>
      <c r="B1" s="476" t="s">
        <v>1671</v>
      </c>
      <c r="C1" s="476" t="s">
        <v>161</v>
      </c>
      <c r="D1" s="477" t="s">
        <v>43</v>
      </c>
      <c r="E1" s="477" t="s">
        <v>1672</v>
      </c>
      <c r="F1" s="477" t="s">
        <v>1673</v>
      </c>
      <c r="G1" s="478" t="s">
        <v>1674</v>
      </c>
      <c r="W1" s="19"/>
      <c r="AA1" s="19"/>
      <c r="AB1" s="19"/>
    </row>
    <row r="2" spans="1:29" ht="22" customHeight="1">
      <c r="A2" s="479">
        <v>8610</v>
      </c>
      <c r="B2" s="480" t="s">
        <v>1675</v>
      </c>
      <c r="C2" t="s">
        <v>136</v>
      </c>
      <c r="D2" s="190">
        <v>8610</v>
      </c>
      <c r="E2" s="191">
        <v>10505</v>
      </c>
      <c r="F2" s="191">
        <v>11202</v>
      </c>
      <c r="G2" s="481">
        <v>311</v>
      </c>
      <c r="W2" s="546"/>
      <c r="X2" s="546"/>
      <c r="Y2" s="546"/>
      <c r="Z2" s="546"/>
      <c r="AA2" s="546"/>
      <c r="AB2" s="546"/>
    </row>
    <row r="3" spans="1:29" ht="22" customHeight="1">
      <c r="A3" s="479">
        <v>8000</v>
      </c>
      <c r="B3" s="480" t="s">
        <v>162</v>
      </c>
      <c r="C3" t="s">
        <v>136</v>
      </c>
      <c r="D3" s="190">
        <v>8000</v>
      </c>
      <c r="E3" s="191">
        <v>16435</v>
      </c>
      <c r="F3" s="191">
        <v>15350</v>
      </c>
      <c r="G3" s="481">
        <v>469</v>
      </c>
      <c r="W3" s="546"/>
      <c r="X3" s="546"/>
      <c r="AA3" s="19"/>
      <c r="AB3" s="19"/>
    </row>
    <row r="4" spans="1:29" ht="22" customHeight="1">
      <c r="A4" s="479">
        <v>8400</v>
      </c>
      <c r="B4" s="480" t="s">
        <v>1676</v>
      </c>
      <c r="C4" t="s">
        <v>136</v>
      </c>
      <c r="D4" s="190">
        <v>8400</v>
      </c>
      <c r="E4" s="191">
        <v>9511</v>
      </c>
      <c r="F4" s="191">
        <v>9853</v>
      </c>
      <c r="G4" s="481">
        <v>298</v>
      </c>
    </row>
    <row r="5" spans="1:29" ht="22" customHeight="1">
      <c r="A5" s="479">
        <v>8600</v>
      </c>
      <c r="B5" s="480" t="s">
        <v>1677</v>
      </c>
      <c r="C5" t="s">
        <v>136</v>
      </c>
      <c r="D5" s="190">
        <v>8600</v>
      </c>
      <c r="E5" s="191">
        <v>11738</v>
      </c>
      <c r="F5" s="191">
        <v>12327</v>
      </c>
      <c r="G5" s="481">
        <v>351</v>
      </c>
      <c r="J5" s="488" t="s">
        <v>1678</v>
      </c>
      <c r="AC5" s="193"/>
    </row>
    <row r="6" spans="1:29" ht="22" customHeight="1">
      <c r="A6" s="479">
        <v>8953</v>
      </c>
      <c r="B6" s="480" t="s">
        <v>1679</v>
      </c>
      <c r="C6" t="s">
        <v>136</v>
      </c>
      <c r="D6" s="190">
        <v>8953</v>
      </c>
      <c r="E6" s="191">
        <v>9760</v>
      </c>
      <c r="F6" s="191">
        <v>10090</v>
      </c>
      <c r="G6" s="481">
        <v>295</v>
      </c>
      <c r="J6" s="210" t="s">
        <v>1680</v>
      </c>
      <c r="AC6" s="193"/>
    </row>
    <row r="7" spans="1:29" ht="22" customHeight="1">
      <c r="A7" s="479">
        <v>8820</v>
      </c>
      <c r="B7" s="480" t="s">
        <v>1681</v>
      </c>
      <c r="C7" t="s">
        <v>136</v>
      </c>
      <c r="D7" s="190">
        <v>8820</v>
      </c>
      <c r="E7" s="191">
        <v>13275</v>
      </c>
      <c r="F7" s="191">
        <v>13816</v>
      </c>
      <c r="G7" s="481">
        <v>325</v>
      </c>
      <c r="AC7" s="193"/>
    </row>
    <row r="8" spans="1:29" ht="22" customHeight="1">
      <c r="A8" s="479">
        <v>8620</v>
      </c>
      <c r="B8" s="480" t="s">
        <v>1682</v>
      </c>
      <c r="C8" t="s">
        <v>136</v>
      </c>
      <c r="D8" s="190">
        <v>8620</v>
      </c>
      <c r="E8" s="191">
        <v>9356</v>
      </c>
      <c r="F8" s="191">
        <v>9437</v>
      </c>
      <c r="G8" s="481">
        <v>280</v>
      </c>
      <c r="AC8" s="193"/>
    </row>
    <row r="9" spans="1:29" ht="22" customHeight="1">
      <c r="A9" s="479">
        <v>8810</v>
      </c>
      <c r="B9" s="480" t="s">
        <v>1683</v>
      </c>
      <c r="C9" t="s">
        <v>136</v>
      </c>
      <c r="D9" s="190">
        <v>8810</v>
      </c>
      <c r="E9" s="191">
        <v>13561</v>
      </c>
      <c r="F9" s="191">
        <v>12918</v>
      </c>
      <c r="G9" s="481">
        <v>364</v>
      </c>
      <c r="AC9" s="193"/>
    </row>
    <row r="10" spans="1:29" ht="17" customHeight="1">
      <c r="A10" s="479">
        <v>8152</v>
      </c>
      <c r="B10" s="480" t="s">
        <v>1684</v>
      </c>
      <c r="C10" t="s">
        <v>136</v>
      </c>
      <c r="D10" s="190">
        <v>8152</v>
      </c>
      <c r="E10" s="191">
        <v>12244</v>
      </c>
      <c r="F10" s="191">
        <v>10843</v>
      </c>
      <c r="G10" s="481">
        <v>323</v>
      </c>
      <c r="AC10" s="193"/>
    </row>
    <row r="11" spans="1:29" ht="22" customHeight="1">
      <c r="A11" s="479">
        <v>8180</v>
      </c>
      <c r="B11" s="480" t="s">
        <v>1685</v>
      </c>
      <c r="C11" t="s">
        <v>136</v>
      </c>
      <c r="D11" s="190">
        <v>8180</v>
      </c>
      <c r="E11" s="191">
        <v>9762</v>
      </c>
      <c r="F11" s="191">
        <v>9242</v>
      </c>
      <c r="G11" s="481">
        <v>288</v>
      </c>
      <c r="AC11" s="193"/>
    </row>
    <row r="12" spans="1:29" ht="22" customHeight="1">
      <c r="A12" s="479">
        <v>8302</v>
      </c>
      <c r="B12" s="480" t="s">
        <v>1686</v>
      </c>
      <c r="C12" t="s">
        <v>136</v>
      </c>
      <c r="D12" s="190">
        <v>8302</v>
      </c>
      <c r="E12" s="191">
        <v>10618</v>
      </c>
      <c r="F12" s="191">
        <v>10263</v>
      </c>
      <c r="G12" s="481">
        <v>338</v>
      </c>
      <c r="AC12" s="193"/>
    </row>
    <row r="13" spans="1:29" ht="22" customHeight="1">
      <c r="A13" s="479">
        <v>8134</v>
      </c>
      <c r="B13" s="480" t="s">
        <v>1687</v>
      </c>
      <c r="C13" t="s">
        <v>136</v>
      </c>
      <c r="D13" s="190">
        <v>8134</v>
      </c>
      <c r="E13" s="191">
        <v>13342</v>
      </c>
      <c r="F13" s="191">
        <v>13050</v>
      </c>
      <c r="G13" s="481">
        <v>336</v>
      </c>
      <c r="AC13" s="193"/>
    </row>
    <row r="14" spans="1:29" ht="22" customHeight="1">
      <c r="A14" s="479">
        <v>8952</v>
      </c>
      <c r="B14" s="480" t="s">
        <v>1688</v>
      </c>
      <c r="C14" t="s">
        <v>136</v>
      </c>
      <c r="D14" s="190">
        <v>8952</v>
      </c>
      <c r="E14" s="191">
        <v>11850</v>
      </c>
      <c r="F14" s="191">
        <v>11872</v>
      </c>
      <c r="G14" s="481">
        <v>322</v>
      </c>
      <c r="AC14" s="193"/>
    </row>
    <row r="15" spans="1:29" ht="22" customHeight="1">
      <c r="A15" s="479">
        <v>8604</v>
      </c>
      <c r="B15" s="480" t="s">
        <v>1689</v>
      </c>
      <c r="C15" t="s">
        <v>136</v>
      </c>
      <c r="D15" s="190">
        <v>8604</v>
      </c>
      <c r="E15" s="191">
        <v>8920</v>
      </c>
      <c r="F15" s="191">
        <v>10247</v>
      </c>
      <c r="G15" s="481">
        <v>270</v>
      </c>
      <c r="AC15" s="193"/>
    </row>
    <row r="16" spans="1:29" ht="22" customHeight="1">
      <c r="A16" s="479">
        <v>8105</v>
      </c>
      <c r="B16" s="480" t="s">
        <v>1690</v>
      </c>
      <c r="C16" t="s">
        <v>136</v>
      </c>
      <c r="D16" s="190">
        <v>8105</v>
      </c>
      <c r="E16" s="191">
        <v>8745</v>
      </c>
      <c r="F16" s="191">
        <v>9364</v>
      </c>
      <c r="G16" s="481">
        <v>295</v>
      </c>
      <c r="AC16" s="193"/>
    </row>
    <row r="17" spans="1:29" ht="22" customHeight="1">
      <c r="A17" s="479">
        <v>8800</v>
      </c>
      <c r="B17" s="480" t="s">
        <v>1691</v>
      </c>
      <c r="C17" t="s">
        <v>136</v>
      </c>
      <c r="D17" s="190">
        <v>8800</v>
      </c>
      <c r="E17" s="191">
        <v>15330</v>
      </c>
      <c r="F17" s="191">
        <v>15578</v>
      </c>
      <c r="G17" s="481">
        <v>364</v>
      </c>
      <c r="AC17" s="193"/>
    </row>
    <row r="18" spans="1:29" ht="22" customHeight="1">
      <c r="A18" s="479">
        <v>8307</v>
      </c>
      <c r="B18" s="480" t="s">
        <v>1692</v>
      </c>
      <c r="C18" t="s">
        <v>136</v>
      </c>
      <c r="D18" s="190">
        <v>8307</v>
      </c>
      <c r="E18" s="191">
        <v>9423</v>
      </c>
      <c r="F18" s="191">
        <v>9525</v>
      </c>
      <c r="G18" s="481">
        <v>282</v>
      </c>
      <c r="AC18" s="193"/>
    </row>
    <row r="19" spans="1:29" ht="22" customHeight="1">
      <c r="A19" s="479">
        <v>8304</v>
      </c>
      <c r="B19" s="480" t="s">
        <v>1693</v>
      </c>
      <c r="C19" t="s">
        <v>136</v>
      </c>
      <c r="D19" s="190">
        <v>8304</v>
      </c>
      <c r="E19" s="191">
        <v>12741</v>
      </c>
      <c r="F19" s="191">
        <v>11873</v>
      </c>
      <c r="G19" s="481">
        <v>328</v>
      </c>
      <c r="AC19" s="193"/>
    </row>
    <row r="20" spans="1:29" ht="22" customHeight="1">
      <c r="A20" s="479">
        <v>8713</v>
      </c>
      <c r="B20" s="480" t="s">
        <v>2481</v>
      </c>
      <c r="C20" t="s">
        <v>136</v>
      </c>
      <c r="D20" s="190">
        <v>8713</v>
      </c>
      <c r="E20" s="191">
        <v>13036</v>
      </c>
      <c r="F20" s="191">
        <v>12457</v>
      </c>
      <c r="G20" s="481">
        <v>326</v>
      </c>
      <c r="AC20" s="193"/>
    </row>
    <row r="21" spans="1:29" ht="17" customHeight="1">
      <c r="A21" s="479">
        <v>8712</v>
      </c>
      <c r="B21" s="480" t="s">
        <v>1694</v>
      </c>
      <c r="C21" t="s">
        <v>136</v>
      </c>
      <c r="D21" s="190">
        <v>8712</v>
      </c>
      <c r="E21" s="191">
        <v>13036</v>
      </c>
      <c r="F21" s="191">
        <v>12457</v>
      </c>
      <c r="G21" s="481">
        <v>326</v>
      </c>
      <c r="AC21" s="193"/>
    </row>
    <row r="22" spans="1:29" ht="17">
      <c r="A22" s="479">
        <v>8700</v>
      </c>
      <c r="B22" s="480" t="s">
        <v>1695</v>
      </c>
      <c r="C22" t="s">
        <v>136</v>
      </c>
      <c r="D22" s="190">
        <v>8700</v>
      </c>
      <c r="E22" s="191">
        <v>17182</v>
      </c>
      <c r="F22" s="191">
        <v>19554</v>
      </c>
      <c r="G22" s="481">
        <v>378</v>
      </c>
      <c r="AC22" s="193"/>
    </row>
    <row r="23" spans="1:29" ht="17">
      <c r="A23" s="479">
        <v>8706</v>
      </c>
      <c r="B23" s="480" t="s">
        <v>1696</v>
      </c>
      <c r="C23" t="s">
        <v>136</v>
      </c>
      <c r="D23" s="190">
        <v>8706</v>
      </c>
      <c r="E23" s="191">
        <v>17093</v>
      </c>
      <c r="F23" s="191">
        <v>15677</v>
      </c>
      <c r="G23" s="481">
        <v>368</v>
      </c>
      <c r="AC23" s="193"/>
    </row>
    <row r="24" spans="1:29" ht="17">
      <c r="A24" s="479">
        <v>8805</v>
      </c>
      <c r="B24" s="480" t="s">
        <v>1697</v>
      </c>
      <c r="C24" t="s">
        <v>136</v>
      </c>
      <c r="D24" s="190">
        <v>8805</v>
      </c>
      <c r="E24" s="191">
        <v>12264</v>
      </c>
      <c r="F24" s="191">
        <v>14254</v>
      </c>
      <c r="G24" s="481">
        <v>315</v>
      </c>
      <c r="AC24" s="193"/>
    </row>
    <row r="25" spans="1:29" ht="17">
      <c r="A25" s="479">
        <v>8702</v>
      </c>
      <c r="B25" s="480" t="s">
        <v>1698</v>
      </c>
      <c r="C25" t="s">
        <v>136</v>
      </c>
      <c r="D25" s="190">
        <v>8702</v>
      </c>
      <c r="E25" s="191">
        <v>17273</v>
      </c>
      <c r="F25" s="191">
        <v>16885</v>
      </c>
      <c r="G25" s="481">
        <v>411</v>
      </c>
      <c r="AC25" s="193"/>
    </row>
    <row r="26" spans="1:29" ht="17">
      <c r="A26" s="479">
        <v>8630</v>
      </c>
      <c r="B26" s="480" t="s">
        <v>1699</v>
      </c>
      <c r="C26" t="s">
        <v>136</v>
      </c>
      <c r="D26" s="190">
        <v>8630</v>
      </c>
      <c r="E26" s="191">
        <v>8347</v>
      </c>
      <c r="F26" s="191">
        <v>8496</v>
      </c>
      <c r="G26" s="481">
        <v>251</v>
      </c>
      <c r="U26" s="194"/>
      <c r="AC26" s="193"/>
    </row>
    <row r="27" spans="1:29" ht="17">
      <c r="A27" s="479">
        <v>8910</v>
      </c>
      <c r="B27" s="480" t="s">
        <v>1700</v>
      </c>
      <c r="C27" t="s">
        <v>136</v>
      </c>
      <c r="D27" s="190">
        <v>8910</v>
      </c>
      <c r="E27" s="191">
        <v>11006</v>
      </c>
      <c r="F27" s="191">
        <v>10006</v>
      </c>
      <c r="G27" s="481">
        <v>300</v>
      </c>
      <c r="U27" s="194"/>
      <c r="AC27" s="193"/>
    </row>
    <row r="28" spans="1:29" ht="17">
      <c r="A28" s="479">
        <v>8330</v>
      </c>
      <c r="B28" s="480" t="s">
        <v>1701</v>
      </c>
      <c r="C28" t="s">
        <v>136</v>
      </c>
      <c r="D28" s="190">
        <v>8330</v>
      </c>
      <c r="E28" s="191">
        <v>9751</v>
      </c>
      <c r="F28" s="191">
        <v>10817</v>
      </c>
      <c r="G28" s="481">
        <v>307</v>
      </c>
      <c r="U28" s="194"/>
      <c r="AC28" s="193"/>
    </row>
    <row r="29" spans="1:29" ht="17">
      <c r="A29" s="479">
        <v>8303</v>
      </c>
      <c r="B29" s="480" t="s">
        <v>1702</v>
      </c>
      <c r="C29" t="s">
        <v>136</v>
      </c>
      <c r="D29" s="190">
        <v>8303</v>
      </c>
      <c r="E29" s="191">
        <v>9769</v>
      </c>
      <c r="F29" s="191">
        <v>10171</v>
      </c>
      <c r="G29" s="481">
        <v>321</v>
      </c>
      <c r="U29" s="194"/>
      <c r="AC29" s="193"/>
    </row>
    <row r="30" spans="1:29" ht="17">
      <c r="A30" s="479">
        <v>8340</v>
      </c>
      <c r="B30" s="480" t="s">
        <v>1703</v>
      </c>
      <c r="C30" t="s">
        <v>136</v>
      </c>
      <c r="D30" s="190">
        <v>8340</v>
      </c>
      <c r="E30" s="191">
        <v>8917</v>
      </c>
      <c r="F30" s="191">
        <v>9249</v>
      </c>
      <c r="G30" s="481">
        <v>267</v>
      </c>
      <c r="U30" s="194"/>
      <c r="AC30" s="193"/>
    </row>
    <row r="31" spans="1:29" ht="17">
      <c r="A31" s="479">
        <v>8708</v>
      </c>
      <c r="B31" s="480" t="s">
        <v>1704</v>
      </c>
      <c r="C31" t="s">
        <v>136</v>
      </c>
      <c r="D31" s="190">
        <v>8708</v>
      </c>
      <c r="E31" s="191">
        <v>14660</v>
      </c>
      <c r="F31" s="191">
        <v>13073</v>
      </c>
      <c r="G31" s="481">
        <v>335</v>
      </c>
      <c r="U31" s="194"/>
      <c r="AC31" s="193"/>
    </row>
    <row r="32" spans="1:29" ht="17">
      <c r="A32" s="479">
        <v>8124</v>
      </c>
      <c r="B32" s="480" t="s">
        <v>1705</v>
      </c>
      <c r="C32" t="s">
        <v>136</v>
      </c>
      <c r="D32" s="190">
        <v>8124</v>
      </c>
      <c r="E32" s="191">
        <v>10204</v>
      </c>
      <c r="F32" s="191">
        <v>12070</v>
      </c>
      <c r="G32" s="481">
        <v>300</v>
      </c>
      <c r="U32" s="194"/>
      <c r="AC32" s="193"/>
    </row>
    <row r="33" spans="1:29" ht="17">
      <c r="A33" s="479">
        <v>8625</v>
      </c>
      <c r="B33" s="480" t="s">
        <v>1706</v>
      </c>
      <c r="C33" t="s">
        <v>136</v>
      </c>
      <c r="D33" s="190">
        <v>8625</v>
      </c>
      <c r="E33" s="191">
        <v>9091</v>
      </c>
      <c r="F33" s="191">
        <v>8662</v>
      </c>
      <c r="G33" s="481">
        <v>264</v>
      </c>
      <c r="U33" s="194"/>
      <c r="AC33" s="193"/>
    </row>
    <row r="34" spans="1:29" ht="17">
      <c r="A34" s="479">
        <v>8636</v>
      </c>
      <c r="B34" s="480" t="s">
        <v>1707</v>
      </c>
      <c r="C34" t="s">
        <v>136</v>
      </c>
      <c r="D34" s="190">
        <v>8636</v>
      </c>
      <c r="E34" s="191">
        <v>7769</v>
      </c>
      <c r="F34" s="191">
        <v>8203</v>
      </c>
      <c r="G34" s="481">
        <v>254</v>
      </c>
      <c r="U34" s="194"/>
      <c r="AC34" s="193"/>
    </row>
    <row r="35" spans="1:29" ht="17">
      <c r="A35" s="479">
        <v>8902</v>
      </c>
      <c r="B35" s="480" t="s">
        <v>1708</v>
      </c>
      <c r="C35" t="s">
        <v>136</v>
      </c>
      <c r="D35" s="190">
        <v>8902</v>
      </c>
      <c r="E35" s="191">
        <v>10636</v>
      </c>
      <c r="F35" s="191">
        <v>11381</v>
      </c>
      <c r="G35" s="481">
        <v>286</v>
      </c>
      <c r="U35" s="194"/>
      <c r="AC35" s="193"/>
    </row>
    <row r="36" spans="1:29" ht="17">
      <c r="A36" s="479">
        <v>8424</v>
      </c>
      <c r="B36" s="480" t="s">
        <v>1709</v>
      </c>
      <c r="C36" t="s">
        <v>136</v>
      </c>
      <c r="D36" s="190">
        <v>8424</v>
      </c>
      <c r="E36" s="191">
        <v>8759</v>
      </c>
      <c r="F36" s="191">
        <v>9568</v>
      </c>
      <c r="G36" s="481">
        <v>287</v>
      </c>
      <c r="U36" s="194"/>
      <c r="AC36" s="193"/>
    </row>
    <row r="37" spans="1:29" ht="17">
      <c r="A37" s="479">
        <v>8155</v>
      </c>
      <c r="B37" s="480" t="s">
        <v>1710</v>
      </c>
      <c r="C37" t="s">
        <v>136</v>
      </c>
      <c r="D37" s="190">
        <v>8155</v>
      </c>
      <c r="E37" s="191">
        <v>8845</v>
      </c>
      <c r="F37" s="191">
        <v>9273</v>
      </c>
      <c r="G37" s="481">
        <v>259</v>
      </c>
      <c r="U37" s="194"/>
      <c r="AC37" s="193"/>
    </row>
    <row r="38" spans="1:29" ht="17">
      <c r="A38" s="479">
        <v>8634</v>
      </c>
      <c r="B38" s="480" t="s">
        <v>1711</v>
      </c>
      <c r="C38" t="s">
        <v>136</v>
      </c>
      <c r="D38" s="190">
        <v>8634</v>
      </c>
      <c r="E38" s="191">
        <v>9767</v>
      </c>
      <c r="F38" s="191">
        <v>10664</v>
      </c>
      <c r="G38" s="481">
        <v>259</v>
      </c>
      <c r="U38" s="194"/>
      <c r="AC38" s="193"/>
    </row>
    <row r="39" spans="1:29" ht="17">
      <c r="A39" s="479">
        <v>8117</v>
      </c>
      <c r="B39" s="480" t="s">
        <v>1712</v>
      </c>
      <c r="C39" t="s">
        <v>136</v>
      </c>
      <c r="D39" s="190">
        <v>8117</v>
      </c>
      <c r="E39" s="191">
        <v>9754</v>
      </c>
      <c r="F39" s="191">
        <v>11153</v>
      </c>
      <c r="G39" s="481">
        <v>291</v>
      </c>
      <c r="U39" s="194"/>
      <c r="AC39" s="193"/>
    </row>
    <row r="40" spans="1:29" ht="17">
      <c r="A40" s="479">
        <v>8802</v>
      </c>
      <c r="B40" s="480" t="s">
        <v>1713</v>
      </c>
      <c r="C40" t="s">
        <v>136</v>
      </c>
      <c r="D40" s="190">
        <v>8802</v>
      </c>
      <c r="E40" s="191">
        <v>18494</v>
      </c>
      <c r="F40" s="191">
        <v>16143</v>
      </c>
      <c r="G40" s="481">
        <v>435</v>
      </c>
      <c r="U40" s="194"/>
    </row>
    <row r="41" spans="1:29" ht="17">
      <c r="A41" s="479">
        <v>8132</v>
      </c>
      <c r="B41" s="480" t="s">
        <v>1714</v>
      </c>
      <c r="C41" t="s">
        <v>136</v>
      </c>
      <c r="D41" s="190">
        <v>8132</v>
      </c>
      <c r="E41" s="191">
        <v>9388</v>
      </c>
      <c r="F41" s="191">
        <v>11344</v>
      </c>
      <c r="G41" s="481">
        <v>285</v>
      </c>
      <c r="U41" s="194"/>
    </row>
    <row r="42" spans="1:29" ht="22" customHeight="1">
      <c r="A42" s="479">
        <v>8153</v>
      </c>
      <c r="B42" s="480" t="s">
        <v>1715</v>
      </c>
      <c r="C42" t="s">
        <v>136</v>
      </c>
      <c r="D42" s="190">
        <v>8153</v>
      </c>
      <c r="E42" s="191">
        <v>11083</v>
      </c>
      <c r="F42" s="191">
        <v>11114</v>
      </c>
      <c r="G42" s="481">
        <v>280</v>
      </c>
      <c r="U42" s="194"/>
    </row>
    <row r="43" spans="1:29" ht="22" customHeight="1">
      <c r="A43" s="479">
        <v>8602</v>
      </c>
      <c r="B43" s="480" t="s">
        <v>1716</v>
      </c>
      <c r="C43" t="s">
        <v>136</v>
      </c>
      <c r="D43" s="190">
        <v>8602</v>
      </c>
      <c r="E43" s="191">
        <v>9929</v>
      </c>
      <c r="F43" s="191">
        <v>11013</v>
      </c>
      <c r="G43" s="481">
        <v>7968</v>
      </c>
      <c r="U43" s="194"/>
    </row>
    <row r="44" spans="1:29" ht="17">
      <c r="A44" s="479">
        <v>8305</v>
      </c>
      <c r="B44" s="480" t="s">
        <v>1717</v>
      </c>
      <c r="C44" t="s">
        <v>136</v>
      </c>
      <c r="D44" s="190">
        <v>8305</v>
      </c>
      <c r="E44" s="191">
        <v>10404</v>
      </c>
      <c r="F44" s="191">
        <v>11222</v>
      </c>
      <c r="G44" s="481">
        <v>7883</v>
      </c>
      <c r="I44" s="19"/>
      <c r="M44" s="19"/>
      <c r="U44" s="194"/>
    </row>
    <row r="45" spans="1:29" ht="17">
      <c r="A45" s="479">
        <v>8635</v>
      </c>
      <c r="B45" s="480" t="s">
        <v>1718</v>
      </c>
      <c r="C45" t="s">
        <v>136</v>
      </c>
      <c r="D45" s="190">
        <v>8635</v>
      </c>
      <c r="E45" s="192">
        <v>8707</v>
      </c>
      <c r="F45" s="192">
        <v>8483</v>
      </c>
      <c r="G45" s="481">
        <v>7702</v>
      </c>
      <c r="H45" s="19"/>
      <c r="I45" s="19"/>
      <c r="M45" s="19"/>
      <c r="U45" s="194"/>
    </row>
    <row r="46" spans="1:29" ht="17">
      <c r="A46" s="479">
        <v>8135</v>
      </c>
      <c r="B46" s="480" t="s">
        <v>1719</v>
      </c>
      <c r="C46" t="s">
        <v>136</v>
      </c>
      <c r="D46" s="190">
        <v>8135</v>
      </c>
      <c r="E46" s="192">
        <v>11111</v>
      </c>
      <c r="F46" s="192">
        <v>12192</v>
      </c>
      <c r="G46" s="481">
        <v>7570</v>
      </c>
      <c r="H46" s="19"/>
      <c r="I46" s="19"/>
      <c r="M46" s="19"/>
      <c r="U46" s="194"/>
    </row>
    <row r="47" spans="1:29" ht="17">
      <c r="A47" s="479">
        <v>8472</v>
      </c>
      <c r="B47" s="480" t="s">
        <v>1720</v>
      </c>
      <c r="C47" t="s">
        <v>136</v>
      </c>
      <c r="D47" s="190">
        <v>8472</v>
      </c>
      <c r="E47" s="192">
        <v>9765</v>
      </c>
      <c r="F47" s="192">
        <v>10086</v>
      </c>
      <c r="G47" s="481">
        <v>7533</v>
      </c>
      <c r="H47" s="19"/>
      <c r="I47" s="19"/>
      <c r="M47" s="19"/>
      <c r="U47" s="194"/>
    </row>
    <row r="48" spans="1:29" ht="17">
      <c r="A48" s="479">
        <v>8608</v>
      </c>
      <c r="B48" s="480" t="s">
        <v>1721</v>
      </c>
      <c r="C48" t="s">
        <v>136</v>
      </c>
      <c r="D48" s="190">
        <v>8608</v>
      </c>
      <c r="E48" s="192">
        <v>8745</v>
      </c>
      <c r="F48" s="192">
        <v>9580</v>
      </c>
      <c r="G48" s="481">
        <v>7312</v>
      </c>
      <c r="H48" s="19"/>
      <c r="I48" s="19"/>
      <c r="M48" s="19"/>
      <c r="U48" s="194"/>
    </row>
    <row r="49" spans="1:21" ht="17">
      <c r="A49" s="479">
        <v>8154</v>
      </c>
      <c r="B49" s="480" t="s">
        <v>1722</v>
      </c>
      <c r="C49" t="s">
        <v>136</v>
      </c>
      <c r="D49" s="190">
        <v>8154</v>
      </c>
      <c r="E49" s="192">
        <v>9237</v>
      </c>
      <c r="F49" s="192">
        <v>9788</v>
      </c>
      <c r="G49" s="481">
        <v>7200</v>
      </c>
      <c r="H49" s="19"/>
      <c r="I49" s="19"/>
      <c r="M49" s="19"/>
      <c r="U49" s="194"/>
    </row>
    <row r="50" spans="1:21" ht="17">
      <c r="A50" s="479">
        <v>8102</v>
      </c>
      <c r="B50" s="480" t="s">
        <v>1723</v>
      </c>
      <c r="C50" t="s">
        <v>136</v>
      </c>
      <c r="D50" s="190">
        <v>8102</v>
      </c>
      <c r="E50" s="192">
        <v>12123</v>
      </c>
      <c r="F50" s="192">
        <v>12065</v>
      </c>
      <c r="G50" s="481">
        <v>6988</v>
      </c>
      <c r="H50" s="19"/>
      <c r="I50" s="19"/>
      <c r="M50" s="19"/>
      <c r="U50" s="194"/>
    </row>
    <row r="51" spans="1:21" ht="17">
      <c r="A51" s="479">
        <v>8320</v>
      </c>
      <c r="B51" s="480" t="s">
        <v>1724</v>
      </c>
      <c r="C51" t="s">
        <v>136</v>
      </c>
      <c r="D51" s="190">
        <v>8320</v>
      </c>
      <c r="E51" s="192">
        <v>8763</v>
      </c>
      <c r="F51" s="192">
        <v>8686</v>
      </c>
      <c r="G51" s="481">
        <v>6620</v>
      </c>
      <c r="H51" s="19"/>
      <c r="I51" s="19"/>
      <c r="M51" s="19"/>
      <c r="U51" s="194"/>
    </row>
    <row r="52" spans="1:21" ht="27">
      <c r="A52" s="479">
        <v>8903</v>
      </c>
      <c r="B52" s="480" t="s">
        <v>1725</v>
      </c>
      <c r="C52" t="s">
        <v>136</v>
      </c>
      <c r="D52" s="190">
        <v>8903</v>
      </c>
      <c r="E52" s="192">
        <v>11921</v>
      </c>
      <c r="F52" s="192">
        <v>13693</v>
      </c>
      <c r="G52" s="481">
        <v>6416</v>
      </c>
      <c r="H52" s="195"/>
      <c r="I52" s="195"/>
      <c r="J52" s="195"/>
      <c r="K52" s="195"/>
      <c r="L52" s="195"/>
      <c r="M52" s="195"/>
      <c r="N52" s="195"/>
      <c r="O52" s="195"/>
      <c r="U52" s="194"/>
    </row>
    <row r="53" spans="1:21" ht="17">
      <c r="A53" s="479">
        <v>8542</v>
      </c>
      <c r="B53" s="480" t="s">
        <v>1726</v>
      </c>
      <c r="C53" t="s">
        <v>136</v>
      </c>
      <c r="D53" s="190">
        <v>8542</v>
      </c>
      <c r="E53" s="192">
        <v>8611</v>
      </c>
      <c r="F53" s="192">
        <v>8009</v>
      </c>
      <c r="G53" s="481">
        <v>6414</v>
      </c>
      <c r="H53" s="19"/>
      <c r="I53" s="19"/>
      <c r="M53" s="19"/>
      <c r="U53" s="194"/>
    </row>
    <row r="54" spans="1:21" ht="17">
      <c r="A54" s="479">
        <v>8107</v>
      </c>
      <c r="B54" s="480" t="s">
        <v>1727</v>
      </c>
      <c r="C54" t="s">
        <v>136</v>
      </c>
      <c r="D54" s="190">
        <v>8107</v>
      </c>
      <c r="E54" s="192">
        <v>9609</v>
      </c>
      <c r="F54" s="192">
        <v>8709</v>
      </c>
      <c r="G54" s="481">
        <v>6380</v>
      </c>
      <c r="M54" s="19"/>
      <c r="U54" s="194"/>
    </row>
    <row r="55" spans="1:21" ht="17">
      <c r="A55" s="479">
        <v>8704</v>
      </c>
      <c r="B55" s="480" t="s">
        <v>1728</v>
      </c>
      <c r="C55" t="s">
        <v>136</v>
      </c>
      <c r="D55" s="190">
        <v>8704</v>
      </c>
      <c r="E55" s="192">
        <v>17586</v>
      </c>
      <c r="F55" s="192">
        <v>18781</v>
      </c>
      <c r="G55" s="481">
        <v>6315</v>
      </c>
      <c r="H55" s="19"/>
      <c r="I55" s="19"/>
      <c r="M55" s="19"/>
      <c r="U55" s="194"/>
    </row>
    <row r="56" spans="1:21" ht="17">
      <c r="A56" s="479">
        <v>8707</v>
      </c>
      <c r="B56" s="480" t="s">
        <v>1729</v>
      </c>
      <c r="C56" t="s">
        <v>136</v>
      </c>
      <c r="D56" s="190">
        <v>8707</v>
      </c>
      <c r="E56" s="192">
        <v>14496</v>
      </c>
      <c r="F56" s="192">
        <v>13211</v>
      </c>
      <c r="G56" s="481">
        <v>6308</v>
      </c>
      <c r="H56" s="196"/>
      <c r="I56" s="19"/>
      <c r="K56" s="9"/>
      <c r="M56" s="19"/>
      <c r="U56" s="194"/>
    </row>
    <row r="57" spans="1:21" ht="17">
      <c r="A57" s="479">
        <v>8157</v>
      </c>
      <c r="B57" s="480" t="s">
        <v>1730</v>
      </c>
      <c r="C57" t="s">
        <v>136</v>
      </c>
      <c r="D57" s="190">
        <v>8157</v>
      </c>
      <c r="E57" s="192">
        <v>8721</v>
      </c>
      <c r="F57" s="192">
        <v>8489</v>
      </c>
      <c r="G57" s="481">
        <v>6161</v>
      </c>
      <c r="H57" s="196"/>
      <c r="I57" s="19"/>
      <c r="K57" s="9"/>
      <c r="M57" s="19"/>
      <c r="U57" s="194"/>
    </row>
    <row r="58" spans="1:21" ht="17">
      <c r="A58" s="479">
        <v>8487</v>
      </c>
      <c r="B58" s="480" t="s">
        <v>1731</v>
      </c>
      <c r="C58" t="s">
        <v>136</v>
      </c>
      <c r="D58" s="190">
        <v>8487</v>
      </c>
      <c r="E58" s="192">
        <v>7242</v>
      </c>
      <c r="F58" s="192">
        <v>8008</v>
      </c>
      <c r="G58" s="481">
        <v>5966</v>
      </c>
      <c r="H58" s="196"/>
      <c r="I58" s="19"/>
      <c r="M58" s="19"/>
      <c r="U58" s="194"/>
    </row>
    <row r="59" spans="1:21" ht="17">
      <c r="A59" s="479">
        <v>8803</v>
      </c>
      <c r="B59" s="480" t="s">
        <v>1732</v>
      </c>
      <c r="C59" t="s">
        <v>136</v>
      </c>
      <c r="D59" s="190">
        <v>8803</v>
      </c>
      <c r="E59" s="192">
        <v>17674</v>
      </c>
      <c r="F59" s="192">
        <v>16118</v>
      </c>
      <c r="G59" s="481">
        <v>5939</v>
      </c>
      <c r="H59" s="19"/>
      <c r="I59" s="19"/>
      <c r="M59" s="19"/>
      <c r="U59" s="194"/>
    </row>
    <row r="60" spans="1:21" ht="17">
      <c r="A60" s="479">
        <v>8315</v>
      </c>
      <c r="B60" s="480" t="s">
        <v>1733</v>
      </c>
      <c r="C60" t="s">
        <v>136</v>
      </c>
      <c r="D60" s="190">
        <v>8315</v>
      </c>
      <c r="E60" s="192">
        <v>8982</v>
      </c>
      <c r="F60" s="192">
        <v>10271</v>
      </c>
      <c r="G60" s="481">
        <v>5853</v>
      </c>
      <c r="H60" s="19"/>
      <c r="I60" s="19"/>
      <c r="M60" s="19"/>
      <c r="U60" s="194"/>
    </row>
    <row r="61" spans="1:21" ht="17">
      <c r="A61" s="479">
        <v>8309</v>
      </c>
      <c r="B61" s="480" t="s">
        <v>1734</v>
      </c>
      <c r="C61" t="s">
        <v>136</v>
      </c>
      <c r="D61" s="190">
        <v>8309</v>
      </c>
      <c r="E61" s="192">
        <v>9385</v>
      </c>
      <c r="F61" s="192">
        <v>10011</v>
      </c>
      <c r="G61" s="481">
        <v>5645</v>
      </c>
      <c r="H61" s="19"/>
      <c r="I61" s="19"/>
      <c r="M61" s="19"/>
      <c r="U61" s="194"/>
    </row>
    <row r="62" spans="1:21" ht="17">
      <c r="A62" s="479">
        <v>8703</v>
      </c>
      <c r="B62" s="480" t="s">
        <v>1735</v>
      </c>
      <c r="C62" t="s">
        <v>136</v>
      </c>
      <c r="D62" s="190">
        <v>8703</v>
      </c>
      <c r="E62" s="192">
        <v>19340</v>
      </c>
      <c r="F62" s="192">
        <v>19854</v>
      </c>
      <c r="G62" s="481">
        <v>5611</v>
      </c>
      <c r="H62" s="19"/>
      <c r="I62" s="19"/>
      <c r="M62" s="19"/>
      <c r="U62" s="194"/>
    </row>
    <row r="63" spans="1:21" ht="17">
      <c r="A63" s="479">
        <v>8412</v>
      </c>
      <c r="B63" s="480" t="s">
        <v>1736</v>
      </c>
      <c r="C63" t="s">
        <v>136</v>
      </c>
      <c r="D63" s="190">
        <v>8412</v>
      </c>
      <c r="E63" s="192">
        <v>8651</v>
      </c>
      <c r="F63" s="192">
        <v>9067</v>
      </c>
      <c r="G63" s="481">
        <v>5576</v>
      </c>
      <c r="I63" s="19"/>
      <c r="M63" s="19"/>
      <c r="U63" s="194"/>
    </row>
    <row r="64" spans="1:21" ht="17">
      <c r="A64" s="479">
        <v>8906</v>
      </c>
      <c r="B64" s="480" t="s">
        <v>1737</v>
      </c>
      <c r="C64" t="s">
        <v>136</v>
      </c>
      <c r="D64" s="190">
        <v>8906</v>
      </c>
      <c r="E64" s="192">
        <v>9573</v>
      </c>
      <c r="F64" s="192">
        <v>10890</v>
      </c>
      <c r="G64" s="481">
        <v>5553</v>
      </c>
      <c r="H64" s="197"/>
      <c r="I64" s="19"/>
      <c r="M64" s="19"/>
      <c r="U64" s="194"/>
    </row>
    <row r="65" spans="1:21" ht="17">
      <c r="A65" s="479">
        <v>8912</v>
      </c>
      <c r="B65" s="480" t="s">
        <v>1738</v>
      </c>
      <c r="C65" t="s">
        <v>136</v>
      </c>
      <c r="D65" s="190">
        <v>8912</v>
      </c>
      <c r="E65" s="192">
        <v>9618</v>
      </c>
      <c r="F65" s="192">
        <v>10203</v>
      </c>
      <c r="G65" s="481">
        <v>5512</v>
      </c>
      <c r="H65" s="197"/>
      <c r="I65" s="19"/>
      <c r="M65" s="19"/>
      <c r="U65" s="194"/>
    </row>
    <row r="66" spans="1:21" ht="17">
      <c r="A66" s="479">
        <v>8606</v>
      </c>
      <c r="B66" s="480" t="s">
        <v>1739</v>
      </c>
      <c r="C66" t="s">
        <v>136</v>
      </c>
      <c r="D66" s="190">
        <v>8606</v>
      </c>
      <c r="E66" s="192">
        <v>9060</v>
      </c>
      <c r="F66" s="192">
        <v>11617</v>
      </c>
      <c r="G66" s="481">
        <v>5356</v>
      </c>
      <c r="H66" s="197"/>
      <c r="I66" s="19"/>
      <c r="M66" s="19"/>
      <c r="U66" s="194"/>
    </row>
    <row r="67" spans="1:21" ht="17">
      <c r="A67" s="479">
        <v>8192</v>
      </c>
      <c r="B67" s="480" t="s">
        <v>1740</v>
      </c>
      <c r="C67" t="s">
        <v>136</v>
      </c>
      <c r="D67" s="190">
        <v>8192</v>
      </c>
      <c r="E67" s="192">
        <v>7638</v>
      </c>
      <c r="F67" s="192">
        <v>7668</v>
      </c>
      <c r="G67" s="481">
        <v>5354</v>
      </c>
      <c r="H67" s="19"/>
      <c r="I67" s="19"/>
      <c r="M67" s="19"/>
      <c r="U67" s="194"/>
    </row>
    <row r="68" spans="1:21" ht="17">
      <c r="A68" s="479">
        <v>8193</v>
      </c>
      <c r="B68" s="480" t="s">
        <v>1741</v>
      </c>
      <c r="C68" t="s">
        <v>136</v>
      </c>
      <c r="D68" s="190">
        <v>8193</v>
      </c>
      <c r="E68" s="192">
        <v>8852</v>
      </c>
      <c r="F68" s="192">
        <v>8441</v>
      </c>
      <c r="G68" s="481">
        <v>5190</v>
      </c>
      <c r="H68" s="19"/>
      <c r="I68" s="19"/>
      <c r="M68" s="19"/>
      <c r="U68" s="194"/>
    </row>
    <row r="69" spans="1:21" ht="17">
      <c r="A69" s="479">
        <v>8126</v>
      </c>
      <c r="B69" s="480" t="s">
        <v>1742</v>
      </c>
      <c r="C69" t="s">
        <v>136</v>
      </c>
      <c r="D69" s="190">
        <v>8126</v>
      </c>
      <c r="E69" s="192">
        <v>16486</v>
      </c>
      <c r="F69" s="192">
        <v>18667</v>
      </c>
      <c r="G69" s="481">
        <v>5188</v>
      </c>
      <c r="H69" s="19"/>
      <c r="I69" s="19"/>
      <c r="M69" s="19"/>
      <c r="U69" s="194"/>
    </row>
    <row r="70" spans="1:21" ht="17">
      <c r="A70" s="479">
        <v>8172</v>
      </c>
      <c r="B70" s="480" t="s">
        <v>1743</v>
      </c>
      <c r="C70" t="s">
        <v>136</v>
      </c>
      <c r="D70" s="190">
        <v>8172</v>
      </c>
      <c r="E70" s="192">
        <v>8504</v>
      </c>
      <c r="F70" s="192">
        <v>8679</v>
      </c>
      <c r="G70" s="481">
        <v>5142</v>
      </c>
      <c r="H70" s="19"/>
      <c r="I70" s="19"/>
      <c r="M70" s="19"/>
      <c r="U70" s="194"/>
    </row>
    <row r="71" spans="1:21" ht="17">
      <c r="A71" s="479">
        <v>8954</v>
      </c>
      <c r="B71" s="480" t="s">
        <v>1744</v>
      </c>
      <c r="C71" t="s">
        <v>136</v>
      </c>
      <c r="D71" s="190">
        <v>8954</v>
      </c>
      <c r="E71" s="192">
        <v>10250</v>
      </c>
      <c r="F71" s="192">
        <v>11049</v>
      </c>
      <c r="G71" s="481">
        <v>4949</v>
      </c>
      <c r="H71" s="19"/>
      <c r="I71" s="19"/>
      <c r="M71" s="19"/>
      <c r="U71" s="194"/>
    </row>
    <row r="72" spans="1:21" ht="17">
      <c r="A72" s="479">
        <v>8494</v>
      </c>
      <c r="B72" s="480" t="s">
        <v>1745</v>
      </c>
      <c r="C72" t="s">
        <v>136</v>
      </c>
      <c r="D72" s="190">
        <v>8494</v>
      </c>
      <c r="E72" s="192">
        <v>7274</v>
      </c>
      <c r="F72" s="192">
        <v>7202</v>
      </c>
      <c r="G72" s="481">
        <v>4943</v>
      </c>
      <c r="H72" s="140"/>
      <c r="I72" s="19"/>
      <c r="M72" s="19"/>
      <c r="U72" s="194"/>
    </row>
    <row r="73" spans="1:21" ht="17">
      <c r="A73" s="479">
        <v>8353</v>
      </c>
      <c r="B73" s="480" t="s">
        <v>1746</v>
      </c>
      <c r="C73" t="s">
        <v>136</v>
      </c>
      <c r="D73" s="190">
        <v>8353</v>
      </c>
      <c r="E73" s="192">
        <v>7483</v>
      </c>
      <c r="F73" s="192">
        <v>7832</v>
      </c>
      <c r="G73" s="481">
        <v>4939</v>
      </c>
      <c r="H73" s="19"/>
      <c r="I73" s="19"/>
      <c r="M73" s="19"/>
      <c r="U73" s="194"/>
    </row>
    <row r="74" spans="1:21" ht="17">
      <c r="A74" s="479">
        <v>8932</v>
      </c>
      <c r="B74" s="480" t="s">
        <v>1747</v>
      </c>
      <c r="C74" t="s">
        <v>136</v>
      </c>
      <c r="D74" s="190">
        <v>8932</v>
      </c>
      <c r="E74" s="192">
        <v>9770</v>
      </c>
      <c r="F74" s="192">
        <v>9168</v>
      </c>
      <c r="G74" s="481">
        <v>4925</v>
      </c>
      <c r="H74" s="19"/>
      <c r="I74" s="19"/>
      <c r="M74" s="19"/>
      <c r="U74" s="194"/>
    </row>
    <row r="75" spans="1:21" ht="17">
      <c r="A75" s="479">
        <v>8104</v>
      </c>
      <c r="B75" s="480" t="s">
        <v>1748</v>
      </c>
      <c r="C75" t="s">
        <v>136</v>
      </c>
      <c r="D75" s="190">
        <v>8104</v>
      </c>
      <c r="E75" s="192">
        <v>10899</v>
      </c>
      <c r="F75" s="192">
        <v>11253</v>
      </c>
      <c r="G75" s="481">
        <v>4886</v>
      </c>
      <c r="M75" s="19"/>
      <c r="U75" s="194"/>
    </row>
    <row r="76" spans="1:21" ht="17">
      <c r="A76" s="479">
        <v>8618</v>
      </c>
      <c r="B76" s="480" t="s">
        <v>1749</v>
      </c>
      <c r="C76" t="s">
        <v>136</v>
      </c>
      <c r="D76" s="190">
        <v>8618</v>
      </c>
      <c r="E76" s="192">
        <v>8540</v>
      </c>
      <c r="F76" s="192">
        <v>8060</v>
      </c>
      <c r="G76" s="481">
        <v>4775</v>
      </c>
      <c r="H76" s="19"/>
      <c r="I76" s="19"/>
      <c r="M76" s="19"/>
      <c r="U76" s="194"/>
    </row>
    <row r="77" spans="1:21" ht="17">
      <c r="A77" s="479">
        <v>8488</v>
      </c>
      <c r="B77" s="480" t="s">
        <v>1750</v>
      </c>
      <c r="C77" t="s">
        <v>136</v>
      </c>
      <c r="D77" s="190">
        <v>8488</v>
      </c>
      <c r="E77" s="192">
        <v>6141</v>
      </c>
      <c r="F77" s="192">
        <v>8339</v>
      </c>
      <c r="G77" s="481">
        <v>4762</v>
      </c>
      <c r="H77" s="196"/>
      <c r="I77" s="19"/>
      <c r="K77" s="9"/>
      <c r="M77" s="19"/>
      <c r="U77" s="194"/>
    </row>
    <row r="78" spans="1:21" ht="17">
      <c r="A78" s="479">
        <v>8185</v>
      </c>
      <c r="B78" s="480" t="s">
        <v>1751</v>
      </c>
      <c r="C78" t="s">
        <v>136</v>
      </c>
      <c r="D78" s="190">
        <v>8185</v>
      </c>
      <c r="E78" s="192">
        <v>11706</v>
      </c>
      <c r="F78" s="192">
        <v>11299</v>
      </c>
      <c r="G78" s="481">
        <v>4761</v>
      </c>
      <c r="H78" s="196"/>
      <c r="I78" s="19"/>
      <c r="K78" s="9"/>
      <c r="M78" s="19"/>
      <c r="U78" s="194"/>
    </row>
    <row r="79" spans="1:21" ht="17">
      <c r="A79" s="479">
        <v>8197</v>
      </c>
      <c r="B79" s="480" t="s">
        <v>1752</v>
      </c>
      <c r="C79" t="s">
        <v>136</v>
      </c>
      <c r="D79" s="190">
        <v>8197</v>
      </c>
      <c r="E79" s="192">
        <v>7730</v>
      </c>
      <c r="F79" s="192">
        <v>7556</v>
      </c>
      <c r="G79" s="481">
        <v>4540</v>
      </c>
      <c r="H79" s="196"/>
      <c r="I79" s="19"/>
      <c r="M79" s="19"/>
      <c r="U79" s="194"/>
    </row>
    <row r="80" spans="1:21" ht="17">
      <c r="A80" s="479">
        <v>8332</v>
      </c>
      <c r="B80" s="480" t="s">
        <v>1753</v>
      </c>
      <c r="C80" t="s">
        <v>136</v>
      </c>
      <c r="D80" s="190">
        <v>8332</v>
      </c>
      <c r="E80" s="192">
        <v>9159</v>
      </c>
      <c r="F80" s="192">
        <v>9421</v>
      </c>
      <c r="G80" s="481">
        <v>4483</v>
      </c>
      <c r="H80" s="19"/>
      <c r="I80" s="19"/>
      <c r="M80" s="19"/>
      <c r="U80" s="194"/>
    </row>
    <row r="81" spans="1:21" ht="17">
      <c r="A81" s="479">
        <v>8142</v>
      </c>
      <c r="B81" s="480" t="s">
        <v>1754</v>
      </c>
      <c r="C81" t="s">
        <v>136</v>
      </c>
      <c r="D81" s="190">
        <v>8142</v>
      </c>
      <c r="E81" s="192">
        <v>14991</v>
      </c>
      <c r="F81" s="192">
        <v>15444</v>
      </c>
      <c r="G81" s="481">
        <v>4367</v>
      </c>
      <c r="H81" s="19"/>
      <c r="I81" s="19"/>
      <c r="M81" s="19"/>
      <c r="U81" s="194"/>
    </row>
    <row r="82" spans="1:21" ht="17">
      <c r="A82" s="479">
        <v>8108</v>
      </c>
      <c r="B82" s="480" t="s">
        <v>1755</v>
      </c>
      <c r="C82" t="s">
        <v>136</v>
      </c>
      <c r="D82" s="190">
        <v>8108</v>
      </c>
      <c r="E82" s="192">
        <v>7623</v>
      </c>
      <c r="F82" s="192">
        <v>10187</v>
      </c>
      <c r="G82" s="481">
        <v>4245</v>
      </c>
      <c r="H82" s="19"/>
      <c r="I82" s="19"/>
      <c r="M82" s="19"/>
      <c r="U82" s="194"/>
    </row>
    <row r="83" spans="1:21" ht="17">
      <c r="A83" s="479">
        <v>8184</v>
      </c>
      <c r="B83" s="480" t="s">
        <v>1756</v>
      </c>
      <c r="C83" t="s">
        <v>136</v>
      </c>
      <c r="D83" s="190">
        <v>8184</v>
      </c>
      <c r="E83" s="192">
        <v>9158</v>
      </c>
      <c r="F83" s="192">
        <v>10507</v>
      </c>
      <c r="G83" s="481">
        <v>4118</v>
      </c>
      <c r="H83" s="19"/>
      <c r="I83" s="19"/>
      <c r="M83" s="19"/>
      <c r="U83" s="194"/>
    </row>
    <row r="84" spans="1:21" ht="17">
      <c r="A84" s="479">
        <v>8422</v>
      </c>
      <c r="B84" s="480" t="s">
        <v>1757</v>
      </c>
      <c r="C84" t="s">
        <v>136</v>
      </c>
      <c r="D84" s="190">
        <v>8422</v>
      </c>
      <c r="E84" s="192">
        <v>7794</v>
      </c>
      <c r="F84" s="192">
        <v>9230</v>
      </c>
      <c r="G84" s="481">
        <v>4114</v>
      </c>
      <c r="H84" s="19"/>
      <c r="I84" s="19"/>
      <c r="M84" s="19"/>
      <c r="U84" s="194"/>
    </row>
    <row r="85" spans="1:21" ht="17">
      <c r="A85" s="479">
        <v>8103</v>
      </c>
      <c r="B85" s="480" t="s">
        <v>1758</v>
      </c>
      <c r="C85" t="s">
        <v>136</v>
      </c>
      <c r="D85" s="190">
        <v>8103</v>
      </c>
      <c r="E85" s="192">
        <v>11197</v>
      </c>
      <c r="F85" s="192">
        <v>12592</v>
      </c>
      <c r="G85" s="481">
        <v>3851</v>
      </c>
      <c r="H85" s="197"/>
      <c r="I85" s="19"/>
      <c r="M85" s="19"/>
      <c r="U85" s="194"/>
    </row>
    <row r="86" spans="1:21" ht="17">
      <c r="A86" s="479">
        <v>8617</v>
      </c>
      <c r="B86" s="480" t="s">
        <v>1759</v>
      </c>
      <c r="C86" t="s">
        <v>136</v>
      </c>
      <c r="D86" s="190">
        <v>8617</v>
      </c>
      <c r="E86" s="192">
        <v>8233</v>
      </c>
      <c r="F86" s="192">
        <v>9685</v>
      </c>
      <c r="G86" s="481">
        <v>3804</v>
      </c>
      <c r="H86" s="197"/>
      <c r="I86" s="19"/>
      <c r="M86" s="19"/>
      <c r="U86" s="194"/>
    </row>
    <row r="87" spans="1:21" ht="17">
      <c r="A87" s="479">
        <v>8143</v>
      </c>
      <c r="B87" s="480" t="s">
        <v>1760</v>
      </c>
      <c r="C87" t="s">
        <v>136</v>
      </c>
      <c r="D87" s="190">
        <v>8143</v>
      </c>
      <c r="E87" s="192">
        <v>10435</v>
      </c>
      <c r="F87" s="192">
        <v>10357</v>
      </c>
      <c r="G87" s="481">
        <v>3735</v>
      </c>
      <c r="H87" s="197"/>
      <c r="I87" s="19"/>
      <c r="M87" s="19"/>
      <c r="U87" s="194"/>
    </row>
    <row r="88" spans="1:21" ht="17">
      <c r="A88" s="479">
        <v>8908</v>
      </c>
      <c r="B88" s="480" t="s">
        <v>1761</v>
      </c>
      <c r="C88" t="s">
        <v>136</v>
      </c>
      <c r="D88" s="190">
        <v>8908</v>
      </c>
      <c r="E88" s="192">
        <v>9837</v>
      </c>
      <c r="F88" s="192">
        <v>10357</v>
      </c>
      <c r="G88" s="481">
        <v>3717</v>
      </c>
      <c r="H88" s="19"/>
      <c r="I88" s="19"/>
      <c r="M88" s="19"/>
      <c r="U88" s="194"/>
    </row>
    <row r="89" spans="1:21" ht="17">
      <c r="A89" s="479">
        <v>8915</v>
      </c>
      <c r="B89" s="480" t="s">
        <v>1762</v>
      </c>
      <c r="C89" t="s">
        <v>136</v>
      </c>
      <c r="D89" s="190">
        <v>8915</v>
      </c>
      <c r="E89" s="192">
        <v>11130</v>
      </c>
      <c r="F89" s="192">
        <v>290</v>
      </c>
      <c r="G89" s="481">
        <v>3694</v>
      </c>
      <c r="H89" s="19"/>
      <c r="I89" s="19"/>
      <c r="M89" s="19"/>
      <c r="U89" s="194"/>
    </row>
    <row r="90" spans="1:21" ht="17">
      <c r="A90" s="479">
        <v>8245</v>
      </c>
      <c r="B90" s="480" t="s">
        <v>1763</v>
      </c>
      <c r="C90" t="s">
        <v>136</v>
      </c>
      <c r="D90" s="190">
        <v>8245</v>
      </c>
      <c r="E90" s="192">
        <v>7187</v>
      </c>
      <c r="F90" s="192">
        <v>9970</v>
      </c>
      <c r="G90" s="481">
        <v>3664</v>
      </c>
      <c r="H90" s="19"/>
      <c r="I90" s="19"/>
      <c r="M90" s="19"/>
      <c r="U90" s="194"/>
    </row>
    <row r="91" spans="1:21" ht="17">
      <c r="A91" s="479">
        <v>8335</v>
      </c>
      <c r="B91" s="480" t="s">
        <v>1764</v>
      </c>
      <c r="C91" t="s">
        <v>136</v>
      </c>
      <c r="D91" s="190">
        <v>8335</v>
      </c>
      <c r="E91" s="192">
        <v>8470</v>
      </c>
      <c r="F91" s="192">
        <v>7155</v>
      </c>
      <c r="G91" s="481">
        <v>3641</v>
      </c>
      <c r="H91" s="19"/>
      <c r="I91" s="19"/>
      <c r="M91" s="19"/>
      <c r="U91" s="194"/>
    </row>
    <row r="92" spans="1:21" ht="17">
      <c r="A92" s="479">
        <v>8352</v>
      </c>
      <c r="B92" s="480" t="s">
        <v>1765</v>
      </c>
      <c r="C92" t="s">
        <v>136</v>
      </c>
      <c r="D92" s="190">
        <v>8352</v>
      </c>
      <c r="E92" s="192">
        <v>9018</v>
      </c>
      <c r="F92" s="192">
        <v>8286</v>
      </c>
      <c r="G92" s="481">
        <v>3634</v>
      </c>
      <c r="H92" s="19"/>
      <c r="I92" s="19"/>
      <c r="M92" s="19"/>
      <c r="U92" s="194"/>
    </row>
    <row r="93" spans="1:21" ht="17">
      <c r="A93" s="479">
        <v>8162</v>
      </c>
      <c r="B93" s="480" t="s">
        <v>1766</v>
      </c>
      <c r="C93" t="s">
        <v>136</v>
      </c>
      <c r="D93" s="190">
        <v>8162</v>
      </c>
      <c r="E93" s="192">
        <v>8206</v>
      </c>
      <c r="F93" s="192">
        <v>9079</v>
      </c>
      <c r="G93" s="481">
        <v>3631</v>
      </c>
      <c r="H93" s="140"/>
      <c r="I93" s="19"/>
      <c r="M93" s="19"/>
      <c r="U93" s="194"/>
    </row>
    <row r="94" spans="1:21" ht="17">
      <c r="A94" s="479">
        <v>8627</v>
      </c>
      <c r="B94" s="480" t="s">
        <v>1767</v>
      </c>
      <c r="C94" t="s">
        <v>136</v>
      </c>
      <c r="D94" s="190">
        <v>8627</v>
      </c>
      <c r="E94" s="192">
        <v>9180</v>
      </c>
      <c r="F94" s="192">
        <v>9159</v>
      </c>
      <c r="G94" s="481">
        <v>3482</v>
      </c>
      <c r="H94" s="19"/>
      <c r="I94" s="19"/>
      <c r="M94" s="19"/>
      <c r="U94" s="194"/>
    </row>
    <row r="95" spans="1:21" ht="17">
      <c r="A95" s="479">
        <v>8484</v>
      </c>
      <c r="B95" s="480" t="s">
        <v>1768</v>
      </c>
      <c r="C95" t="s">
        <v>136</v>
      </c>
      <c r="D95" s="190">
        <v>8484</v>
      </c>
      <c r="E95" s="192">
        <v>7396</v>
      </c>
      <c r="F95" s="192">
        <v>8986</v>
      </c>
      <c r="G95" s="481">
        <v>3382</v>
      </c>
      <c r="H95" s="19"/>
      <c r="I95" s="19"/>
      <c r="M95" s="19"/>
      <c r="U95" s="194"/>
    </row>
    <row r="96" spans="1:21" ht="17">
      <c r="A96" s="479">
        <v>8442</v>
      </c>
      <c r="B96" s="480" t="s">
        <v>1769</v>
      </c>
      <c r="C96" t="s">
        <v>136</v>
      </c>
      <c r="D96" s="190">
        <v>8442</v>
      </c>
      <c r="E96" s="192">
        <v>8163</v>
      </c>
      <c r="F96" s="192">
        <v>8681</v>
      </c>
      <c r="G96" s="481">
        <v>3179</v>
      </c>
      <c r="H96" s="19"/>
      <c r="I96" s="19"/>
      <c r="M96" s="19"/>
      <c r="U96" s="194"/>
    </row>
    <row r="97" spans="1:21" ht="17">
      <c r="A97" s="479">
        <v>8173</v>
      </c>
      <c r="B97" s="480" t="s">
        <v>1770</v>
      </c>
      <c r="C97" t="s">
        <v>136</v>
      </c>
      <c r="D97" s="190">
        <v>8173</v>
      </c>
      <c r="E97" s="192">
        <v>8759</v>
      </c>
      <c r="F97" s="192">
        <v>9466</v>
      </c>
      <c r="G97" s="481">
        <v>3151</v>
      </c>
      <c r="H97" s="19"/>
      <c r="I97" s="19"/>
      <c r="M97" s="19"/>
      <c r="U97" s="194"/>
    </row>
    <row r="98" spans="1:21" ht="17">
      <c r="A98" s="479">
        <v>8477</v>
      </c>
      <c r="B98" s="480" t="s">
        <v>1771</v>
      </c>
      <c r="C98" t="s">
        <v>136</v>
      </c>
      <c r="D98" s="190">
        <v>8477</v>
      </c>
      <c r="E98" s="192">
        <v>6094</v>
      </c>
      <c r="F98" s="192">
        <v>9996</v>
      </c>
      <c r="G98" s="481">
        <v>224</v>
      </c>
      <c r="H98" s="19"/>
      <c r="I98" s="19"/>
      <c r="M98" s="19"/>
      <c r="U98" s="194"/>
    </row>
    <row r="99" spans="1:21" ht="17">
      <c r="A99" s="479">
        <v>8181</v>
      </c>
      <c r="B99" s="480" t="s">
        <v>1772</v>
      </c>
      <c r="C99" t="s">
        <v>136</v>
      </c>
      <c r="D99" s="190">
        <v>8181</v>
      </c>
      <c r="E99" s="192">
        <v>8848</v>
      </c>
      <c r="F99" s="192">
        <v>6750</v>
      </c>
      <c r="G99" s="481">
        <v>294</v>
      </c>
      <c r="H99" s="19"/>
      <c r="I99" s="19"/>
      <c r="M99" s="19"/>
      <c r="U99" s="194"/>
    </row>
    <row r="100" spans="1:21" ht="17">
      <c r="A100" s="479">
        <v>8545</v>
      </c>
      <c r="B100" s="480" t="s">
        <v>1773</v>
      </c>
      <c r="C100" t="s">
        <v>136</v>
      </c>
      <c r="D100" s="190">
        <v>8545</v>
      </c>
      <c r="E100" s="192">
        <v>8191</v>
      </c>
      <c r="F100" s="192">
        <v>8369</v>
      </c>
      <c r="G100" s="481">
        <v>265</v>
      </c>
      <c r="H100" s="19"/>
      <c r="I100" s="19"/>
      <c r="M100" s="19"/>
      <c r="U100" s="194"/>
    </row>
    <row r="101" spans="1:21" ht="17">
      <c r="A101" s="479">
        <v>8913</v>
      </c>
      <c r="B101" s="480" t="s">
        <v>1774</v>
      </c>
      <c r="C101" t="s">
        <v>136</v>
      </c>
      <c r="D101" s="190">
        <v>8913</v>
      </c>
      <c r="E101" s="192">
        <v>8479</v>
      </c>
      <c r="F101" s="192">
        <v>8673</v>
      </c>
      <c r="G101" s="481">
        <v>264</v>
      </c>
      <c r="H101" s="19"/>
      <c r="I101" s="19"/>
      <c r="M101" s="19"/>
      <c r="U101" s="194"/>
    </row>
    <row r="102" spans="1:21" ht="17">
      <c r="A102" s="479">
        <v>8615</v>
      </c>
      <c r="B102" s="480" t="s">
        <v>1775</v>
      </c>
      <c r="C102" t="s">
        <v>136</v>
      </c>
      <c r="D102" s="190">
        <v>8615</v>
      </c>
      <c r="E102" s="192">
        <v>5908</v>
      </c>
      <c r="F102" s="192">
        <v>9964</v>
      </c>
      <c r="G102" s="481">
        <v>206</v>
      </c>
      <c r="H102" s="19"/>
      <c r="I102" s="19"/>
      <c r="M102" s="19"/>
      <c r="U102" s="194"/>
    </row>
    <row r="103" spans="1:21" ht="17">
      <c r="A103" s="479">
        <v>8955</v>
      </c>
      <c r="B103" s="480" t="s">
        <v>1776</v>
      </c>
      <c r="C103" t="s">
        <v>136</v>
      </c>
      <c r="D103" s="190">
        <v>8955</v>
      </c>
      <c r="E103" s="192">
        <v>11291</v>
      </c>
      <c r="F103" s="192">
        <v>6561</v>
      </c>
      <c r="G103" s="481">
        <v>317</v>
      </c>
      <c r="H103" s="19"/>
      <c r="I103" s="19"/>
      <c r="M103" s="19"/>
      <c r="U103" s="194"/>
    </row>
    <row r="104" spans="1:21" ht="17">
      <c r="A104" s="479">
        <v>8426</v>
      </c>
      <c r="B104" s="480" t="s">
        <v>1777</v>
      </c>
      <c r="C104" t="s">
        <v>136</v>
      </c>
      <c r="D104" s="190">
        <v>8426</v>
      </c>
      <c r="E104" s="192">
        <v>9659</v>
      </c>
      <c r="F104" s="192">
        <v>12179</v>
      </c>
      <c r="G104" s="481">
        <v>323</v>
      </c>
      <c r="H104" s="19"/>
      <c r="I104" s="19"/>
      <c r="M104" s="19"/>
      <c r="U104" s="194"/>
    </row>
    <row r="105" spans="1:21" ht="17">
      <c r="A105" s="479">
        <v>8427</v>
      </c>
      <c r="B105" s="480" t="s">
        <v>1778</v>
      </c>
      <c r="C105" t="s">
        <v>136</v>
      </c>
      <c r="D105" s="190">
        <v>8427</v>
      </c>
      <c r="E105" s="192">
        <v>7197</v>
      </c>
      <c r="F105" s="192">
        <v>9913</v>
      </c>
      <c r="G105" s="481">
        <v>249</v>
      </c>
      <c r="H105" s="19"/>
      <c r="I105" s="19"/>
      <c r="M105" s="19"/>
      <c r="U105" s="194"/>
    </row>
    <row r="106" spans="1:21" ht="17">
      <c r="A106" s="479">
        <v>8934</v>
      </c>
      <c r="B106" s="480" t="s">
        <v>1779</v>
      </c>
      <c r="C106" t="s">
        <v>136</v>
      </c>
      <c r="D106" s="190">
        <v>8934</v>
      </c>
      <c r="E106" s="192">
        <v>10327</v>
      </c>
      <c r="F106" s="192">
        <v>7582</v>
      </c>
      <c r="G106" s="481">
        <v>278</v>
      </c>
      <c r="H106" s="19"/>
      <c r="I106" s="19"/>
      <c r="M106" s="19"/>
      <c r="U106" s="194"/>
    </row>
    <row r="107" spans="1:21" ht="17">
      <c r="A107" s="479">
        <v>8174</v>
      </c>
      <c r="B107" s="480" t="s">
        <v>1780</v>
      </c>
      <c r="C107" t="s">
        <v>136</v>
      </c>
      <c r="D107" s="190">
        <v>8174</v>
      </c>
      <c r="E107" s="192">
        <v>7543</v>
      </c>
      <c r="F107" s="192">
        <v>10516</v>
      </c>
      <c r="G107" s="481">
        <v>269</v>
      </c>
      <c r="H107" s="19"/>
      <c r="I107" s="19"/>
      <c r="M107" s="19"/>
      <c r="U107" s="194"/>
    </row>
    <row r="108" spans="1:21" ht="17">
      <c r="A108" s="479">
        <v>8444</v>
      </c>
      <c r="B108" s="480" t="s">
        <v>1781</v>
      </c>
      <c r="C108" t="s">
        <v>136</v>
      </c>
      <c r="D108" s="190">
        <v>8444</v>
      </c>
      <c r="E108" s="192">
        <v>6586</v>
      </c>
      <c r="F108" s="192">
        <v>9252</v>
      </c>
      <c r="G108" s="481">
        <v>271</v>
      </c>
      <c r="H108" s="19"/>
      <c r="I108" s="19"/>
      <c r="M108" s="19"/>
      <c r="U108" s="194"/>
    </row>
    <row r="109" spans="1:21" ht="17">
      <c r="A109" s="479">
        <v>8450</v>
      </c>
      <c r="B109" s="480" t="s">
        <v>1782</v>
      </c>
      <c r="C109" t="s">
        <v>136</v>
      </c>
      <c r="D109" s="190">
        <v>8450</v>
      </c>
      <c r="E109" s="192">
        <v>7620</v>
      </c>
      <c r="F109" s="192">
        <v>8500</v>
      </c>
      <c r="G109" s="481">
        <v>272</v>
      </c>
      <c r="H109" s="19"/>
      <c r="I109" s="19"/>
      <c r="M109" s="19"/>
      <c r="U109" s="194"/>
    </row>
    <row r="110" spans="1:21" ht="17">
      <c r="A110" s="479">
        <v>8451</v>
      </c>
      <c r="B110" s="480" t="s">
        <v>1783</v>
      </c>
      <c r="C110" t="s">
        <v>136</v>
      </c>
      <c r="D110" s="190">
        <v>8451</v>
      </c>
      <c r="E110" s="192">
        <v>6065</v>
      </c>
      <c r="F110" s="192">
        <v>7705</v>
      </c>
      <c r="G110" s="481">
        <v>262</v>
      </c>
      <c r="H110" s="19"/>
      <c r="I110" s="19"/>
      <c r="M110" s="19"/>
      <c r="U110" s="194"/>
    </row>
    <row r="111" spans="1:21" ht="17">
      <c r="A111" s="479">
        <v>8311</v>
      </c>
      <c r="B111" s="480" t="s">
        <v>1784</v>
      </c>
      <c r="C111" t="s">
        <v>136</v>
      </c>
      <c r="D111" s="190">
        <v>8311</v>
      </c>
      <c r="E111" s="192">
        <v>8946</v>
      </c>
      <c r="F111" s="192">
        <v>6954</v>
      </c>
      <c r="G111" s="481">
        <v>290</v>
      </c>
      <c r="H111" s="19"/>
      <c r="I111" s="19"/>
      <c r="M111" s="19"/>
      <c r="U111" s="194"/>
    </row>
    <row r="112" spans="1:21" ht="17">
      <c r="A112" s="479">
        <v>8492</v>
      </c>
      <c r="B112" s="480" t="s">
        <v>1785</v>
      </c>
      <c r="C112" t="s">
        <v>136</v>
      </c>
      <c r="D112" s="190">
        <v>8492</v>
      </c>
      <c r="E112" s="192">
        <v>6444</v>
      </c>
      <c r="F112" s="192">
        <v>10068</v>
      </c>
      <c r="G112" s="481">
        <v>218</v>
      </c>
      <c r="H112" s="19"/>
      <c r="I112" s="19"/>
      <c r="M112" s="19"/>
      <c r="U112" s="194"/>
    </row>
    <row r="113" spans="1:21" ht="17">
      <c r="A113" s="479">
        <v>8460</v>
      </c>
      <c r="B113" s="480" t="s">
        <v>1786</v>
      </c>
      <c r="C113" t="s">
        <v>136</v>
      </c>
      <c r="D113" s="190">
        <v>8460</v>
      </c>
      <c r="E113" s="192">
        <v>7403</v>
      </c>
      <c r="F113" s="192">
        <v>7719</v>
      </c>
      <c r="G113" s="481">
        <v>196</v>
      </c>
      <c r="H113" s="19"/>
      <c r="I113" s="19"/>
      <c r="M113" s="19"/>
      <c r="U113" s="194"/>
    </row>
    <row r="114" spans="1:21" ht="17">
      <c r="A114" s="479">
        <v>8914</v>
      </c>
      <c r="B114" s="480" t="s">
        <v>1787</v>
      </c>
      <c r="C114" t="s">
        <v>136</v>
      </c>
      <c r="D114" s="190">
        <v>8914</v>
      </c>
      <c r="E114" s="192">
        <v>10026</v>
      </c>
      <c r="F114" s="192">
        <v>7319</v>
      </c>
      <c r="G114" s="481">
        <v>304</v>
      </c>
      <c r="H114" s="19"/>
      <c r="I114" s="19"/>
      <c r="M114" s="19"/>
      <c r="U114" s="194"/>
    </row>
    <row r="115" spans="1:21" ht="17">
      <c r="A115" s="479">
        <v>8447</v>
      </c>
      <c r="B115" s="480" t="s">
        <v>1788</v>
      </c>
      <c r="C115" t="s">
        <v>136</v>
      </c>
      <c r="D115" s="190">
        <v>8447</v>
      </c>
      <c r="E115" s="192">
        <v>6230</v>
      </c>
      <c r="F115" s="192">
        <v>10698</v>
      </c>
      <c r="G115" s="481">
        <v>230</v>
      </c>
      <c r="H115" s="19"/>
      <c r="I115" s="19"/>
      <c r="M115" s="19"/>
      <c r="U115" s="194"/>
    </row>
    <row r="116" spans="1:21" ht="17">
      <c r="A116" s="479">
        <v>8182</v>
      </c>
      <c r="B116" s="480" t="s">
        <v>1789</v>
      </c>
      <c r="C116" t="s">
        <v>136</v>
      </c>
      <c r="D116" s="190">
        <v>8182</v>
      </c>
      <c r="E116" s="192">
        <v>8988</v>
      </c>
      <c r="F116" s="192">
        <v>6543</v>
      </c>
      <c r="G116" s="481">
        <v>348</v>
      </c>
      <c r="H116" s="19"/>
      <c r="I116" s="19"/>
      <c r="M116" s="19"/>
      <c r="U116" s="194"/>
    </row>
    <row r="117" spans="1:21" ht="17">
      <c r="A117" s="479">
        <v>8114</v>
      </c>
      <c r="B117" s="480" t="s">
        <v>1790</v>
      </c>
      <c r="C117" t="s">
        <v>136</v>
      </c>
      <c r="D117" s="190">
        <v>8114</v>
      </c>
      <c r="E117" s="192">
        <v>9520</v>
      </c>
      <c r="F117" s="192">
        <v>9317</v>
      </c>
      <c r="G117" s="481">
        <v>247</v>
      </c>
      <c r="H117" s="19"/>
      <c r="I117" s="19"/>
      <c r="M117" s="19"/>
      <c r="U117" s="194"/>
    </row>
    <row r="118" spans="1:21" ht="17">
      <c r="A118" s="479">
        <v>8165</v>
      </c>
      <c r="B118" s="480" t="s">
        <v>1791</v>
      </c>
      <c r="C118" t="s">
        <v>136</v>
      </c>
      <c r="D118" s="190">
        <v>8165</v>
      </c>
      <c r="E118" s="192">
        <v>7344</v>
      </c>
      <c r="F118" s="192">
        <v>9375</v>
      </c>
      <c r="G118" s="481">
        <v>256</v>
      </c>
      <c r="H118" s="19"/>
      <c r="I118" s="19"/>
      <c r="M118" s="19"/>
      <c r="U118" s="194"/>
    </row>
    <row r="119" spans="1:21" ht="17">
      <c r="A119" s="479">
        <v>8187</v>
      </c>
      <c r="B119" s="480" t="s">
        <v>1792</v>
      </c>
      <c r="C119" t="s">
        <v>136</v>
      </c>
      <c r="D119" s="190">
        <v>8187</v>
      </c>
      <c r="E119" s="192">
        <v>7654</v>
      </c>
      <c r="F119" s="192">
        <v>8210</v>
      </c>
      <c r="G119" s="481">
        <v>272</v>
      </c>
      <c r="H119" s="19"/>
      <c r="I119" s="19"/>
      <c r="M119" s="19"/>
      <c r="U119" s="194"/>
    </row>
    <row r="120" spans="1:21" ht="17">
      <c r="A120" s="479">
        <v>8248</v>
      </c>
      <c r="B120" s="480" t="s">
        <v>1793</v>
      </c>
      <c r="C120" t="s">
        <v>136</v>
      </c>
      <c r="D120" s="190">
        <v>8248</v>
      </c>
      <c r="E120" s="192">
        <v>8904</v>
      </c>
      <c r="F120" s="192">
        <v>7791</v>
      </c>
      <c r="G120" s="481">
        <v>346</v>
      </c>
      <c r="H120" s="19"/>
      <c r="I120" s="19"/>
      <c r="M120" s="19"/>
      <c r="U120" s="194"/>
    </row>
    <row r="121" spans="1:21" ht="17">
      <c r="A121" s="479">
        <v>8475</v>
      </c>
      <c r="B121" s="480" t="s">
        <v>1794</v>
      </c>
      <c r="C121" t="s">
        <v>136</v>
      </c>
      <c r="D121" s="190">
        <v>8475</v>
      </c>
      <c r="E121" s="192">
        <v>7725</v>
      </c>
      <c r="F121" s="192">
        <v>6899</v>
      </c>
      <c r="G121" s="481">
        <v>256</v>
      </c>
      <c r="H121" s="19"/>
      <c r="I121" s="19"/>
      <c r="M121" s="19"/>
      <c r="U121" s="194"/>
    </row>
    <row r="122" spans="1:21" ht="17">
      <c r="A122" s="479">
        <v>8474</v>
      </c>
      <c r="B122" s="480" t="s">
        <v>1795</v>
      </c>
      <c r="C122" t="s">
        <v>136</v>
      </c>
      <c r="D122" s="190">
        <v>8474</v>
      </c>
      <c r="E122" s="192">
        <v>7995</v>
      </c>
      <c r="F122" s="192">
        <v>6837</v>
      </c>
      <c r="G122" s="481">
        <v>1567</v>
      </c>
      <c r="H122" s="19"/>
      <c r="I122" s="19"/>
      <c r="M122" s="19"/>
      <c r="U122" s="194"/>
    </row>
    <row r="123" spans="1:21" ht="17">
      <c r="A123" s="479">
        <v>8607</v>
      </c>
      <c r="B123" s="480" t="s">
        <v>1796</v>
      </c>
      <c r="C123" t="s">
        <v>136</v>
      </c>
      <c r="D123" s="190">
        <v>8607</v>
      </c>
      <c r="E123" s="192">
        <v>9572</v>
      </c>
      <c r="F123" s="192">
        <v>9426</v>
      </c>
      <c r="G123" s="481">
        <v>234</v>
      </c>
      <c r="H123" s="19"/>
      <c r="I123" s="19"/>
      <c r="M123" s="19"/>
      <c r="U123" s="194"/>
    </row>
    <row r="124" spans="1:21" ht="17">
      <c r="A124" s="479">
        <v>8247</v>
      </c>
      <c r="B124" s="480" t="s">
        <v>1797</v>
      </c>
      <c r="C124" t="s">
        <v>136</v>
      </c>
      <c r="D124" s="190">
        <v>8247</v>
      </c>
      <c r="E124" s="192">
        <v>7639</v>
      </c>
      <c r="F124" s="192">
        <v>234</v>
      </c>
      <c r="G124" s="481">
        <v>1557</v>
      </c>
      <c r="H124" s="19"/>
      <c r="I124" s="19"/>
      <c r="M124" s="19"/>
      <c r="U124" s="194"/>
    </row>
    <row r="125" spans="1:21" ht="17">
      <c r="A125" s="479">
        <v>8196</v>
      </c>
      <c r="B125" s="480" t="s">
        <v>1798</v>
      </c>
      <c r="C125" t="s">
        <v>136</v>
      </c>
      <c r="D125" s="190">
        <v>8196</v>
      </c>
      <c r="E125" s="192">
        <v>7617</v>
      </c>
      <c r="F125" s="192">
        <v>8992</v>
      </c>
      <c r="G125" s="481">
        <v>1440</v>
      </c>
      <c r="H125" s="19"/>
      <c r="I125" s="19"/>
      <c r="M125" s="19"/>
      <c r="U125" s="194"/>
    </row>
    <row r="126" spans="1:21" ht="17">
      <c r="A126" s="479">
        <v>8165</v>
      </c>
      <c r="B126" s="480" t="s">
        <v>1799</v>
      </c>
      <c r="C126" t="s">
        <v>136</v>
      </c>
      <c r="D126" s="190">
        <v>8165</v>
      </c>
      <c r="E126" s="192">
        <v>8506</v>
      </c>
      <c r="F126" s="192">
        <v>7937</v>
      </c>
      <c r="G126" s="481">
        <v>231</v>
      </c>
      <c r="H126" s="19"/>
      <c r="I126" s="19"/>
      <c r="M126" s="19"/>
      <c r="U126" s="194"/>
    </row>
    <row r="127" spans="1:21" ht="17">
      <c r="A127" s="479">
        <v>8416</v>
      </c>
      <c r="B127" s="480" t="s">
        <v>1800</v>
      </c>
      <c r="C127" t="s">
        <v>136</v>
      </c>
      <c r="D127" s="190">
        <v>8416</v>
      </c>
      <c r="E127" s="192">
        <v>7648</v>
      </c>
      <c r="F127" s="192">
        <v>7631</v>
      </c>
      <c r="G127" s="481">
        <v>1440</v>
      </c>
      <c r="H127" s="19"/>
      <c r="I127" s="19"/>
      <c r="M127" s="19"/>
      <c r="U127" s="194"/>
    </row>
    <row r="128" spans="1:21" ht="17">
      <c r="A128" s="479">
        <v>8113</v>
      </c>
      <c r="B128" s="480" t="s">
        <v>1801</v>
      </c>
      <c r="C128" t="s">
        <v>136</v>
      </c>
      <c r="D128" s="190">
        <v>8113</v>
      </c>
      <c r="E128" s="192">
        <v>8642</v>
      </c>
      <c r="F128" s="192">
        <v>7678</v>
      </c>
      <c r="G128" s="481">
        <v>225</v>
      </c>
      <c r="H128" s="19"/>
      <c r="I128" s="19"/>
      <c r="M128" s="19"/>
      <c r="U128" s="194"/>
    </row>
    <row r="129" spans="1:21" ht="17">
      <c r="A129" s="479">
        <v>8904</v>
      </c>
      <c r="B129" s="480" t="s">
        <v>1802</v>
      </c>
      <c r="C129" t="s">
        <v>136</v>
      </c>
      <c r="D129" s="190">
        <v>8904</v>
      </c>
      <c r="E129" s="192">
        <v>12875</v>
      </c>
      <c r="F129" s="192">
        <v>6749</v>
      </c>
      <c r="G129" s="481">
        <v>1407</v>
      </c>
      <c r="H129" s="19"/>
      <c r="I129" s="19"/>
      <c r="M129" s="19"/>
      <c r="U129" s="194"/>
    </row>
    <row r="130" spans="1:21" ht="17">
      <c r="A130" s="479">
        <v>8462</v>
      </c>
      <c r="B130" s="480" t="s">
        <v>1803</v>
      </c>
      <c r="C130" t="s">
        <v>136</v>
      </c>
      <c r="D130" s="190">
        <v>8462</v>
      </c>
      <c r="E130" s="192">
        <v>7424</v>
      </c>
      <c r="F130" s="192">
        <v>7832</v>
      </c>
      <c r="G130" s="481">
        <v>263</v>
      </c>
      <c r="H130" s="19"/>
      <c r="I130" s="19"/>
      <c r="M130" s="19"/>
      <c r="U130" s="194"/>
    </row>
    <row r="131" spans="1:21" ht="17">
      <c r="A131" s="479">
        <v>8926</v>
      </c>
      <c r="B131" s="480" t="s">
        <v>1804</v>
      </c>
      <c r="C131" t="s">
        <v>136</v>
      </c>
      <c r="D131" s="190">
        <v>8926</v>
      </c>
      <c r="E131" s="192">
        <v>10986</v>
      </c>
      <c r="F131" s="192">
        <v>11882</v>
      </c>
      <c r="G131" s="481">
        <v>1405</v>
      </c>
      <c r="H131" s="19"/>
      <c r="I131" s="19"/>
      <c r="M131" s="19"/>
      <c r="U131" s="194"/>
    </row>
    <row r="132" spans="1:21" ht="17">
      <c r="A132" s="479">
        <v>8523</v>
      </c>
      <c r="B132" s="480" t="s">
        <v>1805</v>
      </c>
      <c r="C132" t="s">
        <v>136</v>
      </c>
      <c r="D132" s="190">
        <v>8523</v>
      </c>
      <c r="E132" s="192">
        <v>6068</v>
      </c>
      <c r="F132" s="192">
        <v>7760</v>
      </c>
      <c r="G132" s="481">
        <v>259</v>
      </c>
      <c r="H132" s="19"/>
      <c r="I132" s="19"/>
      <c r="M132" s="19"/>
      <c r="U132" s="194"/>
    </row>
    <row r="133" spans="1:21" ht="17">
      <c r="A133" s="479">
        <v>8911</v>
      </c>
      <c r="B133" s="480" t="s">
        <v>1806</v>
      </c>
      <c r="C133" t="s">
        <v>136</v>
      </c>
      <c r="D133" s="190">
        <v>8911</v>
      </c>
      <c r="E133" s="192">
        <v>10247</v>
      </c>
      <c r="F133" s="192">
        <v>10586</v>
      </c>
      <c r="G133" s="481">
        <v>1390</v>
      </c>
      <c r="H133" s="19"/>
      <c r="I133" s="19"/>
      <c r="M133" s="19"/>
      <c r="U133" s="194"/>
    </row>
    <row r="134" spans="1:21" ht="17">
      <c r="A134" s="479">
        <v>8466</v>
      </c>
      <c r="B134" s="480" t="s">
        <v>1807</v>
      </c>
      <c r="C134" t="s">
        <v>136</v>
      </c>
      <c r="D134" s="190">
        <v>8466</v>
      </c>
      <c r="E134" s="192">
        <v>8109</v>
      </c>
      <c r="F134" s="192">
        <v>7828</v>
      </c>
      <c r="G134" s="481">
        <v>281</v>
      </c>
      <c r="H134" s="19"/>
      <c r="I134" s="19"/>
      <c r="M134" s="19"/>
      <c r="U134" s="194"/>
    </row>
    <row r="135" spans="1:21" ht="17">
      <c r="A135" s="479">
        <v>8425</v>
      </c>
      <c r="B135" s="480" t="s">
        <v>1808</v>
      </c>
      <c r="C135" t="s">
        <v>136</v>
      </c>
      <c r="D135" s="190">
        <v>8425</v>
      </c>
      <c r="E135" s="192">
        <v>7642</v>
      </c>
      <c r="F135" s="192">
        <v>9238</v>
      </c>
      <c r="G135" s="481">
        <v>1373</v>
      </c>
      <c r="H135" s="19"/>
      <c r="I135" s="19"/>
      <c r="M135" s="19"/>
      <c r="U135" s="194"/>
    </row>
    <row r="136" spans="1:21" ht="17">
      <c r="A136" s="479">
        <v>8194</v>
      </c>
      <c r="B136" s="480" t="s">
        <v>1809</v>
      </c>
      <c r="C136" t="s">
        <v>136</v>
      </c>
      <c r="D136" s="190">
        <v>8194</v>
      </c>
      <c r="E136" s="192">
        <v>7263</v>
      </c>
      <c r="F136" s="192">
        <v>6849</v>
      </c>
      <c r="G136" s="481">
        <v>270</v>
      </c>
      <c r="H136" s="19"/>
      <c r="I136" s="19"/>
      <c r="M136" s="19"/>
      <c r="U136" s="194"/>
    </row>
    <row r="137" spans="1:21" ht="17">
      <c r="A137" s="479">
        <v>8471</v>
      </c>
      <c r="B137" s="480" t="s">
        <v>1810</v>
      </c>
      <c r="C137" t="s">
        <v>136</v>
      </c>
      <c r="D137" s="190">
        <v>8471</v>
      </c>
      <c r="E137" s="192">
        <v>8096</v>
      </c>
      <c r="F137" s="192">
        <v>10598</v>
      </c>
      <c r="G137" s="481">
        <v>1348</v>
      </c>
      <c r="H137" s="19"/>
      <c r="I137" s="19"/>
      <c r="M137" s="19"/>
      <c r="U137" s="194"/>
    </row>
    <row r="138" spans="1:21" ht="17">
      <c r="A138" s="479">
        <v>8489</v>
      </c>
      <c r="B138" s="480" t="s">
        <v>1811</v>
      </c>
      <c r="C138" t="s">
        <v>136</v>
      </c>
      <c r="D138" s="190">
        <v>8489</v>
      </c>
      <c r="E138" s="192">
        <v>6837</v>
      </c>
      <c r="F138" s="192">
        <v>7045</v>
      </c>
      <c r="G138" s="481">
        <v>251</v>
      </c>
      <c r="H138" s="19"/>
      <c r="I138" s="19"/>
      <c r="M138" s="19"/>
      <c r="U138" s="194"/>
    </row>
    <row r="139" spans="1:21" ht="17">
      <c r="A139" s="479">
        <v>8414</v>
      </c>
      <c r="B139" s="480" t="s">
        <v>1812</v>
      </c>
      <c r="C139" t="s">
        <v>136</v>
      </c>
      <c r="D139" s="190">
        <v>8414</v>
      </c>
      <c r="E139" s="192">
        <v>7537</v>
      </c>
      <c r="F139" s="192">
        <v>8628</v>
      </c>
      <c r="G139" s="481">
        <v>1299</v>
      </c>
      <c r="H139" s="19"/>
      <c r="I139" s="19"/>
      <c r="M139" s="19"/>
      <c r="U139" s="194"/>
    </row>
    <row r="140" spans="1:21" ht="17">
      <c r="A140" s="479">
        <v>8115</v>
      </c>
      <c r="B140" s="480" t="s">
        <v>1813</v>
      </c>
      <c r="C140" t="s">
        <v>136</v>
      </c>
      <c r="D140" s="190">
        <v>8115</v>
      </c>
      <c r="E140" s="192">
        <v>9199</v>
      </c>
      <c r="F140" s="192">
        <v>7695</v>
      </c>
      <c r="G140" s="481">
        <v>306</v>
      </c>
      <c r="H140" s="19"/>
      <c r="I140" s="19"/>
      <c r="M140" s="19"/>
      <c r="U140" s="194"/>
    </row>
    <row r="141" spans="1:21" ht="17">
      <c r="A141" s="479">
        <v>8478</v>
      </c>
      <c r="B141" s="480" t="s">
        <v>1814</v>
      </c>
      <c r="C141" t="s">
        <v>136</v>
      </c>
      <c r="D141" s="190">
        <v>8478</v>
      </c>
      <c r="E141" s="192">
        <v>5663</v>
      </c>
      <c r="F141" s="192">
        <v>7334</v>
      </c>
      <c r="G141" s="481">
        <v>1125</v>
      </c>
      <c r="H141" s="19"/>
      <c r="I141" s="19"/>
      <c r="M141" s="19"/>
      <c r="U141" s="194"/>
    </row>
    <row r="142" spans="1:21" ht="17">
      <c r="A142" s="479">
        <v>8548</v>
      </c>
      <c r="B142" s="480" t="s">
        <v>1815</v>
      </c>
      <c r="C142" t="s">
        <v>136</v>
      </c>
      <c r="D142" s="190">
        <v>8548</v>
      </c>
      <c r="E142" s="192">
        <v>8925</v>
      </c>
      <c r="F142" s="192">
        <v>9606</v>
      </c>
      <c r="G142" s="481">
        <v>210</v>
      </c>
      <c r="H142" s="19"/>
      <c r="I142" s="19"/>
      <c r="M142" s="19"/>
      <c r="U142" s="194"/>
    </row>
    <row r="143" spans="1:21" ht="17">
      <c r="A143" s="479">
        <v>8463</v>
      </c>
      <c r="B143" s="480" t="s">
        <v>1816</v>
      </c>
      <c r="C143" t="s">
        <v>136</v>
      </c>
      <c r="D143" s="190">
        <v>8463</v>
      </c>
      <c r="E143" s="192">
        <v>7300</v>
      </c>
      <c r="F143" s="192">
        <v>7070</v>
      </c>
      <c r="G143" s="481">
        <v>1106</v>
      </c>
      <c r="H143" s="19"/>
      <c r="I143" s="19"/>
      <c r="M143" s="19"/>
      <c r="U143" s="194"/>
    </row>
    <row r="144" spans="1:21" ht="17">
      <c r="A144" s="479">
        <v>8421</v>
      </c>
      <c r="B144" s="480" t="s">
        <v>1817</v>
      </c>
      <c r="C144" t="s">
        <v>136</v>
      </c>
      <c r="D144" s="190">
        <v>8421</v>
      </c>
      <c r="E144" s="192">
        <v>8159</v>
      </c>
      <c r="F144" s="192">
        <v>7422</v>
      </c>
      <c r="G144" s="481">
        <v>248</v>
      </c>
      <c r="H144" s="19"/>
      <c r="I144" s="19"/>
      <c r="M144" s="19"/>
      <c r="U144" s="194"/>
    </row>
    <row r="145" spans="1:21" ht="17">
      <c r="A145" s="479">
        <v>8165</v>
      </c>
      <c r="B145" s="480" t="s">
        <v>1818</v>
      </c>
      <c r="C145" t="s">
        <v>136</v>
      </c>
      <c r="D145" s="190">
        <v>8165</v>
      </c>
      <c r="E145" s="192">
        <v>7464</v>
      </c>
      <c r="F145" s="192">
        <v>8799</v>
      </c>
      <c r="G145" s="481">
        <v>1103</v>
      </c>
      <c r="H145" s="19"/>
      <c r="I145" s="19"/>
      <c r="M145" s="19"/>
      <c r="U145" s="194"/>
    </row>
    <row r="146" spans="1:21" ht="17">
      <c r="A146" s="479">
        <v>8418</v>
      </c>
      <c r="B146" s="480" t="s">
        <v>1819</v>
      </c>
      <c r="C146" t="s">
        <v>136</v>
      </c>
      <c r="D146" s="190">
        <v>8418</v>
      </c>
      <c r="E146" s="192">
        <v>8067</v>
      </c>
      <c r="F146" s="192">
        <v>8529</v>
      </c>
      <c r="G146" s="481">
        <v>240</v>
      </c>
      <c r="H146" s="19"/>
      <c r="I146" s="19"/>
      <c r="M146" s="19"/>
      <c r="U146" s="194"/>
    </row>
    <row r="147" spans="1:21" ht="17">
      <c r="A147" s="479">
        <v>8458</v>
      </c>
      <c r="B147" s="480" t="s">
        <v>1820</v>
      </c>
      <c r="C147" t="s">
        <v>136</v>
      </c>
      <c r="D147" s="190">
        <v>8458</v>
      </c>
      <c r="E147" s="192">
        <v>7306</v>
      </c>
      <c r="F147" s="192">
        <v>8453</v>
      </c>
      <c r="G147" s="481">
        <v>1059</v>
      </c>
      <c r="H147" s="19"/>
      <c r="I147" s="19"/>
      <c r="M147" s="19"/>
      <c r="U147" s="194"/>
    </row>
    <row r="148" spans="1:21" ht="17">
      <c r="A148" s="479">
        <v>8479</v>
      </c>
      <c r="B148" s="480" t="s">
        <v>1821</v>
      </c>
      <c r="C148" t="s">
        <v>136</v>
      </c>
      <c r="D148" s="190">
        <v>8479</v>
      </c>
      <c r="E148" s="192">
        <v>7316</v>
      </c>
      <c r="F148" s="192">
        <v>7575</v>
      </c>
      <c r="G148" s="481">
        <v>261</v>
      </c>
      <c r="H148" s="19"/>
      <c r="I148" s="19"/>
      <c r="M148" s="19"/>
      <c r="U148" s="194"/>
    </row>
    <row r="149" spans="1:21" ht="17">
      <c r="A149" s="479">
        <v>9000</v>
      </c>
      <c r="B149" s="480" t="s">
        <v>170</v>
      </c>
      <c r="C149" t="s">
        <v>142</v>
      </c>
      <c r="D149" s="190">
        <v>9000</v>
      </c>
      <c r="E149" s="192">
        <v>7002</v>
      </c>
      <c r="F149" s="192">
        <v>8286</v>
      </c>
      <c r="G149" s="481">
        <v>245</v>
      </c>
      <c r="H149" s="19"/>
      <c r="I149" s="19"/>
      <c r="M149" s="19"/>
      <c r="U149" s="194"/>
    </row>
    <row r="150" spans="1:21" ht="17">
      <c r="A150" s="479">
        <v>9470</v>
      </c>
      <c r="B150" s="480" t="s">
        <v>1822</v>
      </c>
      <c r="C150" t="s">
        <v>142</v>
      </c>
      <c r="D150" s="190">
        <v>9470</v>
      </c>
      <c r="E150" s="192">
        <v>7518</v>
      </c>
      <c r="F150" s="192">
        <v>8286</v>
      </c>
      <c r="G150" s="481">
        <v>242</v>
      </c>
      <c r="H150" s="19"/>
      <c r="I150" s="19"/>
      <c r="M150" s="19"/>
      <c r="U150" s="194"/>
    </row>
    <row r="151" spans="1:21" ht="17">
      <c r="A151" s="479">
        <v>8640</v>
      </c>
      <c r="B151" s="480" t="s">
        <v>1823</v>
      </c>
      <c r="C151" t="s">
        <v>142</v>
      </c>
      <c r="D151" s="190">
        <v>8640</v>
      </c>
      <c r="E151" s="192">
        <v>10335</v>
      </c>
      <c r="F151" s="192">
        <v>11610</v>
      </c>
      <c r="G151" s="481">
        <v>302</v>
      </c>
      <c r="H151" s="19"/>
      <c r="I151" s="19"/>
      <c r="M151" s="19"/>
      <c r="U151" s="194"/>
    </row>
    <row r="152" spans="1:21" ht="17">
      <c r="A152" s="479">
        <v>9500</v>
      </c>
      <c r="B152" s="480" t="s">
        <v>1824</v>
      </c>
      <c r="C152" t="s">
        <v>142</v>
      </c>
      <c r="D152" s="190">
        <v>9500</v>
      </c>
      <c r="E152" s="192">
        <v>7412</v>
      </c>
      <c r="F152" s="192">
        <v>7750</v>
      </c>
      <c r="G152" s="481">
        <v>229</v>
      </c>
      <c r="H152" s="19"/>
      <c r="I152" s="19"/>
      <c r="M152" s="19"/>
      <c r="U152" s="194"/>
    </row>
    <row r="153" spans="1:21" ht="17">
      <c r="A153" s="479">
        <v>8730</v>
      </c>
      <c r="B153" s="480" t="s">
        <v>1825</v>
      </c>
      <c r="C153" t="s">
        <v>142</v>
      </c>
      <c r="D153" s="190">
        <v>8730</v>
      </c>
      <c r="E153" s="192">
        <v>8126</v>
      </c>
      <c r="F153" s="192">
        <v>8611</v>
      </c>
      <c r="G153" s="481">
        <v>246</v>
      </c>
      <c r="H153" s="19"/>
      <c r="I153" s="19"/>
      <c r="M153" s="19"/>
      <c r="U153" s="194"/>
    </row>
    <row r="154" spans="1:21" ht="17">
      <c r="A154" s="479">
        <v>9450</v>
      </c>
      <c r="B154" s="480" t="s">
        <v>1826</v>
      </c>
      <c r="C154" t="s">
        <v>142</v>
      </c>
      <c r="D154" s="190">
        <v>9450</v>
      </c>
      <c r="E154" s="192">
        <v>5645</v>
      </c>
      <c r="F154" s="192">
        <v>5842</v>
      </c>
      <c r="G154" s="481">
        <v>207</v>
      </c>
      <c r="H154" s="19"/>
      <c r="I154" s="19"/>
      <c r="M154" s="19"/>
      <c r="U154" s="194"/>
    </row>
    <row r="155" spans="1:21" ht="17">
      <c r="A155" s="479">
        <v>8880</v>
      </c>
      <c r="B155" s="480" t="s">
        <v>1827</v>
      </c>
      <c r="C155" t="s">
        <v>142</v>
      </c>
      <c r="D155" s="190">
        <v>8880</v>
      </c>
      <c r="E155" s="192">
        <v>7214</v>
      </c>
      <c r="F155" s="192">
        <v>6285</v>
      </c>
      <c r="G155" s="481">
        <v>221</v>
      </c>
      <c r="H155" s="19"/>
      <c r="I155" s="19"/>
      <c r="M155" s="19"/>
      <c r="U155" s="194"/>
    </row>
    <row r="156" spans="1:21" ht="17">
      <c r="A156" s="479">
        <v>9200</v>
      </c>
      <c r="B156" s="480" t="s">
        <v>1828</v>
      </c>
      <c r="C156" t="s">
        <v>142</v>
      </c>
      <c r="D156" s="190">
        <v>9200</v>
      </c>
      <c r="E156" s="192">
        <v>6064</v>
      </c>
      <c r="F156" s="192">
        <v>7132</v>
      </c>
      <c r="G156" s="481">
        <v>231</v>
      </c>
      <c r="H156" s="19"/>
      <c r="I156" s="19"/>
      <c r="M156" s="19"/>
      <c r="U156" s="194"/>
    </row>
    <row r="157" spans="1:21" ht="17">
      <c r="A157" s="479">
        <v>7320</v>
      </c>
      <c r="B157" s="480" t="s">
        <v>1829</v>
      </c>
      <c r="C157" t="s">
        <v>142</v>
      </c>
      <c r="D157" s="190">
        <v>7320</v>
      </c>
      <c r="E157" s="192">
        <v>6528</v>
      </c>
      <c r="F157" s="192">
        <v>7775</v>
      </c>
      <c r="G157" s="481">
        <v>246</v>
      </c>
      <c r="H157" s="19"/>
      <c r="I157" s="19"/>
      <c r="M157" s="19"/>
      <c r="U157" s="194"/>
    </row>
    <row r="158" spans="1:21" ht="17">
      <c r="A158" s="479">
        <v>9466</v>
      </c>
      <c r="B158" s="480" t="s">
        <v>1830</v>
      </c>
      <c r="C158" t="s">
        <v>142</v>
      </c>
      <c r="D158" s="190">
        <v>9466</v>
      </c>
      <c r="E158" s="192">
        <v>6416</v>
      </c>
      <c r="F158" s="192">
        <v>5707</v>
      </c>
      <c r="G158" s="481">
        <v>225</v>
      </c>
      <c r="H158" s="19"/>
      <c r="I158" s="19"/>
      <c r="M158" s="19"/>
      <c r="U158" s="194"/>
    </row>
    <row r="159" spans="1:21" ht="17">
      <c r="A159" s="479">
        <v>9476</v>
      </c>
      <c r="B159" s="480" t="s">
        <v>1831</v>
      </c>
      <c r="C159" t="s">
        <v>142</v>
      </c>
      <c r="D159" s="190">
        <v>9476</v>
      </c>
      <c r="E159" s="192">
        <v>6906</v>
      </c>
      <c r="F159" s="192">
        <v>6204</v>
      </c>
      <c r="G159" s="481">
        <v>216</v>
      </c>
      <c r="H159" s="19"/>
      <c r="I159" s="19"/>
      <c r="M159" s="19"/>
      <c r="U159" s="194"/>
    </row>
    <row r="160" spans="1:21" ht="17">
      <c r="A160" s="479">
        <v>8737</v>
      </c>
      <c r="B160" s="480" t="s">
        <v>1832</v>
      </c>
      <c r="C160" t="s">
        <v>142</v>
      </c>
      <c r="D160" s="190">
        <v>8737</v>
      </c>
      <c r="E160" s="192">
        <v>7295</v>
      </c>
      <c r="F160" s="192">
        <v>7735</v>
      </c>
      <c r="G160" s="481">
        <v>238</v>
      </c>
      <c r="H160" s="19"/>
      <c r="I160" s="19"/>
      <c r="M160" s="19"/>
      <c r="U160" s="194"/>
    </row>
    <row r="161" spans="1:21" ht="17">
      <c r="A161" s="479">
        <v>9475</v>
      </c>
      <c r="B161" s="480" t="s">
        <v>1833</v>
      </c>
      <c r="C161" t="s">
        <v>142</v>
      </c>
      <c r="D161" s="190">
        <v>9475</v>
      </c>
      <c r="E161" s="192">
        <v>7367</v>
      </c>
      <c r="F161" s="192">
        <v>6520</v>
      </c>
      <c r="G161" s="481">
        <v>224</v>
      </c>
      <c r="H161" s="19"/>
      <c r="I161" s="19"/>
      <c r="M161" s="19"/>
      <c r="U161" s="194"/>
    </row>
    <row r="162" spans="1:21" ht="17">
      <c r="A162" s="479">
        <v>9642</v>
      </c>
      <c r="B162" s="480" t="s">
        <v>1834</v>
      </c>
      <c r="C162" t="s">
        <v>142</v>
      </c>
      <c r="D162" s="190">
        <v>9642</v>
      </c>
      <c r="E162" s="192">
        <v>5315</v>
      </c>
      <c r="F162" s="192">
        <v>5286</v>
      </c>
      <c r="G162" s="481">
        <v>188</v>
      </c>
      <c r="H162" s="19"/>
      <c r="I162" s="19"/>
      <c r="M162" s="19"/>
      <c r="U162" s="194"/>
    </row>
    <row r="163" spans="1:21" ht="17">
      <c r="A163" s="479">
        <v>8890</v>
      </c>
      <c r="B163" s="480" t="s">
        <v>1835</v>
      </c>
      <c r="C163" t="s">
        <v>142</v>
      </c>
      <c r="D163" s="190">
        <v>8890</v>
      </c>
      <c r="E163" s="192">
        <v>6841</v>
      </c>
      <c r="F163" s="192">
        <v>6202</v>
      </c>
      <c r="G163" s="481">
        <v>229</v>
      </c>
      <c r="H163" s="19"/>
      <c r="I163" s="19"/>
      <c r="M163" s="19"/>
      <c r="U163" s="194"/>
    </row>
    <row r="164" spans="1:21" ht="17">
      <c r="A164" s="479">
        <v>7324</v>
      </c>
      <c r="B164" s="480" t="s">
        <v>1836</v>
      </c>
      <c r="C164" t="s">
        <v>142</v>
      </c>
      <c r="D164" s="190">
        <v>7324</v>
      </c>
      <c r="E164" s="192">
        <v>7488</v>
      </c>
      <c r="F164" s="192">
        <v>5935</v>
      </c>
      <c r="G164" s="481">
        <v>224</v>
      </c>
      <c r="H164" s="19"/>
      <c r="I164" s="19"/>
      <c r="M164" s="19"/>
      <c r="U164" s="194"/>
    </row>
    <row r="165" spans="1:21" ht="17">
      <c r="A165" s="479">
        <v>8722</v>
      </c>
      <c r="B165" s="480" t="s">
        <v>1837</v>
      </c>
      <c r="C165" t="s">
        <v>142</v>
      </c>
      <c r="D165" s="190">
        <v>8722</v>
      </c>
      <c r="E165" s="192">
        <v>7509</v>
      </c>
      <c r="F165" s="192">
        <v>7365</v>
      </c>
      <c r="G165" s="481">
        <v>245</v>
      </c>
      <c r="H165" s="19"/>
      <c r="I165" s="19"/>
      <c r="M165" s="19"/>
      <c r="U165" s="194"/>
    </row>
    <row r="166" spans="1:21" ht="17">
      <c r="A166" s="479">
        <v>9524</v>
      </c>
      <c r="B166" s="480" t="s">
        <v>1838</v>
      </c>
      <c r="C166" t="s">
        <v>142</v>
      </c>
      <c r="D166" s="190">
        <v>9524</v>
      </c>
      <c r="E166" s="192">
        <v>6856</v>
      </c>
      <c r="F166" s="192">
        <v>7052</v>
      </c>
      <c r="G166" s="481">
        <v>236</v>
      </c>
      <c r="H166" s="19"/>
      <c r="I166" s="19"/>
      <c r="M166" s="19"/>
      <c r="U166" s="194"/>
    </row>
    <row r="167" spans="1:21" ht="17">
      <c r="A167" s="479">
        <v>9606</v>
      </c>
      <c r="B167" s="480" t="s">
        <v>1839</v>
      </c>
      <c r="C167" t="s">
        <v>142</v>
      </c>
      <c r="D167" s="190">
        <v>9606</v>
      </c>
      <c r="E167" s="192">
        <v>6365</v>
      </c>
      <c r="F167" s="192">
        <v>7239</v>
      </c>
      <c r="G167" s="481">
        <v>208</v>
      </c>
      <c r="H167" s="19"/>
      <c r="I167" s="19"/>
      <c r="M167" s="19"/>
      <c r="U167" s="194"/>
    </row>
    <row r="168" spans="1:21" ht="17">
      <c r="A168" s="479">
        <v>9436</v>
      </c>
      <c r="B168" s="480" t="s">
        <v>1840</v>
      </c>
      <c r="C168" t="s">
        <v>142</v>
      </c>
      <c r="D168" s="190">
        <v>9436</v>
      </c>
      <c r="E168" s="192">
        <v>7352</v>
      </c>
      <c r="F168" s="192">
        <v>6563</v>
      </c>
      <c r="G168" s="481">
        <v>228</v>
      </c>
      <c r="H168" s="19"/>
      <c r="I168" s="19"/>
      <c r="M168" s="19"/>
      <c r="U168" s="194"/>
    </row>
    <row r="169" spans="1:21" ht="17">
      <c r="A169" s="479">
        <v>9445</v>
      </c>
      <c r="B169" s="480" t="s">
        <v>1841</v>
      </c>
      <c r="C169" t="s">
        <v>142</v>
      </c>
      <c r="D169" s="190">
        <v>9445</v>
      </c>
      <c r="E169" s="192">
        <v>5478</v>
      </c>
      <c r="F169" s="192">
        <v>5703</v>
      </c>
      <c r="G169" s="481">
        <v>220</v>
      </c>
      <c r="H169" s="19"/>
      <c r="I169" s="19"/>
      <c r="M169" s="19"/>
      <c r="U169" s="194"/>
    </row>
    <row r="170" spans="1:21" ht="17">
      <c r="A170" s="479">
        <v>9245</v>
      </c>
      <c r="B170" s="480" t="s">
        <v>1842</v>
      </c>
      <c r="C170" t="s">
        <v>142</v>
      </c>
      <c r="D170" s="190">
        <v>9245</v>
      </c>
      <c r="E170" s="192">
        <v>6286</v>
      </c>
      <c r="F170" s="192">
        <v>7051</v>
      </c>
      <c r="G170" s="481">
        <v>220</v>
      </c>
      <c r="H170" s="19"/>
      <c r="I170" s="19"/>
      <c r="M170" s="19"/>
      <c r="U170" s="194"/>
    </row>
    <row r="171" spans="1:21" ht="17">
      <c r="A171" s="479">
        <v>9113</v>
      </c>
      <c r="B171" s="480" t="s">
        <v>1843</v>
      </c>
      <c r="C171" t="s">
        <v>142</v>
      </c>
      <c r="D171" s="190">
        <v>9113</v>
      </c>
      <c r="E171" s="192">
        <v>5650</v>
      </c>
      <c r="F171" s="192">
        <v>5020</v>
      </c>
      <c r="G171" s="481">
        <v>190</v>
      </c>
      <c r="H171" s="19"/>
      <c r="I171" s="19"/>
      <c r="M171" s="19"/>
      <c r="U171" s="194"/>
    </row>
    <row r="172" spans="1:21" ht="17">
      <c r="A172" s="479">
        <v>9113</v>
      </c>
      <c r="B172" s="480" t="s">
        <v>1844</v>
      </c>
      <c r="C172" t="s">
        <v>142</v>
      </c>
      <c r="D172" s="190">
        <v>9113</v>
      </c>
      <c r="E172" s="192">
        <v>5967</v>
      </c>
      <c r="F172" s="192">
        <v>5847</v>
      </c>
      <c r="G172" s="481">
        <v>192</v>
      </c>
      <c r="H172" s="19"/>
      <c r="I172" s="19"/>
      <c r="M172" s="19"/>
      <c r="U172" s="194"/>
    </row>
    <row r="173" spans="1:21" ht="17">
      <c r="A173" s="479">
        <v>9442</v>
      </c>
      <c r="B173" s="480" t="s">
        <v>1845</v>
      </c>
      <c r="C173" t="s">
        <v>142</v>
      </c>
      <c r="D173" s="190">
        <v>9442</v>
      </c>
      <c r="E173" s="192">
        <v>7171</v>
      </c>
      <c r="F173" s="192">
        <v>6581</v>
      </c>
      <c r="G173" s="481">
        <v>210</v>
      </c>
      <c r="H173" s="19"/>
      <c r="I173" s="19"/>
      <c r="M173" s="19"/>
      <c r="U173" s="194"/>
    </row>
    <row r="174" spans="1:21" ht="17">
      <c r="A174" s="479">
        <v>8718</v>
      </c>
      <c r="B174" s="480" t="s">
        <v>1846</v>
      </c>
      <c r="C174" t="s">
        <v>142</v>
      </c>
      <c r="D174" s="190">
        <v>8718</v>
      </c>
      <c r="E174" s="192">
        <v>6039</v>
      </c>
      <c r="F174" s="192">
        <v>6700</v>
      </c>
      <c r="G174" s="481">
        <v>213</v>
      </c>
      <c r="H174" s="19"/>
      <c r="I174" s="19"/>
      <c r="M174" s="19"/>
      <c r="U174" s="194"/>
    </row>
    <row r="175" spans="1:21" ht="17">
      <c r="A175" s="479">
        <v>9243</v>
      </c>
      <c r="B175" s="480" t="s">
        <v>1847</v>
      </c>
      <c r="C175" t="s">
        <v>142</v>
      </c>
      <c r="D175" s="190">
        <v>9243</v>
      </c>
      <c r="E175" s="192">
        <v>5033</v>
      </c>
      <c r="F175" s="192">
        <v>6608</v>
      </c>
      <c r="G175" s="481">
        <v>194</v>
      </c>
      <c r="H175" s="19"/>
      <c r="I175" s="19"/>
      <c r="M175" s="19"/>
      <c r="U175" s="194"/>
    </row>
    <row r="176" spans="1:21" ht="17">
      <c r="A176" s="479">
        <v>8716</v>
      </c>
      <c r="B176" s="480" t="s">
        <v>1848</v>
      </c>
      <c r="C176" t="s">
        <v>142</v>
      </c>
      <c r="D176" s="190">
        <v>8716</v>
      </c>
      <c r="E176" s="192">
        <v>8269</v>
      </c>
      <c r="F176" s="192">
        <v>7300</v>
      </c>
      <c r="G176" s="481">
        <v>260</v>
      </c>
      <c r="H176" s="19"/>
      <c r="I176" s="19"/>
      <c r="M176" s="19"/>
      <c r="U176" s="194"/>
    </row>
    <row r="177" spans="1:21" ht="17">
      <c r="A177" s="479">
        <v>9650</v>
      </c>
      <c r="B177" s="480" t="s">
        <v>1849</v>
      </c>
      <c r="C177" t="s">
        <v>142</v>
      </c>
      <c r="D177" s="190">
        <v>9650</v>
      </c>
      <c r="E177" s="192">
        <v>5524</v>
      </c>
      <c r="F177" s="192">
        <v>6419</v>
      </c>
      <c r="G177" s="481">
        <v>180</v>
      </c>
      <c r="H177" s="19"/>
      <c r="I177" s="19"/>
      <c r="M177" s="19"/>
      <c r="U177" s="194"/>
    </row>
    <row r="178" spans="1:21" ht="17">
      <c r="A178" s="479">
        <v>9323</v>
      </c>
      <c r="B178" s="19" t="s">
        <v>1850</v>
      </c>
      <c r="C178" t="s">
        <v>142</v>
      </c>
      <c r="D178" s="190">
        <v>9323</v>
      </c>
      <c r="E178" s="192">
        <v>8213</v>
      </c>
      <c r="F178" s="192">
        <v>6779</v>
      </c>
      <c r="G178" s="481">
        <v>216</v>
      </c>
      <c r="H178" s="19"/>
      <c r="I178" s="19"/>
      <c r="M178" s="19"/>
      <c r="U178" s="194"/>
    </row>
    <row r="179" spans="1:21" ht="17">
      <c r="A179" s="479">
        <v>9402</v>
      </c>
      <c r="B179" s="19" t="s">
        <v>1851</v>
      </c>
      <c r="C179" t="s">
        <v>142</v>
      </c>
      <c r="D179" s="190">
        <v>9402</v>
      </c>
      <c r="E179" s="192">
        <v>7579</v>
      </c>
      <c r="F179" s="192">
        <v>8432</v>
      </c>
      <c r="G179" s="481">
        <v>270</v>
      </c>
      <c r="H179" s="19"/>
      <c r="I179" s="19"/>
      <c r="M179" s="19"/>
      <c r="U179" s="194"/>
    </row>
    <row r="180" spans="1:21" ht="17">
      <c r="A180" s="479">
        <v>9205</v>
      </c>
      <c r="B180" s="19" t="s">
        <v>1852</v>
      </c>
      <c r="C180" t="s">
        <v>142</v>
      </c>
      <c r="D180" s="190">
        <v>9205</v>
      </c>
      <c r="E180" s="192">
        <v>6226</v>
      </c>
      <c r="F180" s="192">
        <v>6586</v>
      </c>
      <c r="G180" s="481">
        <v>200</v>
      </c>
      <c r="H180" s="19"/>
      <c r="I180" s="19"/>
      <c r="M180" s="19"/>
      <c r="U180" s="194"/>
    </row>
    <row r="181" spans="1:21">
      <c r="A181" s="479">
        <v>9424</v>
      </c>
      <c r="B181" s="19" t="s">
        <v>1853</v>
      </c>
      <c r="C181" t="s">
        <v>142</v>
      </c>
      <c r="D181" s="190">
        <v>9424</v>
      </c>
      <c r="E181" s="192">
        <v>5328</v>
      </c>
      <c r="F181" s="192">
        <v>5169</v>
      </c>
      <c r="G181" s="481">
        <v>213</v>
      </c>
      <c r="H181" s="19"/>
      <c r="I181" s="19"/>
      <c r="M181" s="19"/>
    </row>
    <row r="182" spans="1:21">
      <c r="A182" s="479">
        <v>9473</v>
      </c>
      <c r="B182" s="19" t="s">
        <v>1854</v>
      </c>
      <c r="C182" t="s">
        <v>142</v>
      </c>
      <c r="D182" s="190">
        <v>9473</v>
      </c>
      <c r="E182" s="192">
        <v>6396</v>
      </c>
      <c r="F182" s="192">
        <v>6725</v>
      </c>
      <c r="G182" s="481">
        <v>220</v>
      </c>
      <c r="H182" s="19"/>
      <c r="I182" s="19"/>
      <c r="M182" s="19"/>
    </row>
    <row r="183" spans="1:21">
      <c r="A183" s="479">
        <v>9527</v>
      </c>
      <c r="B183" s="19" t="s">
        <v>1855</v>
      </c>
      <c r="C183" t="s">
        <v>142</v>
      </c>
      <c r="D183" s="190">
        <v>9527</v>
      </c>
      <c r="E183" s="192">
        <v>6357</v>
      </c>
      <c r="F183" s="192">
        <v>6929</v>
      </c>
      <c r="G183" s="481">
        <v>194</v>
      </c>
      <c r="H183" s="19"/>
      <c r="I183" s="19"/>
      <c r="M183" s="19"/>
    </row>
    <row r="184" spans="1:21">
      <c r="A184" s="479">
        <v>8717</v>
      </c>
      <c r="B184" s="19" t="s">
        <v>1856</v>
      </c>
      <c r="C184" t="s">
        <v>142</v>
      </c>
      <c r="D184" s="190">
        <v>8717</v>
      </c>
      <c r="E184" s="192">
        <v>7456</v>
      </c>
      <c r="F184" s="192">
        <v>8967</v>
      </c>
      <c r="G184" s="481">
        <v>213</v>
      </c>
      <c r="H184" s="19"/>
      <c r="I184" s="19"/>
      <c r="M184" s="19"/>
    </row>
    <row r="185" spans="1:21">
      <c r="A185" s="479">
        <v>9607</v>
      </c>
      <c r="B185" s="19" t="s">
        <v>1857</v>
      </c>
      <c r="C185" t="s">
        <v>142</v>
      </c>
      <c r="D185" s="190">
        <v>9607</v>
      </c>
      <c r="E185" s="192">
        <v>6711</v>
      </c>
      <c r="F185" s="192">
        <v>6308</v>
      </c>
      <c r="G185" s="481">
        <v>210</v>
      </c>
      <c r="H185" s="19"/>
      <c r="I185" s="19"/>
      <c r="M185" s="19"/>
    </row>
    <row r="186" spans="1:21">
      <c r="A186" s="479">
        <v>9658</v>
      </c>
      <c r="B186" s="19" t="s">
        <v>1858</v>
      </c>
      <c r="C186" t="s">
        <v>142</v>
      </c>
      <c r="D186" s="190">
        <v>9658</v>
      </c>
      <c r="E186" s="192">
        <v>6937</v>
      </c>
      <c r="F186" s="192">
        <v>6778</v>
      </c>
      <c r="G186" s="481">
        <v>215</v>
      </c>
      <c r="H186" s="19"/>
      <c r="I186" s="19"/>
      <c r="M186" s="19"/>
    </row>
    <row r="187" spans="1:21">
      <c r="A187" s="479">
        <v>9464</v>
      </c>
      <c r="B187" s="19" t="s">
        <v>1859</v>
      </c>
      <c r="C187" t="s">
        <v>142</v>
      </c>
      <c r="D187" s="190">
        <v>9464</v>
      </c>
      <c r="E187" s="192">
        <v>7249</v>
      </c>
      <c r="F187" s="192">
        <v>5972</v>
      </c>
      <c r="G187" s="481">
        <v>209</v>
      </c>
      <c r="H187" s="19"/>
      <c r="I187" s="19"/>
      <c r="M187" s="19"/>
    </row>
    <row r="188" spans="1:21">
      <c r="A188" s="479">
        <v>9034</v>
      </c>
      <c r="B188" s="19" t="s">
        <v>1860</v>
      </c>
      <c r="C188" t="s">
        <v>142</v>
      </c>
      <c r="D188" s="190">
        <v>9034</v>
      </c>
      <c r="E188" s="192">
        <v>6590</v>
      </c>
      <c r="F188" s="192">
        <v>7072</v>
      </c>
      <c r="G188" s="481">
        <v>216</v>
      </c>
      <c r="H188" s="19"/>
      <c r="I188" s="19"/>
      <c r="M188" s="19"/>
    </row>
    <row r="189" spans="1:21">
      <c r="A189" s="479">
        <v>9437</v>
      </c>
      <c r="B189" s="19" t="s">
        <v>1861</v>
      </c>
      <c r="C189" t="s">
        <v>142</v>
      </c>
      <c r="D189" s="190">
        <v>9437</v>
      </c>
      <c r="E189" s="192">
        <v>6172</v>
      </c>
      <c r="F189" s="192">
        <v>6056</v>
      </c>
      <c r="G189" s="481">
        <v>228</v>
      </c>
      <c r="H189" s="19"/>
      <c r="I189" s="19"/>
      <c r="M189" s="19"/>
    </row>
    <row r="190" spans="1:21">
      <c r="A190" s="479">
        <v>9204</v>
      </c>
      <c r="B190" s="19" t="s">
        <v>1862</v>
      </c>
      <c r="C190" t="s">
        <v>142</v>
      </c>
      <c r="D190" s="190">
        <v>9204</v>
      </c>
      <c r="E190" s="192">
        <v>6409</v>
      </c>
      <c r="F190" s="192">
        <v>6116</v>
      </c>
      <c r="G190" s="481">
        <v>215</v>
      </c>
      <c r="H190" s="19"/>
      <c r="I190" s="19"/>
      <c r="M190" s="19"/>
    </row>
    <row r="191" spans="1:21">
      <c r="A191" s="479">
        <v>9620</v>
      </c>
      <c r="B191" s="19" t="s">
        <v>1863</v>
      </c>
      <c r="C191" t="s">
        <v>142</v>
      </c>
      <c r="D191" s="190">
        <v>9620</v>
      </c>
      <c r="E191" s="192">
        <v>5643</v>
      </c>
      <c r="F191" s="192">
        <v>5414</v>
      </c>
      <c r="G191" s="481">
        <v>195</v>
      </c>
      <c r="H191" s="19"/>
      <c r="I191" s="19"/>
      <c r="M191" s="19"/>
    </row>
    <row r="192" spans="1:21">
      <c r="A192" s="479">
        <v>8873</v>
      </c>
      <c r="B192" s="19" t="s">
        <v>1864</v>
      </c>
      <c r="C192" t="s">
        <v>142</v>
      </c>
      <c r="D192" s="190">
        <v>8873</v>
      </c>
      <c r="E192" s="192">
        <v>7213</v>
      </c>
      <c r="F192" s="192">
        <v>7700</v>
      </c>
      <c r="G192" s="481">
        <v>224</v>
      </c>
      <c r="H192" s="19"/>
      <c r="I192" s="19"/>
      <c r="M192" s="19"/>
    </row>
    <row r="193" spans="1:13">
      <c r="A193" s="479">
        <v>8872</v>
      </c>
      <c r="B193" s="19" t="s">
        <v>1865</v>
      </c>
      <c r="C193" t="s">
        <v>142</v>
      </c>
      <c r="D193" s="190">
        <v>8872</v>
      </c>
      <c r="E193" s="192">
        <v>9636</v>
      </c>
      <c r="F193" s="192">
        <v>10772</v>
      </c>
      <c r="G193" s="481">
        <v>232</v>
      </c>
      <c r="H193" s="19"/>
      <c r="I193" s="19"/>
      <c r="M193" s="19"/>
    </row>
    <row r="194" spans="1:13">
      <c r="A194" s="479">
        <v>7312</v>
      </c>
      <c r="B194" s="19" t="s">
        <v>1866</v>
      </c>
      <c r="C194" t="s">
        <v>142</v>
      </c>
      <c r="D194" s="190">
        <v>7312</v>
      </c>
      <c r="E194" s="192">
        <v>5500</v>
      </c>
      <c r="F194" s="192">
        <v>5839</v>
      </c>
      <c r="G194" s="481">
        <v>213</v>
      </c>
      <c r="H194" s="19"/>
      <c r="I194" s="19"/>
      <c r="M194" s="19"/>
    </row>
    <row r="195" spans="1:13">
      <c r="A195" s="479">
        <v>9604</v>
      </c>
      <c r="B195" s="19" t="s">
        <v>1867</v>
      </c>
      <c r="C195" t="s">
        <v>142</v>
      </c>
      <c r="D195" s="190">
        <v>9604</v>
      </c>
      <c r="E195" s="192">
        <v>5028</v>
      </c>
      <c r="F195" s="192">
        <v>6380</v>
      </c>
      <c r="G195" s="481">
        <v>158</v>
      </c>
      <c r="H195" s="19"/>
      <c r="I195" s="19"/>
      <c r="M195" s="19"/>
    </row>
    <row r="196" spans="1:13">
      <c r="A196" s="479">
        <v>9246</v>
      </c>
      <c r="B196" s="19" t="s">
        <v>1868</v>
      </c>
      <c r="C196" t="s">
        <v>142</v>
      </c>
      <c r="D196" s="190">
        <v>9246</v>
      </c>
      <c r="E196" s="192">
        <v>6597</v>
      </c>
      <c r="F196" s="192">
        <v>7615</v>
      </c>
      <c r="G196" s="481">
        <v>197</v>
      </c>
      <c r="H196" s="19"/>
      <c r="I196" s="19"/>
      <c r="M196" s="19"/>
    </row>
    <row r="197" spans="1:13">
      <c r="A197" s="479">
        <v>9453</v>
      </c>
      <c r="B197" s="19" t="s">
        <v>1869</v>
      </c>
      <c r="C197" t="s">
        <v>142</v>
      </c>
      <c r="D197" s="190">
        <v>9453</v>
      </c>
      <c r="E197" s="192">
        <v>6207</v>
      </c>
      <c r="F197" s="192">
        <v>6075</v>
      </c>
      <c r="G197" s="481">
        <v>177</v>
      </c>
      <c r="H197" s="19"/>
      <c r="I197" s="19"/>
      <c r="M197" s="19"/>
    </row>
    <row r="198" spans="1:13">
      <c r="A198" s="479">
        <v>9327</v>
      </c>
      <c r="B198" s="19" t="s">
        <v>1870</v>
      </c>
      <c r="C198" t="s">
        <v>142</v>
      </c>
      <c r="D198" s="190">
        <v>9327</v>
      </c>
      <c r="E198" s="192">
        <v>8031</v>
      </c>
      <c r="F198" s="192">
        <v>8851</v>
      </c>
      <c r="G198" s="481">
        <v>223</v>
      </c>
      <c r="H198" s="19"/>
      <c r="I198" s="19"/>
      <c r="M198" s="19"/>
    </row>
    <row r="199" spans="1:13">
      <c r="A199" s="479">
        <v>9312</v>
      </c>
      <c r="B199" s="19" t="s">
        <v>1871</v>
      </c>
      <c r="C199" t="s">
        <v>142</v>
      </c>
      <c r="D199" s="190">
        <v>9312</v>
      </c>
      <c r="E199" s="192">
        <v>6486</v>
      </c>
      <c r="F199" s="192">
        <v>6822</v>
      </c>
      <c r="G199" s="481">
        <v>203</v>
      </c>
      <c r="H199" s="19"/>
      <c r="I199" s="19"/>
      <c r="M199" s="19"/>
    </row>
    <row r="200" spans="1:13">
      <c r="A200" s="479">
        <v>9621</v>
      </c>
      <c r="B200" s="19" t="s">
        <v>1872</v>
      </c>
      <c r="C200" t="s">
        <v>142</v>
      </c>
      <c r="D200" s="190">
        <v>9621</v>
      </c>
      <c r="E200" s="192">
        <v>6341</v>
      </c>
      <c r="F200" s="192">
        <v>6492</v>
      </c>
      <c r="G200" s="481">
        <v>164</v>
      </c>
      <c r="H200" s="19"/>
      <c r="I200" s="19"/>
      <c r="M200" s="19"/>
    </row>
    <row r="201" spans="1:13">
      <c r="A201" s="479">
        <v>9313</v>
      </c>
      <c r="B201" s="19" t="s">
        <v>1873</v>
      </c>
      <c r="C201" t="s">
        <v>142</v>
      </c>
      <c r="D201" s="190">
        <v>9313</v>
      </c>
      <c r="E201" s="192">
        <v>6380</v>
      </c>
      <c r="F201" s="192">
        <v>6520</v>
      </c>
      <c r="G201" s="481">
        <v>240</v>
      </c>
      <c r="H201" s="19"/>
      <c r="I201" s="19"/>
      <c r="M201" s="19"/>
    </row>
    <row r="202" spans="1:13">
      <c r="A202" s="479">
        <v>9033</v>
      </c>
      <c r="B202" s="19" t="s">
        <v>1874</v>
      </c>
      <c r="C202" t="s">
        <v>142</v>
      </c>
      <c r="D202" s="190">
        <v>9033</v>
      </c>
      <c r="E202" s="192">
        <v>7089</v>
      </c>
      <c r="F202" s="192">
        <v>8452</v>
      </c>
      <c r="G202" s="481">
        <v>212</v>
      </c>
      <c r="H202" s="19"/>
      <c r="I202" s="19"/>
      <c r="M202" s="19"/>
    </row>
    <row r="203" spans="1:13">
      <c r="A203" s="479">
        <v>9633</v>
      </c>
      <c r="B203" s="19" t="s">
        <v>1875</v>
      </c>
      <c r="C203" t="s">
        <v>142</v>
      </c>
      <c r="D203" s="190">
        <v>9633</v>
      </c>
      <c r="E203" s="192">
        <v>5276</v>
      </c>
      <c r="F203" s="192">
        <v>4505</v>
      </c>
      <c r="G203" s="481">
        <v>125</v>
      </c>
      <c r="H203" s="19"/>
      <c r="I203" s="19"/>
      <c r="M203" s="19"/>
    </row>
    <row r="204" spans="1:13">
      <c r="A204" s="479">
        <v>9305</v>
      </c>
      <c r="B204" s="19" t="s">
        <v>1876</v>
      </c>
      <c r="C204" t="s">
        <v>142</v>
      </c>
      <c r="D204" s="190">
        <v>9305</v>
      </c>
      <c r="E204" s="192">
        <v>6979</v>
      </c>
      <c r="F204" s="192">
        <v>7392</v>
      </c>
      <c r="G204" s="481">
        <v>239</v>
      </c>
      <c r="H204" s="19"/>
      <c r="I204" s="19"/>
      <c r="M204" s="19"/>
    </row>
    <row r="205" spans="1:13">
      <c r="A205" s="479">
        <v>9100</v>
      </c>
      <c r="B205" s="19" t="s">
        <v>1877</v>
      </c>
      <c r="C205" t="s">
        <v>4940</v>
      </c>
      <c r="D205" s="190">
        <v>9100</v>
      </c>
      <c r="E205" s="192">
        <v>5542</v>
      </c>
      <c r="F205" s="192">
        <v>5695</v>
      </c>
      <c r="G205" s="481">
        <v>210</v>
      </c>
      <c r="H205" s="19"/>
      <c r="I205" s="19"/>
      <c r="M205" s="19"/>
    </row>
    <row r="206" spans="1:13">
      <c r="A206" s="479">
        <v>9053</v>
      </c>
      <c r="B206" s="19" t="s">
        <v>1879</v>
      </c>
      <c r="C206" t="s">
        <v>4940</v>
      </c>
      <c r="D206" s="190">
        <v>9053</v>
      </c>
      <c r="E206" s="192">
        <v>8075</v>
      </c>
      <c r="F206" s="192">
        <v>7561</v>
      </c>
      <c r="G206" s="481">
        <v>226</v>
      </c>
      <c r="H206" s="19"/>
      <c r="I206" s="19"/>
      <c r="M206" s="19"/>
    </row>
    <row r="207" spans="1:13">
      <c r="A207" s="479">
        <v>9042</v>
      </c>
      <c r="B207" s="19" t="s">
        <v>1880</v>
      </c>
      <c r="C207" t="s">
        <v>4940</v>
      </c>
      <c r="D207" s="190">
        <v>9042</v>
      </c>
      <c r="E207" s="192">
        <v>7341</v>
      </c>
      <c r="F207" s="192">
        <v>7154</v>
      </c>
      <c r="G207" s="481">
        <v>213</v>
      </c>
      <c r="H207" s="19"/>
      <c r="I207" s="19"/>
      <c r="M207" s="19"/>
    </row>
    <row r="208" spans="1:13">
      <c r="A208" s="479">
        <v>9410</v>
      </c>
      <c r="B208" s="19" t="s">
        <v>1881</v>
      </c>
      <c r="C208" t="s">
        <v>4940</v>
      </c>
      <c r="D208" s="190">
        <v>9410</v>
      </c>
      <c r="E208" s="192">
        <v>7371</v>
      </c>
      <c r="F208" s="192">
        <v>7435</v>
      </c>
      <c r="G208" s="481">
        <v>212</v>
      </c>
      <c r="H208" s="19"/>
      <c r="I208" s="19"/>
      <c r="M208" s="19"/>
    </row>
    <row r="209" spans="1:13">
      <c r="A209" s="479">
        <v>9056</v>
      </c>
      <c r="B209" s="19" t="s">
        <v>1882</v>
      </c>
      <c r="C209" t="s">
        <v>4940</v>
      </c>
      <c r="D209" s="190">
        <v>9056</v>
      </c>
      <c r="E209" s="192">
        <v>7723</v>
      </c>
      <c r="F209" s="192">
        <v>6924</v>
      </c>
      <c r="G209" s="481">
        <v>202</v>
      </c>
      <c r="H209" s="19"/>
      <c r="I209" s="19"/>
      <c r="M209" s="19"/>
    </row>
    <row r="210" spans="1:13">
      <c r="A210" s="479">
        <v>9107</v>
      </c>
      <c r="B210" s="19" t="s">
        <v>1883</v>
      </c>
      <c r="C210" t="s">
        <v>4940</v>
      </c>
      <c r="D210" s="190">
        <v>9107</v>
      </c>
      <c r="E210" s="192">
        <v>3888</v>
      </c>
      <c r="F210" s="192">
        <v>5834</v>
      </c>
      <c r="G210" s="481">
        <v>197</v>
      </c>
      <c r="H210" s="19"/>
      <c r="I210" s="19"/>
      <c r="M210" s="19"/>
    </row>
    <row r="211" spans="1:13">
      <c r="A211" s="479">
        <v>9428</v>
      </c>
      <c r="B211" s="19" t="s">
        <v>1884</v>
      </c>
      <c r="C211" t="s">
        <v>4940</v>
      </c>
      <c r="D211" s="190">
        <v>9428</v>
      </c>
      <c r="E211" s="192">
        <v>5836</v>
      </c>
      <c r="F211" s="192">
        <v>5823</v>
      </c>
      <c r="G211" s="481">
        <v>197</v>
      </c>
      <c r="H211" s="19"/>
      <c r="I211" s="19"/>
      <c r="M211" s="19"/>
    </row>
    <row r="212" spans="1:13">
      <c r="A212" s="479">
        <v>9104</v>
      </c>
      <c r="B212" s="19" t="s">
        <v>1885</v>
      </c>
      <c r="C212" t="s">
        <v>4940</v>
      </c>
      <c r="D212" s="190">
        <v>9104</v>
      </c>
      <c r="E212" s="192">
        <v>5567</v>
      </c>
      <c r="F212" s="192">
        <v>5897</v>
      </c>
      <c r="G212" s="481">
        <v>204</v>
      </c>
      <c r="H212" s="19"/>
      <c r="I212" s="19"/>
      <c r="M212" s="19"/>
    </row>
    <row r="213" spans="1:13">
      <c r="A213" s="479">
        <v>9427</v>
      </c>
      <c r="B213" s="19" t="s">
        <v>1886</v>
      </c>
      <c r="C213" t="s">
        <v>4940</v>
      </c>
      <c r="D213" s="190">
        <v>9427</v>
      </c>
      <c r="E213" s="192">
        <v>5851</v>
      </c>
      <c r="F213" s="192">
        <v>6535</v>
      </c>
      <c r="G213" s="481">
        <v>183</v>
      </c>
      <c r="H213" s="19"/>
      <c r="I213" s="19"/>
      <c r="M213" s="19"/>
    </row>
    <row r="214" spans="1:13">
      <c r="A214" s="479">
        <v>9055</v>
      </c>
      <c r="B214" s="19" t="s">
        <v>1887</v>
      </c>
      <c r="C214" t="s">
        <v>4940</v>
      </c>
      <c r="D214" s="190">
        <v>9055</v>
      </c>
      <c r="E214" s="192">
        <v>6943</v>
      </c>
      <c r="F214" s="192">
        <v>6247</v>
      </c>
      <c r="G214" s="481">
        <v>211</v>
      </c>
      <c r="H214" s="19"/>
      <c r="I214" s="19"/>
      <c r="M214" s="19"/>
    </row>
    <row r="215" spans="1:13">
      <c r="A215" s="479">
        <v>9038</v>
      </c>
      <c r="B215" s="19" t="s">
        <v>1888</v>
      </c>
      <c r="C215" t="s">
        <v>4940</v>
      </c>
      <c r="D215" s="190">
        <v>9038</v>
      </c>
      <c r="E215" s="192">
        <v>6852</v>
      </c>
      <c r="F215" s="192">
        <v>6673</v>
      </c>
      <c r="G215" s="481">
        <v>213</v>
      </c>
      <c r="H215" s="19"/>
      <c r="I215" s="19"/>
      <c r="M215" s="19"/>
    </row>
    <row r="216" spans="1:13">
      <c r="A216" s="479">
        <v>9043</v>
      </c>
      <c r="B216" s="19" t="s">
        <v>1889</v>
      </c>
      <c r="C216" t="s">
        <v>4940</v>
      </c>
      <c r="D216" s="190">
        <v>9043</v>
      </c>
      <c r="E216" s="192">
        <v>6534</v>
      </c>
      <c r="F216" s="192">
        <v>6194</v>
      </c>
      <c r="G216" s="481">
        <v>194</v>
      </c>
      <c r="H216" s="19"/>
      <c r="I216" s="19"/>
      <c r="M216" s="19"/>
    </row>
    <row r="217" spans="1:13">
      <c r="A217" s="479">
        <v>9103</v>
      </c>
      <c r="B217" s="19" t="s">
        <v>1890</v>
      </c>
      <c r="C217" t="s">
        <v>4940</v>
      </c>
      <c r="D217" s="190">
        <v>9103</v>
      </c>
      <c r="E217" s="192">
        <v>5293</v>
      </c>
      <c r="F217" s="192">
        <v>6093</v>
      </c>
      <c r="G217" s="481">
        <v>238</v>
      </c>
      <c r="H217" s="19"/>
      <c r="I217" s="19"/>
      <c r="M217" s="19"/>
    </row>
    <row r="218" spans="1:13">
      <c r="A218" s="479">
        <v>9063</v>
      </c>
      <c r="B218" s="19" t="s">
        <v>1891</v>
      </c>
      <c r="C218" t="s">
        <v>4940</v>
      </c>
      <c r="D218" s="190">
        <v>9063</v>
      </c>
      <c r="E218" s="192">
        <v>7128</v>
      </c>
      <c r="F218" s="192">
        <v>6228</v>
      </c>
      <c r="G218" s="481">
        <v>272</v>
      </c>
      <c r="H218" s="19"/>
      <c r="I218" s="19"/>
      <c r="M218" s="19"/>
    </row>
    <row r="219" spans="1:13">
      <c r="A219" s="479">
        <v>9426</v>
      </c>
      <c r="B219" s="19" t="s">
        <v>1892</v>
      </c>
      <c r="C219" t="s">
        <v>4940</v>
      </c>
      <c r="D219" s="190">
        <v>9426</v>
      </c>
      <c r="E219" s="192">
        <v>6072</v>
      </c>
      <c r="F219" s="192">
        <v>6047</v>
      </c>
      <c r="G219" s="481">
        <v>216</v>
      </c>
      <c r="H219" s="19"/>
      <c r="I219" s="19"/>
      <c r="M219" s="19"/>
    </row>
    <row r="220" spans="1:13">
      <c r="A220" s="479">
        <v>9035</v>
      </c>
      <c r="B220" s="19" t="s">
        <v>1893</v>
      </c>
      <c r="C220" t="s">
        <v>4940</v>
      </c>
      <c r="D220" s="190">
        <v>9035</v>
      </c>
      <c r="E220" s="192">
        <v>6745</v>
      </c>
      <c r="F220" s="192">
        <v>6139</v>
      </c>
      <c r="G220" s="481">
        <v>167</v>
      </c>
      <c r="H220" s="19"/>
      <c r="I220" s="19"/>
      <c r="M220" s="19"/>
    </row>
    <row r="221" spans="1:13">
      <c r="A221" s="479">
        <v>9064</v>
      </c>
      <c r="B221" s="19" t="s">
        <v>1894</v>
      </c>
      <c r="C221" t="s">
        <v>4940</v>
      </c>
      <c r="D221" s="190">
        <v>9064</v>
      </c>
      <c r="E221" s="192">
        <v>5473</v>
      </c>
      <c r="F221" s="192">
        <v>4549</v>
      </c>
      <c r="G221" s="481">
        <v>235</v>
      </c>
      <c r="H221" s="19"/>
      <c r="I221" s="19"/>
      <c r="M221" s="19"/>
    </row>
    <row r="222" spans="1:13">
      <c r="A222" s="479">
        <v>9044</v>
      </c>
      <c r="B222" s="19" t="s">
        <v>1895</v>
      </c>
      <c r="C222" t="s">
        <v>4940</v>
      </c>
      <c r="D222" s="190">
        <v>9044</v>
      </c>
      <c r="E222" s="192">
        <v>6957</v>
      </c>
      <c r="F222" s="192">
        <v>6297</v>
      </c>
      <c r="G222" s="481">
        <v>162</v>
      </c>
      <c r="H222" s="19"/>
      <c r="I222" s="19"/>
      <c r="M222" s="19"/>
    </row>
    <row r="223" spans="1:13">
      <c r="A223" s="479">
        <v>9411</v>
      </c>
      <c r="B223" s="19" t="s">
        <v>1896</v>
      </c>
      <c r="C223" t="s">
        <v>4940</v>
      </c>
      <c r="D223" s="190">
        <v>9411</v>
      </c>
      <c r="E223" s="192">
        <v>6330</v>
      </c>
      <c r="F223" s="192">
        <v>5558</v>
      </c>
      <c r="G223" s="481">
        <v>191</v>
      </c>
      <c r="H223" s="19"/>
      <c r="I223" s="19"/>
      <c r="M223" s="19"/>
    </row>
    <row r="224" spans="1:13">
      <c r="A224" s="479">
        <v>9105</v>
      </c>
      <c r="B224" s="19" t="s">
        <v>1897</v>
      </c>
      <c r="C224" t="s">
        <v>4940</v>
      </c>
      <c r="D224" s="190">
        <v>9105</v>
      </c>
      <c r="E224" s="192">
        <v>4822</v>
      </c>
      <c r="F224" s="192">
        <v>5720</v>
      </c>
      <c r="G224" s="481">
        <v>185</v>
      </c>
      <c r="H224" s="19"/>
      <c r="I224" s="19"/>
      <c r="M224" s="19"/>
    </row>
    <row r="225" spans="1:13">
      <c r="A225" s="479">
        <v>9050</v>
      </c>
      <c r="B225" s="19" t="s">
        <v>1898</v>
      </c>
      <c r="C225" t="s">
        <v>155</v>
      </c>
      <c r="D225" s="190">
        <v>9050</v>
      </c>
      <c r="E225" s="192">
        <v>9160</v>
      </c>
      <c r="F225" s="192">
        <v>8306</v>
      </c>
      <c r="G225" s="481">
        <v>245</v>
      </c>
      <c r="H225" s="19"/>
      <c r="I225" s="19"/>
      <c r="M225" s="19"/>
    </row>
    <row r="226" spans="1:13">
      <c r="A226" s="479">
        <v>9050</v>
      </c>
      <c r="B226" s="19" t="s">
        <v>1900</v>
      </c>
      <c r="C226" t="s">
        <v>155</v>
      </c>
      <c r="D226" s="190">
        <v>9050</v>
      </c>
      <c r="E226" s="192">
        <v>8700</v>
      </c>
      <c r="F226" s="192">
        <v>7973</v>
      </c>
      <c r="G226" s="481">
        <v>198</v>
      </c>
      <c r="H226" s="19"/>
      <c r="I226" s="19"/>
      <c r="M226" s="19"/>
    </row>
    <row r="227" spans="1:13">
      <c r="A227" s="479">
        <v>9057</v>
      </c>
      <c r="B227" s="19" t="s">
        <v>1901</v>
      </c>
      <c r="C227" t="s">
        <v>155</v>
      </c>
      <c r="D227" s="190">
        <v>9057</v>
      </c>
      <c r="E227" s="192">
        <v>8648</v>
      </c>
      <c r="F227" s="192">
        <v>7887</v>
      </c>
      <c r="G227" s="481">
        <v>255</v>
      </c>
      <c r="H227" s="19"/>
      <c r="I227" s="19"/>
      <c r="M227" s="19"/>
    </row>
    <row r="228" spans="1:13">
      <c r="A228" s="479">
        <v>9413</v>
      </c>
      <c r="B228" s="19" t="s">
        <v>1902</v>
      </c>
      <c r="C228" t="s">
        <v>155</v>
      </c>
      <c r="D228" s="190">
        <v>9413</v>
      </c>
      <c r="E228" s="192">
        <v>6378</v>
      </c>
      <c r="F228" s="192">
        <v>5846</v>
      </c>
      <c r="G228" s="481">
        <v>186</v>
      </c>
      <c r="H228" s="19"/>
      <c r="I228" s="19"/>
      <c r="M228" s="19"/>
    </row>
    <row r="229" spans="1:13">
      <c r="A229" s="479">
        <v>9108</v>
      </c>
      <c r="B229" s="19" t="s">
        <v>1903</v>
      </c>
      <c r="C229" t="s">
        <v>155</v>
      </c>
      <c r="D229" s="190">
        <v>9108</v>
      </c>
      <c r="E229" s="192">
        <v>10381</v>
      </c>
      <c r="F229" s="192">
        <v>3932</v>
      </c>
      <c r="G229" s="481">
        <v>144</v>
      </c>
      <c r="H229" s="19"/>
      <c r="I229" s="19"/>
      <c r="M229" s="19"/>
    </row>
    <row r="230" spans="1:13">
      <c r="A230" s="479">
        <v>9054</v>
      </c>
      <c r="B230" s="19" t="s">
        <v>1904</v>
      </c>
      <c r="C230" t="s">
        <v>155</v>
      </c>
      <c r="D230" s="190">
        <v>9054</v>
      </c>
      <c r="E230" s="192">
        <v>7001</v>
      </c>
      <c r="F230" s="192">
        <v>5987</v>
      </c>
      <c r="G230" s="481">
        <v>184</v>
      </c>
      <c r="H230" s="19"/>
      <c r="I230" s="19"/>
      <c r="M230" s="19"/>
    </row>
    <row r="231" spans="1:13">
      <c r="A231" s="479">
        <v>8500</v>
      </c>
      <c r="B231" s="19" t="s">
        <v>1905</v>
      </c>
      <c r="C231" t="s">
        <v>145</v>
      </c>
      <c r="D231" s="190">
        <v>8500</v>
      </c>
      <c r="E231" s="192">
        <v>7738</v>
      </c>
      <c r="F231" s="192">
        <v>8524</v>
      </c>
      <c r="G231" s="481">
        <v>247</v>
      </c>
      <c r="H231" s="19"/>
      <c r="I231" s="19"/>
      <c r="M231" s="19"/>
    </row>
    <row r="232" spans="1:13">
      <c r="A232" s="479">
        <v>8280</v>
      </c>
      <c r="B232" s="19" t="s">
        <v>1906</v>
      </c>
      <c r="C232" t="s">
        <v>145</v>
      </c>
      <c r="D232" s="190">
        <v>8280</v>
      </c>
      <c r="E232" s="192">
        <v>7340</v>
      </c>
      <c r="F232" s="192">
        <v>8792</v>
      </c>
      <c r="G232" s="481">
        <v>252</v>
      </c>
      <c r="H232" s="19"/>
      <c r="I232" s="19"/>
      <c r="M232" s="19"/>
    </row>
    <row r="233" spans="1:13">
      <c r="A233" s="479">
        <v>9320</v>
      </c>
      <c r="B233" s="19" t="s">
        <v>1907</v>
      </c>
      <c r="C233" t="s">
        <v>145</v>
      </c>
      <c r="D233" s="190">
        <v>9320</v>
      </c>
      <c r="E233" s="192">
        <v>6230</v>
      </c>
      <c r="F233" s="192">
        <v>5966</v>
      </c>
      <c r="G233" s="481">
        <v>216</v>
      </c>
      <c r="H233" s="19"/>
      <c r="I233" s="19"/>
      <c r="M233" s="19"/>
    </row>
    <row r="234" spans="1:13">
      <c r="A234" s="479">
        <v>8580</v>
      </c>
      <c r="B234" s="19" t="s">
        <v>1908</v>
      </c>
      <c r="C234" t="s">
        <v>145</v>
      </c>
      <c r="D234" s="190">
        <v>8580</v>
      </c>
      <c r="E234" s="192">
        <v>6491</v>
      </c>
      <c r="F234" s="192">
        <v>7108</v>
      </c>
      <c r="G234" s="481">
        <v>214</v>
      </c>
      <c r="H234" s="19"/>
      <c r="I234" s="19"/>
      <c r="M234" s="19"/>
    </row>
    <row r="235" spans="1:13">
      <c r="A235" s="479">
        <v>8570</v>
      </c>
      <c r="B235" s="19" t="s">
        <v>1909</v>
      </c>
      <c r="C235" t="s">
        <v>145</v>
      </c>
      <c r="D235" s="190">
        <v>8570</v>
      </c>
      <c r="E235" s="192">
        <v>7338</v>
      </c>
      <c r="F235" s="192">
        <v>7586</v>
      </c>
      <c r="G235" s="481">
        <v>226</v>
      </c>
      <c r="H235" s="19"/>
      <c r="I235" s="19"/>
      <c r="M235" s="19"/>
    </row>
    <row r="236" spans="1:13">
      <c r="A236" s="479">
        <v>8590</v>
      </c>
      <c r="B236" s="19" t="s">
        <v>1910</v>
      </c>
      <c r="C236" t="s">
        <v>145</v>
      </c>
      <c r="D236" s="190">
        <v>8590</v>
      </c>
      <c r="E236" s="192">
        <v>6496</v>
      </c>
      <c r="F236" s="192">
        <v>6077</v>
      </c>
      <c r="G236" s="481">
        <v>223</v>
      </c>
      <c r="H236" s="19"/>
      <c r="I236" s="19"/>
      <c r="M236" s="19"/>
    </row>
    <row r="237" spans="1:13">
      <c r="A237" s="479">
        <v>8355</v>
      </c>
      <c r="B237" s="19" t="s">
        <v>1911</v>
      </c>
      <c r="C237" t="s">
        <v>145</v>
      </c>
      <c r="D237" s="190">
        <v>8355</v>
      </c>
      <c r="E237" s="192">
        <v>7270</v>
      </c>
      <c r="F237" s="192">
        <v>6854</v>
      </c>
      <c r="G237" s="481">
        <v>227</v>
      </c>
      <c r="H237" s="19"/>
      <c r="I237" s="19"/>
      <c r="M237" s="19"/>
    </row>
    <row r="238" spans="1:13">
      <c r="A238" s="479">
        <v>8370</v>
      </c>
      <c r="B238" s="19" t="s">
        <v>1912</v>
      </c>
      <c r="C238" t="s">
        <v>145</v>
      </c>
      <c r="D238" s="190">
        <v>8370</v>
      </c>
      <c r="E238" s="192">
        <v>5953</v>
      </c>
      <c r="F238" s="192">
        <v>6363</v>
      </c>
      <c r="G238" s="481">
        <v>221</v>
      </c>
      <c r="H238" s="19"/>
      <c r="I238" s="19"/>
      <c r="M238" s="19"/>
    </row>
    <row r="239" spans="1:13">
      <c r="A239" s="479">
        <v>9220</v>
      </c>
      <c r="B239" s="19" t="s">
        <v>1913</v>
      </c>
      <c r="C239" t="s">
        <v>145</v>
      </c>
      <c r="D239" s="190">
        <v>9220</v>
      </c>
      <c r="E239" s="192">
        <v>6168</v>
      </c>
      <c r="F239" s="192">
        <v>6208</v>
      </c>
      <c r="G239" s="481">
        <v>209</v>
      </c>
      <c r="H239" s="19"/>
      <c r="I239" s="19"/>
      <c r="M239" s="19"/>
    </row>
    <row r="240" spans="1:13">
      <c r="A240" s="479">
        <v>9542</v>
      </c>
      <c r="B240" s="19" t="s">
        <v>1914</v>
      </c>
      <c r="C240" t="s">
        <v>145</v>
      </c>
      <c r="D240" s="190">
        <v>9542</v>
      </c>
      <c r="E240" s="192">
        <v>5377</v>
      </c>
      <c r="F240" s="192">
        <v>7471</v>
      </c>
      <c r="G240" s="481">
        <v>227</v>
      </c>
      <c r="H240" s="19"/>
      <c r="I240" s="19"/>
      <c r="M240" s="19"/>
    </row>
    <row r="241" spans="1:13">
      <c r="A241" s="479">
        <v>9322</v>
      </c>
      <c r="B241" s="19" t="s">
        <v>1915</v>
      </c>
      <c r="C241" t="s">
        <v>145</v>
      </c>
      <c r="D241" s="190">
        <v>9322</v>
      </c>
      <c r="E241" s="192">
        <v>7452</v>
      </c>
      <c r="F241" s="192">
        <v>6437</v>
      </c>
      <c r="G241" s="481">
        <v>216</v>
      </c>
      <c r="H241" s="19"/>
      <c r="I241" s="19"/>
      <c r="M241" s="19"/>
    </row>
    <row r="242" spans="1:13">
      <c r="A242" s="479">
        <v>9545</v>
      </c>
      <c r="B242" s="19" t="s">
        <v>1916</v>
      </c>
      <c r="C242" t="s">
        <v>145</v>
      </c>
      <c r="D242" s="190">
        <v>9545</v>
      </c>
      <c r="E242" s="192">
        <v>7222</v>
      </c>
      <c r="F242" s="192">
        <v>6745</v>
      </c>
      <c r="G242" s="481">
        <v>213</v>
      </c>
      <c r="H242" s="19"/>
      <c r="I242" s="19"/>
      <c r="M242" s="19"/>
    </row>
    <row r="243" spans="1:13">
      <c r="A243" s="479">
        <v>8274</v>
      </c>
      <c r="B243" s="19" t="s">
        <v>1917</v>
      </c>
      <c r="C243" t="s">
        <v>145</v>
      </c>
      <c r="D243" s="190">
        <v>8274</v>
      </c>
      <c r="E243" s="192">
        <v>7886</v>
      </c>
      <c r="F243" s="192">
        <v>10163</v>
      </c>
      <c r="G243" s="481">
        <v>248</v>
      </c>
      <c r="H243" s="19"/>
      <c r="I243" s="19"/>
      <c r="M243" s="19"/>
    </row>
    <row r="244" spans="1:13">
      <c r="A244" s="479">
        <v>8360</v>
      </c>
      <c r="B244" s="19" t="s">
        <v>1918</v>
      </c>
      <c r="C244" t="s">
        <v>145</v>
      </c>
      <c r="D244" s="190">
        <v>8360</v>
      </c>
      <c r="E244" s="192">
        <v>6326</v>
      </c>
      <c r="F244" s="192">
        <v>7437</v>
      </c>
      <c r="G244" s="481">
        <v>215</v>
      </c>
      <c r="H244" s="19"/>
      <c r="I244" s="19"/>
      <c r="M244" s="19"/>
    </row>
    <row r="245" spans="1:13">
      <c r="A245" s="479">
        <v>8547</v>
      </c>
      <c r="B245" s="19" t="s">
        <v>1919</v>
      </c>
      <c r="C245" t="s">
        <v>145</v>
      </c>
      <c r="D245" s="190">
        <v>8547</v>
      </c>
      <c r="E245" s="192">
        <v>7386</v>
      </c>
      <c r="F245" s="192">
        <v>7450</v>
      </c>
      <c r="G245" s="481">
        <v>227</v>
      </c>
      <c r="H245" s="19"/>
      <c r="I245" s="19"/>
      <c r="M245" s="19"/>
    </row>
    <row r="246" spans="1:13">
      <c r="A246" s="479">
        <v>8253</v>
      </c>
      <c r="B246" s="19" t="s">
        <v>1920</v>
      </c>
      <c r="C246" t="s">
        <v>145</v>
      </c>
      <c r="D246" s="190">
        <v>8253</v>
      </c>
      <c r="E246" s="192">
        <v>6059</v>
      </c>
      <c r="F246" s="192">
        <v>7427</v>
      </c>
      <c r="G246" s="481">
        <v>225</v>
      </c>
      <c r="H246" s="19"/>
      <c r="I246" s="19"/>
      <c r="M246" s="19"/>
    </row>
    <row r="247" spans="1:13">
      <c r="A247" s="479">
        <v>8575</v>
      </c>
      <c r="B247" s="19" t="s">
        <v>1921</v>
      </c>
      <c r="C247" t="s">
        <v>145</v>
      </c>
      <c r="D247" s="190">
        <v>8575</v>
      </c>
      <c r="E247" s="192">
        <v>5183</v>
      </c>
      <c r="F247" s="192">
        <v>6468</v>
      </c>
      <c r="G247" s="481">
        <v>211</v>
      </c>
      <c r="H247" s="19"/>
      <c r="I247" s="19"/>
      <c r="M247" s="19"/>
    </row>
    <row r="248" spans="1:13">
      <c r="A248" s="479">
        <v>8266</v>
      </c>
      <c r="B248" s="19" t="s">
        <v>1922</v>
      </c>
      <c r="C248" t="s">
        <v>145</v>
      </c>
      <c r="D248" s="190">
        <v>8266</v>
      </c>
      <c r="E248" s="192">
        <v>8656</v>
      </c>
      <c r="F248" s="192">
        <v>8088</v>
      </c>
      <c r="G248" s="481">
        <v>239</v>
      </c>
      <c r="H248" s="19"/>
      <c r="I248" s="19"/>
      <c r="M248" s="19"/>
    </row>
    <row r="249" spans="1:13">
      <c r="A249" s="479">
        <v>8583</v>
      </c>
      <c r="B249" s="19" t="s">
        <v>1923</v>
      </c>
      <c r="C249" t="s">
        <v>145</v>
      </c>
      <c r="D249" s="190">
        <v>8583</v>
      </c>
      <c r="E249" s="192">
        <v>6747</v>
      </c>
      <c r="F249" s="192">
        <v>6473</v>
      </c>
      <c r="G249" s="481">
        <v>195</v>
      </c>
      <c r="H249" s="19"/>
      <c r="I249" s="19"/>
      <c r="M249" s="19"/>
    </row>
    <row r="250" spans="1:13">
      <c r="A250" s="479">
        <v>8586</v>
      </c>
      <c r="B250" s="19" t="s">
        <v>1924</v>
      </c>
      <c r="C250" t="s">
        <v>145</v>
      </c>
      <c r="D250" s="190">
        <v>8586</v>
      </c>
      <c r="E250" s="192">
        <v>6774</v>
      </c>
      <c r="F250" s="192">
        <v>6307</v>
      </c>
      <c r="G250" s="481">
        <v>213</v>
      </c>
      <c r="H250" s="19"/>
      <c r="I250" s="19"/>
      <c r="M250" s="19"/>
    </row>
    <row r="251" spans="1:13">
      <c r="A251" s="479">
        <v>9214</v>
      </c>
      <c r="B251" s="19" t="s">
        <v>1925</v>
      </c>
      <c r="C251" t="s">
        <v>145</v>
      </c>
      <c r="D251" s="190">
        <v>9214</v>
      </c>
      <c r="E251" s="192">
        <v>6597</v>
      </c>
      <c r="F251" s="192">
        <v>6182</v>
      </c>
      <c r="G251" s="481">
        <v>199</v>
      </c>
      <c r="H251" s="19"/>
      <c r="I251" s="19"/>
      <c r="M251" s="19"/>
    </row>
    <row r="252" spans="1:13">
      <c r="A252" s="479">
        <v>8596</v>
      </c>
      <c r="B252" s="19" t="s">
        <v>1926</v>
      </c>
      <c r="C252" t="s">
        <v>145</v>
      </c>
      <c r="D252" s="190">
        <v>8596</v>
      </c>
      <c r="E252" s="192">
        <v>7646</v>
      </c>
      <c r="F252" s="192">
        <v>7805</v>
      </c>
      <c r="G252" s="481">
        <v>228</v>
      </c>
      <c r="H252" s="19"/>
      <c r="I252" s="19"/>
      <c r="M252" s="19"/>
    </row>
    <row r="253" spans="1:13">
      <c r="A253" s="479">
        <v>8272</v>
      </c>
      <c r="B253" s="19" t="s">
        <v>1927</v>
      </c>
      <c r="C253" t="s">
        <v>145</v>
      </c>
      <c r="D253" s="190">
        <v>8272</v>
      </c>
      <c r="E253" s="192">
        <v>8408</v>
      </c>
      <c r="F253" s="192">
        <v>7399</v>
      </c>
      <c r="G253" s="481">
        <v>229</v>
      </c>
      <c r="H253" s="19"/>
      <c r="I253" s="19"/>
      <c r="M253" s="19"/>
    </row>
    <row r="254" spans="1:13">
      <c r="A254" s="479">
        <v>8572</v>
      </c>
      <c r="B254" s="19" t="s">
        <v>1928</v>
      </c>
      <c r="C254" t="s">
        <v>145</v>
      </c>
      <c r="D254" s="190">
        <v>8572</v>
      </c>
      <c r="E254" s="192">
        <v>4867</v>
      </c>
      <c r="F254" s="192">
        <v>6901</v>
      </c>
      <c r="G254" s="481">
        <v>209</v>
      </c>
      <c r="H254" s="19"/>
      <c r="I254" s="19"/>
      <c r="M254" s="19"/>
    </row>
    <row r="255" spans="1:13">
      <c r="A255" s="479">
        <v>9325</v>
      </c>
      <c r="B255" s="19" t="s">
        <v>1929</v>
      </c>
      <c r="C255" t="s">
        <v>145</v>
      </c>
      <c r="D255" s="190">
        <v>9325</v>
      </c>
      <c r="E255" s="192">
        <v>6728</v>
      </c>
      <c r="F255" s="192">
        <v>7102</v>
      </c>
      <c r="G255" s="481">
        <v>218</v>
      </c>
      <c r="H255" s="19"/>
      <c r="I255" s="19"/>
      <c r="M255" s="19"/>
    </row>
    <row r="256" spans="1:13">
      <c r="A256" s="479">
        <v>8555</v>
      </c>
      <c r="B256" s="19" t="s">
        <v>1930</v>
      </c>
      <c r="C256" t="s">
        <v>145</v>
      </c>
      <c r="D256" s="190">
        <v>8555</v>
      </c>
      <c r="E256" s="192">
        <v>7258</v>
      </c>
      <c r="F256" s="192">
        <v>8193</v>
      </c>
      <c r="G256" s="481">
        <v>202</v>
      </c>
      <c r="H256" s="19"/>
      <c r="I256" s="19"/>
      <c r="M256" s="19"/>
    </row>
    <row r="257" spans="1:13">
      <c r="A257" s="479">
        <v>9548</v>
      </c>
      <c r="B257" s="19" t="s">
        <v>1931</v>
      </c>
      <c r="C257" t="s">
        <v>145</v>
      </c>
      <c r="D257" s="190">
        <v>9548</v>
      </c>
      <c r="E257" s="192">
        <v>6304</v>
      </c>
      <c r="F257" s="192">
        <v>7001</v>
      </c>
      <c r="G257" s="481">
        <v>229</v>
      </c>
      <c r="H257" s="19"/>
      <c r="I257" s="19"/>
      <c r="M257" s="19"/>
    </row>
    <row r="258" spans="1:13">
      <c r="A258" s="479">
        <v>8363</v>
      </c>
      <c r="B258" s="19" t="s">
        <v>1932</v>
      </c>
      <c r="C258" t="s">
        <v>145</v>
      </c>
      <c r="D258" s="190">
        <v>8363</v>
      </c>
      <c r="E258" s="192">
        <v>6094</v>
      </c>
      <c r="F258" s="192">
        <v>6577</v>
      </c>
      <c r="G258" s="481">
        <v>227</v>
      </c>
      <c r="H258" s="19"/>
      <c r="I258" s="19"/>
      <c r="M258" s="19"/>
    </row>
    <row r="259" spans="1:13">
      <c r="A259" s="479">
        <v>8560</v>
      </c>
      <c r="B259" s="19" t="s">
        <v>1933</v>
      </c>
      <c r="C259" t="s">
        <v>145</v>
      </c>
      <c r="D259" s="190">
        <v>8560</v>
      </c>
      <c r="E259" s="192">
        <v>7100</v>
      </c>
      <c r="F259" s="192">
        <v>7535</v>
      </c>
      <c r="G259" s="481">
        <v>234</v>
      </c>
      <c r="H259" s="19"/>
      <c r="I259" s="19"/>
      <c r="M259" s="19"/>
    </row>
    <row r="260" spans="1:13">
      <c r="A260" s="479">
        <v>8552</v>
      </c>
      <c r="B260" s="19" t="s">
        <v>1934</v>
      </c>
      <c r="C260" t="s">
        <v>145</v>
      </c>
      <c r="D260" s="190">
        <v>8552</v>
      </c>
      <c r="E260" s="192">
        <v>6158</v>
      </c>
      <c r="F260" s="192">
        <v>6351</v>
      </c>
      <c r="G260" s="481">
        <v>245</v>
      </c>
      <c r="H260" s="19"/>
      <c r="I260" s="19"/>
      <c r="M260" s="19"/>
    </row>
    <row r="261" spans="1:13">
      <c r="A261" s="479">
        <v>8581</v>
      </c>
      <c r="B261" s="19" t="s">
        <v>1935</v>
      </c>
      <c r="C261" t="s">
        <v>145</v>
      </c>
      <c r="D261" s="190">
        <v>8581</v>
      </c>
      <c r="E261" s="192">
        <v>6098</v>
      </c>
      <c r="F261" s="192">
        <v>7127</v>
      </c>
      <c r="G261" s="481">
        <v>202</v>
      </c>
      <c r="H261" s="19"/>
      <c r="I261" s="19"/>
      <c r="M261" s="19"/>
    </row>
    <row r="262" spans="1:13">
      <c r="A262" s="479">
        <v>9326</v>
      </c>
      <c r="B262" s="19" t="s">
        <v>1936</v>
      </c>
      <c r="C262" t="s">
        <v>145</v>
      </c>
      <c r="D262" s="190">
        <v>9326</v>
      </c>
      <c r="E262" s="192">
        <v>9182</v>
      </c>
      <c r="F262" s="192">
        <v>7869</v>
      </c>
      <c r="G262" s="481">
        <v>227</v>
      </c>
      <c r="H262" s="19"/>
      <c r="I262" s="19"/>
      <c r="M262" s="19"/>
    </row>
    <row r="263" spans="1:13">
      <c r="A263" s="479">
        <v>8376</v>
      </c>
      <c r="B263" s="19" t="s">
        <v>1937</v>
      </c>
      <c r="C263" t="s">
        <v>145</v>
      </c>
      <c r="D263" s="190">
        <v>8376</v>
      </c>
      <c r="E263" s="192">
        <v>6668</v>
      </c>
      <c r="F263" s="192">
        <v>5886</v>
      </c>
      <c r="G263" s="481">
        <v>223</v>
      </c>
      <c r="H263" s="19"/>
      <c r="I263" s="19"/>
      <c r="M263" s="19"/>
    </row>
    <row r="264" spans="1:13">
      <c r="A264" s="479">
        <v>9556</v>
      </c>
      <c r="B264" s="19" t="s">
        <v>1938</v>
      </c>
      <c r="C264" t="s">
        <v>145</v>
      </c>
      <c r="D264" s="190">
        <v>9556</v>
      </c>
      <c r="E264" s="192">
        <v>5994</v>
      </c>
      <c r="F264" s="192">
        <v>6762</v>
      </c>
      <c r="G264" s="481">
        <v>204</v>
      </c>
      <c r="H264" s="19"/>
      <c r="I264" s="19"/>
      <c r="M264" s="19"/>
    </row>
    <row r="265" spans="1:13">
      <c r="A265" s="479">
        <v>9535</v>
      </c>
      <c r="B265" s="19" t="s">
        <v>1939</v>
      </c>
      <c r="C265" t="s">
        <v>145</v>
      </c>
      <c r="D265" s="190">
        <v>9535</v>
      </c>
      <c r="E265" s="192">
        <v>6418</v>
      </c>
      <c r="F265" s="192">
        <v>7285</v>
      </c>
      <c r="G265" s="481">
        <v>197</v>
      </c>
      <c r="H265" s="19"/>
      <c r="I265" s="19"/>
      <c r="M265" s="19"/>
    </row>
    <row r="266" spans="1:13">
      <c r="A266" s="479">
        <v>8573</v>
      </c>
      <c r="B266" s="19" t="s">
        <v>1940</v>
      </c>
      <c r="C266" t="s">
        <v>145</v>
      </c>
      <c r="D266" s="190">
        <v>8573</v>
      </c>
      <c r="E266" s="192">
        <v>5287</v>
      </c>
      <c r="F266" s="192">
        <v>6382</v>
      </c>
      <c r="G266" s="481">
        <v>194</v>
      </c>
      <c r="H266" s="19"/>
      <c r="I266" s="19"/>
      <c r="M266" s="19"/>
    </row>
    <row r="267" spans="1:13">
      <c r="A267" s="479">
        <v>8556</v>
      </c>
      <c r="B267" s="19" t="s">
        <v>1941</v>
      </c>
      <c r="C267" t="s">
        <v>145</v>
      </c>
      <c r="D267" s="190">
        <v>8556</v>
      </c>
      <c r="E267" s="192">
        <v>4941</v>
      </c>
      <c r="F267" s="192">
        <v>6833</v>
      </c>
      <c r="G267" s="481">
        <v>188</v>
      </c>
      <c r="H267" s="19"/>
      <c r="I267" s="19"/>
      <c r="M267" s="19"/>
    </row>
    <row r="268" spans="1:13">
      <c r="A268" s="479">
        <v>8588</v>
      </c>
      <c r="B268" s="19" t="s">
        <v>1942</v>
      </c>
      <c r="C268" t="s">
        <v>145</v>
      </c>
      <c r="D268" s="190">
        <v>8588</v>
      </c>
      <c r="E268" s="192">
        <v>6586</v>
      </c>
      <c r="F268" s="192">
        <v>6088</v>
      </c>
      <c r="G268" s="481">
        <v>193</v>
      </c>
      <c r="H268" s="19"/>
      <c r="I268" s="19"/>
      <c r="M268" s="19"/>
    </row>
    <row r="269" spans="1:13">
      <c r="A269" s="479">
        <v>9565</v>
      </c>
      <c r="B269" s="19" t="s">
        <v>1943</v>
      </c>
      <c r="C269" t="s">
        <v>145</v>
      </c>
      <c r="D269" s="190">
        <v>9565</v>
      </c>
      <c r="E269" s="192">
        <v>6946</v>
      </c>
      <c r="F269" s="192">
        <v>6151</v>
      </c>
      <c r="G269" s="481">
        <v>213</v>
      </c>
      <c r="H269" s="19"/>
      <c r="I269" s="19"/>
      <c r="M269" s="19"/>
    </row>
    <row r="270" spans="1:13">
      <c r="A270" s="479">
        <v>8595</v>
      </c>
      <c r="B270" s="19" t="s">
        <v>1944</v>
      </c>
      <c r="C270" t="s">
        <v>145</v>
      </c>
      <c r="D270" s="190">
        <v>8595</v>
      </c>
      <c r="E270" s="192">
        <v>7587</v>
      </c>
      <c r="F270" s="192">
        <v>6706</v>
      </c>
      <c r="G270" s="481">
        <v>228</v>
      </c>
      <c r="H270" s="19"/>
      <c r="I270" s="19"/>
      <c r="M270" s="19"/>
    </row>
    <row r="271" spans="1:13">
      <c r="A271" s="479">
        <v>8598</v>
      </c>
      <c r="B271" s="19" t="s">
        <v>1945</v>
      </c>
      <c r="C271" t="s">
        <v>145</v>
      </c>
      <c r="D271" s="190">
        <v>8598</v>
      </c>
      <c r="E271" s="192">
        <v>8108</v>
      </c>
      <c r="F271" s="192">
        <v>9992</v>
      </c>
      <c r="G271" s="481">
        <v>270</v>
      </c>
      <c r="H271" s="19"/>
      <c r="I271" s="19"/>
      <c r="M271" s="19"/>
    </row>
    <row r="272" spans="1:13">
      <c r="A272" s="479">
        <v>8505</v>
      </c>
      <c r="B272" s="19" t="s">
        <v>1946</v>
      </c>
      <c r="C272" t="s">
        <v>145</v>
      </c>
      <c r="D272" s="190">
        <v>8505</v>
      </c>
      <c r="E272" s="192">
        <v>7160</v>
      </c>
      <c r="F272" s="192">
        <v>7360</v>
      </c>
      <c r="G272" s="481">
        <v>213</v>
      </c>
      <c r="H272" s="19"/>
      <c r="I272" s="19"/>
      <c r="M272" s="19"/>
    </row>
    <row r="273" spans="1:13">
      <c r="A273" s="479">
        <v>9213</v>
      </c>
      <c r="B273" s="19" t="s">
        <v>1947</v>
      </c>
      <c r="C273" t="s">
        <v>145</v>
      </c>
      <c r="D273" s="190">
        <v>9213</v>
      </c>
      <c r="E273" s="192">
        <v>5427</v>
      </c>
      <c r="F273" s="192">
        <v>6117</v>
      </c>
      <c r="G273" s="481">
        <v>224</v>
      </c>
      <c r="H273" s="19"/>
      <c r="I273" s="19"/>
      <c r="M273" s="19"/>
    </row>
    <row r="274" spans="1:13">
      <c r="A274" s="479">
        <v>8592</v>
      </c>
      <c r="B274" s="19" t="s">
        <v>1948</v>
      </c>
      <c r="C274" t="s">
        <v>145</v>
      </c>
      <c r="D274" s="190">
        <v>8592</v>
      </c>
      <c r="E274" s="192">
        <v>6672</v>
      </c>
      <c r="F274" s="192">
        <v>7437</v>
      </c>
      <c r="G274" s="481">
        <v>215</v>
      </c>
      <c r="H274" s="19"/>
      <c r="I274" s="19"/>
      <c r="M274" s="19"/>
    </row>
    <row r="275" spans="1:13">
      <c r="A275" s="479">
        <v>8254</v>
      </c>
      <c r="B275" s="19" t="s">
        <v>1949</v>
      </c>
      <c r="C275" t="s">
        <v>145</v>
      </c>
      <c r="D275" s="190">
        <v>8254</v>
      </c>
      <c r="E275" s="192">
        <v>6208</v>
      </c>
      <c r="F275" s="192">
        <v>6518</v>
      </c>
      <c r="G275" s="481">
        <v>244</v>
      </c>
      <c r="H275" s="19"/>
      <c r="I275" s="19"/>
      <c r="M275" s="19"/>
    </row>
    <row r="276" spans="1:13">
      <c r="A276" s="479">
        <v>8264</v>
      </c>
      <c r="B276" s="19" t="s">
        <v>1950</v>
      </c>
      <c r="C276" t="s">
        <v>145</v>
      </c>
      <c r="D276" s="190">
        <v>8264</v>
      </c>
      <c r="E276" s="192">
        <v>6702</v>
      </c>
      <c r="F276" s="192">
        <v>6861</v>
      </c>
      <c r="G276" s="481">
        <v>234</v>
      </c>
      <c r="H276" s="19"/>
      <c r="I276" s="19"/>
      <c r="M276" s="19"/>
    </row>
    <row r="277" spans="1:13">
      <c r="A277" s="479">
        <v>8574</v>
      </c>
      <c r="B277" s="19" t="s">
        <v>1951</v>
      </c>
      <c r="C277" t="s">
        <v>145</v>
      </c>
      <c r="D277" s="190">
        <v>8574</v>
      </c>
      <c r="E277" s="192">
        <v>7443</v>
      </c>
      <c r="F277" s="192">
        <v>8012</v>
      </c>
      <c r="G277" s="481">
        <v>210</v>
      </c>
      <c r="H277" s="19"/>
      <c r="I277" s="19"/>
      <c r="M277" s="19"/>
    </row>
    <row r="278" spans="1:13">
      <c r="A278" s="479">
        <v>8536</v>
      </c>
      <c r="B278" s="19" t="s">
        <v>1952</v>
      </c>
      <c r="C278" t="s">
        <v>145</v>
      </c>
      <c r="D278" s="190">
        <v>8536</v>
      </c>
      <c r="E278" s="192">
        <v>8530</v>
      </c>
      <c r="F278" s="192">
        <v>6977</v>
      </c>
      <c r="G278" s="481">
        <v>194</v>
      </c>
      <c r="H278" s="19"/>
      <c r="I278" s="19"/>
      <c r="M278" s="19"/>
    </row>
    <row r="279" spans="1:13">
      <c r="A279" s="479">
        <v>8252</v>
      </c>
      <c r="B279" s="19" t="s">
        <v>1953</v>
      </c>
      <c r="C279" t="s">
        <v>145</v>
      </c>
      <c r="D279" s="190">
        <v>8252</v>
      </c>
      <c r="E279" s="192">
        <v>5999</v>
      </c>
      <c r="F279" s="192">
        <v>6230</v>
      </c>
      <c r="G279" s="481">
        <v>211</v>
      </c>
      <c r="H279" s="19"/>
      <c r="I279" s="19"/>
      <c r="M279" s="19"/>
    </row>
    <row r="280" spans="1:13">
      <c r="A280" s="479">
        <v>8259</v>
      </c>
      <c r="B280" s="19" t="s">
        <v>1954</v>
      </c>
      <c r="C280" t="s">
        <v>145</v>
      </c>
      <c r="D280" s="190">
        <v>8259</v>
      </c>
      <c r="E280" s="192">
        <v>7082</v>
      </c>
      <c r="F280" s="192">
        <v>6281</v>
      </c>
      <c r="G280" s="481">
        <v>211</v>
      </c>
      <c r="H280" s="19"/>
      <c r="I280" s="19"/>
      <c r="M280" s="19"/>
    </row>
    <row r="281" spans="1:13">
      <c r="A281" s="479">
        <v>8594</v>
      </c>
      <c r="B281" s="19" t="s">
        <v>1955</v>
      </c>
      <c r="C281" t="s">
        <v>145</v>
      </c>
      <c r="D281" s="190">
        <v>8594</v>
      </c>
      <c r="E281" s="192">
        <v>8104</v>
      </c>
      <c r="F281" s="192">
        <v>6909</v>
      </c>
      <c r="G281" s="481">
        <v>216</v>
      </c>
      <c r="H281" s="19"/>
      <c r="I281" s="19"/>
      <c r="M281" s="19"/>
    </row>
    <row r="282" spans="1:13">
      <c r="A282" s="479">
        <v>9555</v>
      </c>
      <c r="B282" s="19" t="s">
        <v>1956</v>
      </c>
      <c r="C282" t="s">
        <v>145</v>
      </c>
      <c r="D282" s="190">
        <v>9555</v>
      </c>
      <c r="E282" s="192">
        <v>6952</v>
      </c>
      <c r="F282" s="192">
        <v>6837</v>
      </c>
      <c r="G282" s="481">
        <v>208</v>
      </c>
      <c r="H282" s="19"/>
      <c r="I282" s="19"/>
      <c r="M282" s="19"/>
    </row>
    <row r="283" spans="1:13">
      <c r="A283" s="479">
        <v>8508</v>
      </c>
      <c r="B283" s="19" t="s">
        <v>1957</v>
      </c>
      <c r="C283" t="s">
        <v>145</v>
      </c>
      <c r="D283" s="190">
        <v>8508</v>
      </c>
      <c r="E283" s="192">
        <v>7871</v>
      </c>
      <c r="F283" s="192">
        <v>7076</v>
      </c>
      <c r="G283" s="481">
        <v>209</v>
      </c>
      <c r="H283" s="19"/>
      <c r="I283" s="19"/>
      <c r="M283" s="19"/>
    </row>
    <row r="284" spans="1:13">
      <c r="A284" s="479">
        <v>8512</v>
      </c>
      <c r="B284" s="19" t="s">
        <v>1958</v>
      </c>
      <c r="C284" t="s">
        <v>145</v>
      </c>
      <c r="D284" s="190">
        <v>8512</v>
      </c>
      <c r="E284" s="192">
        <v>5794</v>
      </c>
      <c r="F284" s="192">
        <v>7122</v>
      </c>
      <c r="G284" s="481">
        <v>204</v>
      </c>
      <c r="H284" s="19"/>
      <c r="I284" s="19"/>
      <c r="M284" s="19"/>
    </row>
    <row r="285" spans="1:13">
      <c r="A285" s="479">
        <v>8599</v>
      </c>
      <c r="B285" s="19" t="s">
        <v>1959</v>
      </c>
      <c r="C285" t="s">
        <v>145</v>
      </c>
      <c r="D285" s="190">
        <v>8599</v>
      </c>
      <c r="E285" s="192">
        <v>6487</v>
      </c>
      <c r="F285" s="192">
        <v>6615</v>
      </c>
      <c r="G285" s="481">
        <v>211</v>
      </c>
      <c r="H285" s="19"/>
      <c r="I285" s="19"/>
      <c r="M285" s="19"/>
    </row>
    <row r="286" spans="1:13">
      <c r="A286" s="479">
        <v>8577</v>
      </c>
      <c r="B286" s="19" t="s">
        <v>1960</v>
      </c>
      <c r="C286" t="s">
        <v>145</v>
      </c>
      <c r="D286" s="190">
        <v>8577</v>
      </c>
      <c r="E286" s="192">
        <v>5832</v>
      </c>
      <c r="F286" s="192">
        <v>6806</v>
      </c>
      <c r="G286" s="481">
        <v>191</v>
      </c>
      <c r="H286" s="19"/>
      <c r="I286" s="19"/>
      <c r="M286" s="19"/>
    </row>
    <row r="287" spans="1:13">
      <c r="A287" s="479">
        <v>8514</v>
      </c>
      <c r="B287" s="19" t="s">
        <v>1961</v>
      </c>
      <c r="C287" t="s">
        <v>145</v>
      </c>
      <c r="D287" s="190">
        <v>8514</v>
      </c>
      <c r="E287" s="192">
        <v>6475</v>
      </c>
      <c r="F287" s="192">
        <v>7302</v>
      </c>
      <c r="G287" s="481">
        <v>197</v>
      </c>
      <c r="H287" s="19"/>
      <c r="I287" s="19"/>
      <c r="M287" s="19"/>
    </row>
    <row r="288" spans="1:13">
      <c r="A288" s="479">
        <v>8532</v>
      </c>
      <c r="B288" s="19" t="s">
        <v>1962</v>
      </c>
      <c r="C288" t="s">
        <v>145</v>
      </c>
      <c r="D288" s="190">
        <v>8532</v>
      </c>
      <c r="E288" s="192">
        <v>7672</v>
      </c>
      <c r="F288" s="192">
        <v>7752</v>
      </c>
      <c r="G288" s="481">
        <v>214</v>
      </c>
      <c r="H288" s="19"/>
      <c r="I288" s="19"/>
      <c r="M288" s="19"/>
    </row>
    <row r="289" spans="1:13">
      <c r="A289" s="479">
        <v>8585</v>
      </c>
      <c r="B289" s="19" t="s">
        <v>1963</v>
      </c>
      <c r="C289" t="s">
        <v>145</v>
      </c>
      <c r="D289" s="190">
        <v>8585</v>
      </c>
      <c r="E289" s="192">
        <v>6346</v>
      </c>
      <c r="F289" s="192">
        <v>6780</v>
      </c>
      <c r="G289" s="481">
        <v>160</v>
      </c>
      <c r="H289" s="19"/>
      <c r="I289" s="19"/>
      <c r="M289" s="19"/>
    </row>
    <row r="290" spans="1:13">
      <c r="A290" s="479">
        <v>8268</v>
      </c>
      <c r="B290" s="19" t="s">
        <v>1964</v>
      </c>
      <c r="C290" t="s">
        <v>145</v>
      </c>
      <c r="D290" s="190">
        <v>8268</v>
      </c>
      <c r="E290" s="192">
        <v>8074</v>
      </c>
      <c r="F290" s="192">
        <v>8282</v>
      </c>
      <c r="G290" s="481">
        <v>252</v>
      </c>
      <c r="H290" s="19"/>
      <c r="I290" s="19"/>
      <c r="M290" s="19"/>
    </row>
    <row r="291" spans="1:13">
      <c r="A291" s="479">
        <v>9553</v>
      </c>
      <c r="B291" s="19" t="s">
        <v>1965</v>
      </c>
      <c r="C291" t="s">
        <v>145</v>
      </c>
      <c r="D291" s="190">
        <v>9553</v>
      </c>
      <c r="E291" s="192">
        <v>6603</v>
      </c>
      <c r="F291" s="192">
        <v>6764</v>
      </c>
      <c r="G291" s="481">
        <v>219</v>
      </c>
      <c r="H291" s="19"/>
      <c r="I291" s="19"/>
      <c r="M291" s="19"/>
    </row>
    <row r="292" spans="1:13">
      <c r="A292" s="479">
        <v>9506</v>
      </c>
      <c r="B292" s="19" t="s">
        <v>1966</v>
      </c>
      <c r="C292" t="s">
        <v>145</v>
      </c>
      <c r="D292" s="190">
        <v>9506</v>
      </c>
      <c r="E292" s="192">
        <v>5661</v>
      </c>
      <c r="F292" s="192">
        <v>6672</v>
      </c>
      <c r="G292" s="481">
        <v>215</v>
      </c>
      <c r="H292" s="19"/>
      <c r="I292" s="19"/>
      <c r="M292" s="19"/>
    </row>
    <row r="293" spans="1:13">
      <c r="A293" s="479">
        <v>9507</v>
      </c>
      <c r="B293" s="19" t="s">
        <v>1967</v>
      </c>
      <c r="C293" t="s">
        <v>145</v>
      </c>
      <c r="D293" s="190">
        <v>9507</v>
      </c>
      <c r="E293" s="192">
        <v>6579</v>
      </c>
      <c r="F293" s="192">
        <v>7623</v>
      </c>
      <c r="G293" s="481">
        <v>194</v>
      </c>
      <c r="H293" s="19"/>
      <c r="I293" s="19"/>
      <c r="M293" s="19"/>
    </row>
    <row r="294" spans="1:13">
      <c r="A294" s="479">
        <v>8580</v>
      </c>
      <c r="B294" s="19" t="s">
        <v>1968</v>
      </c>
      <c r="C294" t="s">
        <v>145</v>
      </c>
      <c r="D294" s="190">
        <v>8580</v>
      </c>
      <c r="E294" s="192">
        <v>6032</v>
      </c>
      <c r="F294" s="192">
        <v>6580</v>
      </c>
      <c r="G294" s="481">
        <v>189</v>
      </c>
      <c r="H294" s="19"/>
      <c r="I294" s="19"/>
      <c r="M294" s="19"/>
    </row>
    <row r="295" spans="1:13">
      <c r="A295" s="479">
        <v>9514</v>
      </c>
      <c r="B295" s="19" t="s">
        <v>1969</v>
      </c>
      <c r="C295" t="s">
        <v>145</v>
      </c>
      <c r="D295" s="190">
        <v>9514</v>
      </c>
      <c r="E295" s="192">
        <v>6545</v>
      </c>
      <c r="F295" s="192">
        <v>7513</v>
      </c>
      <c r="G295" s="481">
        <v>160</v>
      </c>
      <c r="H295" s="19"/>
      <c r="I295" s="19"/>
      <c r="M295" s="19"/>
    </row>
    <row r="296" spans="1:13">
      <c r="A296" s="479">
        <v>8553</v>
      </c>
      <c r="B296" s="19" t="s">
        <v>1970</v>
      </c>
      <c r="C296" t="s">
        <v>145</v>
      </c>
      <c r="D296" s="190">
        <v>8553</v>
      </c>
      <c r="E296" s="192">
        <v>7442</v>
      </c>
      <c r="F296" s="192">
        <v>6027</v>
      </c>
      <c r="G296" s="481">
        <v>258</v>
      </c>
      <c r="H296" s="19"/>
      <c r="I296" s="19"/>
      <c r="M296" s="19"/>
    </row>
    <row r="297" spans="1:13">
      <c r="A297" s="479">
        <v>8564</v>
      </c>
      <c r="B297" s="19" t="s">
        <v>1971</v>
      </c>
      <c r="C297" t="s">
        <v>145</v>
      </c>
      <c r="D297" s="190">
        <v>8564</v>
      </c>
      <c r="E297" s="192">
        <v>7429</v>
      </c>
      <c r="F297" s="192">
        <v>6677</v>
      </c>
      <c r="G297" s="481">
        <v>227</v>
      </c>
      <c r="H297" s="19"/>
      <c r="I297" s="19"/>
      <c r="M297" s="19"/>
    </row>
    <row r="298" spans="1:13">
      <c r="A298" s="479">
        <v>8535</v>
      </c>
      <c r="B298" s="19" t="s">
        <v>1972</v>
      </c>
      <c r="C298" t="s">
        <v>145</v>
      </c>
      <c r="D298" s="190">
        <v>8535</v>
      </c>
      <c r="E298" s="192">
        <v>8891</v>
      </c>
      <c r="F298" s="192">
        <v>7126</v>
      </c>
      <c r="G298" s="481">
        <v>213</v>
      </c>
      <c r="H298" s="19"/>
      <c r="I298" s="19"/>
      <c r="M298" s="19"/>
    </row>
    <row r="299" spans="1:13">
      <c r="A299" s="479">
        <v>8525</v>
      </c>
      <c r="B299" s="19" t="s">
        <v>1973</v>
      </c>
      <c r="C299" t="s">
        <v>145</v>
      </c>
      <c r="D299" s="190">
        <v>8525</v>
      </c>
      <c r="E299" s="192">
        <v>7497</v>
      </c>
      <c r="F299" s="192">
        <v>8204</v>
      </c>
      <c r="G299" s="481">
        <v>247</v>
      </c>
      <c r="H299" s="19"/>
      <c r="I299" s="19"/>
      <c r="M299" s="19"/>
    </row>
    <row r="300" spans="1:13">
      <c r="A300" s="479">
        <v>8593</v>
      </c>
      <c r="B300" s="19" t="s">
        <v>1974</v>
      </c>
      <c r="C300" t="s">
        <v>145</v>
      </c>
      <c r="D300" s="190">
        <v>8593</v>
      </c>
      <c r="E300" s="192">
        <v>7009</v>
      </c>
      <c r="F300" s="192">
        <v>7858</v>
      </c>
      <c r="G300" s="481">
        <v>213</v>
      </c>
      <c r="H300" s="19"/>
      <c r="I300" s="19"/>
      <c r="M300" s="19"/>
    </row>
    <row r="301" spans="1:13">
      <c r="A301" s="479">
        <v>8267</v>
      </c>
      <c r="B301" s="19" t="s">
        <v>1975</v>
      </c>
      <c r="C301" t="s">
        <v>145</v>
      </c>
      <c r="D301" s="190">
        <v>8267</v>
      </c>
      <c r="E301" s="192">
        <v>7748</v>
      </c>
      <c r="F301" s="192">
        <v>9390</v>
      </c>
      <c r="G301" s="481">
        <v>222</v>
      </c>
      <c r="H301" s="19"/>
      <c r="I301" s="19"/>
      <c r="M301" s="19"/>
    </row>
    <row r="302" spans="1:13">
      <c r="A302" s="479">
        <v>8577</v>
      </c>
      <c r="B302" s="19" t="s">
        <v>1976</v>
      </c>
      <c r="C302" t="s">
        <v>145</v>
      </c>
      <c r="D302" s="190">
        <v>8577</v>
      </c>
      <c r="E302" s="192">
        <v>7101</v>
      </c>
      <c r="F302" s="192">
        <v>6451</v>
      </c>
      <c r="G302" s="481">
        <v>180</v>
      </c>
      <c r="H302" s="19"/>
      <c r="I302" s="19"/>
      <c r="M302" s="19"/>
    </row>
    <row r="303" spans="1:13">
      <c r="A303" s="479">
        <v>8553</v>
      </c>
      <c r="B303" s="19" t="s">
        <v>1977</v>
      </c>
      <c r="C303" t="s">
        <v>145</v>
      </c>
      <c r="D303" s="190">
        <v>8553</v>
      </c>
      <c r="E303" s="192">
        <v>6711</v>
      </c>
      <c r="F303" s="192">
        <v>7087</v>
      </c>
      <c r="G303" s="481">
        <v>183</v>
      </c>
      <c r="H303" s="19"/>
      <c r="I303" s="19"/>
      <c r="M303" s="19"/>
    </row>
    <row r="304" spans="1:13">
      <c r="A304" s="479">
        <v>9502</v>
      </c>
      <c r="B304" s="19" t="s">
        <v>1978</v>
      </c>
      <c r="C304" t="s">
        <v>145</v>
      </c>
      <c r="D304" s="190">
        <v>9502</v>
      </c>
      <c r="E304" s="192">
        <v>4938</v>
      </c>
      <c r="F304" s="192">
        <v>7795</v>
      </c>
      <c r="G304" s="481">
        <v>201</v>
      </c>
      <c r="H304" s="19"/>
      <c r="I304" s="19"/>
      <c r="M304" s="19"/>
    </row>
    <row r="305" spans="1:13">
      <c r="A305" s="479">
        <v>8582</v>
      </c>
      <c r="B305" s="19" t="s">
        <v>1979</v>
      </c>
      <c r="C305" t="s">
        <v>145</v>
      </c>
      <c r="D305" s="190">
        <v>8582</v>
      </c>
      <c r="E305" s="192">
        <v>6090</v>
      </c>
      <c r="F305" s="192">
        <v>6339</v>
      </c>
      <c r="G305" s="481">
        <v>240</v>
      </c>
      <c r="H305" s="19"/>
      <c r="I305" s="19"/>
      <c r="M305" s="19"/>
    </row>
    <row r="306" spans="1:13">
      <c r="A306" s="479">
        <v>8265</v>
      </c>
      <c r="B306" s="19" t="s">
        <v>1980</v>
      </c>
      <c r="C306" t="s">
        <v>145</v>
      </c>
      <c r="D306" s="190">
        <v>8265</v>
      </c>
      <c r="E306" s="192">
        <v>8755</v>
      </c>
      <c r="F306" s="192">
        <v>7771</v>
      </c>
      <c r="G306" s="481">
        <v>204</v>
      </c>
      <c r="H306" s="19"/>
      <c r="I306" s="19"/>
      <c r="M306" s="19"/>
    </row>
    <row r="307" spans="1:13">
      <c r="A307" s="479">
        <v>9216</v>
      </c>
      <c r="B307" s="19" t="s">
        <v>1981</v>
      </c>
      <c r="C307" t="s">
        <v>145</v>
      </c>
      <c r="D307" s="190">
        <v>9216</v>
      </c>
      <c r="E307" s="192">
        <v>6659</v>
      </c>
      <c r="F307" s="192">
        <v>5488</v>
      </c>
      <c r="G307" s="481">
        <v>208</v>
      </c>
      <c r="H307" s="19"/>
      <c r="I307" s="19"/>
      <c r="M307" s="19"/>
    </row>
    <row r="308" spans="1:13">
      <c r="A308" s="479">
        <v>8580</v>
      </c>
      <c r="B308" s="19" t="s">
        <v>1982</v>
      </c>
      <c r="C308" t="s">
        <v>145</v>
      </c>
      <c r="D308" s="190">
        <v>8580</v>
      </c>
      <c r="E308" s="192">
        <v>6547</v>
      </c>
      <c r="F308" s="192">
        <v>5467</v>
      </c>
      <c r="G308" s="481">
        <v>196</v>
      </c>
      <c r="H308" s="19"/>
      <c r="I308" s="19"/>
      <c r="M308" s="19"/>
    </row>
    <row r="309" spans="1:13">
      <c r="A309" s="479">
        <v>8564</v>
      </c>
      <c r="B309" s="19" t="s">
        <v>1983</v>
      </c>
      <c r="C309" t="s">
        <v>145</v>
      </c>
      <c r="D309" s="190">
        <v>8564</v>
      </c>
      <c r="E309" s="192">
        <v>7595</v>
      </c>
      <c r="F309" s="192">
        <v>7218</v>
      </c>
      <c r="G309" s="481">
        <v>150</v>
      </c>
      <c r="H309" s="19"/>
      <c r="I309" s="19"/>
      <c r="M309" s="19"/>
    </row>
    <row r="310" spans="1:13">
      <c r="A310" s="479">
        <v>8274</v>
      </c>
      <c r="B310" s="19" t="s">
        <v>1984</v>
      </c>
      <c r="C310" t="s">
        <v>145</v>
      </c>
      <c r="D310" s="190">
        <v>8274</v>
      </c>
      <c r="E310" s="192">
        <v>7788</v>
      </c>
      <c r="F310" s="192">
        <v>9716</v>
      </c>
      <c r="G310" s="481">
        <v>248</v>
      </c>
      <c r="H310" s="19"/>
      <c r="I310" s="19"/>
      <c r="M310" s="19"/>
    </row>
    <row r="311" spans="1:13">
      <c r="A311" s="479">
        <v>6460</v>
      </c>
      <c r="B311" s="19" t="s">
        <v>1985</v>
      </c>
      <c r="C311" t="s">
        <v>150</v>
      </c>
      <c r="D311" s="190">
        <v>6460</v>
      </c>
      <c r="E311" s="192">
        <v>7482</v>
      </c>
      <c r="F311" s="192">
        <v>6947</v>
      </c>
      <c r="G311" s="481">
        <v>229</v>
      </c>
      <c r="H311" s="19"/>
      <c r="I311" s="19"/>
      <c r="M311" s="19"/>
    </row>
    <row r="312" spans="1:13">
      <c r="A312" s="479">
        <v>6467</v>
      </c>
      <c r="B312" s="19" t="s">
        <v>1986</v>
      </c>
      <c r="C312" t="s">
        <v>150</v>
      </c>
      <c r="D312" s="190">
        <v>6467</v>
      </c>
      <c r="E312" s="192">
        <v>6697</v>
      </c>
      <c r="F312" s="192">
        <v>6728</v>
      </c>
      <c r="G312" s="481">
        <v>211</v>
      </c>
      <c r="H312" s="19"/>
      <c r="I312" s="19"/>
      <c r="M312" s="19"/>
    </row>
    <row r="313" spans="1:13">
      <c r="A313" s="479">
        <v>6463</v>
      </c>
      <c r="B313" s="19" t="s">
        <v>1987</v>
      </c>
      <c r="C313" t="s">
        <v>150</v>
      </c>
      <c r="D313" s="190">
        <v>6463</v>
      </c>
      <c r="E313" s="192">
        <v>7181</v>
      </c>
      <c r="F313" s="192">
        <v>7261</v>
      </c>
      <c r="G313" s="481">
        <v>230</v>
      </c>
      <c r="H313" s="19"/>
      <c r="I313" s="19"/>
      <c r="M313" s="19"/>
    </row>
    <row r="314" spans="1:13">
      <c r="A314" s="479">
        <v>6472</v>
      </c>
      <c r="B314" s="19" t="s">
        <v>1988</v>
      </c>
      <c r="C314" t="s">
        <v>150</v>
      </c>
      <c r="D314" s="190">
        <v>6472</v>
      </c>
      <c r="E314" s="192">
        <v>5657</v>
      </c>
      <c r="F314" s="192">
        <v>5161</v>
      </c>
      <c r="G314" s="481">
        <v>208</v>
      </c>
      <c r="H314" s="19"/>
      <c r="I314" s="19"/>
      <c r="M314" s="19"/>
    </row>
    <row r="315" spans="1:13">
      <c r="A315" s="479">
        <v>6473</v>
      </c>
      <c r="B315" s="19" t="s">
        <v>1989</v>
      </c>
      <c r="C315" t="s">
        <v>150</v>
      </c>
      <c r="D315" s="190">
        <v>6473</v>
      </c>
      <c r="E315" s="192">
        <v>5934</v>
      </c>
      <c r="F315" s="192">
        <v>5760</v>
      </c>
      <c r="G315" s="481">
        <v>171</v>
      </c>
      <c r="H315" s="19"/>
      <c r="I315" s="19"/>
      <c r="M315" s="19"/>
    </row>
    <row r="316" spans="1:13">
      <c r="A316" s="479">
        <v>6454</v>
      </c>
      <c r="B316" s="19" t="s">
        <v>1990</v>
      </c>
      <c r="C316" t="s">
        <v>150</v>
      </c>
      <c r="D316" s="190">
        <v>6454</v>
      </c>
      <c r="E316" s="192">
        <v>6857</v>
      </c>
      <c r="F316" s="192">
        <v>9239</v>
      </c>
      <c r="G316" s="481">
        <v>189</v>
      </c>
      <c r="H316" s="19"/>
      <c r="I316" s="19"/>
      <c r="M316" s="19"/>
    </row>
    <row r="317" spans="1:13">
      <c r="A317" s="479">
        <v>6462</v>
      </c>
      <c r="B317" s="19" t="s">
        <v>1991</v>
      </c>
      <c r="C317" t="s">
        <v>150</v>
      </c>
      <c r="D317" s="190">
        <v>6462</v>
      </c>
      <c r="E317" s="192">
        <v>8528</v>
      </c>
      <c r="F317" s="192">
        <v>5977</v>
      </c>
      <c r="G317" s="481">
        <v>282</v>
      </c>
      <c r="H317" s="19"/>
      <c r="I317" s="19"/>
      <c r="M317" s="19"/>
    </row>
    <row r="318" spans="1:13">
      <c r="A318" s="479">
        <v>6468</v>
      </c>
      <c r="B318" s="19" t="s">
        <v>1992</v>
      </c>
      <c r="C318" t="s">
        <v>150</v>
      </c>
      <c r="D318" s="190">
        <v>6468</v>
      </c>
      <c r="E318" s="192">
        <v>7760</v>
      </c>
      <c r="F318" s="192">
        <v>7197</v>
      </c>
      <c r="G318" s="481">
        <v>312</v>
      </c>
      <c r="H318" s="19"/>
      <c r="I318" s="19"/>
      <c r="M318" s="19"/>
    </row>
    <row r="319" spans="1:13">
      <c r="A319" s="479">
        <v>6490</v>
      </c>
      <c r="B319" s="19" t="s">
        <v>1993</v>
      </c>
      <c r="C319" t="s">
        <v>150</v>
      </c>
      <c r="D319" s="190">
        <v>6490</v>
      </c>
      <c r="E319" s="192">
        <v>18213</v>
      </c>
      <c r="F319" s="192">
        <v>18040</v>
      </c>
      <c r="G319" s="481">
        <v>332</v>
      </c>
      <c r="H319" s="19"/>
      <c r="I319" s="19"/>
      <c r="M319" s="19"/>
    </row>
    <row r="320" spans="1:13">
      <c r="A320" s="479">
        <v>6440</v>
      </c>
      <c r="B320" s="19" t="s">
        <v>1994</v>
      </c>
      <c r="C320" t="s">
        <v>150</v>
      </c>
      <c r="D320" s="190">
        <v>6440</v>
      </c>
      <c r="E320" s="192">
        <v>6060</v>
      </c>
      <c r="F320" s="192">
        <v>5596</v>
      </c>
      <c r="G320" s="481">
        <v>146</v>
      </c>
      <c r="H320" s="19"/>
      <c r="I320" s="19"/>
      <c r="M320" s="19"/>
    </row>
    <row r="321" spans="1:13">
      <c r="A321" s="479">
        <v>6465</v>
      </c>
      <c r="B321" s="19" t="s">
        <v>1995</v>
      </c>
      <c r="C321" t="s">
        <v>150</v>
      </c>
      <c r="D321" s="190">
        <v>6465</v>
      </c>
      <c r="E321" s="192">
        <v>4789</v>
      </c>
      <c r="F321" s="192">
        <v>4291</v>
      </c>
      <c r="G321" s="481">
        <v>231</v>
      </c>
      <c r="H321" s="19"/>
      <c r="I321" s="19"/>
      <c r="M321" s="19"/>
    </row>
    <row r="322" spans="1:13">
      <c r="A322" s="479">
        <v>6377</v>
      </c>
      <c r="B322" s="19" t="s">
        <v>1996</v>
      </c>
      <c r="C322" t="s">
        <v>150</v>
      </c>
      <c r="D322" s="190">
        <v>6377</v>
      </c>
      <c r="E322" s="192">
        <v>7872</v>
      </c>
      <c r="F322" s="192">
        <v>8833</v>
      </c>
      <c r="G322" s="481">
        <v>277</v>
      </c>
      <c r="H322" s="19"/>
      <c r="I322" s="19"/>
      <c r="M322" s="19"/>
    </row>
    <row r="323" spans="1:13">
      <c r="A323" s="479">
        <v>6482</v>
      </c>
      <c r="B323" s="19" t="s">
        <v>1997</v>
      </c>
      <c r="C323" t="s">
        <v>150</v>
      </c>
      <c r="D323" s="190">
        <v>6482</v>
      </c>
      <c r="E323" s="192">
        <v>4212</v>
      </c>
      <c r="F323" s="192">
        <v>5474</v>
      </c>
      <c r="G323" s="481">
        <v>343</v>
      </c>
      <c r="H323" s="19"/>
      <c r="I323" s="19"/>
      <c r="M323" s="19"/>
    </row>
    <row r="324" spans="1:13">
      <c r="A324" s="479">
        <v>6476</v>
      </c>
      <c r="B324" s="19" t="s">
        <v>1998</v>
      </c>
      <c r="C324" t="s">
        <v>150</v>
      </c>
      <c r="D324" s="190">
        <v>6476</v>
      </c>
      <c r="E324" s="192">
        <v>9300</v>
      </c>
      <c r="F324" s="192">
        <v>5484</v>
      </c>
      <c r="G324" s="481">
        <v>231</v>
      </c>
      <c r="H324" s="19"/>
      <c r="I324" s="19"/>
      <c r="M324" s="19"/>
    </row>
    <row r="325" spans="1:13">
      <c r="A325" s="479">
        <v>6487</v>
      </c>
      <c r="B325" s="19" t="s">
        <v>1999</v>
      </c>
      <c r="C325" t="s">
        <v>150</v>
      </c>
      <c r="D325" s="190">
        <v>6487</v>
      </c>
      <c r="E325" s="192">
        <v>5333</v>
      </c>
      <c r="F325" s="192">
        <v>10219</v>
      </c>
      <c r="G325" s="481">
        <v>244</v>
      </c>
      <c r="H325" s="19"/>
      <c r="I325" s="19"/>
      <c r="M325" s="19"/>
    </row>
    <row r="326" spans="1:13">
      <c r="A326" s="479">
        <v>6484</v>
      </c>
      <c r="B326" s="19" t="s">
        <v>2000</v>
      </c>
      <c r="C326" t="s">
        <v>150</v>
      </c>
      <c r="D326" s="190">
        <v>6484</v>
      </c>
      <c r="E326" s="192">
        <v>9769</v>
      </c>
      <c r="F326" s="192">
        <v>5870</v>
      </c>
      <c r="G326" s="481">
        <v>313</v>
      </c>
      <c r="H326" s="19"/>
      <c r="I326" s="19"/>
      <c r="M326" s="19"/>
    </row>
    <row r="327" spans="1:13">
      <c r="A327" s="479">
        <v>6452</v>
      </c>
      <c r="B327" s="19" t="s">
        <v>2001</v>
      </c>
      <c r="C327" t="s">
        <v>150</v>
      </c>
      <c r="D327" s="190">
        <v>6452</v>
      </c>
      <c r="E327" s="192">
        <v>8470</v>
      </c>
      <c r="F327" s="192">
        <v>6489</v>
      </c>
      <c r="G327" s="481">
        <v>263</v>
      </c>
      <c r="H327" s="19"/>
      <c r="I327" s="19"/>
      <c r="M327" s="19"/>
    </row>
    <row r="328" spans="1:13">
      <c r="A328" s="479">
        <v>6493</v>
      </c>
      <c r="B328" s="19" t="s">
        <v>2002</v>
      </c>
      <c r="C328" t="s">
        <v>150</v>
      </c>
      <c r="D328" s="190">
        <v>6493</v>
      </c>
      <c r="E328" s="192">
        <v>17715</v>
      </c>
      <c r="F328" s="192">
        <v>13833</v>
      </c>
      <c r="G328" s="481">
        <v>275</v>
      </c>
      <c r="H328" s="19"/>
      <c r="I328" s="19"/>
      <c r="M328" s="19"/>
    </row>
    <row r="329" spans="1:13">
      <c r="A329" s="479">
        <v>6466</v>
      </c>
      <c r="B329" s="19" t="s">
        <v>2003</v>
      </c>
      <c r="C329" t="s">
        <v>150</v>
      </c>
      <c r="D329" s="190">
        <v>6466</v>
      </c>
      <c r="E329" s="192">
        <v>8743</v>
      </c>
      <c r="F329" s="192">
        <v>7236</v>
      </c>
      <c r="G329" s="481">
        <v>231</v>
      </c>
      <c r="H329" s="19"/>
      <c r="I329" s="19"/>
      <c r="M329" s="19"/>
    </row>
    <row r="330" spans="1:13">
      <c r="A330" s="479">
        <v>6491</v>
      </c>
      <c r="B330" s="19" t="s">
        <v>2004</v>
      </c>
      <c r="C330" t="s">
        <v>150</v>
      </c>
      <c r="D330" s="190">
        <v>6491</v>
      </c>
      <c r="E330" s="192">
        <v>9373</v>
      </c>
      <c r="F330" s="192">
        <v>7484</v>
      </c>
      <c r="G330" s="481">
        <v>426</v>
      </c>
      <c r="H330" s="19"/>
      <c r="I330" s="19"/>
      <c r="M330" s="19"/>
    </row>
    <row r="331" spans="1:13">
      <c r="A331" s="479">
        <v>6370</v>
      </c>
      <c r="B331" s="19" t="s">
        <v>2005</v>
      </c>
      <c r="C331" t="s">
        <v>147</v>
      </c>
      <c r="D331" s="190">
        <v>6370</v>
      </c>
      <c r="E331" s="192">
        <v>9895</v>
      </c>
      <c r="F331" s="192">
        <v>10742</v>
      </c>
      <c r="G331" s="481">
        <v>263</v>
      </c>
      <c r="H331" s="19"/>
      <c r="I331" s="19"/>
      <c r="M331" s="19"/>
    </row>
    <row r="332" spans="1:13">
      <c r="A332" s="479">
        <v>6052</v>
      </c>
      <c r="B332" s="19" t="s">
        <v>2006</v>
      </c>
      <c r="C332" t="s">
        <v>147</v>
      </c>
      <c r="D332" s="190">
        <v>6052</v>
      </c>
      <c r="E332" s="192">
        <v>13170</v>
      </c>
      <c r="F332" s="192">
        <v>14590</v>
      </c>
      <c r="G332" s="481">
        <v>300</v>
      </c>
      <c r="H332" s="19"/>
      <c r="I332" s="19"/>
      <c r="M332" s="19"/>
    </row>
    <row r="333" spans="1:13">
      <c r="A333" s="479">
        <v>6374</v>
      </c>
      <c r="B333" s="19" t="s">
        <v>2007</v>
      </c>
      <c r="C333" t="s">
        <v>147</v>
      </c>
      <c r="D333" s="190">
        <v>6374</v>
      </c>
      <c r="E333" s="192">
        <v>10413</v>
      </c>
      <c r="F333" s="192">
        <v>8801</v>
      </c>
      <c r="G333" s="481">
        <v>262</v>
      </c>
      <c r="H333" s="19"/>
      <c r="I333" s="19"/>
      <c r="M333" s="19"/>
    </row>
    <row r="334" spans="1:13">
      <c r="A334" s="479">
        <v>6373</v>
      </c>
      <c r="B334" s="19" t="s">
        <v>2008</v>
      </c>
      <c r="C334" t="s">
        <v>147</v>
      </c>
      <c r="D334" s="190">
        <v>6373</v>
      </c>
      <c r="E334" s="192">
        <v>12024</v>
      </c>
      <c r="F334" s="192">
        <v>10496</v>
      </c>
      <c r="G334" s="481">
        <v>284</v>
      </c>
      <c r="H334" s="19"/>
      <c r="I334" s="19"/>
      <c r="M334" s="19"/>
    </row>
    <row r="335" spans="1:13">
      <c r="A335" s="479">
        <v>6362</v>
      </c>
      <c r="B335" s="19" t="s">
        <v>2009</v>
      </c>
      <c r="C335" t="s">
        <v>147</v>
      </c>
      <c r="D335" s="190">
        <v>6362</v>
      </c>
      <c r="E335" s="192">
        <v>11318</v>
      </c>
      <c r="F335" s="192">
        <v>13398</v>
      </c>
      <c r="G335" s="481">
        <v>277</v>
      </c>
      <c r="H335" s="19"/>
      <c r="I335" s="19"/>
      <c r="M335" s="19"/>
    </row>
    <row r="336" spans="1:13">
      <c r="A336" s="479">
        <v>6375</v>
      </c>
      <c r="B336" s="19" t="s">
        <v>2010</v>
      </c>
      <c r="C336" t="s">
        <v>147</v>
      </c>
      <c r="D336" s="190">
        <v>6375</v>
      </c>
      <c r="E336" s="192">
        <v>11271</v>
      </c>
      <c r="F336" s="192">
        <v>18163</v>
      </c>
      <c r="G336" s="481">
        <v>288</v>
      </c>
      <c r="H336" s="19"/>
      <c r="I336" s="19"/>
      <c r="M336" s="19"/>
    </row>
    <row r="337" spans="1:31">
      <c r="A337" s="479">
        <v>6370</v>
      </c>
      <c r="B337" s="19" t="s">
        <v>2011</v>
      </c>
      <c r="C337" t="s">
        <v>147</v>
      </c>
      <c r="D337" s="190">
        <v>6370</v>
      </c>
      <c r="E337" s="192">
        <v>9225</v>
      </c>
      <c r="F337" s="192">
        <v>7088</v>
      </c>
      <c r="G337" s="481">
        <v>270</v>
      </c>
      <c r="H337" s="19"/>
      <c r="I337" s="19"/>
      <c r="M337" s="19"/>
    </row>
    <row r="338" spans="1:31">
      <c r="A338" s="479">
        <v>6372</v>
      </c>
      <c r="B338" s="19" t="s">
        <v>2012</v>
      </c>
      <c r="C338" t="s">
        <v>147</v>
      </c>
      <c r="D338" s="190">
        <v>6372</v>
      </c>
      <c r="E338" s="192">
        <v>11042</v>
      </c>
      <c r="F338" s="192">
        <v>9862</v>
      </c>
      <c r="G338" s="481">
        <v>271</v>
      </c>
      <c r="H338" s="19"/>
      <c r="I338" s="19"/>
      <c r="M338" s="19"/>
    </row>
    <row r="339" spans="1:31">
      <c r="A339" s="479">
        <v>6386</v>
      </c>
      <c r="B339" s="19" t="s">
        <v>2013</v>
      </c>
      <c r="C339" t="s">
        <v>147</v>
      </c>
      <c r="D339" s="190">
        <v>6386</v>
      </c>
      <c r="E339" s="192">
        <v>8822</v>
      </c>
      <c r="F339" s="192">
        <v>7568</v>
      </c>
      <c r="G339" s="481">
        <v>201</v>
      </c>
      <c r="H339" s="19"/>
      <c r="I339" s="19"/>
      <c r="M339" s="19"/>
    </row>
    <row r="340" spans="1:31">
      <c r="A340" s="479">
        <v>6383</v>
      </c>
      <c r="B340" s="19" t="s">
        <v>2014</v>
      </c>
      <c r="C340" t="s">
        <v>147</v>
      </c>
      <c r="D340" s="190">
        <v>6383</v>
      </c>
      <c r="E340" s="192">
        <v>7990</v>
      </c>
      <c r="F340" s="192">
        <v>7006</v>
      </c>
      <c r="G340" s="481">
        <v>253</v>
      </c>
      <c r="H340" s="19"/>
      <c r="I340" s="19"/>
      <c r="M340" s="19"/>
    </row>
    <row r="341" spans="1:31">
      <c r="A341" s="479">
        <v>6376</v>
      </c>
      <c r="B341" s="19" t="s">
        <v>2015</v>
      </c>
      <c r="C341" t="s">
        <v>147</v>
      </c>
      <c r="D341" s="190">
        <v>6376</v>
      </c>
      <c r="E341" s="192">
        <v>8743</v>
      </c>
      <c r="F341" s="192">
        <v>12116</v>
      </c>
      <c r="G341" s="481">
        <v>234</v>
      </c>
      <c r="H341" s="19"/>
      <c r="I341" s="19"/>
      <c r="M341" s="19"/>
    </row>
    <row r="342" spans="1:31">
      <c r="A342" s="479">
        <v>6060</v>
      </c>
      <c r="B342" s="19" t="s">
        <v>2016</v>
      </c>
      <c r="C342" t="s">
        <v>148</v>
      </c>
      <c r="D342" s="190">
        <v>6060</v>
      </c>
      <c r="E342" s="192">
        <v>9296</v>
      </c>
      <c r="F342" s="192">
        <v>9553</v>
      </c>
      <c r="G342" s="481">
        <v>245</v>
      </c>
      <c r="H342" s="19"/>
      <c r="I342" s="19"/>
      <c r="M342" s="19"/>
    </row>
    <row r="343" spans="1:31">
      <c r="A343" s="479">
        <v>6064</v>
      </c>
      <c r="B343" s="19" t="s">
        <v>2018</v>
      </c>
      <c r="C343" t="s">
        <v>148</v>
      </c>
      <c r="D343" s="190">
        <v>6064</v>
      </c>
      <c r="E343" s="192">
        <v>7488</v>
      </c>
      <c r="F343" s="192">
        <v>8323</v>
      </c>
      <c r="G343" s="481">
        <v>226</v>
      </c>
      <c r="H343" s="19"/>
      <c r="I343" s="19"/>
      <c r="M343" s="19"/>
    </row>
    <row r="344" spans="1:31">
      <c r="A344" s="479">
        <v>6055</v>
      </c>
      <c r="B344" s="19" t="s">
        <v>2019</v>
      </c>
      <c r="C344" t="s">
        <v>148</v>
      </c>
      <c r="D344" s="190">
        <v>6055</v>
      </c>
      <c r="E344" s="192">
        <v>7973</v>
      </c>
      <c r="F344" s="192">
        <v>8221</v>
      </c>
      <c r="G344" s="481">
        <v>250</v>
      </c>
      <c r="H344" s="19"/>
      <c r="I344" s="19"/>
      <c r="M344" s="19"/>
    </row>
    <row r="345" spans="1:31">
      <c r="A345" s="479">
        <v>6072</v>
      </c>
      <c r="B345" s="19" t="s">
        <v>2020</v>
      </c>
      <c r="C345" t="s">
        <v>148</v>
      </c>
      <c r="D345" s="190">
        <v>6072</v>
      </c>
      <c r="E345" s="192">
        <v>5804</v>
      </c>
      <c r="F345" s="192">
        <v>3792</v>
      </c>
      <c r="G345" s="481">
        <v>245</v>
      </c>
      <c r="H345" s="19"/>
      <c r="I345" s="19"/>
      <c r="M345" s="19"/>
    </row>
    <row r="346" spans="1:31">
      <c r="A346" s="479">
        <v>6390</v>
      </c>
      <c r="B346" s="19" t="s">
        <v>2021</v>
      </c>
      <c r="C346" t="s">
        <v>148</v>
      </c>
      <c r="D346" s="190">
        <v>6390</v>
      </c>
      <c r="E346" s="192">
        <v>10653</v>
      </c>
      <c r="F346" s="192">
        <v>10028</v>
      </c>
      <c r="G346" s="481">
        <v>333</v>
      </c>
      <c r="H346" s="19"/>
      <c r="I346" s="19"/>
      <c r="M346" s="19"/>
    </row>
    <row r="347" spans="1:31">
      <c r="A347" s="479">
        <v>6074</v>
      </c>
      <c r="B347" s="19" t="s">
        <v>2022</v>
      </c>
      <c r="C347" t="s">
        <v>148</v>
      </c>
      <c r="D347" s="190">
        <v>6074</v>
      </c>
      <c r="E347" s="192">
        <v>6355</v>
      </c>
      <c r="F347" s="192">
        <v>8381</v>
      </c>
      <c r="G347" s="481">
        <v>219</v>
      </c>
      <c r="H347" s="19"/>
      <c r="I347" s="19"/>
      <c r="M347" s="19"/>
    </row>
    <row r="348" spans="1:31">
      <c r="A348" s="479">
        <v>6078</v>
      </c>
      <c r="B348" s="19" t="s">
        <v>2023</v>
      </c>
      <c r="C348" t="s">
        <v>148</v>
      </c>
      <c r="D348" s="190">
        <v>6078</v>
      </c>
      <c r="E348" s="192">
        <v>6554</v>
      </c>
      <c r="F348" s="192">
        <v>5453</v>
      </c>
      <c r="G348" s="481">
        <v>194</v>
      </c>
      <c r="H348" s="19"/>
      <c r="I348" s="19"/>
      <c r="M348" s="19"/>
    </row>
    <row r="349" spans="1:31">
      <c r="A349" s="482" t="s">
        <v>189</v>
      </c>
      <c r="B349" s="19" t="s">
        <v>2024</v>
      </c>
      <c r="C349" t="s">
        <v>157</v>
      </c>
      <c r="D349" s="19" t="s">
        <v>189</v>
      </c>
      <c r="E349" s="192">
        <v>6081</v>
      </c>
      <c r="F349" s="192">
        <v>6102</v>
      </c>
      <c r="G349" s="481">
        <v>240</v>
      </c>
      <c r="H349" s="19"/>
      <c r="I349" s="19"/>
      <c r="M349" s="19"/>
    </row>
    <row r="350" spans="1:31">
      <c r="A350" s="479">
        <v>2540</v>
      </c>
      <c r="B350" s="19" t="s">
        <v>2026</v>
      </c>
      <c r="C350" t="s">
        <v>157</v>
      </c>
      <c r="D350" s="190">
        <v>2540</v>
      </c>
      <c r="E350" s="192">
        <v>5926</v>
      </c>
      <c r="F350" s="192">
        <v>5530</v>
      </c>
      <c r="G350" s="481">
        <v>213</v>
      </c>
      <c r="H350" s="19"/>
      <c r="I350" s="19"/>
      <c r="M350" s="19"/>
    </row>
    <row r="351" spans="1:31">
      <c r="A351" s="479">
        <v>4500</v>
      </c>
      <c r="B351" s="19" t="s">
        <v>169</v>
      </c>
      <c r="C351" t="s">
        <v>157</v>
      </c>
      <c r="D351" s="190">
        <v>4500</v>
      </c>
      <c r="E351" s="192">
        <v>6550</v>
      </c>
      <c r="F351" s="192">
        <v>6451</v>
      </c>
      <c r="G351" s="481">
        <v>243</v>
      </c>
      <c r="H351" s="19"/>
      <c r="I351" s="19"/>
      <c r="M351" s="19"/>
    </row>
    <row r="352" spans="1:31">
      <c r="A352" s="479">
        <v>4528</v>
      </c>
      <c r="B352" s="19" t="s">
        <v>2027</v>
      </c>
      <c r="C352" t="s">
        <v>157</v>
      </c>
      <c r="D352" s="190">
        <v>4528</v>
      </c>
      <c r="E352" s="192">
        <v>6309</v>
      </c>
      <c r="F352" s="192">
        <v>5579</v>
      </c>
      <c r="G352" s="481">
        <v>232</v>
      </c>
      <c r="H352" s="19"/>
      <c r="I352" s="19"/>
      <c r="M352" s="19"/>
      <c r="AD352" s="193"/>
      <c r="AE352" s="193"/>
    </row>
    <row r="353" spans="1:33">
      <c r="A353" s="479">
        <v>4562</v>
      </c>
      <c r="B353" s="19" t="s">
        <v>2028</v>
      </c>
      <c r="C353" t="s">
        <v>157</v>
      </c>
      <c r="D353" s="190">
        <v>4562</v>
      </c>
      <c r="E353" s="192">
        <v>5923</v>
      </c>
      <c r="F353" s="192">
        <v>6015</v>
      </c>
      <c r="G353" s="481">
        <v>223</v>
      </c>
      <c r="H353" s="19"/>
      <c r="I353" s="19"/>
      <c r="M353" s="19"/>
      <c r="AD353" s="193"/>
      <c r="AE353" s="193"/>
    </row>
    <row r="354" spans="1:33">
      <c r="A354" s="479">
        <v>4143</v>
      </c>
      <c r="B354" s="19" t="s">
        <v>2029</v>
      </c>
      <c r="C354" t="s">
        <v>157</v>
      </c>
      <c r="D354" s="190">
        <v>4143</v>
      </c>
      <c r="E354" s="192">
        <v>8676</v>
      </c>
      <c r="F354" s="192">
        <v>8673</v>
      </c>
      <c r="G354" s="481">
        <v>257</v>
      </c>
      <c r="H354" s="19"/>
      <c r="I354" s="19"/>
      <c r="M354" s="19"/>
      <c r="AD354" s="193"/>
      <c r="AE354" s="193"/>
    </row>
    <row r="355" spans="1:33">
      <c r="A355" s="479">
        <v>4632</v>
      </c>
      <c r="B355" s="19" t="s">
        <v>2030</v>
      </c>
      <c r="C355" t="s">
        <v>157</v>
      </c>
      <c r="D355" s="190">
        <v>4632</v>
      </c>
      <c r="E355" s="192">
        <v>4896</v>
      </c>
      <c r="F355" s="192">
        <v>5465</v>
      </c>
      <c r="G355" s="481">
        <v>226</v>
      </c>
      <c r="H355" s="19"/>
      <c r="I355" s="19"/>
      <c r="M355" s="19"/>
      <c r="AD355" s="193"/>
      <c r="AE355" s="193"/>
    </row>
    <row r="356" spans="1:33">
      <c r="A356" s="479">
        <v>4552</v>
      </c>
      <c r="B356" s="19" t="s">
        <v>2031</v>
      </c>
      <c r="C356" t="s">
        <v>157</v>
      </c>
      <c r="D356" s="190">
        <v>4552</v>
      </c>
      <c r="E356" s="192">
        <v>5475</v>
      </c>
      <c r="F356" s="192">
        <v>5689</v>
      </c>
      <c r="G356" s="481">
        <v>223</v>
      </c>
      <c r="H356" s="19"/>
      <c r="I356" s="19"/>
      <c r="M356" s="19"/>
      <c r="AD356" s="193"/>
      <c r="AE356" s="193"/>
    </row>
    <row r="357" spans="1:33">
      <c r="A357" s="479">
        <v>4702</v>
      </c>
      <c r="B357" s="19" t="s">
        <v>2032</v>
      </c>
      <c r="C357" t="s">
        <v>157</v>
      </c>
      <c r="D357" s="190">
        <v>4702</v>
      </c>
      <c r="E357" s="192">
        <v>5914</v>
      </c>
      <c r="F357" s="192">
        <v>6866</v>
      </c>
      <c r="G357" s="481">
        <v>225</v>
      </c>
      <c r="H357" s="19"/>
      <c r="I357" s="19"/>
      <c r="M357" s="19"/>
      <c r="AD357" s="193"/>
      <c r="AE357" s="193"/>
    </row>
    <row r="358" spans="1:33">
      <c r="A358" s="479">
        <v>4710</v>
      </c>
      <c r="B358" s="19" t="s">
        <v>2033</v>
      </c>
      <c r="C358" t="s">
        <v>157</v>
      </c>
      <c r="D358" s="190">
        <v>4710</v>
      </c>
      <c r="E358" s="192">
        <v>5082</v>
      </c>
      <c r="F358" s="192">
        <v>4883</v>
      </c>
      <c r="G358" s="481">
        <v>204</v>
      </c>
      <c r="H358" s="19"/>
      <c r="I358" s="19"/>
      <c r="M358" s="19"/>
      <c r="AD358" s="193"/>
      <c r="AE358" s="193"/>
    </row>
    <row r="359" spans="1:33">
      <c r="A359" s="479">
        <v>4512</v>
      </c>
      <c r="B359" s="19" t="s">
        <v>2034</v>
      </c>
      <c r="C359" t="s">
        <v>157</v>
      </c>
      <c r="D359" s="190">
        <v>4512</v>
      </c>
      <c r="E359" s="192">
        <v>5607</v>
      </c>
      <c r="F359" s="192">
        <v>6412</v>
      </c>
      <c r="G359" s="481">
        <v>225</v>
      </c>
      <c r="H359" s="19"/>
      <c r="I359" s="19"/>
      <c r="M359" s="19"/>
      <c r="AD359" s="193"/>
      <c r="AE359" s="193"/>
    </row>
    <row r="360" spans="1:33">
      <c r="A360" s="479">
        <v>4563</v>
      </c>
      <c r="B360" s="19" t="s">
        <v>2035</v>
      </c>
      <c r="C360" t="s">
        <v>157</v>
      </c>
      <c r="D360" s="190">
        <v>4563</v>
      </c>
      <c r="E360" s="192">
        <v>5818</v>
      </c>
      <c r="F360" s="192">
        <v>5382</v>
      </c>
      <c r="G360" s="481">
        <v>225</v>
      </c>
      <c r="H360" s="19"/>
      <c r="I360" s="19"/>
      <c r="M360" s="19"/>
      <c r="AD360" s="193"/>
      <c r="AE360" s="193"/>
    </row>
    <row r="361" spans="1:33">
      <c r="A361" s="479">
        <v>4612</v>
      </c>
      <c r="B361" s="19" t="s">
        <v>2036</v>
      </c>
      <c r="C361" t="s">
        <v>157</v>
      </c>
      <c r="D361" s="190">
        <v>4612</v>
      </c>
      <c r="E361" s="192">
        <v>5238</v>
      </c>
      <c r="F361" s="192">
        <v>5133</v>
      </c>
      <c r="G361" s="481">
        <v>208</v>
      </c>
      <c r="H361" s="19"/>
      <c r="I361" s="19"/>
      <c r="M361" s="19"/>
      <c r="AD361" s="193"/>
      <c r="AE361" s="193"/>
    </row>
    <row r="362" spans="1:33">
      <c r="A362" s="479">
        <v>4614</v>
      </c>
      <c r="B362" s="19" t="s">
        <v>2037</v>
      </c>
      <c r="C362" t="s">
        <v>157</v>
      </c>
      <c r="D362" s="190">
        <v>4614</v>
      </c>
      <c r="E362" s="192">
        <v>5682</v>
      </c>
      <c r="F362" s="192">
        <v>6316</v>
      </c>
      <c r="G362" s="481">
        <v>217</v>
      </c>
      <c r="H362" s="19"/>
      <c r="I362" s="19"/>
      <c r="M362" s="19"/>
      <c r="AD362" s="193"/>
      <c r="AE362" s="193"/>
      <c r="AF362" s="198"/>
      <c r="AG362" s="193"/>
    </row>
    <row r="363" spans="1:33">
      <c r="A363" s="479">
        <v>4657</v>
      </c>
      <c r="B363" s="19" t="s">
        <v>2038</v>
      </c>
      <c r="C363" t="s">
        <v>157</v>
      </c>
      <c r="D363" s="190">
        <v>4657</v>
      </c>
      <c r="E363" s="192">
        <v>5491</v>
      </c>
      <c r="F363" s="192">
        <v>5628</v>
      </c>
      <c r="G363" s="481">
        <v>221</v>
      </c>
      <c r="H363" s="19"/>
      <c r="I363" s="19"/>
      <c r="M363" s="19"/>
      <c r="AD363" s="193"/>
      <c r="AE363" s="193"/>
      <c r="AF363" s="198"/>
      <c r="AG363" s="193"/>
    </row>
    <row r="364" spans="1:33">
      <c r="A364" s="479">
        <v>2544</v>
      </c>
      <c r="B364" s="19" t="s">
        <v>2039</v>
      </c>
      <c r="C364" t="s">
        <v>157</v>
      </c>
      <c r="D364" s="190">
        <v>2544</v>
      </c>
      <c r="E364" s="192">
        <v>7188</v>
      </c>
      <c r="F364" s="192">
        <v>5917</v>
      </c>
      <c r="G364" s="481">
        <v>223</v>
      </c>
      <c r="H364" s="19"/>
      <c r="I364" s="19"/>
      <c r="M364" s="19"/>
      <c r="AD364" s="193"/>
      <c r="AE364" s="193"/>
      <c r="AF364" s="198"/>
      <c r="AG364" s="193"/>
    </row>
    <row r="365" spans="1:33">
      <c r="A365" s="479">
        <v>5012</v>
      </c>
      <c r="B365" s="19" t="s">
        <v>2040</v>
      </c>
      <c r="C365" t="s">
        <v>157</v>
      </c>
      <c r="D365" s="190">
        <v>5012</v>
      </c>
      <c r="E365" s="192">
        <v>5663</v>
      </c>
      <c r="F365" s="192">
        <v>5901</v>
      </c>
      <c r="G365" s="481">
        <v>214</v>
      </c>
      <c r="H365" s="19"/>
      <c r="I365" s="19"/>
      <c r="M365" s="19"/>
      <c r="AD365" s="193"/>
      <c r="AE365" s="193"/>
      <c r="AF365" s="198"/>
      <c r="AG365" s="193"/>
    </row>
    <row r="366" spans="1:33">
      <c r="A366" s="479">
        <v>4654</v>
      </c>
      <c r="B366" s="19" t="s">
        <v>2041</v>
      </c>
      <c r="C366" t="s">
        <v>157</v>
      </c>
      <c r="D366" s="190">
        <v>4654</v>
      </c>
      <c r="E366" s="192">
        <v>4673</v>
      </c>
      <c r="F366" s="192">
        <v>6093</v>
      </c>
      <c r="G366" s="481">
        <v>218</v>
      </c>
      <c r="H366" s="19"/>
      <c r="I366" s="19"/>
      <c r="M366" s="19"/>
      <c r="AD366" s="193"/>
      <c r="AE366" s="193"/>
      <c r="AF366" s="198"/>
      <c r="AG366" s="193"/>
    </row>
    <row r="367" spans="1:33">
      <c r="A367" s="479">
        <v>5013</v>
      </c>
      <c r="B367" s="19" t="s">
        <v>2042</v>
      </c>
      <c r="C367" t="s">
        <v>157</v>
      </c>
      <c r="D367" s="190">
        <v>5013</v>
      </c>
      <c r="E367" s="192">
        <v>5489</v>
      </c>
      <c r="F367" s="192">
        <v>5505</v>
      </c>
      <c r="G367" s="481">
        <v>221</v>
      </c>
      <c r="H367" s="19"/>
      <c r="I367" s="19"/>
      <c r="M367" s="19"/>
      <c r="AD367" s="193"/>
      <c r="AE367" s="193"/>
      <c r="AF367" s="198"/>
      <c r="AG367" s="193"/>
    </row>
    <row r="368" spans="1:33">
      <c r="A368" s="479">
        <v>4226</v>
      </c>
      <c r="B368" s="19" t="s">
        <v>2043</v>
      </c>
      <c r="C368" t="s">
        <v>157</v>
      </c>
      <c r="D368" s="190">
        <v>4226</v>
      </c>
      <c r="E368" s="192">
        <v>6436</v>
      </c>
      <c r="F368" s="192">
        <v>5763</v>
      </c>
      <c r="G368" s="481">
        <v>218</v>
      </c>
      <c r="H368" s="19"/>
      <c r="I368" s="19"/>
      <c r="M368" s="19"/>
      <c r="AD368" s="193"/>
      <c r="AE368" s="193"/>
      <c r="AF368" s="198"/>
      <c r="AG368" s="193"/>
    </row>
    <row r="369" spans="1:33">
      <c r="A369" s="479">
        <v>4513</v>
      </c>
      <c r="B369" s="19" t="s">
        <v>2044</v>
      </c>
      <c r="C369" t="s">
        <v>157</v>
      </c>
      <c r="D369" s="190">
        <v>4513</v>
      </c>
      <c r="E369" s="192">
        <v>6202</v>
      </c>
      <c r="F369" s="192">
        <v>6934</v>
      </c>
      <c r="G369" s="481">
        <v>228</v>
      </c>
      <c r="H369" s="19"/>
      <c r="I369" s="19"/>
      <c r="M369" s="19"/>
      <c r="AD369" s="193"/>
      <c r="AE369" s="193"/>
      <c r="AF369" s="198"/>
      <c r="AG369" s="193"/>
    </row>
    <row r="370" spans="1:33">
      <c r="A370" s="479">
        <v>5018</v>
      </c>
      <c r="B370" s="19" t="s">
        <v>2045</v>
      </c>
      <c r="C370" t="s">
        <v>157</v>
      </c>
      <c r="D370" s="190">
        <v>5018</v>
      </c>
      <c r="E370" s="483">
        <v>7032</v>
      </c>
      <c r="F370" s="192">
        <v>7306</v>
      </c>
      <c r="G370" s="481">
        <v>227</v>
      </c>
      <c r="H370" s="19"/>
      <c r="I370" s="19"/>
      <c r="M370" s="19"/>
      <c r="AD370" s="193"/>
      <c r="AE370" s="193"/>
      <c r="AF370" s="198"/>
      <c r="AG370" s="193"/>
    </row>
    <row r="371" spans="1:33">
      <c r="A371" s="479">
        <v>4622</v>
      </c>
      <c r="B371" s="19" t="s">
        <v>2046</v>
      </c>
      <c r="C371" t="s">
        <v>157</v>
      </c>
      <c r="D371" s="190">
        <v>4622</v>
      </c>
      <c r="E371" s="483">
        <v>6297</v>
      </c>
      <c r="F371" s="192">
        <v>6064</v>
      </c>
      <c r="G371" s="481">
        <v>238</v>
      </c>
      <c r="H371" s="19"/>
      <c r="I371" s="19"/>
      <c r="M371" s="19"/>
      <c r="AD371" s="193"/>
      <c r="AE371" s="193"/>
      <c r="AF371" s="198"/>
      <c r="AG371" s="193"/>
    </row>
    <row r="372" spans="1:33">
      <c r="A372" s="479">
        <v>4542</v>
      </c>
      <c r="B372" s="19" t="s">
        <v>2047</v>
      </c>
      <c r="C372" t="s">
        <v>157</v>
      </c>
      <c r="D372" s="190">
        <v>4542</v>
      </c>
      <c r="E372" s="483">
        <v>5704</v>
      </c>
      <c r="F372" s="192">
        <v>5651</v>
      </c>
      <c r="G372" s="481">
        <v>220</v>
      </c>
      <c r="H372" s="19"/>
      <c r="I372" s="19"/>
      <c r="M372" s="19"/>
      <c r="AD372" s="193"/>
      <c r="AE372" s="193"/>
      <c r="AF372" s="198"/>
      <c r="AG372" s="193"/>
    </row>
    <row r="373" spans="1:33">
      <c r="A373" s="479">
        <v>2545</v>
      </c>
      <c r="B373" s="19" t="s">
        <v>2048</v>
      </c>
      <c r="C373" t="s">
        <v>157</v>
      </c>
      <c r="D373" s="190">
        <v>2545</v>
      </c>
      <c r="E373" s="483">
        <v>5738</v>
      </c>
      <c r="F373" s="192">
        <v>5474</v>
      </c>
      <c r="G373" s="481">
        <v>223</v>
      </c>
      <c r="H373" s="19"/>
      <c r="I373" s="19"/>
      <c r="M373" s="19"/>
    </row>
    <row r="374" spans="1:33">
      <c r="A374" s="479">
        <v>4616</v>
      </c>
      <c r="B374" s="19" t="s">
        <v>2049</v>
      </c>
      <c r="C374" t="s">
        <v>157</v>
      </c>
      <c r="D374" s="190">
        <v>4616</v>
      </c>
      <c r="E374" s="483">
        <v>5945</v>
      </c>
      <c r="F374" s="192">
        <v>6479</v>
      </c>
      <c r="G374" s="481">
        <v>218</v>
      </c>
      <c r="H374" s="19"/>
      <c r="I374" s="19"/>
      <c r="M374" s="19"/>
    </row>
    <row r="375" spans="1:33">
      <c r="A375" s="479">
        <v>4553</v>
      </c>
      <c r="B375" s="19" t="s">
        <v>2050</v>
      </c>
      <c r="C375" t="s">
        <v>157</v>
      </c>
      <c r="D375" s="190">
        <v>4553</v>
      </c>
      <c r="E375" s="483">
        <v>5776</v>
      </c>
      <c r="F375" s="192">
        <v>6270</v>
      </c>
      <c r="G375" s="481">
        <v>221</v>
      </c>
      <c r="H375" s="19"/>
      <c r="I375" s="19"/>
      <c r="M375" s="19"/>
    </row>
    <row r="376" spans="1:33">
      <c r="A376" s="479">
        <v>4114</v>
      </c>
      <c r="B376" s="19" t="s">
        <v>2051</v>
      </c>
      <c r="C376" t="s">
        <v>157</v>
      </c>
      <c r="D376" s="190">
        <v>4114</v>
      </c>
      <c r="E376" s="483">
        <v>8071</v>
      </c>
      <c r="F376" s="192">
        <v>7841</v>
      </c>
      <c r="G376" s="481">
        <v>245</v>
      </c>
      <c r="H376" s="19"/>
      <c r="I376" s="19"/>
      <c r="M376" s="19"/>
    </row>
    <row r="377" spans="1:33">
      <c r="A377" s="479">
        <v>4573</v>
      </c>
      <c r="B377" s="19" t="s">
        <v>2052</v>
      </c>
      <c r="C377" t="s">
        <v>157</v>
      </c>
      <c r="D377" s="190">
        <v>4573</v>
      </c>
      <c r="E377" s="483">
        <v>5841</v>
      </c>
      <c r="F377" s="192">
        <v>6687</v>
      </c>
      <c r="G377" s="481">
        <v>193</v>
      </c>
      <c r="H377" s="19"/>
      <c r="I377" s="19"/>
      <c r="M377" s="19"/>
    </row>
    <row r="378" spans="1:33">
      <c r="A378" s="479">
        <v>4658</v>
      </c>
      <c r="B378" s="19" t="s">
        <v>2053</v>
      </c>
      <c r="C378" t="s">
        <v>157</v>
      </c>
      <c r="D378" s="190">
        <v>4658</v>
      </c>
      <c r="E378" s="483">
        <v>6160</v>
      </c>
      <c r="F378" s="192">
        <v>5766</v>
      </c>
      <c r="G378" s="481">
        <v>232</v>
      </c>
      <c r="H378" s="19"/>
      <c r="I378" s="19"/>
      <c r="M378" s="19"/>
    </row>
    <row r="379" spans="1:33">
      <c r="A379" s="479">
        <v>5014</v>
      </c>
      <c r="B379" s="19" t="s">
        <v>2054</v>
      </c>
      <c r="C379" t="s">
        <v>157</v>
      </c>
      <c r="D379" s="190">
        <v>5014</v>
      </c>
      <c r="E379" s="483">
        <v>6006</v>
      </c>
      <c r="F379" s="192">
        <v>6034</v>
      </c>
      <c r="G379" s="481">
        <v>215</v>
      </c>
      <c r="H379" s="19"/>
      <c r="I379" s="19"/>
      <c r="M379" s="19"/>
    </row>
    <row r="380" spans="1:33">
      <c r="A380" s="479">
        <v>4583</v>
      </c>
      <c r="B380" s="19" t="s">
        <v>2055</v>
      </c>
      <c r="C380" t="s">
        <v>157</v>
      </c>
      <c r="D380" s="190">
        <v>4583</v>
      </c>
      <c r="E380" s="483">
        <v>7317</v>
      </c>
      <c r="F380" s="192">
        <v>6261</v>
      </c>
      <c r="G380" s="481">
        <v>170</v>
      </c>
      <c r="H380" s="19"/>
      <c r="I380" s="19"/>
      <c r="M380" s="19"/>
    </row>
    <row r="381" spans="1:33">
      <c r="A381" s="479">
        <v>4717</v>
      </c>
      <c r="B381" s="19" t="s">
        <v>2056</v>
      </c>
      <c r="C381" t="s">
        <v>157</v>
      </c>
      <c r="D381" s="190">
        <v>4717</v>
      </c>
      <c r="E381" s="483">
        <v>4567</v>
      </c>
      <c r="F381" s="192">
        <v>4471</v>
      </c>
      <c r="G381" s="481">
        <v>163</v>
      </c>
      <c r="H381" s="19"/>
      <c r="I381" s="19"/>
      <c r="M381" s="19"/>
    </row>
    <row r="382" spans="1:33">
      <c r="A382" s="479">
        <v>4533</v>
      </c>
      <c r="B382" s="19" t="s">
        <v>2057</v>
      </c>
      <c r="C382" t="s">
        <v>157</v>
      </c>
      <c r="D382" s="190">
        <v>4533</v>
      </c>
      <c r="E382" s="483">
        <v>6002</v>
      </c>
      <c r="F382" s="192">
        <v>6286</v>
      </c>
      <c r="G382" s="481">
        <v>199</v>
      </c>
      <c r="H382" s="19"/>
      <c r="I382" s="19"/>
      <c r="M382" s="19"/>
    </row>
    <row r="383" spans="1:33">
      <c r="A383" s="479">
        <v>4227</v>
      </c>
      <c r="B383" s="19" t="s">
        <v>2058</v>
      </c>
      <c r="C383" t="s">
        <v>157</v>
      </c>
      <c r="D383" s="190">
        <v>4227</v>
      </c>
      <c r="E383" s="483">
        <v>6220</v>
      </c>
      <c r="F383" s="192">
        <v>5337</v>
      </c>
      <c r="G383" s="481">
        <v>212</v>
      </c>
      <c r="H383" s="19"/>
      <c r="I383" s="19"/>
      <c r="M383" s="19"/>
    </row>
    <row r="384" spans="1:33">
      <c r="A384" s="479">
        <v>4625</v>
      </c>
      <c r="B384" s="19" t="s">
        <v>2059</v>
      </c>
      <c r="C384" t="s">
        <v>157</v>
      </c>
      <c r="D384" s="190">
        <v>4625</v>
      </c>
      <c r="E384" s="483">
        <v>5757</v>
      </c>
      <c r="F384" s="192">
        <v>5203</v>
      </c>
      <c r="G384" s="481">
        <v>213</v>
      </c>
      <c r="H384" s="19"/>
      <c r="I384" s="19"/>
      <c r="M384" s="19"/>
    </row>
    <row r="385" spans="1:13">
      <c r="A385" s="479">
        <v>4543</v>
      </c>
      <c r="B385" s="19" t="s">
        <v>2060</v>
      </c>
      <c r="C385" t="s">
        <v>157</v>
      </c>
      <c r="D385" s="190">
        <v>4543</v>
      </c>
      <c r="E385" s="483">
        <v>5559</v>
      </c>
      <c r="F385" s="192">
        <v>5570</v>
      </c>
      <c r="G385" s="481">
        <v>224</v>
      </c>
      <c r="H385" s="19"/>
      <c r="I385" s="19"/>
      <c r="M385" s="19"/>
    </row>
    <row r="386" spans="1:13">
      <c r="A386" s="479">
        <v>4653</v>
      </c>
      <c r="B386" s="19" t="s">
        <v>2061</v>
      </c>
      <c r="C386" t="s">
        <v>157</v>
      </c>
      <c r="D386" s="190">
        <v>4653</v>
      </c>
      <c r="E386" s="483">
        <v>4833</v>
      </c>
      <c r="F386" s="192">
        <v>5494</v>
      </c>
      <c r="G386" s="481">
        <v>208</v>
      </c>
      <c r="H386" s="19"/>
      <c r="I386" s="19"/>
      <c r="M386" s="19"/>
    </row>
    <row r="387" spans="1:13">
      <c r="A387" s="479">
        <v>4628</v>
      </c>
      <c r="B387" s="19" t="s">
        <v>2062</v>
      </c>
      <c r="C387" t="s">
        <v>157</v>
      </c>
      <c r="D387" s="190">
        <v>4628</v>
      </c>
      <c r="E387" s="483">
        <v>5668</v>
      </c>
      <c r="F387" s="192">
        <v>5421</v>
      </c>
      <c r="G387" s="481">
        <v>227</v>
      </c>
      <c r="H387" s="19"/>
      <c r="I387" s="19"/>
      <c r="M387" s="19"/>
    </row>
    <row r="388" spans="1:13">
      <c r="A388" s="479">
        <v>4623</v>
      </c>
      <c r="B388" s="19" t="s">
        <v>2063</v>
      </c>
      <c r="C388" t="s">
        <v>157</v>
      </c>
      <c r="D388" s="190">
        <v>4623</v>
      </c>
      <c r="E388" s="483">
        <v>5390</v>
      </c>
      <c r="F388" s="192">
        <v>5809</v>
      </c>
      <c r="G388" s="481">
        <v>205</v>
      </c>
      <c r="H388" s="19"/>
      <c r="I388" s="19"/>
      <c r="M388" s="19"/>
    </row>
    <row r="389" spans="1:13">
      <c r="A389" s="479">
        <v>4565</v>
      </c>
      <c r="B389" s="19" t="s">
        <v>2064</v>
      </c>
      <c r="C389" t="s">
        <v>157</v>
      </c>
      <c r="D389" s="190">
        <v>4565</v>
      </c>
      <c r="E389" s="483">
        <v>5024</v>
      </c>
      <c r="F389" s="192">
        <v>5428</v>
      </c>
      <c r="G389" s="481">
        <v>239</v>
      </c>
      <c r="H389" s="19"/>
      <c r="I389" s="19"/>
      <c r="M389" s="19"/>
    </row>
    <row r="390" spans="1:13">
      <c r="A390" s="479">
        <v>4208</v>
      </c>
      <c r="B390" s="19" t="s">
        <v>2065</v>
      </c>
      <c r="C390" t="s">
        <v>157</v>
      </c>
      <c r="D390" s="190">
        <v>4208</v>
      </c>
      <c r="E390" s="483">
        <v>6530</v>
      </c>
      <c r="F390" s="192">
        <v>5783</v>
      </c>
      <c r="G390" s="481">
        <v>220</v>
      </c>
      <c r="H390" s="19"/>
      <c r="I390" s="19"/>
      <c r="M390" s="19"/>
    </row>
    <row r="391" spans="1:13">
      <c r="A391" s="479">
        <v>4652</v>
      </c>
      <c r="B391" s="19" t="s">
        <v>2066</v>
      </c>
      <c r="C391" t="s">
        <v>157</v>
      </c>
      <c r="D391" s="190">
        <v>4652</v>
      </c>
      <c r="E391" s="483">
        <v>4567</v>
      </c>
      <c r="F391" s="192">
        <v>5886</v>
      </c>
      <c r="G391" s="481">
        <v>219</v>
      </c>
      <c r="H391" s="19"/>
      <c r="I391" s="19"/>
      <c r="M391" s="19"/>
    </row>
    <row r="392" spans="1:13">
      <c r="A392" s="479">
        <v>4703</v>
      </c>
      <c r="B392" s="19" t="s">
        <v>2067</v>
      </c>
      <c r="C392" t="s">
        <v>157</v>
      </c>
      <c r="D392" s="190">
        <v>4703</v>
      </c>
      <c r="E392" s="483">
        <v>5520</v>
      </c>
      <c r="F392" s="192">
        <v>6053</v>
      </c>
      <c r="G392" s="481">
        <v>207</v>
      </c>
      <c r="H392" s="19"/>
      <c r="I392" s="19"/>
      <c r="M392" s="19"/>
    </row>
    <row r="393" spans="1:13">
      <c r="A393" s="479">
        <v>4629</v>
      </c>
      <c r="B393" s="19" t="s">
        <v>2068</v>
      </c>
      <c r="C393" t="s">
        <v>157</v>
      </c>
      <c r="D393" s="190">
        <v>4629</v>
      </c>
      <c r="E393" s="483">
        <v>6758</v>
      </c>
      <c r="F393" s="192">
        <v>5360</v>
      </c>
      <c r="G393" s="481">
        <v>215</v>
      </c>
      <c r="H393" s="19"/>
      <c r="I393" s="19"/>
      <c r="M393" s="19"/>
    </row>
    <row r="394" spans="1:13">
      <c r="A394" s="479">
        <v>4712</v>
      </c>
      <c r="B394" s="19" t="s">
        <v>2069</v>
      </c>
      <c r="C394" t="s">
        <v>157</v>
      </c>
      <c r="D394" s="190">
        <v>4712</v>
      </c>
      <c r="E394" s="483">
        <v>4357</v>
      </c>
      <c r="F394" s="192">
        <v>4605</v>
      </c>
      <c r="G394" s="481">
        <v>199</v>
      </c>
      <c r="H394" s="19"/>
      <c r="I394" s="19"/>
      <c r="M394" s="19"/>
    </row>
    <row r="395" spans="1:13">
      <c r="A395" s="479">
        <v>4515</v>
      </c>
      <c r="B395" s="19" t="s">
        <v>2070</v>
      </c>
      <c r="C395" t="s">
        <v>157</v>
      </c>
      <c r="D395" s="190">
        <v>4515</v>
      </c>
      <c r="E395" s="483">
        <v>6067</v>
      </c>
      <c r="F395" s="192">
        <v>6683</v>
      </c>
      <c r="G395" s="481">
        <v>216</v>
      </c>
      <c r="H395" s="19"/>
      <c r="I395" s="19"/>
      <c r="M395" s="19"/>
    </row>
    <row r="396" spans="1:13">
      <c r="A396" s="479">
        <v>4656</v>
      </c>
      <c r="B396" s="19" t="s">
        <v>2071</v>
      </c>
      <c r="C396" t="s">
        <v>157</v>
      </c>
      <c r="D396" s="190">
        <v>4656</v>
      </c>
      <c r="E396" s="483">
        <v>5934</v>
      </c>
      <c r="F396" s="192">
        <v>5869</v>
      </c>
      <c r="G396" s="481">
        <v>220</v>
      </c>
      <c r="H396" s="19"/>
      <c r="I396" s="19"/>
      <c r="M396" s="19"/>
    </row>
    <row r="397" spans="1:13">
      <c r="A397" s="479">
        <v>4617</v>
      </c>
      <c r="B397" s="19" t="s">
        <v>2072</v>
      </c>
      <c r="C397" t="s">
        <v>157</v>
      </c>
      <c r="D397" s="190">
        <v>4617</v>
      </c>
      <c r="E397" s="483">
        <v>6152</v>
      </c>
      <c r="F397" s="192">
        <v>6620</v>
      </c>
      <c r="G397" s="481">
        <v>188</v>
      </c>
      <c r="H397" s="19"/>
      <c r="I397" s="19"/>
      <c r="M397" s="19"/>
    </row>
    <row r="398" spans="1:13">
      <c r="A398" s="479">
        <v>4624</v>
      </c>
      <c r="B398" s="19" t="s">
        <v>2073</v>
      </c>
      <c r="C398" t="s">
        <v>157</v>
      </c>
      <c r="D398" s="190">
        <v>4624</v>
      </c>
      <c r="E398" s="483">
        <v>6099</v>
      </c>
      <c r="F398" s="192">
        <v>5556</v>
      </c>
      <c r="G398" s="481">
        <v>202</v>
      </c>
      <c r="H398" s="19"/>
      <c r="I398" s="19"/>
      <c r="M398" s="19"/>
    </row>
    <row r="399" spans="1:13">
      <c r="A399" s="479">
        <v>4514</v>
      </c>
      <c r="B399" s="19" t="s">
        <v>2074</v>
      </c>
      <c r="C399" t="s">
        <v>157</v>
      </c>
      <c r="D399" s="190">
        <v>4514</v>
      </c>
      <c r="E399" s="483">
        <v>5947</v>
      </c>
      <c r="F399" s="192">
        <v>5487</v>
      </c>
      <c r="G399" s="481">
        <v>205</v>
      </c>
      <c r="H399" s="19"/>
      <c r="I399" s="19"/>
      <c r="M399" s="19"/>
    </row>
    <row r="400" spans="1:13">
      <c r="A400" s="479">
        <v>4108</v>
      </c>
      <c r="B400" s="19" t="s">
        <v>2075</v>
      </c>
      <c r="C400" t="s">
        <v>157</v>
      </c>
      <c r="D400" s="190">
        <v>4108</v>
      </c>
      <c r="E400" s="483">
        <v>9092</v>
      </c>
      <c r="F400" s="192">
        <v>7942</v>
      </c>
      <c r="G400" s="481">
        <v>229</v>
      </c>
      <c r="H400" s="19"/>
      <c r="I400" s="19"/>
      <c r="M400" s="19"/>
    </row>
    <row r="401" spans="1:13">
      <c r="A401" s="479">
        <v>4522</v>
      </c>
      <c r="B401" s="19" t="s">
        <v>2076</v>
      </c>
      <c r="C401" t="s">
        <v>157</v>
      </c>
      <c r="D401" s="190">
        <v>4522</v>
      </c>
      <c r="E401" s="483">
        <v>6620</v>
      </c>
      <c r="F401" s="192">
        <v>6682</v>
      </c>
      <c r="G401" s="481">
        <v>167</v>
      </c>
      <c r="H401" s="19"/>
      <c r="I401" s="19"/>
      <c r="M401" s="19"/>
    </row>
    <row r="402" spans="1:13">
      <c r="A402" s="479">
        <v>3254</v>
      </c>
      <c r="B402" s="19" t="s">
        <v>2077</v>
      </c>
      <c r="C402" t="s">
        <v>157</v>
      </c>
      <c r="D402" s="190">
        <v>3254</v>
      </c>
      <c r="E402" s="484" t="s">
        <v>2078</v>
      </c>
      <c r="F402" s="192">
        <v>5700</v>
      </c>
      <c r="G402" s="481">
        <v>167</v>
      </c>
      <c r="H402" s="19"/>
      <c r="I402" s="19"/>
      <c r="M402" s="19"/>
    </row>
    <row r="403" spans="1:13">
      <c r="A403" s="479">
        <v>4412</v>
      </c>
      <c r="B403" s="19" t="s">
        <v>2079</v>
      </c>
      <c r="C403" t="s">
        <v>157</v>
      </c>
      <c r="D403" s="190">
        <v>4412</v>
      </c>
      <c r="E403" s="484" t="s">
        <v>2080</v>
      </c>
      <c r="F403" s="192">
        <v>5907</v>
      </c>
      <c r="G403" s="481">
        <v>208</v>
      </c>
      <c r="H403" s="19"/>
      <c r="I403" s="19"/>
      <c r="M403" s="19"/>
    </row>
    <row r="404" spans="1:13">
      <c r="A404" s="479">
        <v>4713</v>
      </c>
      <c r="B404" s="19" t="s">
        <v>2081</v>
      </c>
      <c r="C404" t="s">
        <v>157</v>
      </c>
      <c r="D404" s="190">
        <v>4713</v>
      </c>
      <c r="E404" s="484" t="s">
        <v>2082</v>
      </c>
      <c r="F404" s="192">
        <v>4271</v>
      </c>
      <c r="G404" s="481">
        <v>238</v>
      </c>
      <c r="H404" s="19"/>
      <c r="I404" s="19"/>
      <c r="M404" s="19"/>
    </row>
    <row r="405" spans="1:13">
      <c r="A405" s="479">
        <v>4118</v>
      </c>
      <c r="B405" s="19" t="s">
        <v>2083</v>
      </c>
      <c r="C405" t="s">
        <v>157</v>
      </c>
      <c r="D405" s="190">
        <v>4118</v>
      </c>
      <c r="E405" s="484" t="s">
        <v>2084</v>
      </c>
      <c r="F405" s="192">
        <v>6807</v>
      </c>
      <c r="G405" s="481">
        <v>219</v>
      </c>
      <c r="H405" s="19"/>
      <c r="I405" s="19"/>
      <c r="M405" s="19"/>
    </row>
    <row r="406" spans="1:13">
      <c r="A406" s="479">
        <v>4566</v>
      </c>
      <c r="B406" s="19" t="s">
        <v>2085</v>
      </c>
      <c r="C406" t="s">
        <v>157</v>
      </c>
      <c r="D406" s="190">
        <v>4566</v>
      </c>
      <c r="E406" s="484" t="s">
        <v>2086</v>
      </c>
      <c r="F406" s="192">
        <v>5502</v>
      </c>
      <c r="G406" s="481">
        <v>250</v>
      </c>
      <c r="H406" s="19"/>
      <c r="I406" s="19"/>
      <c r="M406" s="19"/>
    </row>
    <row r="407" spans="1:13">
      <c r="A407" s="479">
        <v>4146</v>
      </c>
      <c r="B407" s="19" t="s">
        <v>2087</v>
      </c>
      <c r="C407" t="s">
        <v>157</v>
      </c>
      <c r="D407" s="190">
        <v>4146</v>
      </c>
      <c r="E407" s="484" t="s">
        <v>2088</v>
      </c>
      <c r="F407" s="192">
        <v>7687</v>
      </c>
      <c r="G407" s="481">
        <v>183</v>
      </c>
      <c r="H407" s="19"/>
      <c r="I407" s="19"/>
      <c r="M407" s="19"/>
    </row>
    <row r="408" spans="1:13">
      <c r="A408" s="479">
        <v>4245</v>
      </c>
      <c r="B408" s="19" t="s">
        <v>2089</v>
      </c>
      <c r="C408" t="s">
        <v>157</v>
      </c>
      <c r="D408" s="190">
        <v>4245</v>
      </c>
      <c r="E408" s="484" t="s">
        <v>2090</v>
      </c>
      <c r="F408" s="192">
        <v>5091</v>
      </c>
      <c r="G408" s="481">
        <v>208</v>
      </c>
      <c r="H408" s="19"/>
      <c r="I408" s="19"/>
      <c r="M408" s="19"/>
    </row>
    <row r="409" spans="1:13">
      <c r="A409" s="479">
        <v>4556</v>
      </c>
      <c r="B409" s="19" t="s">
        <v>2091</v>
      </c>
      <c r="C409" t="s">
        <v>157</v>
      </c>
      <c r="D409" s="190">
        <v>4556</v>
      </c>
      <c r="E409" s="484" t="s">
        <v>2092</v>
      </c>
      <c r="F409" s="192">
        <v>5958</v>
      </c>
      <c r="G409" s="481">
        <v>231</v>
      </c>
      <c r="H409" s="19"/>
      <c r="I409" s="19"/>
      <c r="M409" s="19"/>
    </row>
    <row r="410" spans="1:13">
      <c r="A410" s="479">
        <v>4112</v>
      </c>
      <c r="B410" s="19" t="s">
        <v>2093</v>
      </c>
      <c r="C410" t="s">
        <v>157</v>
      </c>
      <c r="D410" s="190">
        <v>4112</v>
      </c>
      <c r="E410" s="484" t="s">
        <v>2094</v>
      </c>
      <c r="F410" s="192">
        <v>7900</v>
      </c>
      <c r="G410" s="481">
        <v>228</v>
      </c>
      <c r="H410" s="19"/>
      <c r="I410" s="19"/>
      <c r="M410" s="19"/>
    </row>
    <row r="411" spans="1:13">
      <c r="A411" s="479">
        <v>4626</v>
      </c>
      <c r="B411" s="19" t="s">
        <v>2095</v>
      </c>
      <c r="C411" t="s">
        <v>157</v>
      </c>
      <c r="D411" s="190">
        <v>4626</v>
      </c>
      <c r="E411" s="484" t="s">
        <v>2096</v>
      </c>
      <c r="F411" s="192">
        <v>5718</v>
      </c>
      <c r="G411" s="481">
        <v>207</v>
      </c>
      <c r="H411" s="19"/>
      <c r="I411" s="19"/>
      <c r="M411" s="19"/>
    </row>
    <row r="412" spans="1:13">
      <c r="A412" s="479">
        <v>4524</v>
      </c>
      <c r="B412" s="19" t="s">
        <v>2097</v>
      </c>
      <c r="C412" t="s">
        <v>157</v>
      </c>
      <c r="D412" s="190">
        <v>4524</v>
      </c>
      <c r="E412" s="484" t="s">
        <v>2098</v>
      </c>
      <c r="F412" s="192">
        <v>5526</v>
      </c>
      <c r="G412" s="481">
        <v>212</v>
      </c>
      <c r="H412" s="19"/>
      <c r="I412" s="19"/>
      <c r="M412" s="19"/>
    </row>
    <row r="413" spans="1:13">
      <c r="A413" s="479">
        <v>4564</v>
      </c>
      <c r="B413" s="19" t="s">
        <v>2099</v>
      </c>
      <c r="C413" t="s">
        <v>157</v>
      </c>
      <c r="D413" s="190">
        <v>4564</v>
      </c>
      <c r="E413" s="484" t="s">
        <v>2100</v>
      </c>
      <c r="F413" s="192">
        <v>5331</v>
      </c>
      <c r="G413" s="481">
        <v>243</v>
      </c>
      <c r="H413" s="19"/>
      <c r="I413" s="19"/>
      <c r="M413" s="19"/>
    </row>
    <row r="414" spans="1:13">
      <c r="A414" s="479">
        <v>3253</v>
      </c>
      <c r="B414" s="19" t="s">
        <v>2101</v>
      </c>
      <c r="C414" t="s">
        <v>157</v>
      </c>
      <c r="D414" s="190">
        <v>3253</v>
      </c>
      <c r="E414" s="484" t="s">
        <v>2102</v>
      </c>
      <c r="F414" s="192">
        <v>6228</v>
      </c>
      <c r="G414" s="481">
        <v>202</v>
      </c>
      <c r="H414" s="19"/>
      <c r="I414" s="19"/>
      <c r="M414" s="19"/>
    </row>
    <row r="415" spans="1:13">
      <c r="A415" s="479">
        <v>4716</v>
      </c>
      <c r="B415" s="19" t="s">
        <v>2103</v>
      </c>
      <c r="C415" t="s">
        <v>157</v>
      </c>
      <c r="D415" s="190">
        <v>4716</v>
      </c>
      <c r="E415" s="484" t="s">
        <v>2104</v>
      </c>
      <c r="F415" s="192">
        <v>4302</v>
      </c>
      <c r="G415" s="481">
        <v>169</v>
      </c>
      <c r="H415" s="19"/>
      <c r="I415" s="19"/>
      <c r="M415" s="19"/>
    </row>
    <row r="416" spans="1:13">
      <c r="A416" s="479">
        <v>4655</v>
      </c>
      <c r="B416" s="19" t="s">
        <v>2105</v>
      </c>
      <c r="C416" t="s">
        <v>157</v>
      </c>
      <c r="D416" s="190">
        <v>4655</v>
      </c>
      <c r="E416" s="484" t="s">
        <v>2106</v>
      </c>
      <c r="F416" s="192">
        <v>5712</v>
      </c>
      <c r="G416" s="481">
        <v>195</v>
      </c>
      <c r="H416" s="19"/>
      <c r="I416" s="19"/>
      <c r="M416" s="19"/>
    </row>
    <row r="417" spans="1:13">
      <c r="A417" s="479">
        <v>4574</v>
      </c>
      <c r="B417" s="19" t="s">
        <v>2107</v>
      </c>
      <c r="C417" t="s">
        <v>157</v>
      </c>
      <c r="D417" s="190">
        <v>4574</v>
      </c>
      <c r="E417" s="484" t="s">
        <v>2108</v>
      </c>
      <c r="F417" s="192">
        <v>6092</v>
      </c>
      <c r="G417" s="481">
        <v>255</v>
      </c>
      <c r="H417" s="19"/>
      <c r="I417" s="19"/>
      <c r="M417" s="19"/>
    </row>
    <row r="418" spans="1:13">
      <c r="A418" s="479">
        <v>4413</v>
      </c>
      <c r="B418" s="19" t="s">
        <v>2109</v>
      </c>
      <c r="C418" t="s">
        <v>157</v>
      </c>
      <c r="D418" s="190">
        <v>4413</v>
      </c>
      <c r="E418" s="484" t="s">
        <v>2110</v>
      </c>
      <c r="F418" s="192">
        <v>6696</v>
      </c>
      <c r="G418" s="481">
        <v>203</v>
      </c>
      <c r="H418" s="19"/>
      <c r="I418" s="19"/>
      <c r="M418" s="19"/>
    </row>
    <row r="419" spans="1:13">
      <c r="A419" s="479">
        <v>4206</v>
      </c>
      <c r="B419" s="19" t="s">
        <v>2111</v>
      </c>
      <c r="C419" t="s">
        <v>157</v>
      </c>
      <c r="D419" s="190">
        <v>4206</v>
      </c>
      <c r="E419" s="484" t="s">
        <v>2112</v>
      </c>
      <c r="F419" s="192">
        <v>5574</v>
      </c>
      <c r="G419" s="481">
        <v>234</v>
      </c>
      <c r="H419" s="19"/>
      <c r="I419" s="19"/>
      <c r="M419" s="19"/>
    </row>
    <row r="420" spans="1:13">
      <c r="A420" s="479">
        <v>4532</v>
      </c>
      <c r="B420" s="19" t="s">
        <v>2113</v>
      </c>
      <c r="C420" t="s">
        <v>157</v>
      </c>
      <c r="D420" s="190">
        <v>4532</v>
      </c>
      <c r="E420" s="484" t="s">
        <v>2114</v>
      </c>
      <c r="F420" s="192">
        <v>7277</v>
      </c>
      <c r="G420" s="481">
        <v>307</v>
      </c>
      <c r="H420" s="19"/>
      <c r="I420" s="19"/>
      <c r="M420" s="19"/>
    </row>
    <row r="421" spans="1:13">
      <c r="A421" s="479">
        <v>4534</v>
      </c>
      <c r="B421" s="19" t="s">
        <v>2115</v>
      </c>
      <c r="C421" t="s">
        <v>157</v>
      </c>
      <c r="D421" s="190">
        <v>4534</v>
      </c>
      <c r="E421" s="484" t="s">
        <v>2116</v>
      </c>
      <c r="F421" s="192">
        <v>5854</v>
      </c>
      <c r="G421" s="481">
        <v>246</v>
      </c>
      <c r="H421" s="19"/>
      <c r="I421" s="19"/>
      <c r="M421" s="19"/>
    </row>
    <row r="422" spans="1:13">
      <c r="A422" s="479">
        <v>4532</v>
      </c>
      <c r="B422" s="19" t="s">
        <v>2117</v>
      </c>
      <c r="C422" t="s">
        <v>157</v>
      </c>
      <c r="D422" s="190">
        <v>4532</v>
      </c>
      <c r="E422" s="484" t="s">
        <v>2118</v>
      </c>
      <c r="F422" s="192">
        <v>5638</v>
      </c>
      <c r="G422" s="481">
        <v>224</v>
      </c>
      <c r="H422" s="19"/>
      <c r="I422" s="19"/>
      <c r="M422" s="19"/>
    </row>
    <row r="423" spans="1:13">
      <c r="A423" s="479">
        <v>4116</v>
      </c>
      <c r="B423" s="19" t="s">
        <v>2119</v>
      </c>
      <c r="C423" t="s">
        <v>157</v>
      </c>
      <c r="D423" s="190">
        <v>4116</v>
      </c>
      <c r="E423" s="484" t="s">
        <v>2120</v>
      </c>
      <c r="F423" s="192">
        <v>6928</v>
      </c>
      <c r="G423" s="481">
        <v>214</v>
      </c>
      <c r="H423" s="19"/>
      <c r="I423" s="19"/>
      <c r="M423" s="19"/>
    </row>
    <row r="424" spans="1:13">
      <c r="A424" s="479">
        <v>4204</v>
      </c>
      <c r="B424" s="19" t="s">
        <v>2121</v>
      </c>
      <c r="C424" t="s">
        <v>157</v>
      </c>
      <c r="D424" s="190">
        <v>4204</v>
      </c>
      <c r="E424" s="484" t="s">
        <v>2122</v>
      </c>
      <c r="F424" s="192">
        <v>7209</v>
      </c>
      <c r="G424" s="481">
        <v>201</v>
      </c>
      <c r="H424" s="19"/>
      <c r="I424" s="19"/>
      <c r="M424" s="19"/>
    </row>
    <row r="425" spans="1:13">
      <c r="A425" s="479">
        <v>4228</v>
      </c>
      <c r="B425" s="19" t="s">
        <v>2123</v>
      </c>
      <c r="C425" t="s">
        <v>157</v>
      </c>
      <c r="D425" s="190">
        <v>4228</v>
      </c>
      <c r="E425" s="484" t="s">
        <v>2124</v>
      </c>
      <c r="F425" s="192">
        <v>4710</v>
      </c>
      <c r="G425" s="481">
        <v>198</v>
      </c>
      <c r="H425" s="19"/>
      <c r="I425" s="19"/>
      <c r="M425" s="19"/>
    </row>
    <row r="426" spans="1:13">
      <c r="A426" s="479">
        <v>4145</v>
      </c>
      <c r="B426" s="19" t="s">
        <v>2125</v>
      </c>
      <c r="C426" t="s">
        <v>157</v>
      </c>
      <c r="D426" s="190">
        <v>4145</v>
      </c>
      <c r="E426" s="484" t="s">
        <v>2126</v>
      </c>
      <c r="F426" s="192">
        <v>7807</v>
      </c>
      <c r="G426" s="481">
        <v>198</v>
      </c>
      <c r="H426" s="19"/>
      <c r="I426" s="19"/>
      <c r="M426" s="19"/>
    </row>
    <row r="427" spans="1:13">
      <c r="A427" s="479">
        <v>4567</v>
      </c>
      <c r="B427" s="19" t="s">
        <v>2127</v>
      </c>
      <c r="C427" t="s">
        <v>157</v>
      </c>
      <c r="D427" s="190">
        <v>4567</v>
      </c>
      <c r="E427" s="484" t="s">
        <v>2128</v>
      </c>
      <c r="F427" s="192">
        <v>5855</v>
      </c>
      <c r="G427" s="481">
        <v>198</v>
      </c>
      <c r="H427" s="19"/>
      <c r="I427" s="19"/>
      <c r="M427" s="19"/>
    </row>
    <row r="428" spans="1:13">
      <c r="A428" s="479">
        <v>4557</v>
      </c>
      <c r="B428" s="19" t="s">
        <v>2129</v>
      </c>
      <c r="C428" t="s">
        <v>157</v>
      </c>
      <c r="D428" s="190">
        <v>4557</v>
      </c>
      <c r="E428" s="484" t="s">
        <v>2092</v>
      </c>
      <c r="F428" s="192">
        <v>6146</v>
      </c>
      <c r="G428" s="481">
        <v>185</v>
      </c>
      <c r="H428" s="19"/>
      <c r="I428" s="19"/>
      <c r="M428" s="19"/>
    </row>
    <row r="429" spans="1:13">
      <c r="A429" s="479">
        <v>4554</v>
      </c>
      <c r="B429" s="19" t="s">
        <v>2130</v>
      </c>
      <c r="C429" t="s">
        <v>157</v>
      </c>
      <c r="D429" s="190">
        <v>4554</v>
      </c>
      <c r="E429" s="484" t="s">
        <v>2131</v>
      </c>
      <c r="F429" s="192">
        <v>4886</v>
      </c>
      <c r="G429" s="481">
        <v>201</v>
      </c>
      <c r="H429" s="19"/>
      <c r="I429" s="19"/>
      <c r="M429" s="19"/>
    </row>
    <row r="430" spans="1:13">
      <c r="A430" s="479">
        <v>4562</v>
      </c>
      <c r="B430" s="19" t="s">
        <v>2132</v>
      </c>
      <c r="C430" t="s">
        <v>157</v>
      </c>
      <c r="D430" s="190">
        <v>4562</v>
      </c>
      <c r="E430" s="484" t="s">
        <v>2133</v>
      </c>
      <c r="F430" s="192">
        <v>6048</v>
      </c>
      <c r="G430" s="481">
        <v>221</v>
      </c>
      <c r="H430" s="19"/>
      <c r="I430" s="19"/>
      <c r="M430" s="19"/>
    </row>
    <row r="431" spans="1:13">
      <c r="A431" s="479">
        <v>4224</v>
      </c>
      <c r="B431" s="19" t="s">
        <v>2134</v>
      </c>
      <c r="C431" t="s">
        <v>157</v>
      </c>
      <c r="D431" s="190">
        <v>4224</v>
      </c>
      <c r="E431" s="484" t="s">
        <v>2135</v>
      </c>
      <c r="F431" s="192">
        <v>5150</v>
      </c>
      <c r="G431" s="481">
        <v>169</v>
      </c>
      <c r="H431" s="19"/>
      <c r="I431" s="19"/>
      <c r="M431" s="19"/>
    </row>
    <row r="432" spans="1:13">
      <c r="A432" s="479">
        <v>4571</v>
      </c>
      <c r="B432" s="19" t="s">
        <v>2136</v>
      </c>
      <c r="C432" t="s">
        <v>157</v>
      </c>
      <c r="D432" s="190">
        <v>4571</v>
      </c>
      <c r="E432" s="484" t="s">
        <v>2106</v>
      </c>
      <c r="F432" s="192">
        <v>6217</v>
      </c>
      <c r="G432" s="481">
        <v>308</v>
      </c>
      <c r="H432" s="19"/>
      <c r="I432" s="19"/>
      <c r="M432" s="19"/>
    </row>
    <row r="433" spans="1:13">
      <c r="A433" s="479">
        <v>4618</v>
      </c>
      <c r="B433" s="19" t="s">
        <v>2137</v>
      </c>
      <c r="C433" t="s">
        <v>157</v>
      </c>
      <c r="D433" s="190">
        <v>4618</v>
      </c>
      <c r="E433" s="484" t="s">
        <v>2138</v>
      </c>
      <c r="F433" s="192">
        <v>6492</v>
      </c>
      <c r="G433" s="481">
        <v>229</v>
      </c>
      <c r="H433" s="19"/>
      <c r="I433" s="19"/>
      <c r="M433" s="19"/>
    </row>
    <row r="434" spans="1:13">
      <c r="A434" s="479">
        <v>4535</v>
      </c>
      <c r="B434" s="19" t="s">
        <v>2139</v>
      </c>
      <c r="C434" t="s">
        <v>157</v>
      </c>
      <c r="D434" s="190">
        <v>4535</v>
      </c>
      <c r="E434" s="484" t="s">
        <v>2140</v>
      </c>
      <c r="F434" s="192">
        <v>6947</v>
      </c>
      <c r="G434" s="481">
        <v>169</v>
      </c>
      <c r="H434" s="19"/>
      <c r="I434" s="19"/>
      <c r="M434" s="19"/>
    </row>
    <row r="435" spans="1:13">
      <c r="A435" s="479">
        <v>4557</v>
      </c>
      <c r="B435" s="19" t="s">
        <v>2141</v>
      </c>
      <c r="C435" t="s">
        <v>157</v>
      </c>
      <c r="D435" s="190">
        <v>4557</v>
      </c>
      <c r="E435" s="484" t="s">
        <v>2142</v>
      </c>
      <c r="F435" s="192">
        <v>5537</v>
      </c>
      <c r="G435" s="481">
        <v>203</v>
      </c>
      <c r="H435" s="19"/>
      <c r="I435" s="19"/>
      <c r="M435" s="19"/>
    </row>
    <row r="436" spans="1:13">
      <c r="A436" s="479">
        <v>5746</v>
      </c>
      <c r="B436" s="19" t="s">
        <v>2143</v>
      </c>
      <c r="C436" t="s">
        <v>157</v>
      </c>
      <c r="D436" s="190">
        <v>5746</v>
      </c>
      <c r="E436" s="484" t="s">
        <v>2144</v>
      </c>
      <c r="F436" s="192">
        <v>5320</v>
      </c>
      <c r="G436" s="481">
        <v>190</v>
      </c>
      <c r="H436" s="19"/>
      <c r="I436" s="19"/>
      <c r="M436" s="19"/>
    </row>
    <row r="437" spans="1:13">
      <c r="A437" s="479">
        <v>4718</v>
      </c>
      <c r="B437" s="19" t="s">
        <v>2145</v>
      </c>
      <c r="C437" t="s">
        <v>157</v>
      </c>
      <c r="D437" s="190">
        <v>4718</v>
      </c>
      <c r="E437" s="484" t="s">
        <v>2146</v>
      </c>
      <c r="F437" s="192">
        <v>4725</v>
      </c>
      <c r="G437" s="481">
        <v>218</v>
      </c>
      <c r="H437" s="19"/>
      <c r="I437" s="19"/>
      <c r="M437" s="19"/>
    </row>
    <row r="438" spans="1:13">
      <c r="A438" s="479">
        <v>4234</v>
      </c>
      <c r="B438" s="19" t="s">
        <v>2147</v>
      </c>
      <c r="C438" t="s">
        <v>157</v>
      </c>
      <c r="D438" s="190">
        <v>4234</v>
      </c>
      <c r="E438" s="484" t="s">
        <v>2148</v>
      </c>
      <c r="F438" s="192">
        <v>4645</v>
      </c>
      <c r="G438" s="481">
        <v>188</v>
      </c>
      <c r="H438" s="19"/>
      <c r="I438" s="19"/>
      <c r="M438" s="19"/>
    </row>
    <row r="439" spans="1:13">
      <c r="A439" s="479">
        <v>4233</v>
      </c>
      <c r="B439" s="19" t="s">
        <v>2149</v>
      </c>
      <c r="C439" t="s">
        <v>157</v>
      </c>
      <c r="D439" s="190">
        <v>4233</v>
      </c>
      <c r="E439" s="484" t="s">
        <v>2150</v>
      </c>
      <c r="F439" s="192">
        <v>4604</v>
      </c>
      <c r="G439" s="481">
        <v>214</v>
      </c>
      <c r="H439" s="19"/>
      <c r="I439" s="19"/>
      <c r="M439" s="19"/>
    </row>
    <row r="440" spans="1:13">
      <c r="A440" s="479">
        <v>4556</v>
      </c>
      <c r="B440" s="19" t="s">
        <v>2151</v>
      </c>
      <c r="C440" t="s">
        <v>157</v>
      </c>
      <c r="D440" s="190">
        <v>4556</v>
      </c>
      <c r="E440" s="484" t="s">
        <v>2131</v>
      </c>
      <c r="F440" s="192">
        <v>5881</v>
      </c>
      <c r="G440" s="481">
        <v>191</v>
      </c>
      <c r="H440" s="19"/>
      <c r="I440" s="19"/>
      <c r="M440" s="19"/>
    </row>
    <row r="441" spans="1:13">
      <c r="A441" s="479">
        <v>4232</v>
      </c>
      <c r="B441" s="19" t="s">
        <v>2152</v>
      </c>
      <c r="C441" t="s">
        <v>157</v>
      </c>
      <c r="D441" s="190">
        <v>4232</v>
      </c>
      <c r="E441" s="484" t="s">
        <v>2153</v>
      </c>
      <c r="F441" s="192">
        <v>5277</v>
      </c>
      <c r="G441" s="481">
        <v>239</v>
      </c>
      <c r="H441" s="19"/>
      <c r="I441" s="19"/>
      <c r="M441" s="19"/>
    </row>
    <row r="442" spans="1:13">
      <c r="A442" s="479">
        <v>4715</v>
      </c>
      <c r="B442" s="19" t="s">
        <v>2154</v>
      </c>
      <c r="C442" t="s">
        <v>157</v>
      </c>
      <c r="D442" s="190">
        <v>4715</v>
      </c>
      <c r="E442" s="484" t="s">
        <v>2155</v>
      </c>
      <c r="F442" s="192">
        <v>5217</v>
      </c>
      <c r="G442" s="481">
        <v>183</v>
      </c>
      <c r="H442" s="19"/>
      <c r="I442" s="19"/>
      <c r="M442" s="19"/>
    </row>
    <row r="443" spans="1:13">
      <c r="A443" s="479">
        <v>4715</v>
      </c>
      <c r="B443" s="19" t="s">
        <v>2156</v>
      </c>
      <c r="C443" t="s">
        <v>157</v>
      </c>
      <c r="D443" s="190">
        <v>4715</v>
      </c>
      <c r="E443" s="484" t="s">
        <v>2157</v>
      </c>
      <c r="F443" s="192">
        <v>4571</v>
      </c>
      <c r="G443" s="481">
        <v>227</v>
      </c>
      <c r="H443" s="19"/>
      <c r="I443" s="19"/>
      <c r="M443" s="19"/>
    </row>
    <row r="444" spans="1:13">
      <c r="A444" s="479">
        <v>4468</v>
      </c>
      <c r="B444" s="19" t="s">
        <v>2158</v>
      </c>
      <c r="C444" t="s">
        <v>157</v>
      </c>
      <c r="D444" s="190">
        <v>4468</v>
      </c>
      <c r="E444" s="484" t="s">
        <v>2159</v>
      </c>
      <c r="F444" s="192">
        <v>5518</v>
      </c>
      <c r="G444" s="481">
        <v>184</v>
      </c>
      <c r="H444" s="19"/>
      <c r="I444" s="19"/>
      <c r="M444" s="19"/>
    </row>
    <row r="445" spans="1:13">
      <c r="A445" s="479">
        <v>4247</v>
      </c>
      <c r="B445" s="19" t="s">
        <v>2160</v>
      </c>
      <c r="C445" t="s">
        <v>157</v>
      </c>
      <c r="D445" s="190">
        <v>4247</v>
      </c>
      <c r="E445" s="484" t="s">
        <v>2161</v>
      </c>
      <c r="F445" s="192">
        <v>4709</v>
      </c>
      <c r="G445" s="481">
        <v>216</v>
      </c>
      <c r="H445" s="19"/>
      <c r="I445" s="19"/>
      <c r="M445" s="19"/>
    </row>
    <row r="446" spans="1:13">
      <c r="A446" s="479">
        <v>4634</v>
      </c>
      <c r="B446" s="19" t="s">
        <v>2162</v>
      </c>
      <c r="C446" t="s">
        <v>157</v>
      </c>
      <c r="D446" s="190">
        <v>4634</v>
      </c>
      <c r="E446" s="484" t="s">
        <v>2163</v>
      </c>
      <c r="F446" s="192">
        <v>5776</v>
      </c>
      <c r="G446" s="481">
        <v>188</v>
      </c>
      <c r="H446" s="19"/>
      <c r="I446" s="19"/>
      <c r="M446" s="19"/>
    </row>
    <row r="447" spans="1:13">
      <c r="A447" s="479">
        <v>5012</v>
      </c>
      <c r="B447" s="19" t="s">
        <v>2164</v>
      </c>
      <c r="C447" t="s">
        <v>157</v>
      </c>
      <c r="D447" s="190">
        <v>5012</v>
      </c>
      <c r="E447" s="484" t="s">
        <v>2165</v>
      </c>
      <c r="F447" s="192">
        <v>7378</v>
      </c>
      <c r="G447" s="481">
        <v>114</v>
      </c>
      <c r="H447" s="19"/>
      <c r="I447" s="19"/>
      <c r="M447" s="19"/>
    </row>
    <row r="448" spans="1:13">
      <c r="A448" s="479">
        <v>4584</v>
      </c>
      <c r="B448" s="19" t="s">
        <v>2166</v>
      </c>
      <c r="C448" t="s">
        <v>157</v>
      </c>
      <c r="D448" s="190">
        <v>4584</v>
      </c>
      <c r="E448" s="484" t="s">
        <v>2167</v>
      </c>
      <c r="F448" s="192">
        <v>5567</v>
      </c>
      <c r="G448" s="481">
        <v>225</v>
      </c>
      <c r="H448" s="19"/>
      <c r="I448" s="19"/>
      <c r="M448" s="19"/>
    </row>
    <row r="449" spans="1:13">
      <c r="A449" s="479">
        <v>4585</v>
      </c>
      <c r="B449" s="19" t="s">
        <v>2168</v>
      </c>
      <c r="C449" t="s">
        <v>157</v>
      </c>
      <c r="D449" s="190">
        <v>4585</v>
      </c>
      <c r="E449" s="484" t="s">
        <v>2169</v>
      </c>
      <c r="F449" s="192">
        <v>5326</v>
      </c>
      <c r="G449" s="481">
        <v>225</v>
      </c>
      <c r="H449" s="19"/>
      <c r="I449" s="19"/>
      <c r="M449" s="19"/>
    </row>
    <row r="450" spans="1:13">
      <c r="A450" s="479">
        <v>4633</v>
      </c>
      <c r="B450" s="19" t="s">
        <v>2170</v>
      </c>
      <c r="C450" t="s">
        <v>157</v>
      </c>
      <c r="D450" s="190">
        <v>4633</v>
      </c>
      <c r="E450" s="484" t="s">
        <v>2171</v>
      </c>
      <c r="F450" s="192">
        <v>4777</v>
      </c>
      <c r="G450" s="481">
        <v>230</v>
      </c>
      <c r="H450" s="19"/>
      <c r="I450" s="19"/>
      <c r="M450" s="19"/>
    </row>
    <row r="451" spans="1:13">
      <c r="A451" s="479">
        <v>4229</v>
      </c>
      <c r="B451" s="19" t="s">
        <v>2172</v>
      </c>
      <c r="C451" t="s">
        <v>157</v>
      </c>
      <c r="D451" s="190">
        <v>4229</v>
      </c>
      <c r="E451" s="484" t="s">
        <v>2173</v>
      </c>
      <c r="F451" s="192">
        <v>5581</v>
      </c>
      <c r="G451" s="481">
        <v>56</v>
      </c>
      <c r="H451" s="19"/>
      <c r="I451" s="19"/>
      <c r="M451" s="19"/>
    </row>
    <row r="452" spans="1:13">
      <c r="A452" s="479">
        <v>4586</v>
      </c>
      <c r="B452" s="19" t="s">
        <v>2174</v>
      </c>
      <c r="C452" t="s">
        <v>157</v>
      </c>
      <c r="D452" s="190">
        <v>4586</v>
      </c>
      <c r="E452" s="484" t="s">
        <v>2175</v>
      </c>
      <c r="F452" s="192">
        <v>5943</v>
      </c>
      <c r="G452" s="481">
        <v>163</v>
      </c>
      <c r="H452" s="19"/>
      <c r="I452" s="19"/>
      <c r="M452" s="19"/>
    </row>
    <row r="453" spans="1:13">
      <c r="A453" s="479">
        <v>4514</v>
      </c>
      <c r="B453" s="19" t="s">
        <v>2176</v>
      </c>
      <c r="C453" t="s">
        <v>157</v>
      </c>
      <c r="D453" s="190">
        <v>4514</v>
      </c>
      <c r="E453" s="484" t="s">
        <v>2177</v>
      </c>
      <c r="F453" s="192">
        <v>4444</v>
      </c>
      <c r="G453" s="481">
        <v>225</v>
      </c>
      <c r="H453" s="19"/>
      <c r="I453" s="19"/>
      <c r="M453" s="19"/>
    </row>
    <row r="454" spans="1:13">
      <c r="A454" s="479">
        <v>4544</v>
      </c>
      <c r="B454" s="19" t="s">
        <v>2178</v>
      </c>
      <c r="C454" t="s">
        <v>157</v>
      </c>
      <c r="D454" s="190">
        <v>4544</v>
      </c>
      <c r="E454" s="484" t="s">
        <v>2179</v>
      </c>
      <c r="F454" s="192">
        <v>5696</v>
      </c>
      <c r="G454" s="481">
        <v>225</v>
      </c>
      <c r="H454" s="19"/>
      <c r="I454" s="19"/>
      <c r="M454" s="19"/>
    </row>
    <row r="455" spans="1:13">
      <c r="A455" s="479">
        <v>4655</v>
      </c>
      <c r="B455" s="19" t="s">
        <v>2180</v>
      </c>
      <c r="C455" t="s">
        <v>157</v>
      </c>
      <c r="D455" s="190">
        <v>4655</v>
      </c>
      <c r="E455" s="484" t="s">
        <v>2181</v>
      </c>
      <c r="F455" s="192">
        <v>6425</v>
      </c>
      <c r="G455" s="481">
        <v>225</v>
      </c>
      <c r="H455" s="19"/>
      <c r="I455" s="19"/>
      <c r="M455" s="19"/>
    </row>
    <row r="456" spans="1:13">
      <c r="A456" s="479">
        <v>4718</v>
      </c>
      <c r="B456" s="19" t="s">
        <v>2182</v>
      </c>
      <c r="C456" t="s">
        <v>157</v>
      </c>
      <c r="D456" s="190">
        <v>4718</v>
      </c>
      <c r="E456" s="484" t="s">
        <v>2183</v>
      </c>
      <c r="F456" s="192">
        <v>5323</v>
      </c>
      <c r="G456" s="481">
        <v>225</v>
      </c>
      <c r="H456" s="19"/>
      <c r="I456" s="19"/>
      <c r="M456" s="19"/>
    </row>
    <row r="457" spans="1:13">
      <c r="A457" s="479">
        <v>4535</v>
      </c>
      <c r="B457" s="19" t="s">
        <v>2184</v>
      </c>
      <c r="C457" t="s">
        <v>157</v>
      </c>
      <c r="D457" s="190">
        <v>4535</v>
      </c>
      <c r="E457" s="484" t="s">
        <v>2185</v>
      </c>
      <c r="F457" s="192">
        <v>6054</v>
      </c>
      <c r="G457" s="481">
        <v>225</v>
      </c>
      <c r="H457" s="19"/>
      <c r="I457" s="19"/>
      <c r="M457" s="19"/>
    </row>
    <row r="458" spans="1:13">
      <c r="A458" s="479">
        <v>3000</v>
      </c>
      <c r="B458" s="19" t="s">
        <v>164</v>
      </c>
      <c r="C458" t="s">
        <v>138</v>
      </c>
      <c r="D458" s="190">
        <v>3000</v>
      </c>
      <c r="E458" s="192">
        <v>9561</v>
      </c>
      <c r="F458" s="192">
        <v>9073</v>
      </c>
      <c r="G458" s="481">
        <v>310</v>
      </c>
      <c r="H458" s="19"/>
      <c r="I458" s="19"/>
      <c r="M458" s="19"/>
    </row>
    <row r="459" spans="1:13">
      <c r="A459" s="479">
        <v>2500</v>
      </c>
      <c r="B459" s="19" t="s">
        <v>2186</v>
      </c>
      <c r="C459" t="s">
        <v>138</v>
      </c>
      <c r="D459" s="190">
        <v>2500</v>
      </c>
      <c r="E459" s="192">
        <v>6546</v>
      </c>
      <c r="F459" s="192">
        <v>6206</v>
      </c>
      <c r="G459" s="481">
        <v>237</v>
      </c>
      <c r="H459" s="19"/>
      <c r="I459" s="19"/>
      <c r="M459" s="19"/>
    </row>
    <row r="460" spans="1:13">
      <c r="A460" s="479">
        <v>3600</v>
      </c>
      <c r="B460" s="19" t="s">
        <v>2187</v>
      </c>
      <c r="C460" t="s">
        <v>138</v>
      </c>
      <c r="D460" s="190">
        <v>3600</v>
      </c>
      <c r="E460" s="192">
        <v>7736</v>
      </c>
      <c r="F460" s="192">
        <v>8892</v>
      </c>
      <c r="G460" s="481">
        <v>256</v>
      </c>
      <c r="H460" s="19"/>
      <c r="I460" s="19"/>
      <c r="M460" s="19"/>
    </row>
    <row r="461" spans="1:13">
      <c r="A461" s="479">
        <v>3098</v>
      </c>
      <c r="B461" s="19" t="s">
        <v>2188</v>
      </c>
      <c r="C461" t="s">
        <v>138</v>
      </c>
      <c r="D461" s="190">
        <v>3098</v>
      </c>
      <c r="E461" s="192">
        <v>8413</v>
      </c>
      <c r="F461" s="192">
        <v>8291</v>
      </c>
      <c r="G461" s="481">
        <v>278</v>
      </c>
      <c r="H461" s="19"/>
      <c r="I461" s="19"/>
      <c r="M461" s="19"/>
    </row>
    <row r="462" spans="1:13">
      <c r="A462" s="479">
        <v>3072</v>
      </c>
      <c r="B462" s="19" t="s">
        <v>2189</v>
      </c>
      <c r="C462" t="s">
        <v>138</v>
      </c>
      <c r="D462" s="190">
        <v>3072</v>
      </c>
      <c r="E462" s="192">
        <v>8050</v>
      </c>
      <c r="F462" s="192">
        <v>8767</v>
      </c>
      <c r="G462" s="481">
        <v>278</v>
      </c>
      <c r="H462" s="19"/>
      <c r="I462" s="19"/>
      <c r="M462" s="19"/>
    </row>
    <row r="463" spans="1:13">
      <c r="A463" s="479">
        <v>3400</v>
      </c>
      <c r="B463" s="19" t="s">
        <v>2190</v>
      </c>
      <c r="C463" t="s">
        <v>138</v>
      </c>
      <c r="D463" s="190">
        <v>3400</v>
      </c>
      <c r="E463" s="192">
        <v>6333</v>
      </c>
      <c r="F463" s="192">
        <v>6310</v>
      </c>
      <c r="G463" s="481">
        <v>235</v>
      </c>
      <c r="H463" s="19"/>
      <c r="I463" s="19"/>
      <c r="M463" s="19"/>
    </row>
    <row r="464" spans="1:13">
      <c r="A464" s="479">
        <v>3612</v>
      </c>
      <c r="B464" s="19" t="s">
        <v>2191</v>
      </c>
      <c r="C464" t="s">
        <v>138</v>
      </c>
      <c r="D464" s="190">
        <v>3612</v>
      </c>
      <c r="E464" s="192">
        <v>7474</v>
      </c>
      <c r="F464" s="192">
        <v>8139</v>
      </c>
      <c r="G464" s="481">
        <v>245</v>
      </c>
      <c r="H464" s="19"/>
      <c r="I464" s="19"/>
      <c r="M464" s="19"/>
    </row>
    <row r="465" spans="1:13">
      <c r="A465" s="479">
        <v>4900</v>
      </c>
      <c r="B465" s="19" t="s">
        <v>1591</v>
      </c>
      <c r="C465" t="s">
        <v>138</v>
      </c>
      <c r="D465" s="190">
        <v>4900</v>
      </c>
      <c r="E465" s="192">
        <v>5688</v>
      </c>
      <c r="F465" s="192">
        <v>6042</v>
      </c>
      <c r="G465" s="481">
        <v>220</v>
      </c>
      <c r="H465" s="19"/>
      <c r="I465" s="19"/>
      <c r="M465" s="19"/>
    </row>
    <row r="466" spans="1:13">
      <c r="A466" s="479">
        <v>3250</v>
      </c>
      <c r="B466" s="19" t="s">
        <v>2192</v>
      </c>
      <c r="C466" t="s">
        <v>138</v>
      </c>
      <c r="D466" s="190">
        <v>3250</v>
      </c>
      <c r="E466" s="192">
        <v>6091</v>
      </c>
      <c r="F466" s="192">
        <v>6224</v>
      </c>
      <c r="G466" s="481">
        <v>231</v>
      </c>
      <c r="H466" s="19"/>
      <c r="I466" s="19"/>
      <c r="M466" s="19"/>
    </row>
    <row r="467" spans="1:13">
      <c r="A467" s="479">
        <v>3074</v>
      </c>
      <c r="B467" s="19" t="s">
        <v>2193</v>
      </c>
      <c r="C467" t="s">
        <v>138</v>
      </c>
      <c r="D467" s="190">
        <v>3074</v>
      </c>
      <c r="E467" s="192">
        <v>8502</v>
      </c>
      <c r="F467" s="192">
        <v>9619</v>
      </c>
      <c r="G467" s="481">
        <v>281</v>
      </c>
      <c r="H467" s="19"/>
      <c r="I467" s="19"/>
      <c r="M467" s="19"/>
    </row>
    <row r="468" spans="1:13">
      <c r="A468" s="479">
        <v>3700</v>
      </c>
      <c r="B468" s="19" t="s">
        <v>2194</v>
      </c>
      <c r="C468" t="s">
        <v>138</v>
      </c>
      <c r="D468" s="190">
        <v>3700</v>
      </c>
      <c r="E468" s="192">
        <v>7023</v>
      </c>
      <c r="F468" s="192">
        <v>7542</v>
      </c>
      <c r="G468" s="481">
        <v>263</v>
      </c>
      <c r="H468" s="19"/>
      <c r="I468" s="19"/>
      <c r="M468" s="19"/>
    </row>
    <row r="469" spans="1:13">
      <c r="A469" s="479">
        <v>3110</v>
      </c>
      <c r="B469" s="19" t="s">
        <v>2195</v>
      </c>
      <c r="C469" t="s">
        <v>138</v>
      </c>
      <c r="D469" s="190">
        <v>3110</v>
      </c>
      <c r="E469" s="192">
        <v>7445</v>
      </c>
      <c r="F469" s="192">
        <v>8298</v>
      </c>
      <c r="G469" s="481">
        <v>257</v>
      </c>
      <c r="H469" s="19"/>
      <c r="I469" s="19"/>
      <c r="M469" s="19"/>
    </row>
    <row r="470" spans="1:13">
      <c r="A470" s="479">
        <v>3123</v>
      </c>
      <c r="B470" s="19" t="s">
        <v>2196</v>
      </c>
      <c r="C470" t="s">
        <v>138</v>
      </c>
      <c r="D470" s="190">
        <v>3123</v>
      </c>
      <c r="E470" s="192">
        <v>7373</v>
      </c>
      <c r="F470" s="192">
        <v>7639</v>
      </c>
      <c r="G470" s="481">
        <v>245</v>
      </c>
      <c r="H470" s="19"/>
      <c r="I470" s="19"/>
      <c r="M470" s="19"/>
    </row>
    <row r="471" spans="1:13">
      <c r="A471" s="479">
        <v>3076</v>
      </c>
      <c r="B471" s="19" t="s">
        <v>2197</v>
      </c>
      <c r="C471" t="s">
        <v>138</v>
      </c>
      <c r="D471" s="190">
        <v>3076</v>
      </c>
      <c r="E471" s="192">
        <v>6510</v>
      </c>
      <c r="F471" s="192">
        <v>6738</v>
      </c>
      <c r="G471" s="481">
        <v>238</v>
      </c>
      <c r="H471" s="19"/>
      <c r="I471" s="19"/>
      <c r="M471" s="19"/>
    </row>
    <row r="472" spans="1:13">
      <c r="A472" s="479">
        <v>3063</v>
      </c>
      <c r="B472" s="19" t="s">
        <v>2198</v>
      </c>
      <c r="C472" t="s">
        <v>138</v>
      </c>
      <c r="D472" s="190">
        <v>3063</v>
      </c>
      <c r="E472" s="192">
        <v>7260</v>
      </c>
      <c r="F472" s="192">
        <v>8901</v>
      </c>
      <c r="G472" s="481">
        <v>255</v>
      </c>
      <c r="H472" s="19"/>
      <c r="I472" s="19"/>
      <c r="M472" s="19"/>
    </row>
    <row r="473" spans="1:13">
      <c r="A473" s="479">
        <v>3052</v>
      </c>
      <c r="B473" s="19" t="s">
        <v>2199</v>
      </c>
      <c r="C473" t="s">
        <v>138</v>
      </c>
      <c r="D473" s="190">
        <v>3052</v>
      </c>
      <c r="E473" s="192">
        <v>7427</v>
      </c>
      <c r="F473" s="192">
        <v>8355</v>
      </c>
      <c r="G473" s="481">
        <v>259</v>
      </c>
      <c r="H473" s="19"/>
      <c r="I473" s="19"/>
      <c r="M473" s="19"/>
    </row>
    <row r="474" spans="1:13">
      <c r="A474" s="479">
        <v>3053</v>
      </c>
      <c r="B474" s="19" t="s">
        <v>2200</v>
      </c>
      <c r="C474" t="s">
        <v>138</v>
      </c>
      <c r="D474" s="190">
        <v>3053</v>
      </c>
      <c r="E474" s="192">
        <v>7137</v>
      </c>
      <c r="F474" s="192">
        <v>7816</v>
      </c>
      <c r="G474" s="481">
        <v>252</v>
      </c>
      <c r="H474" s="19"/>
      <c r="I474" s="19"/>
      <c r="M474" s="19"/>
    </row>
    <row r="475" spans="1:13">
      <c r="A475" s="479">
        <v>3550</v>
      </c>
      <c r="B475" s="19" t="s">
        <v>2201</v>
      </c>
      <c r="C475" t="s">
        <v>138</v>
      </c>
      <c r="D475" s="190">
        <v>3550</v>
      </c>
      <c r="E475" s="192">
        <v>6155</v>
      </c>
      <c r="F475" s="192">
        <v>5058</v>
      </c>
      <c r="G475" s="481">
        <v>221</v>
      </c>
      <c r="H475" s="19"/>
      <c r="I475" s="19"/>
      <c r="M475" s="19"/>
    </row>
    <row r="476" spans="1:13">
      <c r="A476" s="479">
        <v>3033</v>
      </c>
      <c r="B476" s="19" t="s">
        <v>2202</v>
      </c>
      <c r="C476" t="s">
        <v>138</v>
      </c>
      <c r="D476" s="190">
        <v>3033</v>
      </c>
      <c r="E476" s="192">
        <v>6723</v>
      </c>
      <c r="F476" s="192">
        <v>7624</v>
      </c>
      <c r="G476" s="481">
        <v>246</v>
      </c>
      <c r="H476" s="19"/>
      <c r="I476" s="19"/>
      <c r="M476" s="19"/>
    </row>
    <row r="477" spans="1:13">
      <c r="A477" s="479">
        <v>2740</v>
      </c>
      <c r="B477" s="19" t="s">
        <v>2203</v>
      </c>
      <c r="C477" t="s">
        <v>138</v>
      </c>
      <c r="D477" s="190">
        <v>2740</v>
      </c>
      <c r="E477" s="192">
        <v>3650</v>
      </c>
      <c r="F477" s="192">
        <v>4937</v>
      </c>
      <c r="G477" s="481">
        <v>174</v>
      </c>
      <c r="H477" s="19"/>
      <c r="I477" s="19"/>
      <c r="M477" s="19"/>
    </row>
    <row r="478" spans="1:13">
      <c r="A478" s="479">
        <v>3360</v>
      </c>
      <c r="B478" s="19" t="s">
        <v>2204</v>
      </c>
      <c r="C478" t="s">
        <v>138</v>
      </c>
      <c r="D478" s="190">
        <v>3360</v>
      </c>
      <c r="E478" s="192">
        <v>5104</v>
      </c>
      <c r="F478" s="192">
        <v>5695</v>
      </c>
      <c r="G478" s="481">
        <v>210</v>
      </c>
      <c r="H478" s="19"/>
      <c r="I478" s="19"/>
      <c r="M478" s="19"/>
    </row>
    <row r="479" spans="1:13">
      <c r="A479" s="479">
        <v>3714</v>
      </c>
      <c r="B479" s="19" t="s">
        <v>2205</v>
      </c>
      <c r="C479" t="s">
        <v>138</v>
      </c>
      <c r="D479" s="190">
        <v>3714</v>
      </c>
      <c r="E479" s="192">
        <v>6251</v>
      </c>
      <c r="F479" s="192">
        <v>5486</v>
      </c>
      <c r="G479" s="481">
        <v>207</v>
      </c>
      <c r="H479" s="19"/>
      <c r="I479" s="19"/>
      <c r="M479" s="19"/>
    </row>
    <row r="480" spans="1:13">
      <c r="A480" s="479">
        <v>3792</v>
      </c>
      <c r="B480" s="19" t="s">
        <v>2206</v>
      </c>
      <c r="C480" t="s">
        <v>138</v>
      </c>
      <c r="D480" s="190">
        <v>3792</v>
      </c>
      <c r="E480" s="192">
        <v>17679</v>
      </c>
      <c r="F480" s="192">
        <v>23402</v>
      </c>
      <c r="G480" s="481">
        <v>419</v>
      </c>
      <c r="H480" s="19"/>
      <c r="I480" s="19"/>
      <c r="M480" s="19"/>
    </row>
    <row r="481" spans="1:13">
      <c r="A481" s="479">
        <v>2560</v>
      </c>
      <c r="B481" s="19" t="s">
        <v>2207</v>
      </c>
      <c r="C481" t="s">
        <v>138</v>
      </c>
      <c r="D481" s="190">
        <v>2560</v>
      </c>
      <c r="E481" s="192">
        <v>7209</v>
      </c>
      <c r="F481" s="192">
        <v>6749</v>
      </c>
      <c r="G481" s="481">
        <v>216</v>
      </c>
      <c r="H481" s="19"/>
      <c r="I481" s="19"/>
      <c r="M481" s="19"/>
    </row>
    <row r="482" spans="1:13">
      <c r="A482" s="479">
        <v>3150</v>
      </c>
      <c r="B482" s="19" t="s">
        <v>2208</v>
      </c>
      <c r="C482" t="s">
        <v>138</v>
      </c>
      <c r="D482" s="190">
        <v>3150</v>
      </c>
      <c r="E482" s="192">
        <v>5519</v>
      </c>
      <c r="F482" s="192">
        <v>5940</v>
      </c>
      <c r="G482" s="481">
        <v>213</v>
      </c>
      <c r="H482" s="19"/>
      <c r="I482" s="19"/>
      <c r="M482" s="19"/>
    </row>
    <row r="483" spans="1:13">
      <c r="A483" s="479">
        <v>3627</v>
      </c>
      <c r="B483" s="19" t="s">
        <v>2209</v>
      </c>
      <c r="C483" t="s">
        <v>138</v>
      </c>
      <c r="D483" s="190">
        <v>3627</v>
      </c>
      <c r="E483" s="192">
        <v>6669</v>
      </c>
      <c r="F483" s="192">
        <v>7036</v>
      </c>
      <c r="G483" s="481">
        <v>247</v>
      </c>
      <c r="H483" s="19"/>
      <c r="I483" s="19"/>
      <c r="M483" s="19"/>
    </row>
    <row r="484" spans="1:13">
      <c r="A484" s="479">
        <v>3065</v>
      </c>
      <c r="B484" s="19" t="s">
        <v>2210</v>
      </c>
      <c r="C484" t="s">
        <v>138</v>
      </c>
      <c r="D484" s="190">
        <v>3065</v>
      </c>
      <c r="E484" s="192">
        <v>8399</v>
      </c>
      <c r="F484" s="192">
        <v>8591</v>
      </c>
      <c r="G484" s="481">
        <v>248</v>
      </c>
      <c r="H484" s="19"/>
      <c r="I484" s="19"/>
      <c r="M484" s="19"/>
    </row>
    <row r="485" spans="1:13">
      <c r="A485" s="479">
        <v>3322</v>
      </c>
      <c r="B485" s="19" t="s">
        <v>2211</v>
      </c>
      <c r="C485" t="s">
        <v>138</v>
      </c>
      <c r="D485" s="190">
        <v>3322</v>
      </c>
      <c r="E485" s="192">
        <v>8401</v>
      </c>
      <c r="F485" s="192">
        <v>7017</v>
      </c>
      <c r="G485" s="481">
        <v>239</v>
      </c>
      <c r="H485" s="19"/>
      <c r="I485" s="19"/>
      <c r="M485" s="19"/>
    </row>
    <row r="486" spans="1:13">
      <c r="A486" s="479">
        <v>3661</v>
      </c>
      <c r="B486" s="19" t="s">
        <v>2212</v>
      </c>
      <c r="C486" t="s">
        <v>138</v>
      </c>
      <c r="D486" s="190">
        <v>3661</v>
      </c>
      <c r="E486" s="192">
        <v>6686</v>
      </c>
      <c r="F486" s="192">
        <v>7645</v>
      </c>
      <c r="G486" s="481">
        <v>240</v>
      </c>
      <c r="H486" s="19"/>
      <c r="I486" s="19"/>
      <c r="M486" s="19"/>
    </row>
    <row r="487" spans="1:13">
      <c r="A487" s="479">
        <v>3422</v>
      </c>
      <c r="B487" s="19" t="s">
        <v>2213</v>
      </c>
      <c r="C487" t="s">
        <v>138</v>
      </c>
      <c r="D487" s="190">
        <v>3422</v>
      </c>
      <c r="E487" s="192">
        <v>6186</v>
      </c>
      <c r="F487" s="192">
        <v>5668</v>
      </c>
      <c r="G487" s="481">
        <v>215</v>
      </c>
      <c r="H487" s="19"/>
      <c r="I487" s="19"/>
      <c r="M487" s="19"/>
    </row>
    <row r="488" spans="1:13">
      <c r="A488" s="479">
        <v>3800</v>
      </c>
      <c r="B488" s="19" t="s">
        <v>2214</v>
      </c>
      <c r="C488" t="s">
        <v>138</v>
      </c>
      <c r="D488" s="190">
        <v>3800</v>
      </c>
      <c r="E488" s="192">
        <v>8407</v>
      </c>
      <c r="F488" s="192">
        <v>7737</v>
      </c>
      <c r="G488" s="481">
        <v>261</v>
      </c>
      <c r="H488" s="19"/>
      <c r="I488" s="19"/>
      <c r="M488" s="19"/>
    </row>
    <row r="489" spans="1:13">
      <c r="A489" s="479">
        <v>3303</v>
      </c>
      <c r="B489" s="19" t="s">
        <v>2215</v>
      </c>
      <c r="C489" t="s">
        <v>138</v>
      </c>
      <c r="D489" s="190">
        <v>3303</v>
      </c>
      <c r="E489" s="192">
        <v>7595</v>
      </c>
      <c r="F489" s="192">
        <v>7021</v>
      </c>
      <c r="G489" s="481">
        <v>248</v>
      </c>
      <c r="H489" s="19"/>
      <c r="I489" s="19"/>
      <c r="M489" s="19"/>
    </row>
    <row r="490" spans="1:13">
      <c r="A490" s="479">
        <v>3800</v>
      </c>
      <c r="B490" s="19" t="s">
        <v>2216</v>
      </c>
      <c r="C490" t="s">
        <v>138</v>
      </c>
      <c r="D490" s="190">
        <v>3800</v>
      </c>
      <c r="E490" s="192">
        <v>8453</v>
      </c>
      <c r="F490" s="192">
        <v>7987</v>
      </c>
      <c r="G490" s="481">
        <v>258</v>
      </c>
      <c r="H490" s="19"/>
      <c r="I490" s="19"/>
      <c r="M490" s="19"/>
    </row>
    <row r="491" spans="1:13">
      <c r="A491" s="479">
        <v>3176</v>
      </c>
      <c r="B491" s="19" t="s">
        <v>2217</v>
      </c>
      <c r="C491" t="s">
        <v>138</v>
      </c>
      <c r="D491" s="190">
        <v>3176</v>
      </c>
      <c r="E491" s="192">
        <v>6299</v>
      </c>
      <c r="F491" s="192">
        <v>6443</v>
      </c>
      <c r="G491" s="481">
        <v>240</v>
      </c>
      <c r="H491" s="19"/>
      <c r="I491" s="19"/>
      <c r="M491" s="19"/>
    </row>
    <row r="492" spans="1:13">
      <c r="A492" s="479">
        <v>3510</v>
      </c>
      <c r="B492" s="19" t="s">
        <v>2218</v>
      </c>
      <c r="C492" t="s">
        <v>138</v>
      </c>
      <c r="D492" s="190">
        <v>3510</v>
      </c>
      <c r="E492" s="192">
        <v>7042</v>
      </c>
      <c r="F492" s="192">
        <v>8504</v>
      </c>
      <c r="G492" s="481">
        <v>230</v>
      </c>
      <c r="H492" s="19"/>
      <c r="I492" s="19"/>
      <c r="M492" s="19"/>
    </row>
    <row r="493" spans="1:13">
      <c r="A493" s="479">
        <v>3067</v>
      </c>
      <c r="B493" s="19" t="s">
        <v>2219</v>
      </c>
      <c r="C493" t="s">
        <v>138</v>
      </c>
      <c r="D493" s="190">
        <v>3067</v>
      </c>
      <c r="E493" s="192">
        <v>7555</v>
      </c>
      <c r="F493" s="192">
        <v>7258</v>
      </c>
      <c r="G493" s="481">
        <v>273</v>
      </c>
      <c r="H493" s="19"/>
      <c r="I493" s="19"/>
      <c r="M493" s="19"/>
    </row>
    <row r="494" spans="1:13">
      <c r="A494" s="479">
        <v>2543</v>
      </c>
      <c r="B494" s="19" t="s">
        <v>2220</v>
      </c>
      <c r="C494" t="s">
        <v>138</v>
      </c>
      <c r="D494" s="190">
        <v>2543</v>
      </c>
      <c r="E494" s="192">
        <v>4967</v>
      </c>
      <c r="F494" s="192">
        <v>5745</v>
      </c>
      <c r="G494" s="481">
        <v>229</v>
      </c>
      <c r="H494" s="19"/>
      <c r="I494" s="19"/>
      <c r="M494" s="19"/>
    </row>
    <row r="495" spans="1:13">
      <c r="A495" s="479">
        <v>2610</v>
      </c>
      <c r="B495" s="19" t="s">
        <v>2221</v>
      </c>
      <c r="C495" t="s">
        <v>138</v>
      </c>
      <c r="D495" s="190">
        <v>2610</v>
      </c>
      <c r="E495" s="192">
        <v>4050</v>
      </c>
      <c r="F495" s="192">
        <v>5017</v>
      </c>
      <c r="G495" s="481">
        <v>172</v>
      </c>
      <c r="H495" s="19"/>
      <c r="I495" s="19"/>
      <c r="M495" s="19"/>
    </row>
    <row r="496" spans="1:13">
      <c r="A496" s="479">
        <v>3454</v>
      </c>
      <c r="B496" s="19" t="s">
        <v>2222</v>
      </c>
      <c r="C496" t="s">
        <v>138</v>
      </c>
      <c r="D496" s="190">
        <v>3454</v>
      </c>
      <c r="E496" s="192">
        <v>4309</v>
      </c>
      <c r="F496" s="192">
        <v>4350</v>
      </c>
      <c r="G496" s="481">
        <v>179</v>
      </c>
      <c r="H496" s="19"/>
      <c r="I496" s="19"/>
      <c r="M496" s="19"/>
    </row>
    <row r="497" spans="1:13">
      <c r="A497" s="479">
        <v>3312</v>
      </c>
      <c r="B497" s="19" t="s">
        <v>2223</v>
      </c>
      <c r="C497" t="s">
        <v>138</v>
      </c>
      <c r="D497" s="190">
        <v>3312</v>
      </c>
      <c r="E497" s="192">
        <v>5996</v>
      </c>
      <c r="F497" s="192">
        <v>6155</v>
      </c>
      <c r="G497" s="481">
        <v>214</v>
      </c>
      <c r="H497" s="19"/>
      <c r="I497" s="19"/>
      <c r="M497" s="19"/>
    </row>
    <row r="498" spans="1:13">
      <c r="A498" s="479">
        <v>4950</v>
      </c>
      <c r="B498" s="19" t="s">
        <v>2224</v>
      </c>
      <c r="C498" t="s">
        <v>138</v>
      </c>
      <c r="D498" s="190">
        <v>4950</v>
      </c>
      <c r="E498" s="192">
        <v>5491</v>
      </c>
      <c r="F498" s="192">
        <v>5238</v>
      </c>
      <c r="G498" s="481">
        <v>199</v>
      </c>
      <c r="H498" s="19"/>
      <c r="I498" s="19"/>
      <c r="M498" s="19"/>
    </row>
    <row r="499" spans="1:13">
      <c r="A499" s="479">
        <v>3655</v>
      </c>
      <c r="B499" s="19" t="s">
        <v>2225</v>
      </c>
      <c r="C499" t="s">
        <v>138</v>
      </c>
      <c r="D499" s="190">
        <v>3655</v>
      </c>
      <c r="E499" s="192">
        <v>8595</v>
      </c>
      <c r="F499" s="192">
        <v>8070</v>
      </c>
      <c r="G499" s="481">
        <v>257</v>
      </c>
      <c r="H499" s="19"/>
      <c r="I499" s="19"/>
      <c r="M499" s="19"/>
    </row>
    <row r="500" spans="1:13">
      <c r="A500" s="479">
        <v>4704</v>
      </c>
      <c r="B500" s="19" t="s">
        <v>2226</v>
      </c>
      <c r="C500" t="s">
        <v>138</v>
      </c>
      <c r="D500" s="190">
        <v>4704</v>
      </c>
      <c r="E500" s="192">
        <v>5908</v>
      </c>
      <c r="F500" s="192">
        <v>6027</v>
      </c>
      <c r="G500" s="481">
        <v>196</v>
      </c>
      <c r="H500" s="19"/>
      <c r="I500" s="19"/>
      <c r="M500" s="19"/>
    </row>
    <row r="501" spans="1:13">
      <c r="A501" s="479">
        <v>3860</v>
      </c>
      <c r="B501" s="19" t="s">
        <v>2227</v>
      </c>
      <c r="C501" t="s">
        <v>138</v>
      </c>
      <c r="D501" s="190">
        <v>3860</v>
      </c>
      <c r="E501" s="192">
        <v>5329</v>
      </c>
      <c r="F501" s="192">
        <v>5640</v>
      </c>
      <c r="G501" s="481">
        <v>224</v>
      </c>
      <c r="H501" s="19"/>
      <c r="I501" s="19"/>
      <c r="M501" s="19"/>
    </row>
    <row r="502" spans="1:13">
      <c r="A502" s="479">
        <v>2720</v>
      </c>
      <c r="B502" s="19" t="s">
        <v>2228</v>
      </c>
      <c r="C502" t="s">
        <v>138</v>
      </c>
      <c r="D502" s="190">
        <v>2720</v>
      </c>
      <c r="E502" s="192">
        <v>3874</v>
      </c>
      <c r="F502" s="192">
        <v>4100</v>
      </c>
      <c r="G502" s="481">
        <v>176</v>
      </c>
      <c r="H502" s="19"/>
      <c r="I502" s="19"/>
      <c r="M502" s="19"/>
    </row>
    <row r="503" spans="1:13">
      <c r="A503" s="479">
        <v>3270</v>
      </c>
      <c r="B503" s="19" t="s">
        <v>2229</v>
      </c>
      <c r="C503" t="s">
        <v>138</v>
      </c>
      <c r="D503" s="190">
        <v>3270</v>
      </c>
      <c r="E503" s="192">
        <v>5104</v>
      </c>
      <c r="F503" s="192">
        <v>6514</v>
      </c>
      <c r="G503" s="481">
        <v>221</v>
      </c>
      <c r="H503" s="19"/>
      <c r="I503" s="19"/>
      <c r="M503" s="19"/>
    </row>
    <row r="504" spans="1:13">
      <c r="A504" s="479">
        <v>4912</v>
      </c>
      <c r="B504" s="19" t="s">
        <v>2230</v>
      </c>
      <c r="C504" t="s">
        <v>138</v>
      </c>
      <c r="D504" s="190">
        <v>4912</v>
      </c>
      <c r="E504" s="192">
        <v>5462</v>
      </c>
      <c r="F504" s="192">
        <v>4853</v>
      </c>
      <c r="G504" s="481">
        <v>205</v>
      </c>
      <c r="H504" s="19"/>
      <c r="I504" s="19"/>
      <c r="M504" s="19"/>
    </row>
    <row r="505" spans="1:13">
      <c r="A505" s="479">
        <v>3047</v>
      </c>
      <c r="B505" s="19" t="s">
        <v>2231</v>
      </c>
      <c r="C505" t="s">
        <v>138</v>
      </c>
      <c r="D505" s="190">
        <v>3047</v>
      </c>
      <c r="E505" s="192">
        <v>9488</v>
      </c>
      <c r="F505" s="192">
        <v>8689</v>
      </c>
      <c r="G505" s="481">
        <v>296</v>
      </c>
      <c r="H505" s="19"/>
      <c r="I505" s="19"/>
      <c r="M505" s="19"/>
    </row>
    <row r="506" spans="1:13">
      <c r="A506" s="479">
        <v>3114</v>
      </c>
      <c r="B506" s="19" t="s">
        <v>2232</v>
      </c>
      <c r="C506" t="s">
        <v>138</v>
      </c>
      <c r="D506" s="190">
        <v>3114</v>
      </c>
      <c r="E506" s="192">
        <v>5715</v>
      </c>
      <c r="F506" s="192">
        <v>7201</v>
      </c>
      <c r="G506" s="481">
        <v>241</v>
      </c>
      <c r="H506" s="19"/>
      <c r="I506" s="19"/>
      <c r="M506" s="19"/>
    </row>
    <row r="507" spans="1:13">
      <c r="A507" s="479">
        <v>3427</v>
      </c>
      <c r="B507" s="19" t="s">
        <v>2233</v>
      </c>
      <c r="C507" t="s">
        <v>138</v>
      </c>
      <c r="D507" s="190">
        <v>3427</v>
      </c>
      <c r="E507" s="192">
        <v>5977</v>
      </c>
      <c r="F507" s="192">
        <v>6465</v>
      </c>
      <c r="G507" s="481">
        <v>204</v>
      </c>
      <c r="H507" s="19"/>
      <c r="I507" s="19"/>
      <c r="M507" s="19"/>
    </row>
    <row r="508" spans="1:13">
      <c r="A508" s="479">
        <v>2555</v>
      </c>
      <c r="B508" s="19" t="s">
        <v>2234</v>
      </c>
      <c r="C508" t="s">
        <v>138</v>
      </c>
      <c r="D508" s="190">
        <v>2555</v>
      </c>
      <c r="E508" s="192">
        <v>7289</v>
      </c>
      <c r="F508" s="192">
        <v>6238</v>
      </c>
      <c r="G508" s="481">
        <v>225</v>
      </c>
      <c r="H508" s="19"/>
      <c r="I508" s="19"/>
      <c r="M508" s="19"/>
    </row>
    <row r="509" spans="1:13">
      <c r="A509" s="479">
        <v>3122</v>
      </c>
      <c r="B509" s="19" t="s">
        <v>2235</v>
      </c>
      <c r="C509" t="s">
        <v>138</v>
      </c>
      <c r="D509" s="190">
        <v>3122</v>
      </c>
      <c r="E509" s="192">
        <v>8336</v>
      </c>
      <c r="F509" s="192">
        <v>7612</v>
      </c>
      <c r="G509" s="481">
        <v>245</v>
      </c>
      <c r="H509" s="19"/>
      <c r="I509" s="19"/>
      <c r="M509" s="19"/>
    </row>
    <row r="510" spans="1:13">
      <c r="A510" s="479">
        <v>2542</v>
      </c>
      <c r="B510" s="19" t="s">
        <v>2236</v>
      </c>
      <c r="C510" t="s">
        <v>138</v>
      </c>
      <c r="D510" s="190">
        <v>2542</v>
      </c>
      <c r="E510" s="192">
        <v>5507</v>
      </c>
      <c r="F510" s="192">
        <v>5944</v>
      </c>
      <c r="G510" s="481">
        <v>231</v>
      </c>
      <c r="H510" s="19"/>
      <c r="I510" s="19"/>
      <c r="M510" s="19"/>
    </row>
    <row r="511" spans="1:13">
      <c r="A511" s="479">
        <v>3506</v>
      </c>
      <c r="B511" s="19" t="s">
        <v>2237</v>
      </c>
      <c r="C511" t="s">
        <v>138</v>
      </c>
      <c r="D511" s="190">
        <v>3506</v>
      </c>
      <c r="E511" s="192">
        <v>6633</v>
      </c>
      <c r="F511" s="192">
        <v>7109</v>
      </c>
      <c r="G511" s="481">
        <v>239</v>
      </c>
      <c r="H511" s="19"/>
      <c r="I511" s="19"/>
      <c r="M511" s="19"/>
    </row>
    <row r="512" spans="1:13">
      <c r="A512" s="479">
        <v>3432</v>
      </c>
      <c r="B512" s="19" t="s">
        <v>2238</v>
      </c>
      <c r="C512" t="s">
        <v>138</v>
      </c>
      <c r="D512" s="190">
        <v>3432</v>
      </c>
      <c r="E512" s="192">
        <v>5561</v>
      </c>
      <c r="F512" s="192">
        <v>4570</v>
      </c>
      <c r="G512" s="481">
        <v>200</v>
      </c>
      <c r="H512" s="19"/>
      <c r="I512" s="19"/>
      <c r="M512" s="19"/>
    </row>
    <row r="513" spans="1:13">
      <c r="A513" s="479">
        <v>3302</v>
      </c>
      <c r="B513" s="19" t="s">
        <v>2239</v>
      </c>
      <c r="C513" t="s">
        <v>138</v>
      </c>
      <c r="D513" s="190">
        <v>3302</v>
      </c>
      <c r="E513" s="192">
        <v>8704</v>
      </c>
      <c r="F513" s="192">
        <v>7448</v>
      </c>
      <c r="G513" s="481">
        <v>256</v>
      </c>
      <c r="H513" s="19"/>
      <c r="I513" s="19"/>
      <c r="M513" s="19"/>
    </row>
    <row r="514" spans="1:13">
      <c r="A514" s="479">
        <v>3652</v>
      </c>
      <c r="B514" s="19" t="s">
        <v>2240</v>
      </c>
      <c r="C514" t="s">
        <v>138</v>
      </c>
      <c r="D514" s="190">
        <v>3652</v>
      </c>
      <c r="E514" s="192">
        <v>8916</v>
      </c>
      <c r="F514" s="192">
        <v>8974</v>
      </c>
      <c r="G514" s="481">
        <v>268</v>
      </c>
      <c r="H514" s="19"/>
      <c r="I514" s="19"/>
      <c r="M514" s="19"/>
    </row>
    <row r="515" spans="1:13">
      <c r="A515" s="479">
        <v>3800</v>
      </c>
      <c r="B515" s="19" t="s">
        <v>2241</v>
      </c>
      <c r="C515" t="s">
        <v>138</v>
      </c>
      <c r="D515" s="190">
        <v>3800</v>
      </c>
      <c r="E515" s="192">
        <v>8100</v>
      </c>
      <c r="F515" s="192">
        <v>7360</v>
      </c>
      <c r="G515" s="481">
        <v>265</v>
      </c>
      <c r="H515" s="19"/>
      <c r="I515" s="19"/>
      <c r="M515" s="19"/>
    </row>
    <row r="516" spans="1:13">
      <c r="A516" s="479">
        <v>4914</v>
      </c>
      <c r="B516" s="19" t="s">
        <v>2242</v>
      </c>
      <c r="C516" t="s">
        <v>138</v>
      </c>
      <c r="D516" s="190">
        <v>4914</v>
      </c>
      <c r="E516" s="192">
        <v>5243</v>
      </c>
      <c r="F516" s="192">
        <v>5226</v>
      </c>
      <c r="G516" s="481">
        <v>224</v>
      </c>
      <c r="H516" s="19"/>
      <c r="I516" s="19"/>
      <c r="M516" s="19"/>
    </row>
    <row r="517" spans="1:13">
      <c r="A517" s="479">
        <v>2732</v>
      </c>
      <c r="B517" s="19" t="s">
        <v>2243</v>
      </c>
      <c r="C517" t="s">
        <v>138</v>
      </c>
      <c r="D517" s="190">
        <v>2732</v>
      </c>
      <c r="E517" s="192">
        <v>5079</v>
      </c>
      <c r="F517" s="192">
        <v>4141</v>
      </c>
      <c r="G517" s="481">
        <v>168</v>
      </c>
      <c r="H517" s="19"/>
      <c r="I517" s="19"/>
      <c r="M517" s="19"/>
    </row>
    <row r="518" spans="1:13">
      <c r="A518" s="479">
        <v>2563</v>
      </c>
      <c r="B518" s="19" t="s">
        <v>2244</v>
      </c>
      <c r="C518" t="s">
        <v>138</v>
      </c>
      <c r="D518" s="190">
        <v>2563</v>
      </c>
      <c r="E518" s="192">
        <v>5422</v>
      </c>
      <c r="F518" s="192">
        <v>6942</v>
      </c>
      <c r="G518" s="481">
        <v>224</v>
      </c>
      <c r="H518" s="19"/>
      <c r="I518" s="19"/>
      <c r="M518" s="19"/>
    </row>
    <row r="519" spans="1:13">
      <c r="A519" s="479">
        <v>3818</v>
      </c>
      <c r="B519" s="19" t="s">
        <v>2245</v>
      </c>
      <c r="C519" t="s">
        <v>138</v>
      </c>
      <c r="D519" s="190">
        <v>3818</v>
      </c>
      <c r="E519" s="192">
        <v>13371</v>
      </c>
      <c r="F519" s="192">
        <v>13867</v>
      </c>
      <c r="G519" s="481">
        <v>332</v>
      </c>
      <c r="H519" s="19"/>
      <c r="I519" s="19"/>
      <c r="M519" s="19"/>
    </row>
    <row r="520" spans="1:13">
      <c r="A520" s="479">
        <v>3054</v>
      </c>
      <c r="B520" s="19" t="s">
        <v>2246</v>
      </c>
      <c r="C520" t="s">
        <v>138</v>
      </c>
      <c r="D520" s="190">
        <v>3054</v>
      </c>
      <c r="E520" s="192">
        <v>5399</v>
      </c>
      <c r="F520" s="192">
        <v>5863</v>
      </c>
      <c r="G520" s="481">
        <v>222</v>
      </c>
      <c r="H520" s="19"/>
      <c r="I520" s="19"/>
      <c r="M520" s="19"/>
    </row>
    <row r="521" spans="1:13">
      <c r="A521" s="479">
        <v>2520</v>
      </c>
      <c r="B521" s="19" t="s">
        <v>2247</v>
      </c>
      <c r="C521" t="s">
        <v>138</v>
      </c>
      <c r="D521" s="190">
        <v>2520</v>
      </c>
      <c r="E521" s="192">
        <v>6689</v>
      </c>
      <c r="F521" s="192">
        <v>6803</v>
      </c>
      <c r="G521" s="481">
        <v>264</v>
      </c>
      <c r="H521" s="19"/>
      <c r="I521" s="19"/>
      <c r="M521" s="19"/>
    </row>
    <row r="522" spans="1:13">
      <c r="A522" s="479">
        <v>2710</v>
      </c>
      <c r="B522" s="19" t="s">
        <v>2248</v>
      </c>
      <c r="C522" t="s">
        <v>138</v>
      </c>
      <c r="D522" s="190">
        <v>2710</v>
      </c>
      <c r="E522" s="192">
        <v>4735</v>
      </c>
      <c r="F522" s="192">
        <v>4519</v>
      </c>
      <c r="G522" s="481">
        <v>180</v>
      </c>
      <c r="H522" s="19"/>
      <c r="I522" s="19"/>
      <c r="M522" s="19"/>
    </row>
    <row r="523" spans="1:13">
      <c r="A523" s="479">
        <v>2562</v>
      </c>
      <c r="B523" s="19" t="s">
        <v>2249</v>
      </c>
      <c r="C523" t="s">
        <v>138</v>
      </c>
      <c r="D523" s="190">
        <v>2562</v>
      </c>
      <c r="E523" s="192">
        <v>7860</v>
      </c>
      <c r="F523" s="192">
        <v>6827</v>
      </c>
      <c r="G523" s="481">
        <v>247</v>
      </c>
      <c r="H523" s="19"/>
      <c r="I523" s="19"/>
      <c r="M523" s="19"/>
    </row>
    <row r="524" spans="1:13">
      <c r="A524" s="479">
        <v>3713</v>
      </c>
      <c r="B524" s="19" t="s">
        <v>2250</v>
      </c>
      <c r="C524" t="s">
        <v>138</v>
      </c>
      <c r="D524" s="190">
        <v>3713</v>
      </c>
      <c r="E524" s="192">
        <v>5550</v>
      </c>
      <c r="F524" s="192">
        <v>5720</v>
      </c>
      <c r="G524" s="481">
        <v>203</v>
      </c>
      <c r="H524" s="19"/>
      <c r="I524" s="19"/>
      <c r="M524" s="19"/>
    </row>
    <row r="525" spans="1:13">
      <c r="A525" s="479">
        <v>3294</v>
      </c>
      <c r="B525" s="19" t="s">
        <v>2251</v>
      </c>
      <c r="C525" t="s">
        <v>138</v>
      </c>
      <c r="D525" s="190">
        <v>3294</v>
      </c>
      <c r="E525" s="192">
        <v>6230</v>
      </c>
      <c r="F525" s="192">
        <v>5737</v>
      </c>
      <c r="G525" s="481">
        <v>224</v>
      </c>
      <c r="H525" s="19"/>
      <c r="I525" s="19"/>
      <c r="M525" s="19"/>
    </row>
    <row r="526" spans="1:13">
      <c r="A526" s="479">
        <v>3232</v>
      </c>
      <c r="B526" s="19" t="s">
        <v>2252</v>
      </c>
      <c r="C526" t="s">
        <v>138</v>
      </c>
      <c r="D526" s="190">
        <v>3232</v>
      </c>
      <c r="E526" s="192">
        <v>5957</v>
      </c>
      <c r="F526" s="192">
        <v>7393</v>
      </c>
      <c r="G526" s="481">
        <v>219</v>
      </c>
      <c r="H526" s="19"/>
      <c r="I526" s="19"/>
      <c r="M526" s="19"/>
    </row>
    <row r="527" spans="1:13">
      <c r="A527" s="479">
        <v>3672</v>
      </c>
      <c r="B527" s="19" t="s">
        <v>2253</v>
      </c>
      <c r="C527" t="s">
        <v>138</v>
      </c>
      <c r="D527" s="190">
        <v>3672</v>
      </c>
      <c r="E527" s="192">
        <v>7501</v>
      </c>
      <c r="F527" s="192">
        <v>6705</v>
      </c>
      <c r="G527" s="481">
        <v>214</v>
      </c>
      <c r="H527" s="19"/>
      <c r="I527" s="19"/>
      <c r="M527" s="19"/>
    </row>
    <row r="528" spans="1:13">
      <c r="A528" s="479">
        <v>3715</v>
      </c>
      <c r="B528" s="19" t="s">
        <v>2254</v>
      </c>
      <c r="C528" t="s">
        <v>138</v>
      </c>
      <c r="D528" s="190">
        <v>3715</v>
      </c>
      <c r="E528" s="192">
        <v>9134</v>
      </c>
      <c r="F528" s="192">
        <v>7505</v>
      </c>
      <c r="G528" s="481">
        <v>264</v>
      </c>
      <c r="H528" s="19"/>
      <c r="I528" s="19"/>
      <c r="M528" s="19"/>
    </row>
    <row r="529" spans="1:13">
      <c r="A529" s="479">
        <v>3415</v>
      </c>
      <c r="B529" s="19" t="s">
        <v>2255</v>
      </c>
      <c r="C529" t="s">
        <v>138</v>
      </c>
      <c r="D529" s="190">
        <v>3415</v>
      </c>
      <c r="E529" s="192">
        <v>5620</v>
      </c>
      <c r="F529" s="192">
        <v>5716</v>
      </c>
      <c r="G529" s="481">
        <v>199</v>
      </c>
      <c r="H529" s="19"/>
      <c r="I529" s="19"/>
      <c r="M529" s="19"/>
    </row>
    <row r="530" spans="1:13">
      <c r="A530" s="479">
        <v>4922</v>
      </c>
      <c r="B530" s="19" t="s">
        <v>2256</v>
      </c>
      <c r="C530" t="s">
        <v>138</v>
      </c>
      <c r="D530" s="190">
        <v>4922</v>
      </c>
      <c r="E530" s="192">
        <v>5327</v>
      </c>
      <c r="F530" s="192">
        <v>6532</v>
      </c>
      <c r="G530" s="481">
        <v>210</v>
      </c>
      <c r="H530" s="19"/>
      <c r="I530" s="19"/>
      <c r="M530" s="19"/>
    </row>
    <row r="531" spans="1:13">
      <c r="A531" s="479">
        <v>4934</v>
      </c>
      <c r="B531" s="19" t="s">
        <v>2257</v>
      </c>
      <c r="C531" t="s">
        <v>138</v>
      </c>
      <c r="D531" s="190">
        <v>4934</v>
      </c>
      <c r="E531" s="192">
        <v>5199</v>
      </c>
      <c r="F531" s="192">
        <v>6254</v>
      </c>
      <c r="G531" s="481">
        <v>183</v>
      </c>
      <c r="H531" s="19"/>
      <c r="I531" s="19"/>
      <c r="M531" s="19"/>
    </row>
    <row r="532" spans="1:13">
      <c r="A532" s="479">
        <v>2557</v>
      </c>
      <c r="B532" s="19" t="s">
        <v>2258</v>
      </c>
      <c r="C532" t="s">
        <v>138</v>
      </c>
      <c r="D532" s="190">
        <v>2557</v>
      </c>
      <c r="E532" s="192">
        <v>5173</v>
      </c>
      <c r="F532" s="192">
        <v>6149</v>
      </c>
      <c r="G532" s="481">
        <v>204</v>
      </c>
      <c r="H532" s="19"/>
      <c r="I532" s="19"/>
      <c r="M532" s="19"/>
    </row>
    <row r="533" spans="1:13">
      <c r="A533" s="479">
        <v>3417</v>
      </c>
      <c r="B533" s="19" t="s">
        <v>2259</v>
      </c>
      <c r="C533" t="s">
        <v>138</v>
      </c>
      <c r="D533" s="190">
        <v>3417</v>
      </c>
      <c r="E533" s="192">
        <v>5058</v>
      </c>
      <c r="F533" s="192">
        <v>5573</v>
      </c>
      <c r="G533" s="481">
        <v>220</v>
      </c>
      <c r="H533" s="19"/>
      <c r="I533" s="19"/>
      <c r="M533" s="19"/>
    </row>
    <row r="534" spans="1:13">
      <c r="A534" s="479">
        <v>3315</v>
      </c>
      <c r="B534" s="19" t="s">
        <v>2260</v>
      </c>
      <c r="C534" t="s">
        <v>138</v>
      </c>
      <c r="D534" s="190">
        <v>3315</v>
      </c>
      <c r="E534" s="192">
        <v>5846</v>
      </c>
      <c r="F534" s="192">
        <v>5765</v>
      </c>
      <c r="G534" s="481">
        <v>203</v>
      </c>
      <c r="H534" s="19"/>
      <c r="I534" s="19"/>
      <c r="M534" s="19"/>
    </row>
    <row r="535" spans="1:13">
      <c r="A535" s="479">
        <v>3855</v>
      </c>
      <c r="B535" s="19" t="s">
        <v>2261</v>
      </c>
      <c r="C535" t="s">
        <v>138</v>
      </c>
      <c r="D535" s="190">
        <v>3855</v>
      </c>
      <c r="E535" s="192">
        <v>6554</v>
      </c>
      <c r="F535" s="192">
        <v>5950</v>
      </c>
      <c r="G535" s="481">
        <v>261</v>
      </c>
      <c r="H535" s="19"/>
      <c r="I535" s="19"/>
      <c r="M535" s="19"/>
    </row>
    <row r="536" spans="1:13">
      <c r="A536" s="479">
        <v>3267</v>
      </c>
      <c r="B536" s="19" t="s">
        <v>2262</v>
      </c>
      <c r="C536" t="s">
        <v>138</v>
      </c>
      <c r="D536" s="190">
        <v>3267</v>
      </c>
      <c r="E536" s="192">
        <v>5408</v>
      </c>
      <c r="F536" s="192">
        <v>5645</v>
      </c>
      <c r="G536" s="481">
        <v>218</v>
      </c>
      <c r="H536" s="19"/>
      <c r="I536" s="19"/>
      <c r="M536" s="19"/>
    </row>
    <row r="537" spans="1:13">
      <c r="A537" s="479">
        <v>3066</v>
      </c>
      <c r="B537" s="19" t="s">
        <v>2263</v>
      </c>
      <c r="C537" t="s">
        <v>138</v>
      </c>
      <c r="D537" s="190">
        <v>3066</v>
      </c>
      <c r="E537" s="192">
        <v>7140</v>
      </c>
      <c r="F537" s="192">
        <v>7665</v>
      </c>
      <c r="G537" s="481">
        <v>255</v>
      </c>
      <c r="H537" s="19"/>
      <c r="I537" s="19"/>
      <c r="M537" s="19"/>
    </row>
    <row r="538" spans="1:13">
      <c r="A538" s="479">
        <v>3177</v>
      </c>
      <c r="B538" s="19" t="s">
        <v>2264</v>
      </c>
      <c r="C538" t="s">
        <v>138</v>
      </c>
      <c r="D538" s="190">
        <v>3177</v>
      </c>
      <c r="E538" s="192">
        <v>5807</v>
      </c>
      <c r="F538" s="192">
        <v>6882</v>
      </c>
      <c r="G538" s="481">
        <v>234</v>
      </c>
      <c r="H538" s="19"/>
      <c r="I538" s="19"/>
      <c r="M538" s="19"/>
    </row>
    <row r="539" spans="1:13">
      <c r="A539" s="479">
        <v>3257</v>
      </c>
      <c r="B539" s="19" t="s">
        <v>2265</v>
      </c>
      <c r="C539" t="s">
        <v>138</v>
      </c>
      <c r="D539" s="190">
        <v>3257</v>
      </c>
      <c r="E539" s="192">
        <v>6002</v>
      </c>
      <c r="F539" s="192">
        <v>6360</v>
      </c>
      <c r="G539" s="481">
        <v>236</v>
      </c>
      <c r="H539" s="19"/>
      <c r="I539" s="19"/>
      <c r="M539" s="19"/>
    </row>
    <row r="540" spans="1:13">
      <c r="A540" s="479">
        <v>3770</v>
      </c>
      <c r="B540" s="19" t="s">
        <v>2266</v>
      </c>
      <c r="C540" t="s">
        <v>138</v>
      </c>
      <c r="D540" s="190">
        <v>3770</v>
      </c>
      <c r="E540" s="192">
        <v>6885</v>
      </c>
      <c r="F540" s="192">
        <v>8258</v>
      </c>
      <c r="G540" s="481">
        <v>237</v>
      </c>
      <c r="H540" s="19"/>
      <c r="I540" s="19"/>
      <c r="M540" s="19"/>
    </row>
    <row r="541" spans="1:13">
      <c r="A541" s="479">
        <v>3038</v>
      </c>
      <c r="B541" s="19" t="s">
        <v>2267</v>
      </c>
      <c r="C541" t="s">
        <v>138</v>
      </c>
      <c r="D541" s="190">
        <v>3038</v>
      </c>
      <c r="E541" s="192">
        <v>8944</v>
      </c>
      <c r="F541" s="192">
        <v>8709</v>
      </c>
      <c r="G541" s="481">
        <v>257</v>
      </c>
      <c r="H541" s="19"/>
      <c r="I541" s="19"/>
      <c r="M541" s="19"/>
    </row>
    <row r="542" spans="1:13">
      <c r="A542" s="479">
        <v>3203</v>
      </c>
      <c r="B542" s="19" t="s">
        <v>2268</v>
      </c>
      <c r="C542" t="s">
        <v>138</v>
      </c>
      <c r="D542" s="190">
        <v>3203</v>
      </c>
      <c r="E542" s="192">
        <v>6638</v>
      </c>
      <c r="F542" s="192">
        <v>5719</v>
      </c>
      <c r="G542" s="481">
        <v>230</v>
      </c>
      <c r="H542" s="19"/>
      <c r="I542" s="19"/>
      <c r="M542" s="19"/>
    </row>
    <row r="543" spans="1:13">
      <c r="A543" s="479">
        <v>3113</v>
      </c>
      <c r="B543" s="19" t="s">
        <v>2269</v>
      </c>
      <c r="C543" t="s">
        <v>138</v>
      </c>
      <c r="D543" s="190">
        <v>3113</v>
      </c>
      <c r="E543" s="192">
        <v>7405</v>
      </c>
      <c r="F543" s="192">
        <v>6909</v>
      </c>
      <c r="G543" s="481">
        <v>245</v>
      </c>
      <c r="H543" s="19"/>
      <c r="I543" s="19"/>
      <c r="M543" s="19"/>
    </row>
    <row r="544" spans="1:13">
      <c r="A544" s="479">
        <v>3414</v>
      </c>
      <c r="B544" s="19" t="s">
        <v>2270</v>
      </c>
      <c r="C544" t="s">
        <v>138</v>
      </c>
      <c r="D544" s="190">
        <v>3414</v>
      </c>
      <c r="E544" s="192">
        <v>6147</v>
      </c>
      <c r="F544" s="192">
        <v>6304</v>
      </c>
      <c r="G544" s="481">
        <v>237</v>
      </c>
      <c r="H544" s="19"/>
      <c r="I544" s="19"/>
      <c r="M544" s="19"/>
    </row>
    <row r="545" spans="1:13">
      <c r="A545" s="479">
        <v>3665</v>
      </c>
      <c r="B545" s="19" t="s">
        <v>2271</v>
      </c>
      <c r="C545" t="s">
        <v>138</v>
      </c>
      <c r="D545" s="190">
        <v>3665</v>
      </c>
      <c r="E545" s="192">
        <v>5999</v>
      </c>
      <c r="F545" s="192">
        <v>7890</v>
      </c>
      <c r="G545" s="481">
        <v>231</v>
      </c>
      <c r="H545" s="19"/>
      <c r="I545" s="19"/>
      <c r="M545" s="19"/>
    </row>
    <row r="546" spans="1:13">
      <c r="A546" s="479">
        <v>2575</v>
      </c>
      <c r="B546" s="19" t="s">
        <v>2272</v>
      </c>
      <c r="C546" t="s">
        <v>138</v>
      </c>
      <c r="D546" s="190">
        <v>2575</v>
      </c>
      <c r="E546" s="192">
        <v>7834</v>
      </c>
      <c r="F546" s="192">
        <v>6783</v>
      </c>
      <c r="G546" s="481">
        <v>201</v>
      </c>
      <c r="H546" s="19"/>
      <c r="I546" s="19"/>
      <c r="M546" s="19"/>
    </row>
    <row r="547" spans="1:13">
      <c r="A547" s="479">
        <v>2552</v>
      </c>
      <c r="B547" s="19" t="s">
        <v>2273</v>
      </c>
      <c r="C547" t="s">
        <v>138</v>
      </c>
      <c r="D547" s="190">
        <v>2552</v>
      </c>
      <c r="E547" s="192">
        <v>6239</v>
      </c>
      <c r="F547" s="192">
        <v>6046</v>
      </c>
      <c r="G547" s="481">
        <v>229</v>
      </c>
      <c r="H547" s="19"/>
      <c r="I547" s="19"/>
      <c r="M547" s="19"/>
    </row>
    <row r="548" spans="1:13">
      <c r="A548" s="479">
        <v>3534</v>
      </c>
      <c r="B548" s="19" t="s">
        <v>2274</v>
      </c>
      <c r="C548" t="s">
        <v>138</v>
      </c>
      <c r="D548" s="190">
        <v>3534</v>
      </c>
      <c r="E548" s="192">
        <v>5538</v>
      </c>
      <c r="F548" s="192">
        <v>4902</v>
      </c>
      <c r="G548" s="481">
        <v>193</v>
      </c>
      <c r="H548" s="19"/>
      <c r="I548" s="19"/>
      <c r="M548" s="19"/>
    </row>
    <row r="549" spans="1:13">
      <c r="A549" s="479">
        <v>3812</v>
      </c>
      <c r="B549" s="19" t="s">
        <v>2275</v>
      </c>
      <c r="C549" t="s">
        <v>138</v>
      </c>
      <c r="D549" s="190">
        <v>3812</v>
      </c>
      <c r="E549" s="192">
        <v>7448</v>
      </c>
      <c r="F549" s="192">
        <v>6721</v>
      </c>
      <c r="G549" s="481">
        <v>185</v>
      </c>
      <c r="H549" s="19"/>
      <c r="I549" s="19"/>
      <c r="M549" s="19"/>
    </row>
    <row r="550" spans="1:13">
      <c r="A550" s="479">
        <v>3852</v>
      </c>
      <c r="B550" s="19" t="s">
        <v>2276</v>
      </c>
      <c r="C550" t="s">
        <v>138</v>
      </c>
      <c r="D550" s="190">
        <v>3852</v>
      </c>
      <c r="E550" s="192">
        <v>6148</v>
      </c>
      <c r="F550" s="192">
        <v>6501</v>
      </c>
      <c r="G550" s="481">
        <v>218</v>
      </c>
      <c r="H550" s="19"/>
      <c r="I550" s="19"/>
      <c r="M550" s="19"/>
    </row>
    <row r="551" spans="1:13">
      <c r="A551" s="479">
        <v>3255</v>
      </c>
      <c r="B551" s="19" t="s">
        <v>2277</v>
      </c>
      <c r="C551" t="s">
        <v>138</v>
      </c>
      <c r="D551" s="190">
        <v>3255</v>
      </c>
      <c r="E551" s="192">
        <v>6115</v>
      </c>
      <c r="F551" s="192">
        <v>6176</v>
      </c>
      <c r="G551" s="481">
        <v>216</v>
      </c>
      <c r="H551" s="19"/>
      <c r="I551" s="19"/>
      <c r="M551" s="19"/>
    </row>
    <row r="552" spans="1:13">
      <c r="A552" s="479">
        <v>2533</v>
      </c>
      <c r="B552" s="19" t="s">
        <v>2278</v>
      </c>
      <c r="C552" t="s">
        <v>138</v>
      </c>
      <c r="D552" s="190">
        <v>2533</v>
      </c>
      <c r="E552" s="192">
        <v>7791</v>
      </c>
      <c r="F552" s="192">
        <v>7309</v>
      </c>
      <c r="G552" s="481">
        <v>249</v>
      </c>
      <c r="H552" s="19"/>
      <c r="I552" s="19"/>
      <c r="M552" s="19"/>
    </row>
    <row r="553" spans="1:13">
      <c r="A553" s="479">
        <v>3438</v>
      </c>
      <c r="B553" s="19" t="s">
        <v>2279</v>
      </c>
      <c r="C553" t="s">
        <v>138</v>
      </c>
      <c r="D553" s="190">
        <v>3438</v>
      </c>
      <c r="E553" s="192">
        <v>5759</v>
      </c>
      <c r="F553" s="192">
        <v>5094</v>
      </c>
      <c r="G553" s="481">
        <v>234</v>
      </c>
      <c r="H553" s="19"/>
      <c r="I553" s="19"/>
      <c r="M553" s="19"/>
    </row>
    <row r="554" spans="1:13">
      <c r="A554" s="479">
        <v>3125</v>
      </c>
      <c r="B554" s="19" t="s">
        <v>2280</v>
      </c>
      <c r="C554" t="s">
        <v>138</v>
      </c>
      <c r="D554" s="190">
        <v>3125</v>
      </c>
      <c r="E554" s="192">
        <v>6330</v>
      </c>
      <c r="F554" s="192">
        <v>6580</v>
      </c>
      <c r="G554" s="481">
        <v>249</v>
      </c>
      <c r="H554" s="19"/>
      <c r="I554" s="19"/>
      <c r="M554" s="19"/>
    </row>
    <row r="555" spans="1:13">
      <c r="A555" s="479">
        <v>4932</v>
      </c>
      <c r="B555" s="19" t="s">
        <v>2281</v>
      </c>
      <c r="C555" t="s">
        <v>138</v>
      </c>
      <c r="D555" s="190">
        <v>4932</v>
      </c>
      <c r="E555" s="192">
        <v>5817</v>
      </c>
      <c r="F555" s="192">
        <v>5343</v>
      </c>
      <c r="G555" s="481">
        <v>199</v>
      </c>
      <c r="H555" s="19"/>
      <c r="I555" s="19"/>
      <c r="M555" s="19"/>
    </row>
    <row r="556" spans="1:13">
      <c r="A556" s="479">
        <v>3806</v>
      </c>
      <c r="B556" s="19" t="s">
        <v>2282</v>
      </c>
      <c r="C556" t="s">
        <v>138</v>
      </c>
      <c r="D556" s="190">
        <v>3806</v>
      </c>
      <c r="E556" s="192">
        <v>7947</v>
      </c>
      <c r="F556" s="192">
        <v>6539</v>
      </c>
      <c r="G556" s="481">
        <v>289</v>
      </c>
      <c r="H556" s="19"/>
      <c r="I556" s="19"/>
      <c r="M556" s="19"/>
    </row>
    <row r="557" spans="1:13">
      <c r="A557" s="479">
        <v>3045</v>
      </c>
      <c r="B557" s="19" t="s">
        <v>2283</v>
      </c>
      <c r="C557" t="s">
        <v>138</v>
      </c>
      <c r="D557" s="190">
        <v>3045</v>
      </c>
      <c r="E557" s="192">
        <v>9630</v>
      </c>
      <c r="F557" s="192">
        <v>7817</v>
      </c>
      <c r="G557" s="481">
        <v>230</v>
      </c>
      <c r="H557" s="19"/>
      <c r="I557" s="19"/>
      <c r="M557" s="19"/>
    </row>
    <row r="558" spans="1:13">
      <c r="A558" s="479">
        <v>3324</v>
      </c>
      <c r="B558" s="19" t="s">
        <v>2284</v>
      </c>
      <c r="C558" t="s">
        <v>138</v>
      </c>
      <c r="D558" s="190">
        <v>3324</v>
      </c>
      <c r="E558" s="192">
        <v>6103</v>
      </c>
      <c r="F558" s="192">
        <v>5960</v>
      </c>
      <c r="G558" s="481">
        <v>240</v>
      </c>
      <c r="H558" s="19"/>
      <c r="I558" s="19"/>
      <c r="M558" s="19"/>
    </row>
    <row r="559" spans="1:13">
      <c r="A559" s="479">
        <v>3132</v>
      </c>
      <c r="B559" s="19" t="s">
        <v>2285</v>
      </c>
      <c r="C559" t="s">
        <v>138</v>
      </c>
      <c r="D559" s="190">
        <v>3132</v>
      </c>
      <c r="E559" s="192">
        <v>6907</v>
      </c>
      <c r="F559" s="192">
        <v>5097</v>
      </c>
      <c r="G559" s="481">
        <v>230</v>
      </c>
      <c r="H559" s="19"/>
      <c r="I559" s="19"/>
      <c r="M559" s="19"/>
    </row>
    <row r="560" spans="1:13">
      <c r="A560" s="479">
        <v>3537</v>
      </c>
      <c r="B560" s="19" t="s">
        <v>2286</v>
      </c>
      <c r="C560" t="s">
        <v>138</v>
      </c>
      <c r="D560" s="190">
        <v>3537</v>
      </c>
      <c r="E560" s="192">
        <v>7459</v>
      </c>
      <c r="F560" s="192">
        <v>4076</v>
      </c>
      <c r="G560" s="481">
        <v>174</v>
      </c>
      <c r="H560" s="19"/>
      <c r="I560" s="19"/>
      <c r="M560" s="19"/>
    </row>
    <row r="561" spans="1:13">
      <c r="A561" s="479">
        <v>3752</v>
      </c>
      <c r="B561" s="19" t="s">
        <v>2287</v>
      </c>
      <c r="C561" t="s">
        <v>138</v>
      </c>
      <c r="D561" s="190">
        <v>3752</v>
      </c>
      <c r="E561" s="192">
        <v>5565</v>
      </c>
      <c r="F561" s="192">
        <v>6168</v>
      </c>
      <c r="G561" s="481">
        <v>216</v>
      </c>
      <c r="H561" s="19"/>
      <c r="I561" s="19"/>
      <c r="M561" s="19"/>
    </row>
    <row r="562" spans="1:13">
      <c r="A562" s="479">
        <v>3653</v>
      </c>
      <c r="B562" s="19" t="s">
        <v>2288</v>
      </c>
      <c r="C562" t="s">
        <v>138</v>
      </c>
      <c r="D562" s="190">
        <v>3653</v>
      </c>
      <c r="E562" s="192">
        <v>9809</v>
      </c>
      <c r="F562" s="192">
        <v>8566</v>
      </c>
      <c r="G562" s="481">
        <v>278</v>
      </c>
      <c r="H562" s="19"/>
      <c r="I562" s="19"/>
      <c r="M562" s="19"/>
    </row>
    <row r="563" spans="1:13">
      <c r="A563" s="479">
        <v>3623</v>
      </c>
      <c r="B563" s="19" t="s">
        <v>2289</v>
      </c>
      <c r="C563" t="s">
        <v>138</v>
      </c>
      <c r="D563" s="190">
        <v>3623</v>
      </c>
      <c r="E563" s="192">
        <v>7243</v>
      </c>
      <c r="F563" s="192">
        <v>7558</v>
      </c>
      <c r="G563" s="481">
        <v>250</v>
      </c>
      <c r="H563" s="19"/>
      <c r="I563" s="19"/>
      <c r="M563" s="19"/>
    </row>
    <row r="564" spans="1:13">
      <c r="A564" s="479">
        <v>3422</v>
      </c>
      <c r="B564" s="19" t="s">
        <v>2290</v>
      </c>
      <c r="C564" t="s">
        <v>138</v>
      </c>
      <c r="D564" s="190">
        <v>3422</v>
      </c>
      <c r="E564" s="192">
        <v>5772</v>
      </c>
      <c r="F564" s="192">
        <v>5561</v>
      </c>
      <c r="G564" s="481">
        <v>230</v>
      </c>
      <c r="H564" s="19"/>
      <c r="I564" s="19"/>
      <c r="M564" s="19"/>
    </row>
    <row r="565" spans="1:13">
      <c r="A565" s="479">
        <v>3437</v>
      </c>
      <c r="B565" s="19" t="s">
        <v>2291</v>
      </c>
      <c r="C565" t="s">
        <v>138</v>
      </c>
      <c r="D565" s="190">
        <v>3437</v>
      </c>
      <c r="E565" s="192">
        <v>5988</v>
      </c>
      <c r="F565" s="192">
        <v>5931</v>
      </c>
      <c r="G565" s="481">
        <v>180</v>
      </c>
      <c r="H565" s="19"/>
      <c r="I565" s="19"/>
      <c r="M565" s="19"/>
    </row>
    <row r="566" spans="1:13">
      <c r="A566" s="479">
        <v>3822</v>
      </c>
      <c r="B566" s="19" t="s">
        <v>2292</v>
      </c>
      <c r="C566" t="s">
        <v>138</v>
      </c>
      <c r="D566" s="190">
        <v>3822</v>
      </c>
      <c r="E566" s="192">
        <v>12729</v>
      </c>
      <c r="F566" s="192">
        <v>8436</v>
      </c>
      <c r="G566" s="481">
        <v>204</v>
      </c>
      <c r="H566" s="19"/>
      <c r="I566" s="19"/>
      <c r="M566" s="19"/>
    </row>
    <row r="567" spans="1:13">
      <c r="A567" s="479">
        <v>3775</v>
      </c>
      <c r="B567" s="19" t="s">
        <v>2293</v>
      </c>
      <c r="C567" t="s">
        <v>138</v>
      </c>
      <c r="D567" s="190">
        <v>3775</v>
      </c>
      <c r="E567" s="192" t="s">
        <v>189</v>
      </c>
      <c r="F567" s="192" t="s">
        <v>189</v>
      </c>
      <c r="G567" s="481" t="s">
        <v>189</v>
      </c>
      <c r="H567" s="19"/>
      <c r="I567" s="19"/>
      <c r="M567" s="19"/>
    </row>
    <row r="568" spans="1:13">
      <c r="A568" s="479">
        <v>3326</v>
      </c>
      <c r="B568" s="19" t="s">
        <v>2294</v>
      </c>
      <c r="C568" t="s">
        <v>138</v>
      </c>
      <c r="D568" s="190">
        <v>3326</v>
      </c>
      <c r="E568" s="192">
        <v>7952</v>
      </c>
      <c r="F568" s="192">
        <v>6016</v>
      </c>
      <c r="G568" s="481">
        <v>214</v>
      </c>
      <c r="H568" s="19"/>
      <c r="I568" s="19"/>
      <c r="M568" s="19"/>
    </row>
    <row r="569" spans="1:13">
      <c r="A569" s="479">
        <v>4537</v>
      </c>
      <c r="B569" s="19" t="s">
        <v>2295</v>
      </c>
      <c r="C569" t="s">
        <v>138</v>
      </c>
      <c r="D569" s="190">
        <v>4537</v>
      </c>
      <c r="E569" s="192">
        <v>4809</v>
      </c>
      <c r="F569" s="192">
        <v>5049</v>
      </c>
      <c r="G569" s="481">
        <v>201</v>
      </c>
      <c r="H569" s="19"/>
      <c r="I569" s="19"/>
      <c r="M569" s="19"/>
    </row>
    <row r="570" spans="1:13">
      <c r="A570" s="479">
        <v>2738</v>
      </c>
      <c r="B570" s="19" t="s">
        <v>2296</v>
      </c>
      <c r="C570" t="s">
        <v>138</v>
      </c>
      <c r="D570" s="190">
        <v>2738</v>
      </c>
      <c r="E570" s="192">
        <v>4547</v>
      </c>
      <c r="F570" s="192">
        <v>4290</v>
      </c>
      <c r="G570" s="481">
        <v>196</v>
      </c>
      <c r="H570" s="19"/>
      <c r="I570" s="19"/>
      <c r="M570" s="19"/>
    </row>
    <row r="571" spans="1:13">
      <c r="A571" s="479">
        <v>3380</v>
      </c>
      <c r="B571" s="19" t="s">
        <v>2297</v>
      </c>
      <c r="C571" t="s">
        <v>138</v>
      </c>
      <c r="D571" s="190">
        <v>3380</v>
      </c>
      <c r="E571" s="192">
        <v>4692</v>
      </c>
      <c r="F571" s="192">
        <v>4966</v>
      </c>
      <c r="G571" s="481">
        <v>205</v>
      </c>
      <c r="H571" s="19"/>
      <c r="I571" s="19"/>
      <c r="M571" s="19"/>
    </row>
    <row r="572" spans="1:13">
      <c r="A572" s="479">
        <v>3703</v>
      </c>
      <c r="B572" s="19" t="s">
        <v>2298</v>
      </c>
      <c r="C572" t="s">
        <v>138</v>
      </c>
      <c r="D572" s="190">
        <v>3703</v>
      </c>
      <c r="E572" s="192">
        <v>5405</v>
      </c>
      <c r="F572" s="192">
        <v>7596</v>
      </c>
      <c r="G572" s="481">
        <v>229</v>
      </c>
      <c r="H572" s="19"/>
      <c r="I572" s="19"/>
      <c r="M572" s="19"/>
    </row>
    <row r="573" spans="1:13">
      <c r="A573" s="479">
        <v>3252</v>
      </c>
      <c r="B573" s="19" t="s">
        <v>2299</v>
      </c>
      <c r="C573" t="s">
        <v>138</v>
      </c>
      <c r="D573" s="190">
        <v>3252</v>
      </c>
      <c r="E573" s="192">
        <v>5639</v>
      </c>
      <c r="F573" s="192">
        <v>5987</v>
      </c>
      <c r="G573" s="481">
        <v>238</v>
      </c>
      <c r="H573" s="19"/>
      <c r="I573" s="19"/>
      <c r="M573" s="19"/>
    </row>
    <row r="574" spans="1:13">
      <c r="A574" s="479">
        <v>3283</v>
      </c>
      <c r="B574" s="19" t="s">
        <v>2300</v>
      </c>
      <c r="C574" t="s">
        <v>138</v>
      </c>
      <c r="D574" s="190">
        <v>3283</v>
      </c>
      <c r="E574" s="192">
        <v>6409</v>
      </c>
      <c r="F574" s="192">
        <v>6314</v>
      </c>
      <c r="G574" s="481">
        <v>213</v>
      </c>
      <c r="H574" s="19"/>
      <c r="I574" s="19"/>
      <c r="M574" s="19"/>
    </row>
    <row r="575" spans="1:13">
      <c r="A575" s="479">
        <v>3754</v>
      </c>
      <c r="B575" s="19" t="s">
        <v>2301</v>
      </c>
      <c r="C575" t="s">
        <v>138</v>
      </c>
      <c r="D575" s="190">
        <v>3754</v>
      </c>
      <c r="E575" s="192">
        <v>4870</v>
      </c>
      <c r="F575" s="192">
        <v>6641</v>
      </c>
      <c r="G575" s="481">
        <v>181</v>
      </c>
      <c r="H575" s="19"/>
      <c r="I575" s="19"/>
      <c r="M575" s="19"/>
    </row>
    <row r="576" spans="1:13">
      <c r="A576" s="479">
        <v>3662</v>
      </c>
      <c r="B576" s="19" t="s">
        <v>2302</v>
      </c>
      <c r="C576" t="s">
        <v>138</v>
      </c>
      <c r="D576" s="190">
        <v>3662</v>
      </c>
      <c r="E576" s="192">
        <v>6659</v>
      </c>
      <c r="F576" s="192">
        <v>6717</v>
      </c>
      <c r="G576" s="481">
        <v>247</v>
      </c>
      <c r="H576" s="19"/>
      <c r="I576" s="19"/>
      <c r="M576" s="19"/>
    </row>
    <row r="577" spans="1:13">
      <c r="A577" s="479">
        <v>3425</v>
      </c>
      <c r="B577" s="19" t="s">
        <v>2303</v>
      </c>
      <c r="C577" t="s">
        <v>138</v>
      </c>
      <c r="D577" s="190">
        <v>3425</v>
      </c>
      <c r="E577" s="192">
        <v>5932</v>
      </c>
      <c r="F577" s="192">
        <v>6502</v>
      </c>
      <c r="G577" s="481">
        <v>210</v>
      </c>
      <c r="H577" s="19"/>
      <c r="I577" s="19"/>
      <c r="M577" s="19"/>
    </row>
    <row r="578" spans="1:13">
      <c r="A578" s="479">
        <v>3628</v>
      </c>
      <c r="B578" s="19" t="s">
        <v>2304</v>
      </c>
      <c r="C578" t="s">
        <v>138</v>
      </c>
      <c r="D578" s="190">
        <v>3628</v>
      </c>
      <c r="E578" s="192">
        <v>6664</v>
      </c>
      <c r="F578" s="192">
        <v>6673</v>
      </c>
      <c r="G578" s="481">
        <v>250</v>
      </c>
      <c r="H578" s="19"/>
      <c r="I578" s="19"/>
      <c r="M578" s="19"/>
    </row>
    <row r="579" spans="1:13">
      <c r="A579" s="479">
        <v>3423</v>
      </c>
      <c r="B579" s="19" t="s">
        <v>2305</v>
      </c>
      <c r="C579" t="s">
        <v>138</v>
      </c>
      <c r="D579" s="190">
        <v>3423</v>
      </c>
      <c r="E579" s="192">
        <v>6262</v>
      </c>
      <c r="F579" s="192">
        <v>6109</v>
      </c>
      <c r="G579" s="481">
        <v>215</v>
      </c>
      <c r="H579" s="19"/>
      <c r="I579" s="19"/>
      <c r="M579" s="19"/>
    </row>
    <row r="580" spans="1:13">
      <c r="A580" s="479">
        <v>2615</v>
      </c>
      <c r="B580" s="19" t="s">
        <v>2306</v>
      </c>
      <c r="C580" t="s">
        <v>138</v>
      </c>
      <c r="D580" s="190">
        <v>2615</v>
      </c>
      <c r="E580" s="192">
        <v>5225</v>
      </c>
      <c r="F580" s="192">
        <v>5802</v>
      </c>
      <c r="G580" s="481">
        <v>190</v>
      </c>
      <c r="H580" s="19"/>
      <c r="I580" s="19"/>
      <c r="M580" s="19"/>
    </row>
    <row r="581" spans="1:13">
      <c r="A581" s="479">
        <v>2558</v>
      </c>
      <c r="B581" s="19" t="s">
        <v>2307</v>
      </c>
      <c r="C581" t="s">
        <v>138</v>
      </c>
      <c r="D581" s="190">
        <v>2558</v>
      </c>
      <c r="E581" s="192">
        <v>7432</v>
      </c>
      <c r="F581" s="192">
        <v>5970</v>
      </c>
      <c r="G581" s="481">
        <v>225</v>
      </c>
      <c r="H581" s="19"/>
      <c r="I581" s="19"/>
      <c r="M581" s="19"/>
    </row>
    <row r="582" spans="1:13">
      <c r="A582" s="479">
        <v>3404</v>
      </c>
      <c r="B582" s="19" t="s">
        <v>2308</v>
      </c>
      <c r="C582" t="s">
        <v>138</v>
      </c>
      <c r="D582" s="190">
        <v>3404</v>
      </c>
      <c r="E582" s="192">
        <v>5454</v>
      </c>
      <c r="F582" s="192">
        <v>5297</v>
      </c>
      <c r="G582" s="481">
        <v>185</v>
      </c>
      <c r="H582" s="19"/>
      <c r="I582" s="19"/>
      <c r="M582" s="19"/>
    </row>
    <row r="583" spans="1:13">
      <c r="A583" s="479">
        <v>2605</v>
      </c>
      <c r="B583" s="19" t="s">
        <v>2309</v>
      </c>
      <c r="C583" t="s">
        <v>138</v>
      </c>
      <c r="D583" s="190">
        <v>2605</v>
      </c>
      <c r="E583" s="192">
        <v>4306</v>
      </c>
      <c r="F583" s="192">
        <v>4417</v>
      </c>
      <c r="G583" s="481">
        <v>155</v>
      </c>
      <c r="H583" s="19"/>
      <c r="I583" s="19"/>
      <c r="M583" s="19"/>
    </row>
    <row r="584" spans="1:13">
      <c r="A584" s="479">
        <v>2603</v>
      </c>
      <c r="B584" s="19" t="s">
        <v>2310</v>
      </c>
      <c r="C584" t="s">
        <v>138</v>
      </c>
      <c r="D584" s="190">
        <v>2603</v>
      </c>
      <c r="E584" s="192">
        <v>4441</v>
      </c>
      <c r="F584" s="192">
        <v>4540</v>
      </c>
      <c r="G584" s="481">
        <v>182</v>
      </c>
      <c r="H584" s="19"/>
      <c r="I584" s="19"/>
      <c r="M584" s="19"/>
    </row>
    <row r="585" spans="1:13">
      <c r="A585" s="479">
        <v>2553</v>
      </c>
      <c r="B585" s="19" t="s">
        <v>2311</v>
      </c>
      <c r="C585" t="s">
        <v>138</v>
      </c>
      <c r="D585" s="190">
        <v>2553</v>
      </c>
      <c r="E585" s="192">
        <v>6067</v>
      </c>
      <c r="F585" s="192">
        <v>7258</v>
      </c>
      <c r="G585" s="481">
        <v>210</v>
      </c>
      <c r="H585" s="19"/>
      <c r="I585" s="19"/>
      <c r="M585" s="19"/>
    </row>
    <row r="586" spans="1:13">
      <c r="A586" s="479">
        <v>3116</v>
      </c>
      <c r="B586" s="19" t="s">
        <v>2312</v>
      </c>
      <c r="C586" t="s">
        <v>138</v>
      </c>
      <c r="D586" s="190">
        <v>3116</v>
      </c>
      <c r="E586" s="192">
        <v>6160</v>
      </c>
      <c r="F586" s="192">
        <v>7624</v>
      </c>
      <c r="G586" s="481">
        <v>223</v>
      </c>
      <c r="H586" s="19"/>
      <c r="I586" s="19"/>
      <c r="M586" s="19"/>
    </row>
    <row r="587" spans="1:13">
      <c r="A587" s="479">
        <v>3507</v>
      </c>
      <c r="B587" s="19" t="s">
        <v>2313</v>
      </c>
      <c r="C587" t="s">
        <v>138</v>
      </c>
      <c r="D587" s="190">
        <v>3507</v>
      </c>
      <c r="E587" s="192">
        <v>5279</v>
      </c>
      <c r="F587" s="192">
        <v>5899</v>
      </c>
      <c r="G587" s="481">
        <v>228</v>
      </c>
      <c r="H587" s="19"/>
      <c r="I587" s="19"/>
      <c r="M587" s="19"/>
    </row>
    <row r="588" spans="1:13">
      <c r="A588" s="479">
        <v>3088</v>
      </c>
      <c r="B588" s="19" t="s">
        <v>2314</v>
      </c>
      <c r="C588" t="s">
        <v>138</v>
      </c>
      <c r="D588" s="190">
        <v>3088</v>
      </c>
      <c r="E588" s="192">
        <v>5787</v>
      </c>
      <c r="F588" s="192">
        <v>4878</v>
      </c>
      <c r="G588" s="481">
        <v>178</v>
      </c>
      <c r="H588" s="19"/>
      <c r="I588" s="19"/>
      <c r="M588" s="19"/>
    </row>
    <row r="589" spans="1:13">
      <c r="A589" s="479">
        <v>3512</v>
      </c>
      <c r="B589" s="19" t="s">
        <v>2315</v>
      </c>
      <c r="C589" t="s">
        <v>138</v>
      </c>
      <c r="D589" s="190">
        <v>3512</v>
      </c>
      <c r="E589" s="192">
        <v>5905</v>
      </c>
      <c r="F589" s="192">
        <v>7183</v>
      </c>
      <c r="G589" s="481">
        <v>183</v>
      </c>
      <c r="H589" s="19"/>
      <c r="I589" s="19"/>
      <c r="M589" s="19"/>
    </row>
    <row r="590" spans="1:13">
      <c r="A590" s="479">
        <v>3762</v>
      </c>
      <c r="B590" s="19" t="s">
        <v>2316</v>
      </c>
      <c r="C590" t="s">
        <v>138</v>
      </c>
      <c r="D590" s="190">
        <v>3762</v>
      </c>
      <c r="E590" s="192">
        <v>6396</v>
      </c>
      <c r="F590" s="192">
        <v>6680</v>
      </c>
      <c r="G590" s="481">
        <v>206</v>
      </c>
      <c r="H590" s="19"/>
      <c r="I590" s="19"/>
      <c r="M590" s="19"/>
    </row>
    <row r="591" spans="1:13">
      <c r="A591" s="479">
        <v>4538</v>
      </c>
      <c r="B591" s="19" t="s">
        <v>2317</v>
      </c>
      <c r="C591" t="s">
        <v>138</v>
      </c>
      <c r="D591" s="190">
        <v>4538</v>
      </c>
      <c r="E591" s="192">
        <v>5133</v>
      </c>
      <c r="F591" s="192">
        <v>5904</v>
      </c>
      <c r="G591" s="481">
        <v>209</v>
      </c>
      <c r="H591" s="19"/>
      <c r="I591" s="19"/>
      <c r="M591" s="19"/>
    </row>
    <row r="592" spans="1:13">
      <c r="A592" s="479">
        <v>3362</v>
      </c>
      <c r="B592" s="19" t="s">
        <v>2318</v>
      </c>
      <c r="C592" t="s">
        <v>138</v>
      </c>
      <c r="D592" s="190">
        <v>3362</v>
      </c>
      <c r="E592" s="192">
        <v>4643</v>
      </c>
      <c r="F592" s="192">
        <v>5517</v>
      </c>
      <c r="G592" s="481">
        <v>212</v>
      </c>
      <c r="H592" s="19"/>
      <c r="I592" s="19"/>
      <c r="M592" s="19"/>
    </row>
    <row r="593" spans="1:13">
      <c r="A593" s="479">
        <v>2606</v>
      </c>
      <c r="B593" s="19" t="s">
        <v>2319</v>
      </c>
      <c r="C593" t="s">
        <v>138</v>
      </c>
      <c r="D593" s="190">
        <v>2606</v>
      </c>
      <c r="E593" s="192">
        <v>4177</v>
      </c>
      <c r="F593" s="192">
        <v>4743</v>
      </c>
      <c r="G593" s="481">
        <v>169</v>
      </c>
      <c r="H593" s="19"/>
      <c r="I593" s="19"/>
      <c r="M593" s="19"/>
    </row>
    <row r="594" spans="1:13">
      <c r="A594" s="479">
        <v>2564</v>
      </c>
      <c r="B594" s="19" t="s">
        <v>2320</v>
      </c>
      <c r="C594" t="s">
        <v>138</v>
      </c>
      <c r="D594" s="190">
        <v>2564</v>
      </c>
      <c r="E594" s="192">
        <v>8575</v>
      </c>
      <c r="F594" s="192">
        <v>7354</v>
      </c>
      <c r="G594" s="481">
        <v>263</v>
      </c>
      <c r="H594" s="19"/>
      <c r="I594" s="19"/>
      <c r="M594" s="19"/>
    </row>
    <row r="595" spans="1:13">
      <c r="A595" s="479">
        <v>4923</v>
      </c>
      <c r="B595" s="19" t="s">
        <v>2321</v>
      </c>
      <c r="C595" t="s">
        <v>138</v>
      </c>
      <c r="D595" s="190">
        <v>4923</v>
      </c>
      <c r="E595" s="192">
        <v>4879</v>
      </c>
      <c r="F595" s="192">
        <v>4590</v>
      </c>
      <c r="G595" s="481">
        <v>194</v>
      </c>
      <c r="H595" s="19"/>
      <c r="I595" s="19"/>
      <c r="M595" s="19"/>
    </row>
    <row r="596" spans="1:13">
      <c r="A596" s="479">
        <v>3153</v>
      </c>
      <c r="B596" s="19" t="s">
        <v>2322</v>
      </c>
      <c r="C596" t="s">
        <v>138</v>
      </c>
      <c r="D596" s="190">
        <v>3153</v>
      </c>
      <c r="E596" s="192">
        <v>4976</v>
      </c>
      <c r="F596" s="192">
        <v>4733</v>
      </c>
      <c r="G596" s="481">
        <v>170</v>
      </c>
      <c r="H596" s="19"/>
      <c r="I596" s="19"/>
      <c r="M596" s="19"/>
    </row>
    <row r="597" spans="1:13">
      <c r="A597" s="479">
        <v>3532</v>
      </c>
      <c r="B597" s="19" t="s">
        <v>2323</v>
      </c>
      <c r="C597" t="s">
        <v>138</v>
      </c>
      <c r="D597" s="190">
        <v>3532</v>
      </c>
      <c r="E597" s="192">
        <v>5564</v>
      </c>
      <c r="F597" s="192">
        <v>6784</v>
      </c>
      <c r="G597" s="481">
        <v>245</v>
      </c>
      <c r="H597" s="19"/>
      <c r="I597" s="19"/>
      <c r="M597" s="19"/>
    </row>
    <row r="598" spans="1:13">
      <c r="A598" s="479">
        <v>3412</v>
      </c>
      <c r="B598" s="19" t="s">
        <v>2324</v>
      </c>
      <c r="C598" t="s">
        <v>138</v>
      </c>
      <c r="D598" s="190">
        <v>3412</v>
      </c>
      <c r="E598" s="192">
        <v>5998</v>
      </c>
      <c r="F598" s="192">
        <v>5491</v>
      </c>
      <c r="G598" s="481">
        <v>208</v>
      </c>
      <c r="H598" s="19"/>
      <c r="I598" s="19"/>
      <c r="M598" s="19"/>
    </row>
    <row r="599" spans="1:13">
      <c r="A599" s="479">
        <v>3296</v>
      </c>
      <c r="B599" s="19" t="s">
        <v>2325</v>
      </c>
      <c r="C599" t="s">
        <v>138</v>
      </c>
      <c r="D599" s="190">
        <v>3296</v>
      </c>
      <c r="E599" s="192">
        <v>5528</v>
      </c>
      <c r="F599" s="192">
        <v>6197</v>
      </c>
      <c r="G599" s="481">
        <v>222</v>
      </c>
      <c r="H599" s="19"/>
      <c r="I599" s="19"/>
      <c r="M599" s="19"/>
    </row>
    <row r="600" spans="1:13">
      <c r="A600" s="479">
        <v>3615</v>
      </c>
      <c r="B600" s="19" t="s">
        <v>2326</v>
      </c>
      <c r="C600" t="s">
        <v>138</v>
      </c>
      <c r="D600" s="190">
        <v>3615</v>
      </c>
      <c r="E600" s="192">
        <v>7109</v>
      </c>
      <c r="F600" s="192">
        <v>5017</v>
      </c>
      <c r="G600" s="481">
        <v>229</v>
      </c>
      <c r="H600" s="19"/>
      <c r="I600" s="19"/>
      <c r="M600" s="19"/>
    </row>
    <row r="601" spans="1:13">
      <c r="A601" s="479">
        <v>3365</v>
      </c>
      <c r="B601" s="19" t="s">
        <v>2327</v>
      </c>
      <c r="C601" t="s">
        <v>138</v>
      </c>
      <c r="D601" s="190">
        <v>3365</v>
      </c>
      <c r="E601" s="192">
        <v>5374</v>
      </c>
      <c r="F601" s="192">
        <v>5818</v>
      </c>
      <c r="G601" s="481">
        <v>186</v>
      </c>
      <c r="H601" s="19"/>
      <c r="I601" s="19"/>
      <c r="M601" s="19"/>
    </row>
    <row r="602" spans="1:13">
      <c r="A602" s="479">
        <v>3158</v>
      </c>
      <c r="B602" s="19" t="s">
        <v>2328</v>
      </c>
      <c r="C602" t="s">
        <v>138</v>
      </c>
      <c r="D602" s="190">
        <v>3158</v>
      </c>
      <c r="E602" s="192">
        <v>4629</v>
      </c>
      <c r="F602" s="192">
        <v>6604</v>
      </c>
      <c r="G602" s="481">
        <v>151</v>
      </c>
      <c r="H602" s="19"/>
      <c r="I602" s="19"/>
      <c r="M602" s="19"/>
    </row>
    <row r="603" spans="1:13">
      <c r="A603" s="479">
        <v>4917</v>
      </c>
      <c r="B603" s="19" t="s">
        <v>2329</v>
      </c>
      <c r="C603" t="s">
        <v>138</v>
      </c>
      <c r="D603" s="190">
        <v>4917</v>
      </c>
      <c r="E603" s="192">
        <v>5309</v>
      </c>
      <c r="F603" s="192">
        <v>4859</v>
      </c>
      <c r="G603" s="481">
        <v>186</v>
      </c>
      <c r="H603" s="19"/>
      <c r="I603" s="19"/>
      <c r="M603" s="19"/>
    </row>
    <row r="604" spans="1:13">
      <c r="A604" s="479">
        <v>3293</v>
      </c>
      <c r="B604" s="19" t="s">
        <v>2330</v>
      </c>
      <c r="C604" t="s">
        <v>138</v>
      </c>
      <c r="D604" s="190">
        <v>3293</v>
      </c>
      <c r="E604" s="192">
        <v>5138</v>
      </c>
      <c r="F604" s="192">
        <v>5759</v>
      </c>
      <c r="G604" s="481">
        <v>182</v>
      </c>
      <c r="H604" s="19"/>
      <c r="I604" s="19"/>
      <c r="M604" s="19"/>
    </row>
    <row r="605" spans="1:13">
      <c r="A605" s="479">
        <v>4938</v>
      </c>
      <c r="B605" s="19" t="s">
        <v>2331</v>
      </c>
      <c r="C605" t="s">
        <v>138</v>
      </c>
      <c r="D605" s="190">
        <v>4938</v>
      </c>
      <c r="E605" s="192">
        <v>3759</v>
      </c>
      <c r="F605" s="192">
        <v>4261</v>
      </c>
      <c r="G605" s="481">
        <v>225</v>
      </c>
      <c r="H605" s="19"/>
      <c r="I605" s="19"/>
      <c r="M605" s="19"/>
    </row>
    <row r="606" spans="1:13">
      <c r="A606" s="479">
        <v>4536</v>
      </c>
      <c r="B606" s="19" t="s">
        <v>2332</v>
      </c>
      <c r="C606" t="s">
        <v>138</v>
      </c>
      <c r="D606" s="190">
        <v>4536</v>
      </c>
      <c r="E606" s="192">
        <v>5609</v>
      </c>
      <c r="F606" s="192">
        <v>5982</v>
      </c>
      <c r="G606" s="481">
        <v>220</v>
      </c>
      <c r="H606" s="19"/>
      <c r="I606" s="19"/>
      <c r="M606" s="19"/>
    </row>
    <row r="607" spans="1:13">
      <c r="A607" s="479">
        <v>3555</v>
      </c>
      <c r="B607" s="19" t="s">
        <v>2333</v>
      </c>
      <c r="C607" t="s">
        <v>138</v>
      </c>
      <c r="D607" s="190">
        <v>3555</v>
      </c>
      <c r="E607" s="192">
        <v>5449</v>
      </c>
      <c r="F607" s="192">
        <v>2712</v>
      </c>
      <c r="G607" s="481">
        <v>156</v>
      </c>
      <c r="H607" s="19"/>
      <c r="I607" s="19"/>
      <c r="M607" s="19"/>
    </row>
    <row r="608" spans="1:13">
      <c r="A608" s="479">
        <v>2738</v>
      </c>
      <c r="B608" s="19" t="s">
        <v>2334</v>
      </c>
      <c r="C608" t="s">
        <v>138</v>
      </c>
      <c r="D608" s="190">
        <v>2738</v>
      </c>
      <c r="E608" s="192">
        <v>3152</v>
      </c>
      <c r="F608" s="192">
        <v>4506</v>
      </c>
      <c r="G608" s="481">
        <v>170</v>
      </c>
      <c r="H608" s="19"/>
      <c r="I608" s="19"/>
      <c r="M608" s="19"/>
    </row>
    <row r="609" spans="1:13">
      <c r="A609" s="479">
        <v>3235</v>
      </c>
      <c r="B609" s="19" t="s">
        <v>2335</v>
      </c>
      <c r="C609" t="s">
        <v>138</v>
      </c>
      <c r="D609" s="190">
        <v>3235</v>
      </c>
      <c r="E609" s="192">
        <v>6433</v>
      </c>
      <c r="F609" s="192">
        <v>7188</v>
      </c>
      <c r="G609" s="481">
        <v>230</v>
      </c>
      <c r="H609" s="19"/>
      <c r="I609" s="19"/>
      <c r="M609" s="19"/>
    </row>
    <row r="610" spans="1:13">
      <c r="A610" s="479">
        <v>3421</v>
      </c>
      <c r="B610" s="19" t="s">
        <v>2336</v>
      </c>
      <c r="C610" t="s">
        <v>138</v>
      </c>
      <c r="D610" s="190">
        <v>3421</v>
      </c>
      <c r="E610" s="192">
        <v>5960</v>
      </c>
      <c r="F610" s="192">
        <v>5399</v>
      </c>
      <c r="G610" s="481">
        <v>208</v>
      </c>
      <c r="H610" s="19"/>
      <c r="I610" s="19"/>
      <c r="M610" s="19"/>
    </row>
    <row r="611" spans="1:13">
      <c r="A611" s="479">
        <v>4952</v>
      </c>
      <c r="B611" s="19" t="s">
        <v>2337</v>
      </c>
      <c r="C611" t="s">
        <v>138</v>
      </c>
      <c r="D611" s="190">
        <v>4952</v>
      </c>
      <c r="E611" s="192">
        <v>6529</v>
      </c>
      <c r="F611" s="192">
        <v>4126</v>
      </c>
      <c r="G611" s="481">
        <v>189</v>
      </c>
      <c r="H611" s="19"/>
      <c r="I611" s="19"/>
      <c r="M611" s="19"/>
    </row>
    <row r="612" spans="1:13">
      <c r="A612" s="479">
        <v>3225</v>
      </c>
      <c r="B612" s="19" t="s">
        <v>2338</v>
      </c>
      <c r="C612" t="s">
        <v>138</v>
      </c>
      <c r="D612" s="190">
        <v>3225</v>
      </c>
      <c r="E612" s="192">
        <v>5761</v>
      </c>
      <c r="F612" s="192">
        <v>5973</v>
      </c>
      <c r="G612" s="481">
        <v>205</v>
      </c>
      <c r="H612" s="19"/>
      <c r="I612" s="19"/>
      <c r="M612" s="19"/>
    </row>
    <row r="613" spans="1:13">
      <c r="A613" s="479">
        <v>2608</v>
      </c>
      <c r="B613" s="19" t="s">
        <v>2339</v>
      </c>
      <c r="C613" t="s">
        <v>138</v>
      </c>
      <c r="D613" s="190">
        <v>2608</v>
      </c>
      <c r="E613" s="192">
        <v>3791</v>
      </c>
      <c r="F613" s="192">
        <v>4962</v>
      </c>
      <c r="G613" s="481">
        <v>184</v>
      </c>
      <c r="H613" s="19"/>
      <c r="I613" s="19"/>
      <c r="M613" s="19"/>
    </row>
    <row r="614" spans="1:13">
      <c r="A614" s="479">
        <v>2572</v>
      </c>
      <c r="B614" s="19" t="s">
        <v>2340</v>
      </c>
      <c r="C614" t="s">
        <v>138</v>
      </c>
      <c r="D614" s="190">
        <v>2572</v>
      </c>
      <c r="E614" s="192">
        <v>6446</v>
      </c>
      <c r="F614" s="192">
        <v>7906</v>
      </c>
      <c r="G614" s="481">
        <v>212</v>
      </c>
      <c r="H614" s="19"/>
      <c r="I614" s="19"/>
      <c r="M614" s="19"/>
    </row>
    <row r="615" spans="1:13">
      <c r="A615" s="479">
        <v>3127</v>
      </c>
      <c r="B615" s="19" t="s">
        <v>2341</v>
      </c>
      <c r="C615" t="s">
        <v>138</v>
      </c>
      <c r="D615" s="190">
        <v>3127</v>
      </c>
      <c r="E615" s="192">
        <v>6760</v>
      </c>
      <c r="F615" s="192">
        <v>7037</v>
      </c>
      <c r="G615" s="481">
        <v>241</v>
      </c>
      <c r="H615" s="19"/>
      <c r="I615" s="19"/>
      <c r="M615" s="19"/>
    </row>
    <row r="616" spans="1:13">
      <c r="A616" s="479">
        <v>3533</v>
      </c>
      <c r="B616" s="19" t="s">
        <v>2342</v>
      </c>
      <c r="C616" t="s">
        <v>138</v>
      </c>
      <c r="D616" s="190">
        <v>3533</v>
      </c>
      <c r="E616" s="192">
        <v>5694</v>
      </c>
      <c r="F616" s="192">
        <v>5548</v>
      </c>
      <c r="G616" s="481">
        <v>145</v>
      </c>
      <c r="H616" s="19"/>
      <c r="I616" s="19"/>
      <c r="M616" s="19"/>
    </row>
    <row r="617" spans="1:13">
      <c r="A617" s="479">
        <v>3556</v>
      </c>
      <c r="B617" s="19" t="s">
        <v>2343</v>
      </c>
      <c r="C617" t="s">
        <v>138</v>
      </c>
      <c r="D617" s="190">
        <v>3556</v>
      </c>
      <c r="E617" s="192">
        <v>6136</v>
      </c>
      <c r="F617" s="192">
        <v>3623</v>
      </c>
      <c r="G617" s="481">
        <v>123</v>
      </c>
      <c r="H617" s="19"/>
      <c r="I617" s="19"/>
      <c r="M617" s="19"/>
    </row>
    <row r="618" spans="1:13">
      <c r="A618" s="479">
        <v>3772</v>
      </c>
      <c r="B618" s="19" t="s">
        <v>2344</v>
      </c>
      <c r="C618" t="s">
        <v>138</v>
      </c>
      <c r="D618" s="190">
        <v>3772</v>
      </c>
      <c r="E618" s="192">
        <v>4996</v>
      </c>
      <c r="F618" s="192">
        <v>6686</v>
      </c>
      <c r="G618" s="481">
        <v>264</v>
      </c>
      <c r="H618" s="19"/>
      <c r="I618" s="19"/>
      <c r="M618" s="19"/>
    </row>
    <row r="619" spans="1:13">
      <c r="A619" s="479">
        <v>2554</v>
      </c>
      <c r="B619" s="19" t="s">
        <v>2345</v>
      </c>
      <c r="C619" t="s">
        <v>138</v>
      </c>
      <c r="D619" s="190">
        <v>2554</v>
      </c>
      <c r="E619" s="192">
        <v>5676</v>
      </c>
      <c r="F619" s="192">
        <v>6245</v>
      </c>
      <c r="G619" s="481">
        <v>215</v>
      </c>
      <c r="H619" s="19"/>
      <c r="I619" s="19"/>
      <c r="M619" s="19"/>
    </row>
    <row r="620" spans="1:13">
      <c r="A620" s="479">
        <v>3718</v>
      </c>
      <c r="B620" s="19" t="s">
        <v>2346</v>
      </c>
      <c r="C620" t="s">
        <v>138</v>
      </c>
      <c r="D620" s="190">
        <v>3718</v>
      </c>
      <c r="E620" s="192">
        <v>7175</v>
      </c>
      <c r="F620" s="192">
        <v>5951</v>
      </c>
      <c r="G620" s="481">
        <v>233</v>
      </c>
      <c r="H620" s="19"/>
      <c r="I620" s="19"/>
      <c r="M620" s="19"/>
    </row>
    <row r="621" spans="1:13">
      <c r="A621" s="479">
        <v>3673</v>
      </c>
      <c r="B621" s="19" t="s">
        <v>2347</v>
      </c>
      <c r="C621" t="s">
        <v>138</v>
      </c>
      <c r="D621" s="190">
        <v>3673</v>
      </c>
      <c r="E621" s="192">
        <v>6717</v>
      </c>
      <c r="F621" s="192">
        <v>5571</v>
      </c>
      <c r="G621" s="481">
        <v>180</v>
      </c>
      <c r="H621" s="19"/>
      <c r="I621" s="19"/>
      <c r="M621" s="19"/>
    </row>
    <row r="622" spans="1:13">
      <c r="A622" s="479">
        <v>3766</v>
      </c>
      <c r="B622" s="19" t="s">
        <v>2348</v>
      </c>
      <c r="C622" t="s">
        <v>138</v>
      </c>
      <c r="D622" s="190">
        <v>3766</v>
      </c>
      <c r="E622" s="192">
        <v>3029</v>
      </c>
      <c r="F622" s="192">
        <v>4147</v>
      </c>
      <c r="G622" s="481">
        <v>129</v>
      </c>
      <c r="H622" s="19"/>
      <c r="I622" s="19"/>
      <c r="M622" s="19"/>
    </row>
    <row r="623" spans="1:13">
      <c r="A623" s="479">
        <v>3271</v>
      </c>
      <c r="B623" s="19" t="s">
        <v>2349</v>
      </c>
      <c r="C623" t="s">
        <v>138</v>
      </c>
      <c r="D623" s="190">
        <v>3271</v>
      </c>
      <c r="E623" s="192">
        <v>5117</v>
      </c>
      <c r="F623" s="192">
        <v>5959</v>
      </c>
      <c r="G623" s="481">
        <v>205</v>
      </c>
      <c r="H623" s="19"/>
      <c r="I623" s="19"/>
      <c r="M623" s="19"/>
    </row>
    <row r="624" spans="1:13">
      <c r="A624" s="479">
        <v>3297</v>
      </c>
      <c r="B624" s="19" t="s">
        <v>2350</v>
      </c>
      <c r="C624" t="s">
        <v>138</v>
      </c>
      <c r="D624" s="190">
        <v>3297</v>
      </c>
      <c r="E624" s="192">
        <v>5945</v>
      </c>
      <c r="F624" s="192">
        <v>6310</v>
      </c>
      <c r="G624" s="481">
        <v>238</v>
      </c>
      <c r="H624" s="19"/>
      <c r="I624" s="19"/>
      <c r="M624" s="19"/>
    </row>
    <row r="625" spans="1:13">
      <c r="A625" s="479">
        <v>3206</v>
      </c>
      <c r="B625" s="19" t="s">
        <v>2351</v>
      </c>
      <c r="C625" t="s">
        <v>138</v>
      </c>
      <c r="D625" s="190">
        <v>3206</v>
      </c>
      <c r="E625" s="192">
        <v>6140</v>
      </c>
      <c r="F625" s="192">
        <v>5340</v>
      </c>
      <c r="G625" s="481">
        <v>175</v>
      </c>
      <c r="H625" s="19"/>
      <c r="I625" s="19"/>
      <c r="M625" s="19"/>
    </row>
    <row r="626" spans="1:13">
      <c r="A626" s="479">
        <v>2615</v>
      </c>
      <c r="B626" s="19" t="s">
        <v>2352</v>
      </c>
      <c r="C626" t="s">
        <v>138</v>
      </c>
      <c r="D626" s="190">
        <v>2615</v>
      </c>
      <c r="E626" s="192">
        <v>3910</v>
      </c>
      <c r="F626" s="192">
        <v>4420</v>
      </c>
      <c r="G626" s="481">
        <v>131</v>
      </c>
      <c r="H626" s="19"/>
      <c r="I626" s="19"/>
      <c r="M626" s="19"/>
    </row>
    <row r="627" spans="1:13">
      <c r="A627" s="479">
        <v>3202</v>
      </c>
      <c r="B627" s="19" t="s">
        <v>2353</v>
      </c>
      <c r="C627" t="s">
        <v>138</v>
      </c>
      <c r="D627" s="190">
        <v>3202</v>
      </c>
      <c r="E627" s="192">
        <v>7299</v>
      </c>
      <c r="F627" s="192">
        <v>7089</v>
      </c>
      <c r="G627" s="481">
        <v>212</v>
      </c>
      <c r="H627" s="19"/>
      <c r="I627" s="19"/>
      <c r="M627" s="19"/>
    </row>
    <row r="628" spans="1:13">
      <c r="A628" s="479">
        <v>3638</v>
      </c>
      <c r="B628" s="19" t="s">
        <v>2354</v>
      </c>
      <c r="C628" t="s">
        <v>138</v>
      </c>
      <c r="D628" s="190">
        <v>3638</v>
      </c>
      <c r="E628" s="192">
        <v>5627</v>
      </c>
      <c r="F628" s="192">
        <v>6675</v>
      </c>
      <c r="G628" s="481">
        <v>205</v>
      </c>
      <c r="H628" s="19"/>
      <c r="I628" s="19"/>
      <c r="M628" s="19"/>
    </row>
    <row r="629" spans="1:13">
      <c r="A629" s="479">
        <v>3803</v>
      </c>
      <c r="B629" s="19" t="s">
        <v>2355</v>
      </c>
      <c r="C629" t="s">
        <v>138</v>
      </c>
      <c r="D629" s="190">
        <v>3803</v>
      </c>
      <c r="E629" s="192">
        <v>7086</v>
      </c>
      <c r="F629" s="192">
        <v>6312</v>
      </c>
      <c r="G629" s="481">
        <v>229</v>
      </c>
      <c r="H629" s="19"/>
      <c r="I629" s="19"/>
      <c r="M629" s="19"/>
    </row>
    <row r="630" spans="1:13">
      <c r="A630" s="479">
        <v>2534</v>
      </c>
      <c r="B630" s="19" t="s">
        <v>2356</v>
      </c>
      <c r="C630" t="s">
        <v>138</v>
      </c>
      <c r="D630" s="190">
        <v>2534</v>
      </c>
      <c r="E630" s="192">
        <v>5309</v>
      </c>
      <c r="F630" s="192">
        <v>5296</v>
      </c>
      <c r="G630" s="481">
        <v>193</v>
      </c>
      <c r="H630" s="19"/>
      <c r="I630" s="19"/>
      <c r="M630" s="19"/>
    </row>
    <row r="631" spans="1:13">
      <c r="A631" s="479">
        <v>3115</v>
      </c>
      <c r="B631" s="19" t="s">
        <v>2357</v>
      </c>
      <c r="C631" t="s">
        <v>138</v>
      </c>
      <c r="D631" s="190">
        <v>3115</v>
      </c>
      <c r="E631" s="192">
        <v>5409</v>
      </c>
      <c r="F631" s="192">
        <v>7709</v>
      </c>
      <c r="G631" s="481">
        <v>244</v>
      </c>
      <c r="H631" s="19"/>
      <c r="I631" s="19"/>
      <c r="M631" s="19"/>
    </row>
    <row r="632" spans="1:13">
      <c r="A632" s="479">
        <v>3538</v>
      </c>
      <c r="B632" s="19" t="s">
        <v>2358</v>
      </c>
      <c r="C632" t="s">
        <v>138</v>
      </c>
      <c r="D632" s="190">
        <v>3538</v>
      </c>
      <c r="E632" s="192">
        <v>5352</v>
      </c>
      <c r="F632" s="192">
        <v>4618</v>
      </c>
      <c r="G632" s="481">
        <v>183</v>
      </c>
      <c r="H632" s="19"/>
      <c r="I632" s="19"/>
      <c r="M632" s="19"/>
    </row>
    <row r="633" spans="1:13">
      <c r="A633" s="479">
        <v>6083</v>
      </c>
      <c r="B633" s="19" t="s">
        <v>2359</v>
      </c>
      <c r="C633" t="s">
        <v>138</v>
      </c>
      <c r="D633" s="190">
        <v>6083</v>
      </c>
      <c r="E633" s="192">
        <v>6183</v>
      </c>
      <c r="F633" s="192">
        <v>5799</v>
      </c>
      <c r="G633" s="481">
        <v>220</v>
      </c>
      <c r="H633" s="19"/>
      <c r="I633" s="19"/>
      <c r="M633" s="19"/>
    </row>
    <row r="634" spans="1:13">
      <c r="A634" s="479">
        <v>3086</v>
      </c>
      <c r="B634" s="19" t="s">
        <v>2360</v>
      </c>
      <c r="C634" t="s">
        <v>138</v>
      </c>
      <c r="D634" s="190">
        <v>3086</v>
      </c>
      <c r="E634" s="192">
        <v>7695</v>
      </c>
      <c r="F634" s="192">
        <v>7571</v>
      </c>
      <c r="G634" s="481">
        <v>211</v>
      </c>
      <c r="H634" s="19"/>
      <c r="I634" s="19"/>
      <c r="M634" s="19"/>
    </row>
    <row r="635" spans="1:13">
      <c r="A635" s="479">
        <v>4954</v>
      </c>
      <c r="B635" s="19" t="s">
        <v>2361</v>
      </c>
      <c r="C635" t="s">
        <v>138</v>
      </c>
      <c r="D635" s="190">
        <v>4954</v>
      </c>
      <c r="E635" s="192">
        <v>16535</v>
      </c>
      <c r="F635" s="192">
        <v>4787</v>
      </c>
      <c r="G635" s="481">
        <v>160</v>
      </c>
      <c r="H635" s="19"/>
      <c r="I635" s="19"/>
      <c r="M635" s="19"/>
    </row>
    <row r="636" spans="1:13">
      <c r="A636" s="479">
        <v>2513</v>
      </c>
      <c r="B636" s="19" t="s">
        <v>2362</v>
      </c>
      <c r="C636" t="s">
        <v>138</v>
      </c>
      <c r="D636" s="190">
        <v>2513</v>
      </c>
      <c r="E636" s="192">
        <v>5885</v>
      </c>
      <c r="F636" s="192">
        <v>7512</v>
      </c>
      <c r="G636" s="481">
        <v>204</v>
      </c>
      <c r="H636" s="19"/>
      <c r="I636" s="19"/>
      <c r="M636" s="19"/>
    </row>
    <row r="637" spans="1:13">
      <c r="A637" s="479">
        <v>3416</v>
      </c>
      <c r="B637" s="19" t="s">
        <v>2363</v>
      </c>
      <c r="C637" t="s">
        <v>138</v>
      </c>
      <c r="D637" s="190">
        <v>3416</v>
      </c>
      <c r="E637" s="192">
        <v>5324</v>
      </c>
      <c r="F637" s="192">
        <v>4584</v>
      </c>
      <c r="G637" s="481">
        <v>180</v>
      </c>
      <c r="H637" s="19"/>
      <c r="I637" s="19"/>
      <c r="M637" s="19"/>
    </row>
    <row r="638" spans="1:13">
      <c r="A638" s="479">
        <v>3723</v>
      </c>
      <c r="B638" s="19" t="s">
        <v>2364</v>
      </c>
      <c r="C638" t="s">
        <v>138</v>
      </c>
      <c r="D638" s="190">
        <v>3723</v>
      </c>
      <c r="E638" s="192">
        <v>7193</v>
      </c>
      <c r="F638" s="192">
        <v>6707</v>
      </c>
      <c r="G638" s="481">
        <v>222</v>
      </c>
      <c r="H638" s="19"/>
      <c r="I638" s="19"/>
      <c r="M638" s="19"/>
    </row>
    <row r="639" spans="1:13">
      <c r="A639" s="479">
        <v>3367</v>
      </c>
      <c r="B639" s="19" t="s">
        <v>2365</v>
      </c>
      <c r="C639" t="s">
        <v>138</v>
      </c>
      <c r="D639" s="190">
        <v>3367</v>
      </c>
      <c r="E639" s="192">
        <v>4771</v>
      </c>
      <c r="F639" s="192">
        <v>6120</v>
      </c>
      <c r="G639" s="481">
        <v>223</v>
      </c>
      <c r="H639" s="19"/>
      <c r="I639" s="19"/>
      <c r="M639" s="19"/>
    </row>
    <row r="640" spans="1:13">
      <c r="A640" s="479">
        <v>3373</v>
      </c>
      <c r="B640" s="19" t="s">
        <v>2366</v>
      </c>
      <c r="C640" t="s">
        <v>138</v>
      </c>
      <c r="D640" s="190">
        <v>3373</v>
      </c>
      <c r="E640" s="192">
        <v>5057</v>
      </c>
      <c r="F640" s="192">
        <v>5626</v>
      </c>
      <c r="G640" s="481">
        <v>209</v>
      </c>
      <c r="H640" s="19"/>
      <c r="I640" s="19"/>
      <c r="M640" s="19"/>
    </row>
    <row r="641" spans="1:13">
      <c r="A641" s="479">
        <v>3664</v>
      </c>
      <c r="B641" s="19" t="s">
        <v>2367</v>
      </c>
      <c r="C641" t="s">
        <v>138</v>
      </c>
      <c r="D641" s="190">
        <v>3664</v>
      </c>
      <c r="E641" s="192">
        <v>6598</v>
      </c>
      <c r="F641" s="192">
        <v>7356</v>
      </c>
      <c r="G641" s="481">
        <v>198</v>
      </c>
      <c r="H641" s="19"/>
      <c r="I641" s="19"/>
      <c r="M641" s="19"/>
    </row>
    <row r="642" spans="1:13">
      <c r="A642" s="479">
        <v>3426</v>
      </c>
      <c r="B642" s="19" t="s">
        <v>2368</v>
      </c>
      <c r="C642" t="s">
        <v>138</v>
      </c>
      <c r="D642" s="190">
        <v>3426</v>
      </c>
      <c r="E642" s="192">
        <v>6285</v>
      </c>
      <c r="F642" s="192">
        <v>5720</v>
      </c>
      <c r="G642" s="481">
        <v>198</v>
      </c>
      <c r="H642" s="19"/>
      <c r="I642" s="19"/>
      <c r="M642" s="19"/>
    </row>
    <row r="643" spans="1:13">
      <c r="A643" s="479">
        <v>3126</v>
      </c>
      <c r="B643" s="19" t="s">
        <v>2369</v>
      </c>
      <c r="C643" t="s">
        <v>138</v>
      </c>
      <c r="D643" s="190">
        <v>3126</v>
      </c>
      <c r="E643" s="192">
        <v>4790</v>
      </c>
      <c r="F643" s="192">
        <v>6389</v>
      </c>
      <c r="G643" s="481">
        <v>259</v>
      </c>
      <c r="H643" s="19"/>
      <c r="I643" s="19"/>
      <c r="M643" s="19"/>
    </row>
    <row r="644" spans="1:13">
      <c r="A644" s="479">
        <v>3706</v>
      </c>
      <c r="B644" s="19" t="s">
        <v>2370</v>
      </c>
      <c r="C644" t="s">
        <v>138</v>
      </c>
      <c r="D644" s="190">
        <v>3706</v>
      </c>
      <c r="E644" s="192">
        <v>7415</v>
      </c>
      <c r="F644" s="192">
        <v>9503</v>
      </c>
      <c r="G644" s="481">
        <v>280</v>
      </c>
      <c r="H644" s="19"/>
      <c r="I644" s="19"/>
      <c r="M644" s="19"/>
    </row>
    <row r="645" spans="1:13">
      <c r="A645" s="479">
        <v>3862</v>
      </c>
      <c r="B645" s="19" t="s">
        <v>2371</v>
      </c>
      <c r="C645" t="s">
        <v>138</v>
      </c>
      <c r="D645" s="190">
        <v>3862</v>
      </c>
      <c r="E645" s="192">
        <v>8462</v>
      </c>
      <c r="F645" s="192">
        <v>4174</v>
      </c>
      <c r="G645" s="481">
        <v>174</v>
      </c>
      <c r="H645" s="19"/>
      <c r="I645" s="19"/>
      <c r="M645" s="19"/>
    </row>
    <row r="646" spans="1:13">
      <c r="A646" s="479">
        <v>3323</v>
      </c>
      <c r="B646" s="19" t="s">
        <v>2372</v>
      </c>
      <c r="C646" t="s">
        <v>138</v>
      </c>
      <c r="D646" s="190">
        <v>3323</v>
      </c>
      <c r="E646" s="192">
        <v>7673</v>
      </c>
      <c r="F646" s="192">
        <v>6696</v>
      </c>
      <c r="G646" s="481">
        <v>218</v>
      </c>
      <c r="H646" s="19"/>
      <c r="I646" s="19"/>
      <c r="M646" s="19"/>
    </row>
    <row r="647" spans="1:13">
      <c r="A647" s="479">
        <v>3465</v>
      </c>
      <c r="B647" s="19" t="s">
        <v>2373</v>
      </c>
      <c r="C647" t="s">
        <v>138</v>
      </c>
      <c r="D647" s="190">
        <v>3465</v>
      </c>
      <c r="E647" s="192">
        <v>5552</v>
      </c>
      <c r="F647" s="192">
        <v>5045</v>
      </c>
      <c r="G647" s="481">
        <v>130</v>
      </c>
      <c r="H647" s="19"/>
      <c r="I647" s="19"/>
      <c r="M647" s="19"/>
    </row>
    <row r="648" spans="1:13">
      <c r="A648" s="479">
        <v>3282</v>
      </c>
      <c r="B648" s="19" t="s">
        <v>2374</v>
      </c>
      <c r="C648" t="s">
        <v>138</v>
      </c>
      <c r="D648" s="190">
        <v>3282</v>
      </c>
      <c r="E648" s="192">
        <v>5217</v>
      </c>
      <c r="F648" s="192">
        <v>6157</v>
      </c>
      <c r="G648" s="481">
        <v>224</v>
      </c>
      <c r="H648" s="19"/>
      <c r="I648" s="19"/>
      <c r="M648" s="19"/>
    </row>
    <row r="649" spans="1:13">
      <c r="A649" s="479">
        <v>3272</v>
      </c>
      <c r="B649" s="19" t="s">
        <v>2375</v>
      </c>
      <c r="C649" t="s">
        <v>138</v>
      </c>
      <c r="D649" s="190">
        <v>3272</v>
      </c>
      <c r="E649" s="192">
        <v>5494</v>
      </c>
      <c r="F649" s="192">
        <v>5520</v>
      </c>
      <c r="G649" s="481">
        <v>190</v>
      </c>
      <c r="H649" s="19"/>
      <c r="I649" s="19"/>
      <c r="M649" s="19"/>
    </row>
    <row r="650" spans="1:13">
      <c r="A650" s="479">
        <v>3624</v>
      </c>
      <c r="B650" s="19" t="s">
        <v>2376</v>
      </c>
      <c r="C650" t="s">
        <v>138</v>
      </c>
      <c r="D650" s="190">
        <v>3624</v>
      </c>
      <c r="E650" s="192">
        <v>6752</v>
      </c>
      <c r="F650" s="192">
        <v>6253</v>
      </c>
      <c r="G650" s="481">
        <v>208</v>
      </c>
      <c r="H650" s="19"/>
      <c r="I650" s="19"/>
      <c r="M650" s="19"/>
    </row>
    <row r="651" spans="1:13">
      <c r="A651" s="479">
        <v>3264</v>
      </c>
      <c r="B651" s="19" t="s">
        <v>2377</v>
      </c>
      <c r="C651" t="s">
        <v>138</v>
      </c>
      <c r="D651" s="190">
        <v>3264</v>
      </c>
      <c r="E651" s="192">
        <v>5967</v>
      </c>
      <c r="F651" s="192">
        <v>5215</v>
      </c>
      <c r="G651" s="481">
        <v>204</v>
      </c>
      <c r="H651" s="19"/>
      <c r="I651" s="19"/>
      <c r="M651" s="19"/>
    </row>
    <row r="652" spans="1:13">
      <c r="A652" s="479">
        <v>3629</v>
      </c>
      <c r="B652" s="19" t="s">
        <v>2378</v>
      </c>
      <c r="C652" t="s">
        <v>138</v>
      </c>
      <c r="D652" s="190">
        <v>3629</v>
      </c>
      <c r="E652" s="192">
        <v>6526</v>
      </c>
      <c r="F652" s="192">
        <v>6925</v>
      </c>
      <c r="G652" s="481">
        <v>230</v>
      </c>
      <c r="H652" s="19"/>
      <c r="I652" s="19"/>
      <c r="M652" s="19"/>
    </row>
    <row r="653" spans="1:13">
      <c r="A653" s="479">
        <v>3614</v>
      </c>
      <c r="B653" s="19" t="s">
        <v>2379</v>
      </c>
      <c r="C653" t="s">
        <v>138</v>
      </c>
      <c r="D653" s="190">
        <v>3614</v>
      </c>
      <c r="E653" s="192">
        <v>7652</v>
      </c>
      <c r="F653" s="192">
        <v>5838</v>
      </c>
      <c r="G653" s="481">
        <v>229</v>
      </c>
      <c r="H653" s="19"/>
      <c r="I653" s="19"/>
      <c r="M653" s="19"/>
    </row>
    <row r="654" spans="1:13">
      <c r="A654" s="479">
        <v>3647</v>
      </c>
      <c r="B654" s="19" t="s">
        <v>2380</v>
      </c>
      <c r="C654" t="s">
        <v>138</v>
      </c>
      <c r="D654" s="190">
        <v>3647</v>
      </c>
      <c r="E654" s="192">
        <v>5851</v>
      </c>
      <c r="F654" s="192">
        <v>6321</v>
      </c>
      <c r="G654" s="481">
        <v>246</v>
      </c>
      <c r="H654" s="19"/>
      <c r="I654" s="19"/>
      <c r="M654" s="19"/>
    </row>
    <row r="655" spans="1:13">
      <c r="A655" s="479">
        <v>3785</v>
      </c>
      <c r="B655" s="19" t="s">
        <v>2381</v>
      </c>
      <c r="C655" t="s">
        <v>138</v>
      </c>
      <c r="D655" s="190">
        <v>3785</v>
      </c>
      <c r="E655" s="192">
        <v>13205</v>
      </c>
      <c r="F655" s="192">
        <v>9754</v>
      </c>
      <c r="G655" s="481">
        <v>314</v>
      </c>
      <c r="H655" s="19"/>
      <c r="I655" s="19"/>
      <c r="M655" s="19"/>
    </row>
    <row r="656" spans="1:13">
      <c r="A656" s="479">
        <v>3236</v>
      </c>
      <c r="B656" s="19" t="s">
        <v>2382</v>
      </c>
      <c r="C656" t="s">
        <v>138</v>
      </c>
      <c r="D656" s="190">
        <v>3236</v>
      </c>
      <c r="E656" s="192">
        <v>6941</v>
      </c>
      <c r="F656" s="192">
        <v>7053</v>
      </c>
      <c r="G656" s="481">
        <v>185</v>
      </c>
      <c r="H656" s="19"/>
      <c r="I656" s="19"/>
      <c r="M656" s="19"/>
    </row>
    <row r="657" spans="1:13">
      <c r="A657" s="479">
        <v>3456</v>
      </c>
      <c r="B657" s="19" t="s">
        <v>2383</v>
      </c>
      <c r="C657" t="s">
        <v>138</v>
      </c>
      <c r="D657" s="190">
        <v>3456</v>
      </c>
      <c r="E657" s="192">
        <v>5272</v>
      </c>
      <c r="F657" s="192">
        <v>3683</v>
      </c>
      <c r="G657" s="481">
        <v>167</v>
      </c>
      <c r="H657" s="19"/>
      <c r="I657" s="19"/>
      <c r="M657" s="19"/>
    </row>
    <row r="658" spans="1:13">
      <c r="A658" s="479">
        <v>3508</v>
      </c>
      <c r="B658" s="19" t="s">
        <v>2384</v>
      </c>
      <c r="C658" t="s">
        <v>138</v>
      </c>
      <c r="D658" s="190">
        <v>3508</v>
      </c>
      <c r="E658" s="192">
        <v>5140</v>
      </c>
      <c r="F658" s="192">
        <v>6547</v>
      </c>
      <c r="G658" s="481">
        <v>238</v>
      </c>
      <c r="H658" s="19"/>
      <c r="I658" s="19"/>
      <c r="M658" s="19"/>
    </row>
    <row r="659" spans="1:13">
      <c r="A659" s="479">
        <v>2613</v>
      </c>
      <c r="B659" s="19" t="s">
        <v>2385</v>
      </c>
      <c r="C659" t="s">
        <v>138</v>
      </c>
      <c r="D659" s="190">
        <v>2613</v>
      </c>
      <c r="E659" s="192">
        <v>4839</v>
      </c>
      <c r="F659" s="192">
        <v>3635</v>
      </c>
      <c r="G659" s="481">
        <v>225</v>
      </c>
      <c r="H659" s="19"/>
      <c r="I659" s="19"/>
      <c r="M659" s="19"/>
    </row>
    <row r="660" spans="1:13">
      <c r="A660" s="479">
        <v>2616</v>
      </c>
      <c r="B660" s="19" t="s">
        <v>2386</v>
      </c>
      <c r="C660" t="s">
        <v>138</v>
      </c>
      <c r="D660" s="190">
        <v>2616</v>
      </c>
      <c r="E660" s="192">
        <v>3913</v>
      </c>
      <c r="F660" s="192">
        <v>3281</v>
      </c>
      <c r="G660" s="481">
        <v>174</v>
      </c>
      <c r="H660" s="19"/>
      <c r="I660" s="19"/>
      <c r="M660" s="19"/>
    </row>
    <row r="661" spans="1:13">
      <c r="A661" s="479">
        <v>3428</v>
      </c>
      <c r="B661" s="19" t="s">
        <v>2387</v>
      </c>
      <c r="C661" t="s">
        <v>138</v>
      </c>
      <c r="D661" s="190">
        <v>3428</v>
      </c>
      <c r="E661" s="192">
        <v>5244</v>
      </c>
      <c r="F661" s="192">
        <v>5663</v>
      </c>
      <c r="G661" s="481">
        <v>205</v>
      </c>
      <c r="H661" s="19"/>
      <c r="I661" s="19"/>
      <c r="M661" s="19"/>
    </row>
    <row r="662" spans="1:13">
      <c r="A662" s="479">
        <v>4937</v>
      </c>
      <c r="B662" s="19" t="s">
        <v>2388</v>
      </c>
      <c r="C662" t="s">
        <v>138</v>
      </c>
      <c r="D662" s="190">
        <v>4937</v>
      </c>
      <c r="E662" s="192">
        <v>8700</v>
      </c>
      <c r="F662" s="192">
        <v>5152</v>
      </c>
      <c r="G662" s="481">
        <v>193</v>
      </c>
      <c r="H662" s="19"/>
      <c r="I662" s="19"/>
      <c r="M662" s="19"/>
    </row>
    <row r="663" spans="1:13">
      <c r="A663" s="479">
        <v>6197</v>
      </c>
      <c r="B663" s="19" t="s">
        <v>2389</v>
      </c>
      <c r="C663" t="s">
        <v>138</v>
      </c>
      <c r="D663" s="190">
        <v>6197</v>
      </c>
      <c r="E663" s="192">
        <v>6040</v>
      </c>
      <c r="F663" s="192">
        <v>4759</v>
      </c>
      <c r="G663" s="481">
        <v>244</v>
      </c>
      <c r="H663" s="19"/>
      <c r="I663" s="19"/>
      <c r="M663" s="19"/>
    </row>
    <row r="664" spans="1:13">
      <c r="A664" s="479">
        <v>3274</v>
      </c>
      <c r="B664" s="19" t="s">
        <v>2390</v>
      </c>
      <c r="C664" t="s">
        <v>138</v>
      </c>
      <c r="D664" s="190">
        <v>3274</v>
      </c>
      <c r="E664" s="192">
        <v>7260</v>
      </c>
      <c r="F664" s="192">
        <v>10261</v>
      </c>
      <c r="G664" s="481">
        <v>239</v>
      </c>
      <c r="H664" s="19"/>
      <c r="I664" s="19"/>
      <c r="M664" s="19"/>
    </row>
    <row r="665" spans="1:13">
      <c r="A665" s="479">
        <v>3096</v>
      </c>
      <c r="B665" s="19" t="s">
        <v>2391</v>
      </c>
      <c r="C665" t="s">
        <v>138</v>
      </c>
      <c r="D665" s="190">
        <v>3096</v>
      </c>
      <c r="E665" s="192">
        <v>7147</v>
      </c>
      <c r="F665" s="192">
        <v>6335</v>
      </c>
      <c r="G665" s="481">
        <v>233</v>
      </c>
      <c r="H665" s="19"/>
      <c r="I665" s="19"/>
      <c r="M665" s="19"/>
    </row>
    <row r="666" spans="1:13">
      <c r="A666" s="479">
        <v>3763</v>
      </c>
      <c r="B666" s="19" t="s">
        <v>2392</v>
      </c>
      <c r="C666" t="s">
        <v>138</v>
      </c>
      <c r="D666" s="190">
        <v>3763</v>
      </c>
      <c r="E666" s="192">
        <v>6063</v>
      </c>
      <c r="F666" s="192">
        <v>5790</v>
      </c>
      <c r="G666" s="481">
        <v>148</v>
      </c>
      <c r="H666" s="19"/>
      <c r="I666" s="19"/>
      <c r="M666" s="19"/>
    </row>
    <row r="667" spans="1:13">
      <c r="A667" s="479">
        <v>3263</v>
      </c>
      <c r="B667" s="19" t="s">
        <v>2393</v>
      </c>
      <c r="C667" t="s">
        <v>138</v>
      </c>
      <c r="D667" s="190">
        <v>3263</v>
      </c>
      <c r="E667" s="192">
        <v>5918</v>
      </c>
      <c r="F667" s="192">
        <v>6403</v>
      </c>
      <c r="G667" s="481">
        <v>188</v>
      </c>
      <c r="H667" s="19"/>
      <c r="I667" s="19"/>
      <c r="M667" s="19"/>
    </row>
    <row r="668" spans="1:13">
      <c r="A668" s="479">
        <v>3237</v>
      </c>
      <c r="B668" s="19" t="s">
        <v>2394</v>
      </c>
      <c r="C668" t="s">
        <v>138</v>
      </c>
      <c r="D668" s="190">
        <v>3237</v>
      </c>
      <c r="E668" s="192">
        <v>6042</v>
      </c>
      <c r="F668" s="192">
        <v>7392</v>
      </c>
      <c r="G668" s="481">
        <v>199</v>
      </c>
      <c r="H668" s="19"/>
      <c r="I668" s="19"/>
      <c r="M668" s="19"/>
    </row>
    <row r="669" spans="1:13">
      <c r="A669" s="479">
        <v>3298</v>
      </c>
      <c r="B669" s="19" t="s">
        <v>2395</v>
      </c>
      <c r="C669" t="s">
        <v>138</v>
      </c>
      <c r="D669" s="190">
        <v>3298</v>
      </c>
      <c r="E669" s="192">
        <v>5543</v>
      </c>
      <c r="F669" s="192">
        <v>5912</v>
      </c>
      <c r="G669" s="481">
        <v>232</v>
      </c>
      <c r="H669" s="19"/>
      <c r="I669" s="19"/>
      <c r="M669" s="19"/>
    </row>
    <row r="670" spans="1:13">
      <c r="A670" s="479">
        <v>3295</v>
      </c>
      <c r="B670" s="19" t="s">
        <v>2396</v>
      </c>
      <c r="C670" t="s">
        <v>138</v>
      </c>
      <c r="D670" s="190">
        <v>3295</v>
      </c>
      <c r="E670" s="192">
        <v>5497</v>
      </c>
      <c r="F670" s="192">
        <v>6727</v>
      </c>
      <c r="G670" s="481">
        <v>202</v>
      </c>
      <c r="H670" s="19"/>
      <c r="I670" s="19"/>
      <c r="M670" s="19"/>
    </row>
    <row r="671" spans="1:13">
      <c r="A671" s="479">
        <v>3663</v>
      </c>
      <c r="B671" s="19" t="s">
        <v>2397</v>
      </c>
      <c r="C671" t="s">
        <v>138</v>
      </c>
      <c r="D671" s="190">
        <v>3663</v>
      </c>
      <c r="E671" s="192">
        <v>6677</v>
      </c>
      <c r="F671" s="192">
        <v>6550</v>
      </c>
      <c r="G671" s="481">
        <v>203</v>
      </c>
      <c r="H671" s="19"/>
      <c r="I671" s="19"/>
      <c r="M671" s="19"/>
    </row>
    <row r="672" spans="1:13">
      <c r="A672" s="479">
        <v>3782</v>
      </c>
      <c r="B672" s="19" t="s">
        <v>2398</v>
      </c>
      <c r="C672" t="s">
        <v>138</v>
      </c>
      <c r="D672" s="190">
        <v>3782</v>
      </c>
      <c r="E672" s="192">
        <v>11982</v>
      </c>
      <c r="F672" s="192">
        <v>13749</v>
      </c>
      <c r="G672" s="481">
        <v>244</v>
      </c>
      <c r="H672" s="19"/>
      <c r="I672" s="19"/>
      <c r="M672" s="19"/>
    </row>
    <row r="673" spans="1:13">
      <c r="A673" s="479">
        <v>3633</v>
      </c>
      <c r="B673" s="19" t="s">
        <v>2399</v>
      </c>
      <c r="C673" t="s">
        <v>138</v>
      </c>
      <c r="D673" s="190">
        <v>3633</v>
      </c>
      <c r="E673" s="192">
        <v>7219</v>
      </c>
      <c r="F673" s="192">
        <v>6993</v>
      </c>
      <c r="G673" s="481">
        <v>227</v>
      </c>
      <c r="H673" s="19"/>
      <c r="I673" s="19"/>
      <c r="M673" s="19"/>
    </row>
    <row r="674" spans="1:13">
      <c r="A674" s="479">
        <v>2606</v>
      </c>
      <c r="B674" s="19" t="s">
        <v>2400</v>
      </c>
      <c r="C674" t="s">
        <v>138</v>
      </c>
      <c r="D674" s="190">
        <v>2606</v>
      </c>
      <c r="E674" s="192">
        <v>5590</v>
      </c>
      <c r="F674" s="192">
        <v>4800</v>
      </c>
      <c r="G674" s="481">
        <v>181</v>
      </c>
      <c r="H674" s="19"/>
      <c r="I674" s="19"/>
      <c r="M674" s="19"/>
    </row>
    <row r="675" spans="1:13">
      <c r="A675" s="479">
        <v>3238</v>
      </c>
      <c r="B675" s="19" t="s">
        <v>2401</v>
      </c>
      <c r="C675" t="s">
        <v>138</v>
      </c>
      <c r="D675" s="190">
        <v>3238</v>
      </c>
      <c r="E675" s="192">
        <v>6154</v>
      </c>
      <c r="F675" s="192">
        <v>6443</v>
      </c>
      <c r="G675" s="481">
        <v>320</v>
      </c>
      <c r="H675" s="19"/>
      <c r="I675" s="19"/>
      <c r="M675" s="19"/>
    </row>
    <row r="676" spans="1:13">
      <c r="A676" s="479">
        <v>3755</v>
      </c>
      <c r="B676" s="19" t="s">
        <v>2402</v>
      </c>
      <c r="C676" t="s">
        <v>138</v>
      </c>
      <c r="D676" s="190">
        <v>3755</v>
      </c>
      <c r="E676" s="192">
        <v>5819</v>
      </c>
      <c r="F676" s="192">
        <v>5312</v>
      </c>
      <c r="G676" s="481">
        <v>151</v>
      </c>
      <c r="H676" s="19"/>
      <c r="I676" s="19"/>
      <c r="M676" s="19"/>
    </row>
    <row r="677" spans="1:13">
      <c r="A677" s="479">
        <v>3617</v>
      </c>
      <c r="B677" s="19" t="s">
        <v>2403</v>
      </c>
      <c r="C677" t="s">
        <v>138</v>
      </c>
      <c r="D677" s="190">
        <v>3617</v>
      </c>
      <c r="E677" s="192">
        <v>7462</v>
      </c>
      <c r="F677" s="192">
        <v>7831</v>
      </c>
      <c r="G677" s="481">
        <v>194</v>
      </c>
      <c r="H677" s="19"/>
      <c r="I677" s="19"/>
      <c r="M677" s="19"/>
    </row>
    <row r="678" spans="1:13">
      <c r="A678" s="479">
        <v>3716</v>
      </c>
      <c r="B678" s="19" t="s">
        <v>2404</v>
      </c>
      <c r="C678" t="s">
        <v>138</v>
      </c>
      <c r="D678" s="190">
        <v>3716</v>
      </c>
      <c r="E678" s="192">
        <v>7408</v>
      </c>
      <c r="F678" s="192">
        <v>6028</v>
      </c>
      <c r="G678" s="481">
        <v>290</v>
      </c>
      <c r="H678" s="19"/>
      <c r="I678" s="19"/>
      <c r="M678" s="19"/>
    </row>
    <row r="679" spans="1:13">
      <c r="A679" s="479">
        <v>3634</v>
      </c>
      <c r="B679" s="19" t="s">
        <v>2405</v>
      </c>
      <c r="C679" t="s">
        <v>138</v>
      </c>
      <c r="D679" s="190">
        <v>3634</v>
      </c>
      <c r="E679" s="192">
        <v>6279</v>
      </c>
      <c r="F679" s="192">
        <v>7171</v>
      </c>
      <c r="G679" s="481">
        <v>198</v>
      </c>
      <c r="H679" s="19"/>
      <c r="I679" s="19"/>
      <c r="M679" s="19"/>
    </row>
    <row r="680" spans="1:13">
      <c r="A680" s="479">
        <v>2513</v>
      </c>
      <c r="B680" s="19" t="s">
        <v>2406</v>
      </c>
      <c r="C680" t="s">
        <v>138</v>
      </c>
      <c r="D680" s="190">
        <v>2513</v>
      </c>
      <c r="E680" s="192">
        <v>3572</v>
      </c>
      <c r="F680" s="192">
        <v>5451</v>
      </c>
      <c r="G680" s="481">
        <v>244</v>
      </c>
      <c r="H680" s="19"/>
      <c r="I680" s="19"/>
      <c r="M680" s="19"/>
    </row>
    <row r="681" spans="1:13">
      <c r="A681" s="479">
        <v>3531</v>
      </c>
      <c r="B681" s="19" t="s">
        <v>2407</v>
      </c>
      <c r="C681" t="s">
        <v>138</v>
      </c>
      <c r="D681" s="190">
        <v>3531</v>
      </c>
      <c r="E681" s="192">
        <v>5975</v>
      </c>
      <c r="F681" s="192">
        <v>5767</v>
      </c>
      <c r="G681" s="481">
        <v>118</v>
      </c>
      <c r="H681" s="19"/>
      <c r="I681" s="19"/>
      <c r="M681" s="19"/>
    </row>
    <row r="682" spans="1:13">
      <c r="A682" s="479">
        <v>4955</v>
      </c>
      <c r="B682" s="19" t="s">
        <v>2408</v>
      </c>
      <c r="C682" t="s">
        <v>138</v>
      </c>
      <c r="D682" s="190">
        <v>4955</v>
      </c>
      <c r="E682" s="192">
        <v>5847</v>
      </c>
      <c r="F682" s="192">
        <v>5487</v>
      </c>
      <c r="G682" s="481">
        <v>158</v>
      </c>
      <c r="H682" s="19"/>
      <c r="I682" s="19"/>
      <c r="M682" s="19"/>
    </row>
    <row r="683" spans="1:13">
      <c r="A683" s="479">
        <v>2607</v>
      </c>
      <c r="B683" s="19" t="s">
        <v>2409</v>
      </c>
      <c r="C683" t="s">
        <v>138</v>
      </c>
      <c r="D683" s="190">
        <v>2607</v>
      </c>
      <c r="E683" s="192">
        <v>4220</v>
      </c>
      <c r="F683" s="192">
        <v>4188</v>
      </c>
      <c r="G683" s="481">
        <v>174</v>
      </c>
      <c r="H683" s="19"/>
      <c r="I683" s="19"/>
      <c r="M683" s="19"/>
    </row>
    <row r="684" spans="1:13">
      <c r="A684" s="479">
        <v>3368</v>
      </c>
      <c r="B684" s="19" t="s">
        <v>2410</v>
      </c>
      <c r="C684" t="s">
        <v>138</v>
      </c>
      <c r="D684" s="190">
        <v>3368</v>
      </c>
      <c r="E684" s="192">
        <v>5351</v>
      </c>
      <c r="F684" s="192">
        <v>5700</v>
      </c>
      <c r="G684" s="481">
        <v>186</v>
      </c>
      <c r="H684" s="19"/>
      <c r="I684" s="19"/>
      <c r="M684" s="19"/>
    </row>
    <row r="685" spans="1:13">
      <c r="A685" s="479">
        <v>3635</v>
      </c>
      <c r="B685" s="19" t="s">
        <v>2411</v>
      </c>
      <c r="C685" t="s">
        <v>138</v>
      </c>
      <c r="D685" s="190">
        <v>3635</v>
      </c>
      <c r="E685" s="192">
        <v>6695</v>
      </c>
      <c r="F685" s="192">
        <v>7030</v>
      </c>
      <c r="G685" s="481">
        <v>269</v>
      </c>
      <c r="H685" s="19"/>
      <c r="I685" s="19"/>
      <c r="M685" s="19"/>
    </row>
    <row r="686" spans="1:13">
      <c r="A686" s="479">
        <v>3625</v>
      </c>
      <c r="B686" s="19" t="s">
        <v>2412</v>
      </c>
      <c r="C686" t="s">
        <v>138</v>
      </c>
      <c r="D686" s="190">
        <v>3625</v>
      </c>
      <c r="E686" s="192">
        <v>7347</v>
      </c>
      <c r="F686" s="192">
        <v>8469</v>
      </c>
      <c r="G686" s="481">
        <v>256</v>
      </c>
      <c r="H686" s="19"/>
      <c r="I686" s="19"/>
      <c r="M686" s="19"/>
    </row>
    <row r="687" spans="1:13">
      <c r="A687" s="479">
        <v>4913</v>
      </c>
      <c r="B687" s="19" t="s">
        <v>2413</v>
      </c>
      <c r="C687" t="s">
        <v>138</v>
      </c>
      <c r="D687" s="190">
        <v>4913</v>
      </c>
      <c r="E687" s="192">
        <v>5512</v>
      </c>
      <c r="F687" s="192">
        <v>5604</v>
      </c>
      <c r="G687" s="481">
        <v>199</v>
      </c>
      <c r="H687" s="19"/>
      <c r="I687" s="19"/>
      <c r="M687" s="19"/>
    </row>
    <row r="688" spans="1:13">
      <c r="A688" s="479">
        <v>2556</v>
      </c>
      <c r="B688" s="19" t="s">
        <v>2414</v>
      </c>
      <c r="C688" t="s">
        <v>138</v>
      </c>
      <c r="D688" s="190">
        <v>2556</v>
      </c>
      <c r="E688" s="192">
        <v>6077</v>
      </c>
      <c r="F688" s="192">
        <v>6380</v>
      </c>
      <c r="G688" s="481">
        <v>193</v>
      </c>
      <c r="H688" s="19"/>
      <c r="I688" s="19"/>
      <c r="M688" s="19"/>
    </row>
    <row r="689" spans="1:13">
      <c r="A689" s="479">
        <v>2565</v>
      </c>
      <c r="B689" s="19" t="s">
        <v>2415</v>
      </c>
      <c r="C689" t="s">
        <v>138</v>
      </c>
      <c r="D689" s="190">
        <v>2565</v>
      </c>
      <c r="E689" s="192">
        <v>7599</v>
      </c>
      <c r="F689" s="192">
        <v>6384</v>
      </c>
      <c r="G689" s="481">
        <v>244</v>
      </c>
      <c r="H689" s="19"/>
      <c r="I689" s="19"/>
      <c r="M689" s="19"/>
    </row>
    <row r="690" spans="1:13">
      <c r="A690" s="479">
        <v>3629</v>
      </c>
      <c r="B690" s="19" t="s">
        <v>2416</v>
      </c>
      <c r="C690" t="s">
        <v>138</v>
      </c>
      <c r="D690" s="190">
        <v>3629</v>
      </c>
      <c r="E690" s="192">
        <v>6727</v>
      </c>
      <c r="F690" s="192">
        <v>6950</v>
      </c>
      <c r="G690" s="481">
        <v>273</v>
      </c>
      <c r="H690" s="19"/>
      <c r="I690" s="19"/>
      <c r="M690" s="19"/>
    </row>
    <row r="691" spans="1:13">
      <c r="A691" s="479">
        <v>3804</v>
      </c>
      <c r="B691" s="19" t="s">
        <v>2417</v>
      </c>
      <c r="C691" t="s">
        <v>138</v>
      </c>
      <c r="D691" s="190">
        <v>3804</v>
      </c>
      <c r="E691" s="192">
        <v>6251</v>
      </c>
      <c r="F691" s="192">
        <v>6440</v>
      </c>
      <c r="G691" s="481">
        <v>190</v>
      </c>
      <c r="H691" s="19"/>
      <c r="I691" s="19"/>
      <c r="M691" s="19"/>
    </row>
    <row r="692" spans="1:13">
      <c r="A692" s="479">
        <v>3366</v>
      </c>
      <c r="B692" s="19" t="s">
        <v>2418</v>
      </c>
      <c r="C692" t="s">
        <v>138</v>
      </c>
      <c r="D692" s="190">
        <v>3366</v>
      </c>
      <c r="E692" s="192">
        <v>5041</v>
      </c>
      <c r="F692" s="192">
        <v>5710</v>
      </c>
      <c r="G692" s="481">
        <v>203</v>
      </c>
      <c r="H692" s="19"/>
      <c r="I692" s="19"/>
      <c r="M692" s="19"/>
    </row>
    <row r="693" spans="1:13">
      <c r="A693" s="479">
        <v>3532</v>
      </c>
      <c r="B693" s="19" t="s">
        <v>2419</v>
      </c>
      <c r="C693" t="s">
        <v>138</v>
      </c>
      <c r="D693" s="190">
        <v>3532</v>
      </c>
      <c r="E693" s="192">
        <v>6681</v>
      </c>
      <c r="F693" s="192">
        <v>7178</v>
      </c>
      <c r="G693" s="481">
        <v>307</v>
      </c>
      <c r="H693" s="19"/>
      <c r="I693" s="19"/>
      <c r="M693" s="19"/>
    </row>
    <row r="694" spans="1:13">
      <c r="A694" s="479">
        <v>3434</v>
      </c>
      <c r="B694" s="19" t="s">
        <v>2420</v>
      </c>
      <c r="C694" t="s">
        <v>138</v>
      </c>
      <c r="D694" s="190">
        <v>3434</v>
      </c>
      <c r="E694" s="192">
        <v>5465</v>
      </c>
      <c r="F694" s="192">
        <v>4621</v>
      </c>
      <c r="G694" s="481">
        <v>194</v>
      </c>
      <c r="H694" s="19"/>
      <c r="I694" s="19"/>
      <c r="M694" s="19"/>
    </row>
    <row r="695" spans="1:13">
      <c r="A695" s="479">
        <v>2732</v>
      </c>
      <c r="B695" s="19" t="s">
        <v>2421</v>
      </c>
      <c r="C695" t="s">
        <v>138</v>
      </c>
      <c r="D695" s="190">
        <v>2732</v>
      </c>
      <c r="E695" s="192">
        <v>4374</v>
      </c>
      <c r="F695" s="192">
        <v>3633</v>
      </c>
      <c r="G695" s="481">
        <v>129</v>
      </c>
      <c r="H695" s="19"/>
      <c r="I695" s="19"/>
      <c r="M695" s="19"/>
    </row>
    <row r="696" spans="1:13">
      <c r="A696" s="479">
        <v>3251</v>
      </c>
      <c r="B696" s="19" t="s">
        <v>2422</v>
      </c>
      <c r="C696" t="s">
        <v>138</v>
      </c>
      <c r="D696" s="190">
        <v>3251</v>
      </c>
      <c r="E696" s="192">
        <v>5797</v>
      </c>
      <c r="F696" s="192">
        <v>6269</v>
      </c>
      <c r="G696" s="481">
        <v>192</v>
      </c>
      <c r="H696" s="19"/>
      <c r="I696" s="19"/>
      <c r="M696" s="19"/>
    </row>
    <row r="697" spans="1:13">
      <c r="A697" s="479">
        <v>3504</v>
      </c>
      <c r="B697" s="19" t="s">
        <v>2423</v>
      </c>
      <c r="C697" t="s">
        <v>138</v>
      </c>
      <c r="D697" s="190">
        <v>3504</v>
      </c>
      <c r="E697" s="192">
        <v>6779</v>
      </c>
      <c r="F697" s="192">
        <v>7957</v>
      </c>
      <c r="G697" s="481">
        <v>263</v>
      </c>
      <c r="H697" s="19"/>
      <c r="I697" s="19"/>
      <c r="M697" s="19"/>
    </row>
    <row r="698" spans="1:13">
      <c r="A698" s="479">
        <v>3375</v>
      </c>
      <c r="B698" s="19" t="s">
        <v>2424</v>
      </c>
      <c r="C698" t="s">
        <v>138</v>
      </c>
      <c r="D698" s="190">
        <v>3375</v>
      </c>
      <c r="E698" s="192">
        <v>4765</v>
      </c>
      <c r="F698" s="192">
        <v>5861</v>
      </c>
      <c r="G698" s="481">
        <v>185</v>
      </c>
      <c r="H698" s="19"/>
      <c r="I698" s="19"/>
      <c r="M698" s="19"/>
    </row>
    <row r="699" spans="1:13">
      <c r="A699" s="479">
        <v>3855</v>
      </c>
      <c r="B699" s="19" t="s">
        <v>2425</v>
      </c>
      <c r="C699" t="s">
        <v>138</v>
      </c>
      <c r="D699" s="190">
        <v>3855</v>
      </c>
      <c r="E699" s="192">
        <v>6406</v>
      </c>
      <c r="F699" s="192">
        <v>5214</v>
      </c>
      <c r="G699" s="481">
        <v>244</v>
      </c>
      <c r="H699" s="19"/>
      <c r="I699" s="19"/>
      <c r="M699" s="19"/>
    </row>
    <row r="700" spans="1:13">
      <c r="A700" s="479">
        <v>3377</v>
      </c>
      <c r="B700" s="19" t="s">
        <v>2426</v>
      </c>
      <c r="C700" t="s">
        <v>138</v>
      </c>
      <c r="D700" s="190">
        <v>3377</v>
      </c>
      <c r="E700" s="192">
        <v>4514</v>
      </c>
      <c r="F700" s="192">
        <v>5317</v>
      </c>
      <c r="G700" s="481">
        <v>192</v>
      </c>
      <c r="H700" s="19"/>
      <c r="I700" s="19"/>
      <c r="M700" s="19"/>
    </row>
    <row r="701" spans="1:13">
      <c r="A701" s="479">
        <v>3671</v>
      </c>
      <c r="B701" s="19" t="s">
        <v>2427</v>
      </c>
      <c r="C701" t="s">
        <v>138</v>
      </c>
      <c r="D701" s="190">
        <v>3671</v>
      </c>
      <c r="E701" s="192">
        <v>6871</v>
      </c>
      <c r="F701" s="192">
        <v>7469</v>
      </c>
      <c r="G701" s="481">
        <v>208</v>
      </c>
      <c r="H701" s="19"/>
      <c r="I701" s="19"/>
      <c r="M701" s="19"/>
    </row>
    <row r="702" spans="1:13">
      <c r="A702" s="479">
        <v>3237</v>
      </c>
      <c r="B702" s="19" t="s">
        <v>2428</v>
      </c>
      <c r="C702" t="s">
        <v>138</v>
      </c>
      <c r="D702" s="190">
        <v>3237</v>
      </c>
      <c r="E702" s="192">
        <v>6484</v>
      </c>
      <c r="F702" s="192">
        <v>5813</v>
      </c>
      <c r="G702" s="481">
        <v>263</v>
      </c>
      <c r="H702" s="19"/>
      <c r="I702" s="19"/>
      <c r="M702" s="19"/>
    </row>
    <row r="703" spans="1:13">
      <c r="A703" s="479">
        <v>3112</v>
      </c>
      <c r="B703" s="19" t="s">
        <v>2429</v>
      </c>
      <c r="C703" t="s">
        <v>138</v>
      </c>
      <c r="D703" s="190">
        <v>3112</v>
      </c>
      <c r="E703" s="192">
        <v>7630</v>
      </c>
      <c r="F703" s="192">
        <v>7991</v>
      </c>
      <c r="G703" s="481">
        <v>294</v>
      </c>
      <c r="H703" s="19"/>
      <c r="I703" s="19"/>
      <c r="M703" s="19"/>
    </row>
    <row r="704" spans="1:13">
      <c r="A704" s="479">
        <v>3473</v>
      </c>
      <c r="B704" s="19" t="s">
        <v>2430</v>
      </c>
      <c r="C704" t="s">
        <v>138</v>
      </c>
      <c r="D704" s="190">
        <v>3473</v>
      </c>
      <c r="E704" s="192">
        <v>6267</v>
      </c>
      <c r="F704" s="192">
        <v>6216</v>
      </c>
      <c r="G704" s="481">
        <v>197</v>
      </c>
      <c r="H704" s="19"/>
      <c r="I704" s="19"/>
      <c r="M704" s="19"/>
    </row>
    <row r="705" spans="1:13">
      <c r="A705" s="479">
        <v>2577</v>
      </c>
      <c r="B705" s="19" t="s">
        <v>2431</v>
      </c>
      <c r="C705" t="s">
        <v>138</v>
      </c>
      <c r="D705" s="190">
        <v>2577</v>
      </c>
      <c r="E705" s="192">
        <v>5675</v>
      </c>
      <c r="F705" s="192">
        <v>6647</v>
      </c>
      <c r="G705" s="481">
        <v>199</v>
      </c>
      <c r="H705" s="19"/>
      <c r="I705" s="19"/>
      <c r="M705" s="19"/>
    </row>
    <row r="706" spans="1:13">
      <c r="A706" s="479">
        <v>3322</v>
      </c>
      <c r="B706" s="19" t="s">
        <v>2432</v>
      </c>
      <c r="C706" t="s">
        <v>138</v>
      </c>
      <c r="D706" s="190">
        <v>3322</v>
      </c>
      <c r="E706" s="192">
        <v>7836</v>
      </c>
      <c r="F706" s="192">
        <v>7079</v>
      </c>
      <c r="G706" s="481">
        <v>154</v>
      </c>
      <c r="H706" s="19"/>
      <c r="I706" s="19"/>
      <c r="M706" s="19"/>
    </row>
    <row r="707" spans="1:13">
      <c r="A707" s="479">
        <v>3054</v>
      </c>
      <c r="B707" s="19" t="s">
        <v>2433</v>
      </c>
      <c r="C707" t="s">
        <v>138</v>
      </c>
      <c r="D707" s="190">
        <v>3054</v>
      </c>
      <c r="E707" s="192">
        <v>7303</v>
      </c>
      <c r="F707" s="192">
        <v>7019</v>
      </c>
      <c r="G707" s="481">
        <v>224</v>
      </c>
      <c r="H707" s="19"/>
      <c r="I707" s="19"/>
      <c r="M707" s="19"/>
    </row>
    <row r="708" spans="1:13">
      <c r="A708" s="479">
        <v>2514</v>
      </c>
      <c r="B708" s="19" t="s">
        <v>2434</v>
      </c>
      <c r="C708" t="s">
        <v>138</v>
      </c>
      <c r="D708" s="190">
        <v>2514</v>
      </c>
      <c r="E708" s="192">
        <v>6172</v>
      </c>
      <c r="F708" s="192">
        <v>6783</v>
      </c>
      <c r="G708" s="481">
        <v>299</v>
      </c>
      <c r="H708" s="19"/>
      <c r="I708" s="19"/>
      <c r="M708" s="19"/>
    </row>
    <row r="709" spans="1:13">
      <c r="A709" s="479">
        <v>4933</v>
      </c>
      <c r="B709" s="19" t="s">
        <v>2435</v>
      </c>
      <c r="C709" t="s">
        <v>138</v>
      </c>
      <c r="D709" s="190">
        <v>4933</v>
      </c>
      <c r="E709" s="192">
        <v>6215</v>
      </c>
      <c r="F709" s="192">
        <v>5447</v>
      </c>
      <c r="G709" s="481">
        <v>218</v>
      </c>
      <c r="H709" s="19"/>
      <c r="I709" s="19"/>
      <c r="M709" s="19"/>
    </row>
    <row r="710" spans="1:13">
      <c r="A710" s="479">
        <v>3367</v>
      </c>
      <c r="B710" s="19" t="s">
        <v>2436</v>
      </c>
      <c r="C710" t="s">
        <v>138</v>
      </c>
      <c r="D710" s="190">
        <v>3367</v>
      </c>
      <c r="E710" s="192">
        <v>5520</v>
      </c>
      <c r="F710" s="192">
        <v>5124</v>
      </c>
      <c r="G710" s="481">
        <v>223</v>
      </c>
      <c r="H710" s="19"/>
      <c r="I710" s="19"/>
      <c r="M710" s="19"/>
    </row>
    <row r="711" spans="1:13">
      <c r="A711" s="479">
        <v>3860</v>
      </c>
      <c r="B711" s="19" t="s">
        <v>2437</v>
      </c>
      <c r="C711" t="s">
        <v>138</v>
      </c>
      <c r="D711" s="190">
        <v>3860</v>
      </c>
      <c r="E711" s="192">
        <v>5420</v>
      </c>
      <c r="F711" s="192">
        <v>5561</v>
      </c>
      <c r="G711" s="481">
        <v>240</v>
      </c>
      <c r="H711" s="19"/>
      <c r="I711" s="19"/>
      <c r="M711" s="19"/>
    </row>
    <row r="712" spans="1:13">
      <c r="A712" s="479">
        <v>2577</v>
      </c>
      <c r="B712" s="19" t="s">
        <v>2438</v>
      </c>
      <c r="C712" t="s">
        <v>138</v>
      </c>
      <c r="D712" s="190">
        <v>2577</v>
      </c>
      <c r="E712" s="192">
        <v>6218</v>
      </c>
      <c r="F712" s="192">
        <v>6665</v>
      </c>
      <c r="G712" s="481">
        <v>184</v>
      </c>
      <c r="H712" s="19"/>
      <c r="I712" s="19"/>
      <c r="M712" s="19"/>
    </row>
    <row r="713" spans="1:13">
      <c r="A713" s="479">
        <v>4944</v>
      </c>
      <c r="B713" s="19" t="s">
        <v>2439</v>
      </c>
      <c r="C713" t="s">
        <v>138</v>
      </c>
      <c r="D713" s="190">
        <v>4944</v>
      </c>
      <c r="E713" s="192">
        <v>6047</v>
      </c>
      <c r="F713" s="192">
        <v>5294</v>
      </c>
      <c r="G713" s="481">
        <v>189</v>
      </c>
      <c r="H713" s="19"/>
      <c r="I713" s="19"/>
      <c r="M713" s="19"/>
    </row>
    <row r="714" spans="1:13">
      <c r="A714" s="479">
        <v>2576</v>
      </c>
      <c r="B714" s="19" t="s">
        <v>2440</v>
      </c>
      <c r="C714" t="s">
        <v>138</v>
      </c>
      <c r="D714" s="190">
        <v>2576</v>
      </c>
      <c r="E714" s="192">
        <v>6558</v>
      </c>
      <c r="F714" s="192">
        <v>8559</v>
      </c>
      <c r="G714" s="481">
        <v>267</v>
      </c>
      <c r="H714" s="19"/>
      <c r="I714" s="19"/>
      <c r="M714" s="19"/>
    </row>
    <row r="715" spans="1:13">
      <c r="A715" s="479">
        <v>2333</v>
      </c>
      <c r="B715" s="19" t="s">
        <v>2441</v>
      </c>
      <c r="C715" t="s">
        <v>138</v>
      </c>
      <c r="D715" s="190">
        <v>2333</v>
      </c>
      <c r="E715" s="192">
        <v>3117</v>
      </c>
      <c r="F715" s="192">
        <v>5265</v>
      </c>
      <c r="G715" s="481">
        <v>244</v>
      </c>
      <c r="H715" s="19"/>
      <c r="I715" s="19"/>
      <c r="M715" s="19"/>
    </row>
    <row r="716" spans="1:13">
      <c r="A716" s="479">
        <v>3309</v>
      </c>
      <c r="B716" s="19" t="s">
        <v>2442</v>
      </c>
      <c r="C716" t="s">
        <v>138</v>
      </c>
      <c r="D716" s="190">
        <v>3309</v>
      </c>
      <c r="E716" s="192">
        <v>6217</v>
      </c>
      <c r="F716" s="192">
        <v>5586</v>
      </c>
      <c r="G716" s="481">
        <v>188</v>
      </c>
      <c r="H716" s="19"/>
      <c r="I716" s="19"/>
      <c r="M716" s="19"/>
    </row>
    <row r="717" spans="1:13">
      <c r="A717" s="479">
        <v>3858</v>
      </c>
      <c r="B717" s="19" t="s">
        <v>2443</v>
      </c>
      <c r="C717" t="s">
        <v>138</v>
      </c>
      <c r="D717" s="190">
        <v>3858</v>
      </c>
      <c r="E717" s="192">
        <v>6838</v>
      </c>
      <c r="F717" s="192">
        <v>5763</v>
      </c>
      <c r="G717" s="481">
        <v>255</v>
      </c>
      <c r="H717" s="19"/>
      <c r="I717" s="19"/>
      <c r="M717" s="19"/>
    </row>
    <row r="718" spans="1:13">
      <c r="A718" s="479">
        <v>3622</v>
      </c>
      <c r="B718" s="19" t="s">
        <v>2444</v>
      </c>
      <c r="C718" t="s">
        <v>138</v>
      </c>
      <c r="D718" s="190">
        <v>3622</v>
      </c>
      <c r="E718" s="192">
        <v>7994</v>
      </c>
      <c r="F718" s="192">
        <v>7638</v>
      </c>
      <c r="G718" s="481">
        <v>203</v>
      </c>
      <c r="H718" s="19"/>
      <c r="I718" s="19"/>
      <c r="M718" s="19"/>
    </row>
    <row r="719" spans="1:13">
      <c r="A719" s="479">
        <v>2746</v>
      </c>
      <c r="B719" s="19" t="s">
        <v>2445</v>
      </c>
      <c r="C719" t="s">
        <v>138</v>
      </c>
      <c r="D719" s="190">
        <v>2746</v>
      </c>
      <c r="E719" s="192">
        <v>2175</v>
      </c>
      <c r="F719" s="192">
        <v>4404</v>
      </c>
      <c r="G719" s="481">
        <v>132</v>
      </c>
      <c r="H719" s="19"/>
      <c r="I719" s="19"/>
      <c r="M719" s="19"/>
    </row>
    <row r="720" spans="1:13">
      <c r="A720" s="479">
        <v>4911</v>
      </c>
      <c r="B720" s="19" t="s">
        <v>2446</v>
      </c>
      <c r="C720" t="s">
        <v>138</v>
      </c>
      <c r="D720" s="190">
        <v>4911</v>
      </c>
      <c r="E720" s="192">
        <v>5347</v>
      </c>
      <c r="F720" s="192">
        <v>5187</v>
      </c>
      <c r="G720" s="481">
        <v>194</v>
      </c>
      <c r="H720" s="19"/>
      <c r="I720" s="19"/>
      <c r="M720" s="19"/>
    </row>
    <row r="721" spans="1:13">
      <c r="A721" s="479">
        <v>1797</v>
      </c>
      <c r="B721" s="19" t="s">
        <v>2447</v>
      </c>
      <c r="C721" t="s">
        <v>138</v>
      </c>
      <c r="D721" s="190">
        <v>1797</v>
      </c>
      <c r="E721" s="192">
        <v>7185</v>
      </c>
      <c r="F721" s="192">
        <v>7543</v>
      </c>
      <c r="G721" s="481">
        <v>192</v>
      </c>
      <c r="H721" s="19"/>
      <c r="I721" s="19"/>
      <c r="M721" s="19"/>
    </row>
    <row r="722" spans="1:13">
      <c r="A722" s="479">
        <v>3087</v>
      </c>
      <c r="B722" s="19" t="s">
        <v>2448</v>
      </c>
      <c r="C722" t="s">
        <v>138</v>
      </c>
      <c r="D722" s="190">
        <v>3087</v>
      </c>
      <c r="E722" s="192">
        <v>6615</v>
      </c>
      <c r="F722" s="192">
        <v>6115</v>
      </c>
      <c r="G722" s="481">
        <v>192</v>
      </c>
      <c r="H722" s="19"/>
      <c r="I722" s="19"/>
      <c r="M722" s="19"/>
    </row>
    <row r="723" spans="1:13">
      <c r="A723" s="479">
        <v>3856</v>
      </c>
      <c r="B723" s="19" t="s">
        <v>2449</v>
      </c>
      <c r="C723" t="s">
        <v>138</v>
      </c>
      <c r="D723" s="190">
        <v>3856</v>
      </c>
      <c r="E723" s="192">
        <v>6702</v>
      </c>
      <c r="F723" s="192">
        <v>5774</v>
      </c>
      <c r="G723" s="481">
        <v>160</v>
      </c>
      <c r="H723" s="19"/>
      <c r="I723" s="19"/>
      <c r="M723" s="19"/>
    </row>
    <row r="724" spans="1:13">
      <c r="A724" s="479">
        <v>3619</v>
      </c>
      <c r="B724" s="19" t="s">
        <v>2450</v>
      </c>
      <c r="C724" t="s">
        <v>138</v>
      </c>
      <c r="D724" s="190">
        <v>3619</v>
      </c>
      <c r="E724" s="192">
        <v>7294</v>
      </c>
      <c r="F724" s="192">
        <v>5861</v>
      </c>
      <c r="G724" s="481">
        <v>179</v>
      </c>
      <c r="H724" s="19"/>
      <c r="I724" s="19"/>
      <c r="M724" s="19"/>
    </row>
    <row r="725" spans="1:13">
      <c r="A725" s="479">
        <v>3671</v>
      </c>
      <c r="B725" s="19" t="s">
        <v>2451</v>
      </c>
      <c r="C725" t="s">
        <v>138</v>
      </c>
      <c r="D725" s="190">
        <v>3671</v>
      </c>
      <c r="E725" s="192">
        <v>6813</v>
      </c>
      <c r="F725" s="192">
        <v>7154</v>
      </c>
      <c r="G725" s="481">
        <v>205</v>
      </c>
      <c r="H725" s="19"/>
      <c r="I725" s="19"/>
      <c r="M725" s="19"/>
    </row>
    <row r="726" spans="1:13">
      <c r="A726" s="479">
        <v>4539</v>
      </c>
      <c r="B726" s="19" t="s">
        <v>2452</v>
      </c>
      <c r="C726" t="s">
        <v>138</v>
      </c>
      <c r="D726" s="190">
        <v>4539</v>
      </c>
      <c r="E726" s="192">
        <v>5014</v>
      </c>
      <c r="F726" s="192">
        <v>6036</v>
      </c>
      <c r="G726" s="481">
        <v>174</v>
      </c>
      <c r="H726" s="19"/>
      <c r="I726" s="19"/>
      <c r="M726" s="19"/>
    </row>
    <row r="727" spans="1:13">
      <c r="A727" s="479">
        <v>2612</v>
      </c>
      <c r="B727" s="19" t="s">
        <v>2453</v>
      </c>
      <c r="C727" t="s">
        <v>138</v>
      </c>
      <c r="D727" s="190">
        <v>2612</v>
      </c>
      <c r="E727" s="192">
        <v>3868</v>
      </c>
      <c r="F727" s="192">
        <v>3991</v>
      </c>
      <c r="G727" s="481">
        <v>244</v>
      </c>
      <c r="H727" s="19"/>
      <c r="I727" s="19"/>
      <c r="M727" s="19"/>
    </row>
    <row r="728" spans="1:13">
      <c r="A728" s="479">
        <v>3854</v>
      </c>
      <c r="B728" s="19" t="s">
        <v>2454</v>
      </c>
      <c r="C728" t="s">
        <v>138</v>
      </c>
      <c r="D728" s="190">
        <v>3854</v>
      </c>
      <c r="E728" s="192">
        <v>9762</v>
      </c>
      <c r="F728" s="192">
        <v>8005</v>
      </c>
      <c r="G728" s="481">
        <v>186</v>
      </c>
      <c r="H728" s="19"/>
      <c r="I728" s="19"/>
      <c r="M728" s="19"/>
    </row>
    <row r="729" spans="1:13">
      <c r="A729" s="479">
        <v>3618</v>
      </c>
      <c r="B729" s="19" t="s">
        <v>2455</v>
      </c>
      <c r="C729" t="s">
        <v>138</v>
      </c>
      <c r="D729" s="190">
        <v>3618</v>
      </c>
      <c r="E729" s="192">
        <v>7183</v>
      </c>
      <c r="F729" s="192">
        <v>6441</v>
      </c>
      <c r="G729" s="481">
        <v>114</v>
      </c>
      <c r="H729" s="19"/>
      <c r="I729" s="19"/>
      <c r="M729" s="19"/>
    </row>
    <row r="730" spans="1:13">
      <c r="A730" s="479">
        <v>3510</v>
      </c>
      <c r="B730" s="19" t="s">
        <v>2456</v>
      </c>
      <c r="C730" t="s">
        <v>138</v>
      </c>
      <c r="D730" s="190">
        <v>3510</v>
      </c>
      <c r="E730" s="192">
        <v>6080</v>
      </c>
      <c r="F730" s="192">
        <v>7468</v>
      </c>
      <c r="G730" s="481">
        <v>204</v>
      </c>
      <c r="H730" s="19"/>
      <c r="I730" s="19"/>
      <c r="M730" s="19"/>
    </row>
    <row r="731" spans="1:13">
      <c r="A731" s="479">
        <v>2742</v>
      </c>
      <c r="B731" s="19" t="s">
        <v>2457</v>
      </c>
      <c r="C731" t="s">
        <v>138</v>
      </c>
      <c r="D731" s="190">
        <v>2742</v>
      </c>
      <c r="E731" s="192">
        <v>4192</v>
      </c>
      <c r="F731" s="192">
        <v>4644</v>
      </c>
      <c r="G731" s="481">
        <v>288</v>
      </c>
      <c r="H731" s="19"/>
      <c r="I731" s="19"/>
      <c r="M731" s="19"/>
    </row>
    <row r="732" spans="1:13">
      <c r="A732" s="479">
        <v>3179</v>
      </c>
      <c r="B732" s="19" t="s">
        <v>2458</v>
      </c>
      <c r="C732" t="s">
        <v>138</v>
      </c>
      <c r="D732" s="190">
        <v>3179</v>
      </c>
      <c r="E732" s="192">
        <v>6544</v>
      </c>
      <c r="F732" s="192">
        <v>6854</v>
      </c>
      <c r="G732" s="481">
        <v>162</v>
      </c>
      <c r="H732" s="19"/>
      <c r="I732" s="19"/>
      <c r="M732" s="19"/>
    </row>
    <row r="733" spans="1:13">
      <c r="A733" s="479">
        <v>2556</v>
      </c>
      <c r="B733" s="19" t="s">
        <v>2459</v>
      </c>
      <c r="C733" t="s">
        <v>138</v>
      </c>
      <c r="D733" s="190">
        <v>2556</v>
      </c>
      <c r="E733" s="192">
        <v>5783</v>
      </c>
      <c r="F733" s="192">
        <v>6182</v>
      </c>
      <c r="G733" s="481">
        <v>263</v>
      </c>
      <c r="H733" s="19"/>
      <c r="I733" s="19"/>
      <c r="M733" s="19"/>
    </row>
    <row r="734" spans="1:13">
      <c r="A734" s="479">
        <v>4944</v>
      </c>
      <c r="B734" s="19" t="s">
        <v>2460</v>
      </c>
      <c r="C734" t="s">
        <v>138</v>
      </c>
      <c r="D734" s="190">
        <v>4944</v>
      </c>
      <c r="E734" s="192">
        <v>5359</v>
      </c>
      <c r="F734" s="192">
        <v>5089</v>
      </c>
      <c r="G734" s="481">
        <v>275</v>
      </c>
      <c r="H734" s="19"/>
      <c r="I734" s="19"/>
      <c r="M734" s="19"/>
    </row>
    <row r="735" spans="1:13">
      <c r="A735" s="479">
        <v>3233</v>
      </c>
      <c r="B735" s="19" t="s">
        <v>2461</v>
      </c>
      <c r="C735" t="s">
        <v>138</v>
      </c>
      <c r="D735" s="190">
        <v>3233</v>
      </c>
      <c r="E735" s="192">
        <v>6427</v>
      </c>
      <c r="F735" s="192">
        <v>7318</v>
      </c>
      <c r="G735" s="481">
        <v>178</v>
      </c>
      <c r="H735" s="19"/>
      <c r="I735" s="19"/>
      <c r="M735" s="19"/>
    </row>
    <row r="736" spans="1:13">
      <c r="A736" s="479">
        <v>3305</v>
      </c>
      <c r="B736" s="19" t="s">
        <v>2462</v>
      </c>
      <c r="C736" t="s">
        <v>138</v>
      </c>
      <c r="D736" s="190">
        <v>3305</v>
      </c>
      <c r="E736" s="192">
        <v>7074</v>
      </c>
      <c r="F736" s="192">
        <v>6783</v>
      </c>
      <c r="G736" s="481">
        <v>198</v>
      </c>
      <c r="H736" s="19"/>
      <c r="I736" s="19"/>
      <c r="M736" s="19"/>
    </row>
    <row r="737" spans="1:13">
      <c r="A737" s="479">
        <v>3807</v>
      </c>
      <c r="B737" s="19" t="s">
        <v>2463</v>
      </c>
      <c r="C737" t="s">
        <v>138</v>
      </c>
      <c r="D737" s="190">
        <v>3807</v>
      </c>
      <c r="E737" s="192">
        <v>10187</v>
      </c>
      <c r="F737" s="192">
        <v>9130</v>
      </c>
      <c r="G737" s="481">
        <v>216</v>
      </c>
      <c r="H737" s="19"/>
      <c r="I737" s="19"/>
      <c r="M737" s="19"/>
    </row>
    <row r="738" spans="1:13">
      <c r="A738" s="479">
        <v>3128</v>
      </c>
      <c r="B738" s="19" t="s">
        <v>2464</v>
      </c>
      <c r="C738" t="s">
        <v>138</v>
      </c>
      <c r="D738" s="190">
        <v>3128</v>
      </c>
      <c r="E738" s="192">
        <v>5911</v>
      </c>
      <c r="F738" s="192">
        <v>6294</v>
      </c>
      <c r="G738" s="481">
        <v>270</v>
      </c>
      <c r="H738" s="19"/>
      <c r="I738" s="19"/>
      <c r="M738" s="19"/>
    </row>
    <row r="739" spans="1:13">
      <c r="A739" s="479">
        <v>3374</v>
      </c>
      <c r="B739" s="19" t="s">
        <v>2465</v>
      </c>
      <c r="C739" t="s">
        <v>138</v>
      </c>
      <c r="D739" s="190">
        <v>3374</v>
      </c>
      <c r="E739" s="192">
        <v>4827</v>
      </c>
      <c r="F739" s="192">
        <v>5223</v>
      </c>
      <c r="G739" s="481">
        <v>210</v>
      </c>
      <c r="H739" s="19"/>
      <c r="I739" s="19"/>
      <c r="M739" s="19"/>
    </row>
    <row r="740" spans="1:13">
      <c r="A740" s="479">
        <v>3707</v>
      </c>
      <c r="B740" s="19" t="s">
        <v>2466</v>
      </c>
      <c r="C740" t="s">
        <v>138</v>
      </c>
      <c r="D740" s="190">
        <v>3707</v>
      </c>
      <c r="E740" s="192">
        <v>8049</v>
      </c>
      <c r="F740" s="192">
        <v>6891</v>
      </c>
      <c r="G740" s="481">
        <v>160</v>
      </c>
      <c r="H740" s="19"/>
      <c r="I740" s="19"/>
      <c r="M740" s="19"/>
    </row>
    <row r="741" spans="1:13">
      <c r="A741" s="479">
        <v>3177</v>
      </c>
      <c r="B741" s="19" t="s">
        <v>2467</v>
      </c>
      <c r="C741" t="s">
        <v>138</v>
      </c>
      <c r="D741" s="190">
        <v>3177</v>
      </c>
      <c r="E741" s="192">
        <v>5592</v>
      </c>
      <c r="F741" s="192">
        <v>6260</v>
      </c>
      <c r="G741" s="481">
        <v>166</v>
      </c>
      <c r="H741" s="19"/>
      <c r="I741" s="19"/>
      <c r="M741" s="19"/>
    </row>
    <row r="742" spans="1:13">
      <c r="A742" s="479">
        <v>3226</v>
      </c>
      <c r="B742" s="19" t="s">
        <v>2468</v>
      </c>
      <c r="C742" t="s">
        <v>138</v>
      </c>
      <c r="D742" s="190">
        <v>3226</v>
      </c>
      <c r="E742" s="192">
        <v>6498</v>
      </c>
      <c r="F742" s="192">
        <v>6378</v>
      </c>
      <c r="G742" s="481" t="s">
        <v>189</v>
      </c>
      <c r="H742" s="19"/>
      <c r="I742" s="19"/>
      <c r="M742" s="19"/>
    </row>
    <row r="743" spans="1:13">
      <c r="A743" s="479">
        <v>4924</v>
      </c>
      <c r="B743" s="19" t="s">
        <v>2469</v>
      </c>
      <c r="C743" t="s">
        <v>138</v>
      </c>
      <c r="D743" s="190">
        <v>4924</v>
      </c>
      <c r="E743" s="192">
        <v>5459</v>
      </c>
      <c r="F743" s="192">
        <v>5372</v>
      </c>
      <c r="G743" s="481" t="s">
        <v>189</v>
      </c>
      <c r="H743" s="19"/>
      <c r="I743" s="19"/>
      <c r="M743" s="19"/>
    </row>
    <row r="744" spans="1:13">
      <c r="A744" s="479">
        <v>1000</v>
      </c>
      <c r="B744" s="19" t="s">
        <v>182</v>
      </c>
      <c r="C744" t="s">
        <v>139</v>
      </c>
      <c r="D744" s="190">
        <v>1000</v>
      </c>
      <c r="E744" s="192">
        <v>12177</v>
      </c>
      <c r="F744" s="192">
        <v>10841</v>
      </c>
      <c r="G744" s="481">
        <v>353</v>
      </c>
      <c r="H744" s="19"/>
      <c r="I744" s="19"/>
      <c r="M744" s="19"/>
    </row>
    <row r="745" spans="1:13">
      <c r="A745" s="479">
        <v>1400</v>
      </c>
      <c r="B745" s="19" t="s">
        <v>185</v>
      </c>
      <c r="C745" t="s">
        <v>139</v>
      </c>
      <c r="D745" s="190">
        <v>1400</v>
      </c>
      <c r="E745" s="192">
        <v>8168</v>
      </c>
      <c r="F745" s="192">
        <v>8813</v>
      </c>
      <c r="G745" s="481">
        <v>256</v>
      </c>
      <c r="H745" s="19"/>
      <c r="I745" s="19"/>
      <c r="M745" s="19"/>
    </row>
    <row r="746" spans="1:13">
      <c r="A746" s="479">
        <v>1820</v>
      </c>
      <c r="B746" s="19" t="s">
        <v>186</v>
      </c>
      <c r="C746" t="s">
        <v>139</v>
      </c>
      <c r="D746" s="190">
        <v>1820</v>
      </c>
      <c r="E746" s="192">
        <v>10648</v>
      </c>
      <c r="F746" s="192">
        <v>10875</v>
      </c>
      <c r="G746" s="481">
        <v>312</v>
      </c>
      <c r="H746" s="19"/>
      <c r="I746" s="19"/>
      <c r="M746" s="19"/>
    </row>
    <row r="747" spans="1:13">
      <c r="A747" s="479">
        <v>1020</v>
      </c>
      <c r="B747" s="19" t="s">
        <v>187</v>
      </c>
      <c r="C747" t="s">
        <v>139</v>
      </c>
      <c r="D747" s="190">
        <v>1020</v>
      </c>
      <c r="E747" s="192">
        <v>10405</v>
      </c>
      <c r="F747" s="192">
        <v>9576</v>
      </c>
      <c r="G747" s="481">
        <v>318</v>
      </c>
      <c r="H747" s="19"/>
      <c r="I747" s="19"/>
      <c r="M747" s="19"/>
    </row>
    <row r="748" spans="1:13">
      <c r="A748" s="479">
        <v>1260</v>
      </c>
      <c r="B748" s="19" t="s">
        <v>188</v>
      </c>
      <c r="C748" t="s">
        <v>139</v>
      </c>
      <c r="D748" s="190">
        <v>1260</v>
      </c>
      <c r="E748" s="192">
        <v>12760</v>
      </c>
      <c r="F748" s="192">
        <v>12876</v>
      </c>
      <c r="G748" s="481">
        <v>360</v>
      </c>
      <c r="H748" s="19"/>
      <c r="I748" s="19"/>
      <c r="M748" s="19"/>
    </row>
    <row r="749" spans="1:13">
      <c r="A749" s="479">
        <v>1800</v>
      </c>
      <c r="B749" s="19" t="s">
        <v>190</v>
      </c>
      <c r="C749" t="s">
        <v>139</v>
      </c>
      <c r="D749" s="190">
        <v>1800</v>
      </c>
      <c r="E749" s="192">
        <v>10876</v>
      </c>
      <c r="F749" s="192">
        <v>11035</v>
      </c>
      <c r="G749" s="481">
        <v>320</v>
      </c>
      <c r="H749" s="19"/>
      <c r="I749" s="19"/>
      <c r="M749" s="19"/>
    </row>
    <row r="750" spans="1:13">
      <c r="A750" s="479">
        <v>1009</v>
      </c>
      <c r="B750" s="19" t="s">
        <v>191</v>
      </c>
      <c r="C750" t="s">
        <v>139</v>
      </c>
      <c r="D750" s="190">
        <v>1009</v>
      </c>
      <c r="E750" s="192">
        <v>13492</v>
      </c>
      <c r="F750" s="192">
        <v>13012</v>
      </c>
      <c r="G750" s="481">
        <v>373</v>
      </c>
      <c r="H750" s="19"/>
      <c r="I750" s="19"/>
      <c r="M750" s="19"/>
    </row>
    <row r="751" spans="1:13">
      <c r="A751" s="479">
        <v>1110</v>
      </c>
      <c r="B751" s="19" t="s">
        <v>192</v>
      </c>
      <c r="C751" t="s">
        <v>139</v>
      </c>
      <c r="D751" s="190">
        <v>1110</v>
      </c>
      <c r="E751" s="192">
        <v>11754</v>
      </c>
      <c r="F751" s="192">
        <v>11451</v>
      </c>
      <c r="G751" s="481">
        <v>328</v>
      </c>
      <c r="H751" s="19"/>
      <c r="I751" s="19"/>
      <c r="M751" s="19"/>
    </row>
    <row r="752" spans="1:13">
      <c r="A752" s="479">
        <v>1196</v>
      </c>
      <c r="B752" s="19" t="s">
        <v>193</v>
      </c>
      <c r="C752" t="s">
        <v>139</v>
      </c>
      <c r="D752" s="190">
        <v>1196</v>
      </c>
      <c r="E752" s="192">
        <v>10001</v>
      </c>
      <c r="F752" s="192">
        <v>11995</v>
      </c>
      <c r="G752" s="481">
        <v>264</v>
      </c>
      <c r="H752" s="19"/>
      <c r="I752" s="19"/>
      <c r="M752" s="19"/>
    </row>
    <row r="753" spans="1:13">
      <c r="A753" s="479">
        <v>1024</v>
      </c>
      <c r="B753" s="19" t="s">
        <v>194</v>
      </c>
      <c r="C753" t="s">
        <v>139</v>
      </c>
      <c r="D753" s="190">
        <v>1024</v>
      </c>
      <c r="E753" s="192">
        <v>11524</v>
      </c>
      <c r="F753" s="192">
        <v>12749</v>
      </c>
      <c r="G753" s="481">
        <v>338</v>
      </c>
      <c r="H753" s="19"/>
      <c r="I753" s="19"/>
      <c r="M753" s="19"/>
    </row>
    <row r="754" spans="1:13">
      <c r="A754" s="479">
        <v>1008</v>
      </c>
      <c r="B754" s="19" t="s">
        <v>195</v>
      </c>
      <c r="C754" t="s">
        <v>139</v>
      </c>
      <c r="D754" s="190">
        <v>1008</v>
      </c>
      <c r="E754" s="192">
        <v>11815</v>
      </c>
      <c r="F754" s="192">
        <v>9745</v>
      </c>
      <c r="G754" s="481">
        <v>337</v>
      </c>
      <c r="H754" s="19"/>
      <c r="I754" s="19"/>
      <c r="M754" s="19"/>
    </row>
    <row r="755" spans="1:13">
      <c r="A755" s="479">
        <v>1814</v>
      </c>
      <c r="B755" s="19" t="s">
        <v>196</v>
      </c>
      <c r="C755" t="s">
        <v>139</v>
      </c>
      <c r="D755" s="190">
        <v>1814</v>
      </c>
      <c r="E755" s="192">
        <v>11438</v>
      </c>
      <c r="F755" s="192">
        <v>11686</v>
      </c>
      <c r="G755" s="481">
        <v>329</v>
      </c>
      <c r="H755" s="19"/>
      <c r="I755" s="19"/>
      <c r="M755" s="19"/>
    </row>
    <row r="756" spans="1:13">
      <c r="A756" s="479">
        <v>1860</v>
      </c>
      <c r="B756" s="19" t="s">
        <v>197</v>
      </c>
      <c r="C756" t="s">
        <v>139</v>
      </c>
      <c r="D756" s="190">
        <v>1860</v>
      </c>
      <c r="E756" s="192">
        <v>6670</v>
      </c>
      <c r="F756" s="192">
        <v>7394</v>
      </c>
      <c r="G756" s="481">
        <v>249</v>
      </c>
      <c r="H756" s="19"/>
      <c r="I756" s="19"/>
      <c r="M756" s="19"/>
    </row>
    <row r="757" spans="1:13">
      <c r="A757" s="479">
        <v>1095</v>
      </c>
      <c r="B757" s="19" t="s">
        <v>198</v>
      </c>
      <c r="C757" t="s">
        <v>139</v>
      </c>
      <c r="D757" s="190">
        <v>1095</v>
      </c>
      <c r="E757" s="192">
        <v>12770</v>
      </c>
      <c r="F757" s="192">
        <v>12384</v>
      </c>
      <c r="G757" s="481">
        <v>374</v>
      </c>
      <c r="H757" s="19"/>
      <c r="I757" s="19"/>
      <c r="M757" s="19"/>
    </row>
    <row r="758" spans="1:13">
      <c r="A758" s="479">
        <v>1530</v>
      </c>
      <c r="B758" s="19" t="s">
        <v>199</v>
      </c>
      <c r="C758" t="s">
        <v>139</v>
      </c>
      <c r="D758" s="190">
        <v>1530</v>
      </c>
      <c r="E758" s="192">
        <v>6131</v>
      </c>
      <c r="F758" s="192">
        <v>6446</v>
      </c>
      <c r="G758" s="481">
        <v>238</v>
      </c>
      <c r="H758" s="19"/>
      <c r="I758" s="19"/>
      <c r="M758" s="19"/>
    </row>
    <row r="759" spans="1:13">
      <c r="A759" s="479">
        <v>1066</v>
      </c>
      <c r="B759" s="19" t="s">
        <v>200</v>
      </c>
      <c r="C759" t="s">
        <v>139</v>
      </c>
      <c r="D759" s="190">
        <v>1066</v>
      </c>
      <c r="E759" s="192">
        <v>10478</v>
      </c>
      <c r="F759" s="192">
        <v>10555</v>
      </c>
      <c r="G759" s="481">
        <v>327</v>
      </c>
      <c r="H759" s="19"/>
      <c r="I759" s="19"/>
      <c r="M759" s="19"/>
    </row>
    <row r="760" spans="1:13">
      <c r="A760" s="479">
        <v>1030</v>
      </c>
      <c r="B760" s="19" t="s">
        <v>201</v>
      </c>
      <c r="C760" t="s">
        <v>139</v>
      </c>
      <c r="D760" s="190">
        <v>1030</v>
      </c>
      <c r="E760" s="192">
        <v>9943</v>
      </c>
      <c r="F760" s="192">
        <v>8952</v>
      </c>
      <c r="G760" s="481">
        <v>308</v>
      </c>
      <c r="H760" s="19"/>
      <c r="I760" s="19"/>
      <c r="M760" s="19"/>
    </row>
    <row r="761" spans="1:13">
      <c r="A761" s="479">
        <v>1052</v>
      </c>
      <c r="B761" s="19" t="s">
        <v>202</v>
      </c>
      <c r="C761" t="s">
        <v>139</v>
      </c>
      <c r="D761" s="190">
        <v>1052</v>
      </c>
      <c r="E761" s="192">
        <v>11068</v>
      </c>
      <c r="F761" s="192">
        <v>9348</v>
      </c>
      <c r="G761" s="481">
        <v>332</v>
      </c>
      <c r="H761" s="19"/>
      <c r="I761" s="19"/>
      <c r="M761" s="19"/>
    </row>
    <row r="762" spans="1:13">
      <c r="A762" s="479">
        <v>1023</v>
      </c>
      <c r="B762" s="19" t="s">
        <v>203</v>
      </c>
      <c r="C762" t="s">
        <v>139</v>
      </c>
      <c r="D762" s="190">
        <v>1023</v>
      </c>
      <c r="E762" s="192">
        <v>9899</v>
      </c>
      <c r="F762" s="192">
        <v>9707</v>
      </c>
      <c r="G762" s="481">
        <v>313</v>
      </c>
      <c r="H762" s="19"/>
      <c r="I762" s="19"/>
      <c r="M762" s="19"/>
    </row>
    <row r="763" spans="1:13">
      <c r="A763" s="479">
        <v>1880</v>
      </c>
      <c r="B763" s="19" t="s">
        <v>204</v>
      </c>
      <c r="C763" t="s">
        <v>139</v>
      </c>
      <c r="D763" s="190">
        <v>1880</v>
      </c>
      <c r="E763" s="192">
        <v>5781</v>
      </c>
      <c r="F763" s="192">
        <v>6564</v>
      </c>
      <c r="G763" s="481">
        <v>240</v>
      </c>
      <c r="H763" s="19"/>
      <c r="I763" s="19"/>
      <c r="M763" s="19"/>
    </row>
    <row r="764" spans="1:13">
      <c r="A764" s="479">
        <v>1022</v>
      </c>
      <c r="B764" s="19" t="s">
        <v>205</v>
      </c>
      <c r="C764" t="s">
        <v>139</v>
      </c>
      <c r="D764" s="190">
        <v>1022</v>
      </c>
      <c r="E764" s="192">
        <v>11144</v>
      </c>
      <c r="F764" s="192">
        <v>10940</v>
      </c>
      <c r="G764" s="481">
        <v>345</v>
      </c>
      <c r="H764" s="19"/>
      <c r="I764" s="19"/>
      <c r="M764" s="19"/>
    </row>
    <row r="765" spans="1:13">
      <c r="A765" s="479">
        <v>1867</v>
      </c>
      <c r="B765" s="19" t="s">
        <v>206</v>
      </c>
      <c r="C765" t="s">
        <v>139</v>
      </c>
      <c r="D765" s="190">
        <v>1867</v>
      </c>
      <c r="E765" s="192">
        <v>9224</v>
      </c>
      <c r="F765" s="192">
        <v>8616</v>
      </c>
      <c r="G765" s="481">
        <v>279</v>
      </c>
      <c r="H765" s="19"/>
      <c r="I765" s="19"/>
      <c r="M765" s="19"/>
    </row>
    <row r="766" spans="1:13">
      <c r="A766" s="479">
        <v>1350</v>
      </c>
      <c r="B766" s="19" t="s">
        <v>207</v>
      </c>
      <c r="C766" t="s">
        <v>139</v>
      </c>
      <c r="D766" s="190">
        <v>1350</v>
      </c>
      <c r="E766" s="192">
        <v>7104</v>
      </c>
      <c r="F766" s="192">
        <v>7557</v>
      </c>
      <c r="G766" s="481">
        <v>244</v>
      </c>
      <c r="H766" s="19"/>
      <c r="I766" s="19"/>
      <c r="M766" s="19"/>
    </row>
    <row r="767" spans="1:13">
      <c r="A767" s="479">
        <v>1180</v>
      </c>
      <c r="B767" s="19" t="s">
        <v>208</v>
      </c>
      <c r="C767" t="s">
        <v>139</v>
      </c>
      <c r="D767" s="190">
        <v>1180</v>
      </c>
      <c r="E767" s="192">
        <v>13876</v>
      </c>
      <c r="F767" s="192">
        <v>13061</v>
      </c>
      <c r="G767" s="481">
        <v>351</v>
      </c>
      <c r="H767" s="19"/>
      <c r="I767" s="19"/>
      <c r="M767" s="19"/>
    </row>
    <row r="768" spans="1:13">
      <c r="A768" s="479">
        <v>1807</v>
      </c>
      <c r="B768" s="19" t="s">
        <v>209</v>
      </c>
      <c r="C768" t="s">
        <v>139</v>
      </c>
      <c r="D768" s="190">
        <v>1807</v>
      </c>
      <c r="E768" s="192">
        <v>9675</v>
      </c>
      <c r="F768" s="192">
        <v>10501</v>
      </c>
      <c r="G768" s="481">
        <v>276</v>
      </c>
      <c r="H768" s="19"/>
      <c r="I768" s="19"/>
      <c r="M768" s="19"/>
    </row>
    <row r="769" spans="1:13">
      <c r="A769" s="479">
        <v>1510</v>
      </c>
      <c r="B769" s="19" t="s">
        <v>210</v>
      </c>
      <c r="C769" t="s">
        <v>139</v>
      </c>
      <c r="D769" s="190">
        <v>1510</v>
      </c>
      <c r="E769" s="192">
        <v>7007</v>
      </c>
      <c r="F769" s="192">
        <v>6443</v>
      </c>
      <c r="G769" s="481">
        <v>249</v>
      </c>
      <c r="H769" s="19"/>
      <c r="I769" s="19"/>
      <c r="M769" s="19"/>
    </row>
    <row r="770" spans="1:13">
      <c r="A770" s="479">
        <v>1040</v>
      </c>
      <c r="B770" s="19" t="s">
        <v>211</v>
      </c>
      <c r="C770" t="s">
        <v>139</v>
      </c>
      <c r="D770" s="190">
        <v>1040</v>
      </c>
      <c r="E770" s="192">
        <v>8373</v>
      </c>
      <c r="F770" s="192">
        <v>8040</v>
      </c>
      <c r="G770" s="481">
        <v>268</v>
      </c>
      <c r="H770" s="19"/>
      <c r="I770" s="19"/>
      <c r="M770" s="19"/>
    </row>
    <row r="771" spans="1:13">
      <c r="A771" s="479">
        <v>1162</v>
      </c>
      <c r="B771" s="19" t="s">
        <v>212</v>
      </c>
      <c r="C771" t="s">
        <v>139</v>
      </c>
      <c r="D771" s="190">
        <v>1162</v>
      </c>
      <c r="E771" s="192">
        <v>11647</v>
      </c>
      <c r="F771" s="192">
        <v>12977</v>
      </c>
      <c r="G771" s="481">
        <v>333</v>
      </c>
      <c r="H771" s="19"/>
      <c r="I771" s="19"/>
      <c r="M771" s="19"/>
    </row>
    <row r="772" spans="1:13">
      <c r="A772" s="479">
        <v>1844</v>
      </c>
      <c r="B772" s="19" t="s">
        <v>213</v>
      </c>
      <c r="C772" t="s">
        <v>139</v>
      </c>
      <c r="D772" s="190">
        <v>1844</v>
      </c>
      <c r="E772" s="192">
        <v>7905</v>
      </c>
      <c r="F772" s="192">
        <v>7396</v>
      </c>
      <c r="G772" s="481">
        <v>243</v>
      </c>
      <c r="H772" s="19"/>
      <c r="I772" s="19"/>
      <c r="M772" s="19"/>
    </row>
    <row r="773" spans="1:13">
      <c r="A773" s="479">
        <v>1610</v>
      </c>
      <c r="B773" s="19" t="s">
        <v>214</v>
      </c>
      <c r="C773" t="s">
        <v>139</v>
      </c>
      <c r="D773" s="190">
        <v>1610</v>
      </c>
      <c r="E773" s="192">
        <v>6577</v>
      </c>
      <c r="F773" s="192">
        <v>6946</v>
      </c>
      <c r="G773" s="481">
        <v>236</v>
      </c>
      <c r="H773" s="19"/>
      <c r="I773" s="19"/>
      <c r="M773" s="19"/>
    </row>
    <row r="774" spans="1:13">
      <c r="A774" s="479">
        <v>1028</v>
      </c>
      <c r="B774" s="19" t="s">
        <v>215</v>
      </c>
      <c r="C774" t="s">
        <v>139</v>
      </c>
      <c r="D774" s="190">
        <v>1028</v>
      </c>
      <c r="E774" s="192">
        <v>11051</v>
      </c>
      <c r="F774" s="192">
        <v>11450</v>
      </c>
      <c r="G774" s="481">
        <v>280</v>
      </c>
      <c r="H774" s="19"/>
      <c r="I774" s="19"/>
      <c r="M774" s="19"/>
    </row>
    <row r="775" spans="1:13">
      <c r="A775" s="479">
        <v>1000</v>
      </c>
      <c r="B775" s="19" t="s">
        <v>182</v>
      </c>
      <c r="C775" t="s">
        <v>139</v>
      </c>
      <c r="D775" s="190">
        <v>1000</v>
      </c>
      <c r="E775" s="192">
        <v>12177</v>
      </c>
      <c r="F775" s="192">
        <v>10841</v>
      </c>
      <c r="G775" s="481">
        <v>353</v>
      </c>
      <c r="H775" s="19"/>
      <c r="I775" s="19"/>
      <c r="M775" s="19"/>
    </row>
    <row r="776" spans="1:13">
      <c r="A776" s="479">
        <v>1400</v>
      </c>
      <c r="B776" s="19" t="s">
        <v>185</v>
      </c>
      <c r="C776" t="s">
        <v>139</v>
      </c>
      <c r="D776" s="190">
        <v>1400</v>
      </c>
      <c r="E776" s="192">
        <v>8168</v>
      </c>
      <c r="F776" s="192">
        <v>8813</v>
      </c>
      <c r="G776" s="481">
        <v>256</v>
      </c>
      <c r="H776" s="19"/>
      <c r="I776" s="19"/>
      <c r="M776" s="19"/>
    </row>
    <row r="777" spans="1:13">
      <c r="A777" s="479">
        <v>1820</v>
      </c>
      <c r="B777" s="19" t="s">
        <v>186</v>
      </c>
      <c r="C777" t="s">
        <v>139</v>
      </c>
      <c r="D777" s="190">
        <v>1820</v>
      </c>
      <c r="E777" s="192">
        <v>10648</v>
      </c>
      <c r="F777" s="192">
        <v>10875</v>
      </c>
      <c r="G777" s="481">
        <v>312</v>
      </c>
      <c r="H777" s="19"/>
      <c r="I777" s="19"/>
      <c r="M777" s="19"/>
    </row>
    <row r="778" spans="1:13">
      <c r="A778" s="479">
        <v>1020</v>
      </c>
      <c r="B778" s="19" t="s">
        <v>187</v>
      </c>
      <c r="C778" t="s">
        <v>139</v>
      </c>
      <c r="D778" s="190">
        <v>1020</v>
      </c>
      <c r="E778" s="192">
        <v>10405</v>
      </c>
      <c r="F778" s="192">
        <v>9576</v>
      </c>
      <c r="G778" s="481">
        <v>318</v>
      </c>
      <c r="H778" s="19"/>
      <c r="I778" s="19"/>
      <c r="M778" s="19"/>
    </row>
    <row r="779" spans="1:13">
      <c r="A779" s="479">
        <v>1260</v>
      </c>
      <c r="B779" s="19" t="s">
        <v>188</v>
      </c>
      <c r="C779" t="s">
        <v>139</v>
      </c>
      <c r="D779" s="190">
        <v>1260</v>
      </c>
      <c r="E779" s="192">
        <v>12760</v>
      </c>
      <c r="F779" s="192">
        <v>12876</v>
      </c>
      <c r="G779" s="481">
        <v>360</v>
      </c>
      <c r="H779" s="19"/>
      <c r="I779" s="19"/>
      <c r="M779" s="19"/>
    </row>
    <row r="780" spans="1:13">
      <c r="A780" s="479">
        <v>1800</v>
      </c>
      <c r="B780" s="19" t="s">
        <v>190</v>
      </c>
      <c r="C780" t="s">
        <v>139</v>
      </c>
      <c r="D780" s="190">
        <v>1800</v>
      </c>
      <c r="E780" s="192">
        <v>10876</v>
      </c>
      <c r="F780" s="192">
        <v>11035</v>
      </c>
      <c r="G780" s="481">
        <v>320</v>
      </c>
      <c r="H780" s="19"/>
      <c r="I780" s="19"/>
      <c r="M780" s="19"/>
    </row>
    <row r="781" spans="1:13">
      <c r="A781" s="479">
        <v>1009</v>
      </c>
      <c r="B781" s="19" t="s">
        <v>191</v>
      </c>
      <c r="C781" t="s">
        <v>139</v>
      </c>
      <c r="D781" s="190">
        <v>1009</v>
      </c>
      <c r="E781" s="192">
        <v>13492</v>
      </c>
      <c r="F781" s="192">
        <v>13012</v>
      </c>
      <c r="G781" s="481">
        <v>373</v>
      </c>
      <c r="H781" s="19"/>
      <c r="I781" s="19"/>
      <c r="M781" s="19"/>
    </row>
    <row r="782" spans="1:13">
      <c r="A782" s="479">
        <v>1110</v>
      </c>
      <c r="B782" s="19" t="s">
        <v>192</v>
      </c>
      <c r="C782" t="s">
        <v>139</v>
      </c>
      <c r="D782" s="190">
        <v>1110</v>
      </c>
      <c r="E782" s="192">
        <v>11754</v>
      </c>
      <c r="F782" s="192">
        <v>11451</v>
      </c>
      <c r="G782" s="481">
        <v>328</v>
      </c>
      <c r="H782" s="19"/>
      <c r="I782" s="19"/>
      <c r="M782" s="19"/>
    </row>
    <row r="783" spans="1:13">
      <c r="A783" s="479">
        <v>1196</v>
      </c>
      <c r="B783" s="19" t="s">
        <v>193</v>
      </c>
      <c r="C783" t="s">
        <v>139</v>
      </c>
      <c r="D783" s="190">
        <v>1196</v>
      </c>
      <c r="E783" s="192">
        <v>10001</v>
      </c>
      <c r="F783" s="192">
        <v>11995</v>
      </c>
      <c r="G783" s="481">
        <v>264</v>
      </c>
      <c r="H783" s="19"/>
      <c r="I783" s="19"/>
      <c r="M783" s="19"/>
    </row>
    <row r="784" spans="1:13">
      <c r="A784" s="479">
        <v>1024</v>
      </c>
      <c r="B784" s="19" t="s">
        <v>194</v>
      </c>
      <c r="C784" t="s">
        <v>139</v>
      </c>
      <c r="D784" s="190">
        <v>1024</v>
      </c>
      <c r="E784" s="192">
        <v>11524</v>
      </c>
      <c r="F784" s="192">
        <v>12749</v>
      </c>
      <c r="G784" s="481">
        <v>338</v>
      </c>
      <c r="H784" s="19"/>
      <c r="I784" s="19"/>
      <c r="M784" s="19"/>
    </row>
    <row r="785" spans="1:13">
      <c r="A785" s="479">
        <v>1008</v>
      </c>
      <c r="B785" s="19" t="s">
        <v>195</v>
      </c>
      <c r="C785" t="s">
        <v>139</v>
      </c>
      <c r="D785" s="190">
        <v>1008</v>
      </c>
      <c r="E785" s="192">
        <v>11815</v>
      </c>
      <c r="F785" s="192">
        <v>9745</v>
      </c>
      <c r="G785" s="481">
        <v>337</v>
      </c>
      <c r="H785" s="19"/>
      <c r="I785" s="19"/>
      <c r="M785" s="19"/>
    </row>
    <row r="786" spans="1:13">
      <c r="A786" s="479">
        <v>1814</v>
      </c>
      <c r="B786" s="19" t="s">
        <v>196</v>
      </c>
      <c r="C786" t="s">
        <v>139</v>
      </c>
      <c r="D786" s="190">
        <v>1814</v>
      </c>
      <c r="E786" s="192">
        <v>11438</v>
      </c>
      <c r="F786" s="192">
        <v>11686</v>
      </c>
      <c r="G786" s="481">
        <v>329</v>
      </c>
      <c r="H786" s="19"/>
      <c r="I786" s="19"/>
      <c r="M786" s="19"/>
    </row>
    <row r="787" spans="1:13">
      <c r="A787" s="479">
        <v>1860</v>
      </c>
      <c r="B787" s="19" t="s">
        <v>197</v>
      </c>
      <c r="C787" t="s">
        <v>139</v>
      </c>
      <c r="D787" s="190">
        <v>1860</v>
      </c>
      <c r="E787" s="192">
        <v>6670</v>
      </c>
      <c r="F787" s="192">
        <v>7394</v>
      </c>
      <c r="G787" s="481">
        <v>249</v>
      </c>
      <c r="H787" s="19"/>
      <c r="I787" s="19"/>
      <c r="M787" s="19"/>
    </row>
    <row r="788" spans="1:13">
      <c r="A788" s="479">
        <v>1095</v>
      </c>
      <c r="B788" s="19" t="s">
        <v>198</v>
      </c>
      <c r="C788" t="s">
        <v>139</v>
      </c>
      <c r="D788" s="190">
        <v>1095</v>
      </c>
      <c r="E788" s="192">
        <v>12770</v>
      </c>
      <c r="F788" s="192">
        <v>12384</v>
      </c>
      <c r="G788" s="481">
        <v>374</v>
      </c>
      <c r="H788" s="19"/>
      <c r="I788" s="19"/>
      <c r="M788" s="19"/>
    </row>
    <row r="789" spans="1:13">
      <c r="A789" s="479">
        <v>1530</v>
      </c>
      <c r="B789" s="19" t="s">
        <v>199</v>
      </c>
      <c r="C789" t="s">
        <v>139</v>
      </c>
      <c r="D789" s="190">
        <v>1530</v>
      </c>
      <c r="E789" s="192">
        <v>6131</v>
      </c>
      <c r="F789" s="192">
        <v>6446</v>
      </c>
      <c r="G789" s="481">
        <v>238</v>
      </c>
      <c r="H789" s="19"/>
      <c r="I789" s="19"/>
      <c r="M789" s="19"/>
    </row>
    <row r="790" spans="1:13">
      <c r="A790" s="479">
        <v>1066</v>
      </c>
      <c r="B790" s="19" t="s">
        <v>200</v>
      </c>
      <c r="C790" t="s">
        <v>139</v>
      </c>
      <c r="D790" s="190">
        <v>1066</v>
      </c>
      <c r="E790" s="192">
        <v>10478</v>
      </c>
      <c r="F790" s="192">
        <v>10555</v>
      </c>
      <c r="G790" s="481">
        <v>327</v>
      </c>
      <c r="H790" s="19"/>
      <c r="I790" s="19"/>
      <c r="M790" s="19"/>
    </row>
    <row r="791" spans="1:13">
      <c r="A791" s="479">
        <v>1030</v>
      </c>
      <c r="B791" s="19" t="s">
        <v>201</v>
      </c>
      <c r="C791" t="s">
        <v>139</v>
      </c>
      <c r="D791" s="190">
        <v>1030</v>
      </c>
      <c r="E791" s="192">
        <v>9943</v>
      </c>
      <c r="F791" s="192">
        <v>8952</v>
      </c>
      <c r="G791" s="481">
        <v>308</v>
      </c>
      <c r="H791" s="19"/>
      <c r="I791" s="19"/>
      <c r="M791" s="19"/>
    </row>
    <row r="792" spans="1:13">
      <c r="A792" s="479">
        <v>1052</v>
      </c>
      <c r="B792" s="19" t="s">
        <v>202</v>
      </c>
      <c r="C792" t="s">
        <v>139</v>
      </c>
      <c r="D792" s="190">
        <v>1052</v>
      </c>
      <c r="E792" s="192">
        <v>11068</v>
      </c>
      <c r="F792" s="192">
        <v>9348</v>
      </c>
      <c r="G792" s="481">
        <v>332</v>
      </c>
      <c r="H792" s="19"/>
      <c r="I792" s="19"/>
      <c r="M792" s="19"/>
    </row>
    <row r="793" spans="1:13">
      <c r="A793" s="479">
        <v>1023</v>
      </c>
      <c r="B793" s="19" t="s">
        <v>203</v>
      </c>
      <c r="C793" t="s">
        <v>139</v>
      </c>
      <c r="D793" s="190">
        <v>1023</v>
      </c>
      <c r="E793" s="192">
        <v>9899</v>
      </c>
      <c r="F793" s="192">
        <v>9707</v>
      </c>
      <c r="G793" s="481">
        <v>313</v>
      </c>
      <c r="H793" s="19"/>
      <c r="I793" s="19"/>
      <c r="M793" s="19"/>
    </row>
    <row r="794" spans="1:13">
      <c r="A794" s="479">
        <v>1880</v>
      </c>
      <c r="B794" s="19" t="s">
        <v>204</v>
      </c>
      <c r="C794" t="s">
        <v>139</v>
      </c>
      <c r="D794" s="190">
        <v>1880</v>
      </c>
      <c r="E794" s="192">
        <v>5781</v>
      </c>
      <c r="F794" s="192">
        <v>6564</v>
      </c>
      <c r="G794" s="481">
        <v>240</v>
      </c>
      <c r="H794" s="19"/>
      <c r="I794" s="19"/>
      <c r="M794" s="19"/>
    </row>
    <row r="795" spans="1:13">
      <c r="A795" s="479">
        <v>1022</v>
      </c>
      <c r="B795" s="19" t="s">
        <v>205</v>
      </c>
      <c r="C795" t="s">
        <v>139</v>
      </c>
      <c r="D795" s="190">
        <v>1022</v>
      </c>
      <c r="E795" s="192">
        <v>11144</v>
      </c>
      <c r="F795" s="192">
        <v>10940</v>
      </c>
      <c r="G795" s="481">
        <v>345</v>
      </c>
      <c r="H795" s="19"/>
      <c r="I795" s="19"/>
      <c r="M795" s="19"/>
    </row>
    <row r="796" spans="1:13">
      <c r="A796" s="479">
        <v>1867</v>
      </c>
      <c r="B796" s="19" t="s">
        <v>206</v>
      </c>
      <c r="C796" t="s">
        <v>139</v>
      </c>
      <c r="D796" s="190">
        <v>1867</v>
      </c>
      <c r="E796" s="192">
        <v>9224</v>
      </c>
      <c r="F796" s="192">
        <v>8616</v>
      </c>
      <c r="G796" s="481">
        <v>279</v>
      </c>
      <c r="H796" s="19"/>
      <c r="I796" s="19"/>
      <c r="M796" s="19"/>
    </row>
    <row r="797" spans="1:13">
      <c r="A797" s="479">
        <v>1350</v>
      </c>
      <c r="B797" s="19" t="s">
        <v>207</v>
      </c>
      <c r="C797" t="s">
        <v>139</v>
      </c>
      <c r="D797" s="190">
        <v>1350</v>
      </c>
      <c r="E797" s="192">
        <v>7104</v>
      </c>
      <c r="F797" s="192">
        <v>7557</v>
      </c>
      <c r="G797" s="481">
        <v>244</v>
      </c>
      <c r="H797" s="19"/>
      <c r="I797" s="19"/>
      <c r="M797" s="19"/>
    </row>
    <row r="798" spans="1:13">
      <c r="A798" s="479">
        <v>1180</v>
      </c>
      <c r="B798" s="19" t="s">
        <v>208</v>
      </c>
      <c r="C798" t="s">
        <v>139</v>
      </c>
      <c r="D798" s="190">
        <v>1180</v>
      </c>
      <c r="E798" s="192">
        <v>13876</v>
      </c>
      <c r="F798" s="192">
        <v>13061</v>
      </c>
      <c r="G798" s="481">
        <v>351</v>
      </c>
      <c r="H798" s="19"/>
      <c r="I798" s="19"/>
      <c r="M798" s="19"/>
    </row>
    <row r="799" spans="1:13">
      <c r="A799" s="479">
        <v>1807</v>
      </c>
      <c r="B799" s="19" t="s">
        <v>209</v>
      </c>
      <c r="C799" t="s">
        <v>139</v>
      </c>
      <c r="D799" s="190">
        <v>1807</v>
      </c>
      <c r="E799" s="192">
        <v>9675</v>
      </c>
      <c r="F799" s="192">
        <v>10501</v>
      </c>
      <c r="G799" s="481">
        <v>276</v>
      </c>
      <c r="H799" s="19"/>
      <c r="I799" s="19"/>
      <c r="M799" s="19"/>
    </row>
    <row r="800" spans="1:13">
      <c r="A800" s="479">
        <v>1510</v>
      </c>
      <c r="B800" s="19" t="s">
        <v>210</v>
      </c>
      <c r="C800" t="s">
        <v>139</v>
      </c>
      <c r="D800" s="190">
        <v>1510</v>
      </c>
      <c r="E800" s="192">
        <v>7007</v>
      </c>
      <c r="F800" s="192">
        <v>6443</v>
      </c>
      <c r="G800" s="481">
        <v>249</v>
      </c>
      <c r="H800" s="19"/>
      <c r="I800" s="19"/>
      <c r="M800" s="19"/>
    </row>
    <row r="801" spans="1:13">
      <c r="A801" s="479">
        <v>1040</v>
      </c>
      <c r="B801" s="19" t="s">
        <v>211</v>
      </c>
      <c r="C801" t="s">
        <v>139</v>
      </c>
      <c r="D801" s="190">
        <v>1040</v>
      </c>
      <c r="E801" s="192">
        <v>8373</v>
      </c>
      <c r="F801" s="192">
        <v>8040</v>
      </c>
      <c r="G801" s="481">
        <v>268</v>
      </c>
      <c r="H801" s="19"/>
      <c r="I801" s="19"/>
      <c r="M801" s="19"/>
    </row>
    <row r="802" spans="1:13">
      <c r="A802" s="479">
        <v>1162</v>
      </c>
      <c r="B802" s="19" t="s">
        <v>212</v>
      </c>
      <c r="C802" t="s">
        <v>139</v>
      </c>
      <c r="D802" s="190">
        <v>1162</v>
      </c>
      <c r="E802" s="192">
        <v>11647</v>
      </c>
      <c r="F802" s="192">
        <v>12977</v>
      </c>
      <c r="G802" s="481">
        <v>333</v>
      </c>
      <c r="H802" s="19"/>
      <c r="I802" s="19"/>
      <c r="M802" s="19"/>
    </row>
    <row r="803" spans="1:13">
      <c r="A803" s="479">
        <v>1844</v>
      </c>
      <c r="B803" s="19" t="s">
        <v>213</v>
      </c>
      <c r="C803" t="s">
        <v>139</v>
      </c>
      <c r="D803" s="190">
        <v>1844</v>
      </c>
      <c r="E803" s="192">
        <v>7905</v>
      </c>
      <c r="F803" s="192">
        <v>7396</v>
      </c>
      <c r="G803" s="481">
        <v>243</v>
      </c>
      <c r="H803" s="19"/>
      <c r="I803" s="19"/>
      <c r="M803" s="19"/>
    </row>
    <row r="804" spans="1:13">
      <c r="A804" s="479">
        <v>1610</v>
      </c>
      <c r="B804" s="19" t="s">
        <v>214</v>
      </c>
      <c r="C804" t="s">
        <v>139</v>
      </c>
      <c r="D804" s="190">
        <v>1610</v>
      </c>
      <c r="E804" s="192">
        <v>6577</v>
      </c>
      <c r="F804" s="192">
        <v>6946</v>
      </c>
      <c r="G804" s="481">
        <v>236</v>
      </c>
      <c r="H804" s="19"/>
      <c r="I804" s="19"/>
      <c r="M804" s="19"/>
    </row>
    <row r="805" spans="1:13">
      <c r="A805" s="479">
        <v>1028</v>
      </c>
      <c r="B805" s="19" t="s">
        <v>215</v>
      </c>
      <c r="C805" t="s">
        <v>139</v>
      </c>
      <c r="D805" s="190">
        <v>1028</v>
      </c>
      <c r="E805" s="192">
        <v>11051</v>
      </c>
      <c r="F805" s="192">
        <v>11450</v>
      </c>
      <c r="G805" s="481">
        <v>280</v>
      </c>
      <c r="H805" s="19"/>
      <c r="I805" s="19"/>
      <c r="M805" s="19"/>
    </row>
    <row r="806" spans="1:13">
      <c r="A806" s="479">
        <v>1091</v>
      </c>
      <c r="B806" s="19" t="s">
        <v>216</v>
      </c>
      <c r="C806" t="s">
        <v>139</v>
      </c>
      <c r="D806" s="190">
        <v>1091</v>
      </c>
      <c r="E806" s="192">
        <v>12744</v>
      </c>
      <c r="F806" s="192">
        <v>13024</v>
      </c>
      <c r="G806" s="481">
        <v>342</v>
      </c>
      <c r="H806" s="19"/>
      <c r="I806" s="19"/>
      <c r="M806" s="19"/>
    </row>
    <row r="807" spans="1:13">
      <c r="A807" s="479">
        <v>1806</v>
      </c>
      <c r="B807" s="19" t="s">
        <v>217</v>
      </c>
      <c r="C807" t="s">
        <v>139</v>
      </c>
      <c r="D807" s="190">
        <v>1806</v>
      </c>
      <c r="E807" s="192">
        <v>9998</v>
      </c>
      <c r="F807" s="192">
        <v>10508</v>
      </c>
      <c r="G807" s="481">
        <v>320</v>
      </c>
      <c r="H807" s="19"/>
      <c r="I807" s="19"/>
      <c r="M807" s="19"/>
    </row>
    <row r="808" spans="1:13">
      <c r="A808" s="479">
        <v>1450</v>
      </c>
      <c r="B808" s="19" t="s">
        <v>218</v>
      </c>
      <c r="C808" t="s">
        <v>139</v>
      </c>
      <c r="D808" s="190">
        <v>1450</v>
      </c>
      <c r="E808" s="192">
        <v>4402</v>
      </c>
      <c r="F808" s="192">
        <v>4796</v>
      </c>
      <c r="G808" s="481">
        <v>190</v>
      </c>
      <c r="H808" s="19"/>
      <c r="I808" s="19"/>
      <c r="M808" s="19"/>
    </row>
    <row r="809" spans="1:13">
      <c r="A809" s="479">
        <v>1373</v>
      </c>
      <c r="B809" s="19" t="s">
        <v>219</v>
      </c>
      <c r="C809" t="s">
        <v>139</v>
      </c>
      <c r="D809" s="190">
        <v>1373</v>
      </c>
      <c r="E809" s="192">
        <v>7508</v>
      </c>
      <c r="F809" s="192">
        <v>7536</v>
      </c>
      <c r="G809" s="481">
        <v>262</v>
      </c>
      <c r="H809" s="19"/>
      <c r="I809" s="19"/>
      <c r="M809" s="19"/>
    </row>
    <row r="810" spans="1:13">
      <c r="A810" s="479">
        <v>1342</v>
      </c>
      <c r="B810" s="19" t="s">
        <v>220</v>
      </c>
      <c r="C810" t="s">
        <v>139</v>
      </c>
      <c r="D810" s="190">
        <v>1342</v>
      </c>
      <c r="E810" s="192">
        <v>6048</v>
      </c>
      <c r="F810" s="192">
        <v>5139</v>
      </c>
      <c r="G810" s="481">
        <v>247</v>
      </c>
      <c r="H810" s="19"/>
      <c r="I810" s="19"/>
      <c r="M810" s="19"/>
    </row>
    <row r="811" spans="1:13">
      <c r="A811" s="479">
        <v>1025</v>
      </c>
      <c r="B811" s="19" t="s">
        <v>221</v>
      </c>
      <c r="C811" t="s">
        <v>139</v>
      </c>
      <c r="D811" s="190">
        <v>1025</v>
      </c>
      <c r="E811" s="192">
        <v>12689</v>
      </c>
      <c r="F811" s="192">
        <v>14155</v>
      </c>
      <c r="G811" s="481">
        <v>412</v>
      </c>
      <c r="H811" s="19"/>
      <c r="I811" s="19"/>
      <c r="M811" s="19"/>
    </row>
    <row r="812" spans="1:13">
      <c r="A812" s="479">
        <v>1033</v>
      </c>
      <c r="B812" s="19" t="s">
        <v>222</v>
      </c>
      <c r="C812" t="s">
        <v>139</v>
      </c>
      <c r="D812" s="190">
        <v>1033</v>
      </c>
      <c r="E812" s="192">
        <v>9219</v>
      </c>
      <c r="F812" s="192">
        <v>8672</v>
      </c>
      <c r="G812" s="481">
        <v>285</v>
      </c>
      <c r="H812" s="19"/>
      <c r="I812" s="19"/>
      <c r="M812" s="19"/>
    </row>
    <row r="813" spans="1:13">
      <c r="A813" s="479">
        <v>1580</v>
      </c>
      <c r="B813" s="19" t="s">
        <v>223</v>
      </c>
      <c r="C813" t="s">
        <v>139</v>
      </c>
      <c r="D813" s="190">
        <v>1580</v>
      </c>
      <c r="E813" s="192">
        <v>6459</v>
      </c>
      <c r="F813" s="192">
        <v>5693</v>
      </c>
      <c r="G813" s="481">
        <v>244</v>
      </c>
      <c r="H813" s="19"/>
      <c r="I813" s="19"/>
      <c r="M813" s="19"/>
    </row>
    <row r="814" spans="1:13">
      <c r="A814" s="479">
        <v>1522</v>
      </c>
      <c r="B814" s="19" t="s">
        <v>224</v>
      </c>
      <c r="C814" t="s">
        <v>139</v>
      </c>
      <c r="D814" s="190">
        <v>1522</v>
      </c>
      <c r="E814" s="192">
        <v>5838</v>
      </c>
      <c r="F814" s="192">
        <v>6314</v>
      </c>
      <c r="G814" s="481">
        <v>248</v>
      </c>
      <c r="H814" s="19"/>
      <c r="I814" s="19"/>
      <c r="M814" s="19"/>
    </row>
    <row r="815" spans="1:13">
      <c r="A815" s="479">
        <v>1197</v>
      </c>
      <c r="B815" s="19" t="s">
        <v>225</v>
      </c>
      <c r="C815" t="s">
        <v>139</v>
      </c>
      <c r="D815" s="190">
        <v>1197</v>
      </c>
      <c r="E815" s="192">
        <v>11879</v>
      </c>
      <c r="F815" s="192">
        <v>13431</v>
      </c>
      <c r="G815" s="481">
        <v>346</v>
      </c>
      <c r="H815" s="19"/>
      <c r="I815" s="19"/>
      <c r="M815" s="19"/>
    </row>
    <row r="816" spans="1:13">
      <c r="A816" s="479">
        <v>1854</v>
      </c>
      <c r="B816" s="19" t="s">
        <v>226</v>
      </c>
      <c r="C816" t="s">
        <v>139</v>
      </c>
      <c r="D816" s="190">
        <v>1854</v>
      </c>
      <c r="E816" s="192">
        <v>5912</v>
      </c>
      <c r="F816" s="192">
        <v>6574</v>
      </c>
      <c r="G816" s="481">
        <v>275</v>
      </c>
      <c r="H816" s="19"/>
      <c r="I816" s="19"/>
      <c r="M816" s="19"/>
    </row>
    <row r="817" spans="1:13">
      <c r="A817" s="479">
        <v>1337</v>
      </c>
      <c r="B817" s="19" t="s">
        <v>227</v>
      </c>
      <c r="C817" t="s">
        <v>139</v>
      </c>
      <c r="D817" s="190">
        <v>1337</v>
      </c>
      <c r="E817" s="192">
        <v>5901</v>
      </c>
      <c r="F817" s="192">
        <v>5783</v>
      </c>
      <c r="G817" s="481">
        <v>243</v>
      </c>
      <c r="H817" s="19"/>
      <c r="I817" s="19"/>
      <c r="M817" s="19"/>
    </row>
    <row r="818" spans="1:13">
      <c r="A818" s="479">
        <v>1304</v>
      </c>
      <c r="B818" s="19" t="s">
        <v>228</v>
      </c>
      <c r="C818" t="s">
        <v>139</v>
      </c>
      <c r="D818" s="190">
        <v>1304</v>
      </c>
      <c r="E818" s="192">
        <v>8645</v>
      </c>
      <c r="F818" s="192">
        <v>7697</v>
      </c>
      <c r="G818" s="481">
        <v>310</v>
      </c>
      <c r="H818" s="19"/>
      <c r="I818" s="19"/>
      <c r="M818" s="19"/>
    </row>
    <row r="819" spans="1:13">
      <c r="A819" s="479">
        <v>1297</v>
      </c>
      <c r="B819" s="19" t="s">
        <v>229</v>
      </c>
      <c r="C819" t="s">
        <v>139</v>
      </c>
      <c r="D819" s="190">
        <v>1297</v>
      </c>
      <c r="E819" s="192">
        <v>11246</v>
      </c>
      <c r="F819" s="192">
        <v>13991</v>
      </c>
      <c r="G819" s="481">
        <v>372</v>
      </c>
      <c r="H819" s="19"/>
      <c r="I819" s="19"/>
      <c r="M819" s="19"/>
    </row>
    <row r="820" spans="1:13">
      <c r="A820" s="479">
        <v>1092</v>
      </c>
      <c r="B820" s="19" t="s">
        <v>230</v>
      </c>
      <c r="C820" t="s">
        <v>139</v>
      </c>
      <c r="D820" s="190">
        <v>1092</v>
      </c>
      <c r="E820" s="192">
        <v>10398</v>
      </c>
      <c r="F820" s="192">
        <v>11019</v>
      </c>
      <c r="G820" s="481">
        <v>324</v>
      </c>
      <c r="H820" s="19"/>
      <c r="I820" s="19"/>
      <c r="M820" s="19"/>
    </row>
    <row r="821" spans="1:13">
      <c r="A821" s="479">
        <v>1660</v>
      </c>
      <c r="B821" s="19" t="s">
        <v>231</v>
      </c>
      <c r="C821" t="s">
        <v>139</v>
      </c>
      <c r="D821" s="190">
        <v>1660</v>
      </c>
      <c r="E821" s="192">
        <v>8430</v>
      </c>
      <c r="F821" s="192">
        <v>8697</v>
      </c>
      <c r="G821" s="481">
        <v>282</v>
      </c>
      <c r="H821" s="19"/>
      <c r="I821" s="19"/>
      <c r="M821" s="19"/>
    </row>
    <row r="822" spans="1:13">
      <c r="A822" s="479">
        <v>1804</v>
      </c>
      <c r="B822" s="19" t="s">
        <v>232</v>
      </c>
      <c r="C822" t="s">
        <v>139</v>
      </c>
      <c r="D822" s="190">
        <v>1804</v>
      </c>
      <c r="E822" s="192">
        <v>9901</v>
      </c>
      <c r="F822" s="192">
        <v>9533</v>
      </c>
      <c r="G822" s="481">
        <v>334</v>
      </c>
      <c r="H822" s="19"/>
      <c r="I822" s="19"/>
      <c r="M822" s="19"/>
    </row>
    <row r="823" spans="1:13">
      <c r="A823" s="479">
        <v>1462</v>
      </c>
      <c r="B823" s="19" t="s">
        <v>233</v>
      </c>
      <c r="C823" t="s">
        <v>139</v>
      </c>
      <c r="D823" s="190">
        <v>1462</v>
      </c>
      <c r="E823" s="192">
        <v>7303</v>
      </c>
      <c r="F823" s="192">
        <v>7486</v>
      </c>
      <c r="G823" s="481">
        <v>249</v>
      </c>
      <c r="H823" s="19"/>
      <c r="I823" s="19"/>
      <c r="M823" s="19"/>
    </row>
    <row r="824" spans="1:13">
      <c r="A824" s="479">
        <v>1073</v>
      </c>
      <c r="B824" s="19" t="s">
        <v>234</v>
      </c>
      <c r="C824" t="s">
        <v>139</v>
      </c>
      <c r="D824" s="190">
        <v>1073</v>
      </c>
      <c r="E824" s="192">
        <v>9750</v>
      </c>
      <c r="F824" s="192">
        <v>9079</v>
      </c>
      <c r="G824" s="481">
        <v>278</v>
      </c>
      <c r="H824" s="19"/>
      <c r="I824" s="19"/>
      <c r="M824" s="19"/>
    </row>
    <row r="825" spans="1:13">
      <c r="A825" s="479">
        <v>1032</v>
      </c>
      <c r="B825" s="19" t="s">
        <v>235</v>
      </c>
      <c r="C825" t="s">
        <v>139</v>
      </c>
      <c r="D825" s="190">
        <v>1032</v>
      </c>
      <c r="E825" s="192">
        <v>9439</v>
      </c>
      <c r="F825" s="192">
        <v>9787</v>
      </c>
      <c r="G825" s="481">
        <v>337</v>
      </c>
      <c r="H825" s="19"/>
      <c r="I825" s="19"/>
      <c r="M825" s="19"/>
    </row>
    <row r="826" spans="1:13">
      <c r="A826" s="479">
        <v>1422</v>
      </c>
      <c r="B826" s="19" t="s">
        <v>236</v>
      </c>
      <c r="C826" t="s">
        <v>139</v>
      </c>
      <c r="D826" s="190">
        <v>1422</v>
      </c>
      <c r="E826" s="192">
        <v>8834</v>
      </c>
      <c r="F826" s="192">
        <v>7377</v>
      </c>
      <c r="G826" s="481">
        <v>285</v>
      </c>
      <c r="H826" s="19"/>
      <c r="I826" s="19"/>
      <c r="M826" s="19"/>
    </row>
    <row r="827" spans="1:13">
      <c r="A827" s="479">
        <v>1305</v>
      </c>
      <c r="B827" s="19" t="s">
        <v>237</v>
      </c>
      <c r="C827" t="s">
        <v>139</v>
      </c>
      <c r="D827" s="190">
        <v>1305</v>
      </c>
      <c r="E827" s="192">
        <v>8175</v>
      </c>
      <c r="F827" s="192">
        <v>8173</v>
      </c>
      <c r="G827" s="481">
        <v>267</v>
      </c>
      <c r="H827" s="19"/>
      <c r="I827" s="19"/>
      <c r="M827" s="19"/>
    </row>
    <row r="828" spans="1:13">
      <c r="A828" s="479">
        <v>1170</v>
      </c>
      <c r="B828" s="19" t="s">
        <v>238</v>
      </c>
      <c r="C828" t="s">
        <v>139</v>
      </c>
      <c r="D828" s="190">
        <v>1170</v>
      </c>
      <c r="E828" s="192">
        <v>9575</v>
      </c>
      <c r="F828" s="192">
        <v>10554</v>
      </c>
      <c r="G828" s="481">
        <v>275</v>
      </c>
      <c r="H828" s="19"/>
      <c r="I828" s="19"/>
      <c r="M828" s="19"/>
    </row>
    <row r="829" spans="1:13">
      <c r="A829" s="479">
        <v>1296</v>
      </c>
      <c r="B829" s="19" t="s">
        <v>239</v>
      </c>
      <c r="C829" t="s">
        <v>139</v>
      </c>
      <c r="D829" s="190">
        <v>1296</v>
      </c>
      <c r="E829" s="192">
        <v>13948</v>
      </c>
      <c r="F829" s="192">
        <v>13573</v>
      </c>
      <c r="G829" s="481">
        <v>419</v>
      </c>
      <c r="H829" s="19"/>
      <c r="I829" s="19"/>
      <c r="M829" s="19"/>
    </row>
    <row r="830" spans="1:13">
      <c r="A830" s="479">
        <v>1585</v>
      </c>
      <c r="B830" s="19" t="s">
        <v>240</v>
      </c>
      <c r="C830" t="s">
        <v>139</v>
      </c>
      <c r="D830" s="190">
        <v>1585</v>
      </c>
      <c r="E830" s="192">
        <v>6773</v>
      </c>
      <c r="F830" s="192">
        <v>6208</v>
      </c>
      <c r="G830" s="481">
        <v>217</v>
      </c>
      <c r="H830" s="19"/>
      <c r="I830" s="19"/>
      <c r="M830" s="19"/>
    </row>
    <row r="831" spans="1:13">
      <c r="A831" s="479">
        <v>1534</v>
      </c>
      <c r="B831" s="19" t="s">
        <v>241</v>
      </c>
      <c r="C831" t="s">
        <v>139</v>
      </c>
      <c r="D831" s="190">
        <v>1534</v>
      </c>
      <c r="E831" s="192">
        <v>6346</v>
      </c>
      <c r="F831" s="192">
        <v>5628</v>
      </c>
      <c r="G831" s="481">
        <v>221</v>
      </c>
      <c r="H831" s="19"/>
      <c r="I831" s="19"/>
      <c r="M831" s="19"/>
    </row>
    <row r="832" spans="1:13">
      <c r="A832" s="479">
        <v>1163</v>
      </c>
      <c r="B832" s="19" t="s">
        <v>242</v>
      </c>
      <c r="C832" t="s">
        <v>139</v>
      </c>
      <c r="D832" s="190">
        <v>1163</v>
      </c>
      <c r="E832" s="192">
        <v>9535</v>
      </c>
      <c r="F832" s="192">
        <v>10235</v>
      </c>
      <c r="G832" s="481">
        <v>272</v>
      </c>
      <c r="H832" s="19"/>
      <c r="I832" s="19"/>
      <c r="M832" s="19"/>
    </row>
    <row r="833" spans="1:13">
      <c r="A833" s="479">
        <v>1803</v>
      </c>
      <c r="B833" s="19" t="s">
        <v>243</v>
      </c>
      <c r="C833" t="s">
        <v>139</v>
      </c>
      <c r="D833" s="190">
        <v>1803</v>
      </c>
      <c r="E833" s="192">
        <v>10584</v>
      </c>
      <c r="F833" s="192">
        <v>11392</v>
      </c>
      <c r="G833" s="481">
        <v>354</v>
      </c>
      <c r="H833" s="19"/>
      <c r="I833" s="19"/>
      <c r="M833" s="19"/>
    </row>
    <row r="834" spans="1:13">
      <c r="A834" s="479">
        <v>1070</v>
      </c>
      <c r="B834" s="19" t="s">
        <v>244</v>
      </c>
      <c r="C834" t="s">
        <v>139</v>
      </c>
      <c r="D834" s="190">
        <v>1070</v>
      </c>
      <c r="E834" s="192">
        <v>11655</v>
      </c>
      <c r="F834" s="192">
        <v>8667</v>
      </c>
      <c r="G834" s="481">
        <v>270</v>
      </c>
      <c r="H834" s="19"/>
      <c r="I834" s="19"/>
      <c r="M834" s="19"/>
    </row>
    <row r="835" spans="1:13">
      <c r="A835" s="479">
        <v>1291</v>
      </c>
      <c r="B835" s="19" t="s">
        <v>245</v>
      </c>
      <c r="C835" t="s">
        <v>139</v>
      </c>
      <c r="D835" s="190">
        <v>1291</v>
      </c>
      <c r="E835" s="192">
        <v>10679</v>
      </c>
      <c r="F835" s="192">
        <v>14204</v>
      </c>
      <c r="G835" s="481">
        <v>383</v>
      </c>
      <c r="H835" s="19"/>
      <c r="I835" s="19"/>
      <c r="M835" s="19"/>
    </row>
    <row r="836" spans="1:13">
      <c r="A836" s="479">
        <v>1083</v>
      </c>
      <c r="B836" s="19" t="s">
        <v>246</v>
      </c>
      <c r="C836" t="s">
        <v>139</v>
      </c>
      <c r="D836" s="190">
        <v>1083</v>
      </c>
      <c r="E836" s="192">
        <v>7494</v>
      </c>
      <c r="F836" s="192">
        <v>7729</v>
      </c>
      <c r="G836" s="481">
        <v>213</v>
      </c>
      <c r="H836" s="19"/>
      <c r="I836" s="19"/>
      <c r="M836" s="19"/>
    </row>
    <row r="837" spans="1:13">
      <c r="A837" s="479">
        <v>1026</v>
      </c>
      <c r="B837" s="19" t="s">
        <v>247</v>
      </c>
      <c r="C837" t="s">
        <v>139</v>
      </c>
      <c r="D837" s="190">
        <v>1026</v>
      </c>
      <c r="E837" s="192">
        <v>10941</v>
      </c>
      <c r="F837" s="192">
        <v>10716</v>
      </c>
      <c r="G837" s="481">
        <v>336</v>
      </c>
      <c r="H837" s="19"/>
      <c r="I837" s="19"/>
      <c r="M837" s="19"/>
    </row>
    <row r="838" spans="1:13">
      <c r="A838" s="479">
        <v>1053</v>
      </c>
      <c r="B838" s="19" t="s">
        <v>248</v>
      </c>
      <c r="C838" t="s">
        <v>139</v>
      </c>
      <c r="D838" s="190">
        <v>1053</v>
      </c>
      <c r="E838" s="192">
        <v>8204</v>
      </c>
      <c r="F838" s="192">
        <v>8570</v>
      </c>
      <c r="G838" s="481">
        <v>299</v>
      </c>
      <c r="H838" s="19"/>
      <c r="I838" s="19"/>
      <c r="M838" s="19"/>
    </row>
    <row r="839" spans="1:13">
      <c r="A839" s="479">
        <v>1185</v>
      </c>
      <c r="B839" s="19" t="s">
        <v>249</v>
      </c>
      <c r="C839" t="s">
        <v>139</v>
      </c>
      <c r="D839" s="190">
        <v>1185</v>
      </c>
      <c r="E839" s="192">
        <v>12658</v>
      </c>
      <c r="F839" s="192">
        <v>11942</v>
      </c>
      <c r="G839" s="481">
        <v>308</v>
      </c>
      <c r="H839" s="19"/>
      <c r="I839" s="19"/>
      <c r="M839" s="19"/>
    </row>
    <row r="840" spans="1:13">
      <c r="A840" s="479">
        <v>1112</v>
      </c>
      <c r="B840" s="19" t="s">
        <v>250</v>
      </c>
      <c r="C840" t="s">
        <v>139</v>
      </c>
      <c r="D840" s="190">
        <v>1112</v>
      </c>
      <c r="E840" s="192">
        <v>10491</v>
      </c>
      <c r="F840" s="192">
        <v>9934</v>
      </c>
      <c r="G840" s="481">
        <v>280</v>
      </c>
      <c r="H840" s="19"/>
      <c r="I840" s="19"/>
      <c r="M840" s="19"/>
    </row>
    <row r="841" spans="1:13">
      <c r="A841" s="479">
        <v>1273</v>
      </c>
      <c r="B841" s="19" t="s">
        <v>251</v>
      </c>
      <c r="C841" t="s">
        <v>139</v>
      </c>
      <c r="D841" s="190">
        <v>1273</v>
      </c>
      <c r="E841" s="192">
        <v>9738</v>
      </c>
      <c r="F841" s="192">
        <v>10589</v>
      </c>
      <c r="G841" s="481">
        <v>319</v>
      </c>
      <c r="H841" s="19"/>
      <c r="I841" s="19"/>
      <c r="M841" s="19"/>
    </row>
    <row r="842" spans="1:13">
      <c r="A842" s="479">
        <v>1148</v>
      </c>
      <c r="B842" s="19" t="s">
        <v>252</v>
      </c>
      <c r="C842" t="s">
        <v>139</v>
      </c>
      <c r="D842" s="190">
        <v>1148</v>
      </c>
      <c r="E842" s="192">
        <v>6175</v>
      </c>
      <c r="F842" s="192">
        <v>6391</v>
      </c>
      <c r="G842" s="481">
        <v>239</v>
      </c>
      <c r="H842" s="19"/>
      <c r="I842" s="19"/>
      <c r="M842" s="19"/>
    </row>
    <row r="843" spans="1:13">
      <c r="A843" s="479">
        <v>1315</v>
      </c>
      <c r="B843" s="19" t="s">
        <v>253</v>
      </c>
      <c r="C843" t="s">
        <v>139</v>
      </c>
      <c r="D843" s="190">
        <v>1315</v>
      </c>
      <c r="E843" s="192">
        <v>7417</v>
      </c>
      <c r="F843" s="192">
        <v>6994</v>
      </c>
      <c r="G843" s="481">
        <v>270</v>
      </c>
      <c r="H843" s="19"/>
      <c r="I843" s="19"/>
      <c r="M843" s="19"/>
    </row>
    <row r="844" spans="1:13">
      <c r="A844" s="479">
        <v>1055</v>
      </c>
      <c r="B844" s="19" t="s">
        <v>254</v>
      </c>
      <c r="C844" t="s">
        <v>139</v>
      </c>
      <c r="D844" s="190">
        <v>1055</v>
      </c>
      <c r="E844" s="192">
        <v>8205</v>
      </c>
      <c r="F844" s="192">
        <v>7829</v>
      </c>
      <c r="G844" s="481">
        <v>277</v>
      </c>
      <c r="H844" s="19"/>
      <c r="I844" s="19"/>
      <c r="M844" s="19"/>
    </row>
    <row r="845" spans="1:13">
      <c r="A845" s="479">
        <v>1264</v>
      </c>
      <c r="B845" s="19" t="s">
        <v>255</v>
      </c>
      <c r="C845" t="s">
        <v>139</v>
      </c>
      <c r="D845" s="190">
        <v>1264</v>
      </c>
      <c r="E845" s="192">
        <v>6602</v>
      </c>
      <c r="F845" s="192">
        <v>7501</v>
      </c>
      <c r="G845" s="481">
        <v>276</v>
      </c>
      <c r="H845" s="19"/>
      <c r="I845" s="19"/>
      <c r="M845" s="19"/>
    </row>
    <row r="846" spans="1:13">
      <c r="A846" s="479">
        <v>1027</v>
      </c>
      <c r="B846" s="19" t="s">
        <v>256</v>
      </c>
      <c r="C846" t="s">
        <v>139</v>
      </c>
      <c r="D846" s="190">
        <v>1027</v>
      </c>
      <c r="E846" s="192">
        <v>10894</v>
      </c>
      <c r="F846" s="192">
        <v>11178</v>
      </c>
      <c r="G846" s="481">
        <v>231</v>
      </c>
      <c r="H846" s="19"/>
      <c r="I846" s="19"/>
      <c r="M846" s="19"/>
    </row>
    <row r="847" spans="1:13">
      <c r="A847" s="479">
        <v>1562</v>
      </c>
      <c r="B847" s="19" t="s">
        <v>257</v>
      </c>
      <c r="C847" t="s">
        <v>139</v>
      </c>
      <c r="D847" s="190">
        <v>1562</v>
      </c>
      <c r="E847" s="192">
        <v>6026</v>
      </c>
      <c r="F847" s="192">
        <v>6031</v>
      </c>
      <c r="G847" s="481">
        <v>213</v>
      </c>
      <c r="H847" s="19"/>
      <c r="I847" s="19"/>
      <c r="M847" s="19"/>
    </row>
    <row r="848" spans="1:13">
      <c r="A848" s="479">
        <v>1802</v>
      </c>
      <c r="B848" s="19" t="s">
        <v>258</v>
      </c>
      <c r="C848" t="s">
        <v>139</v>
      </c>
      <c r="D848" s="190">
        <v>1802</v>
      </c>
      <c r="E848" s="192">
        <v>11171</v>
      </c>
      <c r="F848" s="192">
        <v>12270</v>
      </c>
      <c r="G848" s="481">
        <v>350</v>
      </c>
      <c r="H848" s="19"/>
      <c r="I848" s="19"/>
      <c r="M848" s="19"/>
    </row>
    <row r="849" spans="1:13">
      <c r="A849" s="479">
        <v>1071</v>
      </c>
      <c r="B849" s="19" t="s">
        <v>259</v>
      </c>
      <c r="C849" t="s">
        <v>139</v>
      </c>
      <c r="D849" s="190">
        <v>1071</v>
      </c>
      <c r="E849" s="192">
        <v>10214</v>
      </c>
      <c r="F849" s="192">
        <v>11511</v>
      </c>
      <c r="G849" s="481">
        <v>324</v>
      </c>
      <c r="H849" s="19"/>
      <c r="I849" s="19"/>
      <c r="M849" s="19"/>
    </row>
    <row r="850" spans="1:13">
      <c r="A850" s="479">
        <v>1299</v>
      </c>
      <c r="B850" s="19" t="s">
        <v>260</v>
      </c>
      <c r="C850" t="s">
        <v>139</v>
      </c>
      <c r="D850" s="190">
        <v>1299</v>
      </c>
      <c r="E850" s="192">
        <v>12238</v>
      </c>
      <c r="F850" s="192">
        <v>13107</v>
      </c>
      <c r="G850" s="481">
        <v>341</v>
      </c>
      <c r="H850" s="19"/>
      <c r="I850" s="19"/>
      <c r="M850" s="19"/>
    </row>
    <row r="851" spans="1:13">
      <c r="A851" s="479">
        <v>1072</v>
      </c>
      <c r="B851" s="19" t="s">
        <v>261</v>
      </c>
      <c r="C851" t="s">
        <v>139</v>
      </c>
      <c r="D851" s="190">
        <v>1072</v>
      </c>
      <c r="E851" s="192">
        <v>9276</v>
      </c>
      <c r="F851" s="192">
        <v>7741</v>
      </c>
      <c r="G851" s="481">
        <v>240</v>
      </c>
      <c r="H851" s="19"/>
      <c r="I851" s="19"/>
      <c r="M851" s="19"/>
    </row>
    <row r="852" spans="1:13">
      <c r="A852" s="479">
        <v>1295</v>
      </c>
      <c r="B852" s="19" t="s">
        <v>262</v>
      </c>
      <c r="C852" t="s">
        <v>139</v>
      </c>
      <c r="D852" s="190">
        <v>1295</v>
      </c>
      <c r="E852" s="192">
        <v>12510</v>
      </c>
      <c r="F852" s="192">
        <v>13450</v>
      </c>
      <c r="G852" s="481">
        <v>404</v>
      </c>
      <c r="H852" s="19"/>
      <c r="I852" s="19"/>
      <c r="M852" s="19"/>
    </row>
    <row r="853" spans="1:13">
      <c r="A853" s="479">
        <v>1188</v>
      </c>
      <c r="B853" s="19" t="s">
        <v>263</v>
      </c>
      <c r="C853" t="s">
        <v>139</v>
      </c>
      <c r="D853" s="190">
        <v>1188</v>
      </c>
      <c r="E853" s="192">
        <v>7870</v>
      </c>
      <c r="F853" s="192">
        <v>8281</v>
      </c>
      <c r="G853" s="481">
        <v>327</v>
      </c>
      <c r="H853" s="19"/>
      <c r="I853" s="19"/>
      <c r="M853" s="19"/>
    </row>
    <row r="854" spans="1:13">
      <c r="A854" s="479">
        <v>1272</v>
      </c>
      <c r="B854" s="19" t="s">
        <v>264</v>
      </c>
      <c r="C854" t="s">
        <v>139</v>
      </c>
      <c r="D854" s="190">
        <v>1272</v>
      </c>
      <c r="E854" s="192">
        <v>11067</v>
      </c>
      <c r="F854" s="192">
        <v>11506</v>
      </c>
      <c r="G854" s="481">
        <v>283</v>
      </c>
      <c r="H854" s="19"/>
      <c r="I854" s="19"/>
      <c r="M854" s="19"/>
    </row>
    <row r="855" spans="1:13">
      <c r="A855" s="479">
        <v>1268</v>
      </c>
      <c r="B855" s="19" t="s">
        <v>265</v>
      </c>
      <c r="C855" t="s">
        <v>139</v>
      </c>
      <c r="D855" s="190">
        <v>1268</v>
      </c>
      <c r="E855" s="192">
        <v>10975</v>
      </c>
      <c r="F855" s="192">
        <v>12388</v>
      </c>
      <c r="G855" s="481">
        <v>372</v>
      </c>
      <c r="H855" s="19"/>
      <c r="I855" s="19"/>
      <c r="M855" s="19"/>
    </row>
    <row r="856" spans="1:13">
      <c r="A856" s="479">
        <v>1077</v>
      </c>
      <c r="B856" s="19" t="s">
        <v>266</v>
      </c>
      <c r="C856" t="s">
        <v>139</v>
      </c>
      <c r="D856" s="190">
        <v>1077</v>
      </c>
      <c r="E856" s="192">
        <v>7877</v>
      </c>
      <c r="F856" s="192">
        <v>7737</v>
      </c>
      <c r="G856" s="481">
        <v>280</v>
      </c>
      <c r="H856" s="19"/>
      <c r="I856" s="19"/>
      <c r="M856" s="19"/>
    </row>
    <row r="857" spans="1:13">
      <c r="A857" s="479">
        <v>1131</v>
      </c>
      <c r="B857" s="19" t="s">
        <v>267</v>
      </c>
      <c r="C857" t="s">
        <v>139</v>
      </c>
      <c r="D857" s="190">
        <v>1131</v>
      </c>
      <c r="E857" s="192">
        <v>10136</v>
      </c>
      <c r="F857" s="192">
        <v>10178</v>
      </c>
      <c r="G857" s="481">
        <v>230</v>
      </c>
      <c r="H857" s="19"/>
      <c r="I857" s="19"/>
      <c r="M857" s="19"/>
    </row>
    <row r="858" spans="1:13">
      <c r="A858" s="479">
        <v>1410</v>
      </c>
      <c r="B858" s="19" t="s">
        <v>268</v>
      </c>
      <c r="C858" t="s">
        <v>139</v>
      </c>
      <c r="D858" s="190">
        <v>1410</v>
      </c>
      <c r="E858" s="192">
        <v>8502</v>
      </c>
      <c r="F858" s="192">
        <v>7288</v>
      </c>
      <c r="G858" s="481">
        <v>249</v>
      </c>
      <c r="H858" s="19"/>
      <c r="I858" s="19"/>
      <c r="M858" s="19"/>
    </row>
    <row r="859" spans="1:13">
      <c r="A859" s="479">
        <v>1303</v>
      </c>
      <c r="B859" s="19" t="s">
        <v>269</v>
      </c>
      <c r="C859" t="s">
        <v>139</v>
      </c>
      <c r="D859" s="190">
        <v>1303</v>
      </c>
      <c r="E859" s="192">
        <v>7567</v>
      </c>
      <c r="F859" s="192">
        <v>8243</v>
      </c>
      <c r="G859" s="481">
        <v>283</v>
      </c>
      <c r="H859" s="19"/>
      <c r="I859" s="19"/>
      <c r="M859" s="19"/>
    </row>
    <row r="860" spans="1:13">
      <c r="A860" s="479">
        <v>1852</v>
      </c>
      <c r="B860" s="19" t="s">
        <v>270</v>
      </c>
      <c r="C860" t="s">
        <v>139</v>
      </c>
      <c r="D860" s="190">
        <v>1852</v>
      </c>
      <c r="E860" s="192">
        <v>7127</v>
      </c>
      <c r="F860" s="192">
        <v>6978</v>
      </c>
      <c r="G860" s="481">
        <v>205</v>
      </c>
      <c r="H860" s="19"/>
      <c r="I860" s="19"/>
      <c r="M860" s="19"/>
    </row>
    <row r="861" spans="1:13">
      <c r="A861" s="479">
        <v>1026</v>
      </c>
      <c r="B861" s="19" t="s">
        <v>271</v>
      </c>
      <c r="C861" t="s">
        <v>139</v>
      </c>
      <c r="D861" s="190">
        <v>1026</v>
      </c>
      <c r="E861" s="192">
        <v>11601</v>
      </c>
      <c r="F861" s="192">
        <v>11118</v>
      </c>
      <c r="G861" s="481">
        <v>280</v>
      </c>
      <c r="H861" s="19"/>
      <c r="I861" s="19"/>
      <c r="M861" s="19"/>
    </row>
    <row r="862" spans="1:13">
      <c r="A862" s="479">
        <v>1262</v>
      </c>
      <c r="B862" s="19" t="s">
        <v>272</v>
      </c>
      <c r="C862" t="s">
        <v>139</v>
      </c>
      <c r="D862" s="190">
        <v>1262</v>
      </c>
      <c r="E862" s="192">
        <v>11397</v>
      </c>
      <c r="F862" s="192">
        <v>11261</v>
      </c>
      <c r="G862" s="481">
        <v>290</v>
      </c>
      <c r="H862" s="19"/>
      <c r="I862" s="19"/>
      <c r="M862" s="19"/>
    </row>
    <row r="863" spans="1:13">
      <c r="A863" s="479">
        <v>1295</v>
      </c>
      <c r="B863" s="19" t="s">
        <v>273</v>
      </c>
      <c r="C863" t="s">
        <v>139</v>
      </c>
      <c r="D863" s="190">
        <v>1295</v>
      </c>
      <c r="E863" s="192">
        <v>12777</v>
      </c>
      <c r="F863" s="192">
        <v>13181</v>
      </c>
      <c r="G863" s="481">
        <v>350</v>
      </c>
      <c r="H863" s="19"/>
      <c r="I863" s="19"/>
      <c r="M863" s="19"/>
    </row>
    <row r="864" spans="1:13">
      <c r="A864" s="479">
        <v>1588</v>
      </c>
      <c r="B864" s="19" t="s">
        <v>274</v>
      </c>
      <c r="C864" t="s">
        <v>139</v>
      </c>
      <c r="D864" s="190">
        <v>1588</v>
      </c>
      <c r="E864" s="192">
        <v>6510</v>
      </c>
      <c r="F864" s="192">
        <v>7888</v>
      </c>
      <c r="G864" s="481">
        <v>231</v>
      </c>
      <c r="H864" s="19"/>
      <c r="I864" s="19"/>
      <c r="M864" s="19"/>
    </row>
    <row r="865" spans="1:13">
      <c r="A865" s="479">
        <v>1145</v>
      </c>
      <c r="B865" s="19" t="s">
        <v>275</v>
      </c>
      <c r="C865" t="s">
        <v>139</v>
      </c>
      <c r="D865" s="190">
        <v>1145</v>
      </c>
      <c r="E865" s="192">
        <v>7272</v>
      </c>
      <c r="F865" s="192">
        <v>7069</v>
      </c>
      <c r="G865" s="481">
        <v>267</v>
      </c>
      <c r="H865" s="19"/>
      <c r="I865" s="19"/>
      <c r="M865" s="19"/>
    </row>
    <row r="866" spans="1:13">
      <c r="A866" s="479">
        <v>1805</v>
      </c>
      <c r="B866" s="19" t="s">
        <v>276</v>
      </c>
      <c r="C866" t="s">
        <v>139</v>
      </c>
      <c r="D866" s="190">
        <v>1805</v>
      </c>
      <c r="E866" s="192">
        <v>10526</v>
      </c>
      <c r="F866" s="192">
        <v>10162</v>
      </c>
      <c r="G866" s="481">
        <v>304</v>
      </c>
      <c r="H866" s="19"/>
      <c r="I866" s="19"/>
      <c r="M866" s="19"/>
    </row>
    <row r="867" spans="1:13">
      <c r="A867" s="479">
        <v>1059</v>
      </c>
      <c r="B867" s="19" t="s">
        <v>277</v>
      </c>
      <c r="C867" t="s">
        <v>139</v>
      </c>
      <c r="D867" s="190">
        <v>1059</v>
      </c>
      <c r="E867" s="192">
        <v>6406</v>
      </c>
      <c r="F867" s="192">
        <v>6528</v>
      </c>
      <c r="G867" s="481">
        <v>216</v>
      </c>
      <c r="H867" s="19"/>
      <c r="I867" s="19"/>
      <c r="M867" s="19"/>
    </row>
    <row r="868" spans="1:13">
      <c r="A868" s="479">
        <v>1166</v>
      </c>
      <c r="B868" s="19" t="s">
        <v>278</v>
      </c>
      <c r="C868" t="s">
        <v>139</v>
      </c>
      <c r="D868" s="190">
        <v>1166</v>
      </c>
      <c r="E868" s="192">
        <v>10928</v>
      </c>
      <c r="F868" s="192">
        <v>13089</v>
      </c>
      <c r="G868" s="481">
        <v>372</v>
      </c>
      <c r="H868" s="19"/>
      <c r="I868" s="19"/>
      <c r="M868" s="19"/>
    </row>
    <row r="869" spans="1:13">
      <c r="A869" s="479">
        <v>1344</v>
      </c>
      <c r="B869" s="19" t="s">
        <v>279</v>
      </c>
      <c r="C869" t="s">
        <v>139</v>
      </c>
      <c r="D869" s="190">
        <v>1344</v>
      </c>
      <c r="E869" s="192">
        <v>5426</v>
      </c>
      <c r="F869" s="192">
        <v>6791</v>
      </c>
      <c r="G869" s="481">
        <v>215</v>
      </c>
      <c r="H869" s="19"/>
      <c r="I869" s="19"/>
      <c r="M869" s="19"/>
    </row>
    <row r="870" spans="1:13">
      <c r="A870" s="479">
        <v>1094</v>
      </c>
      <c r="B870" s="19" t="s">
        <v>280</v>
      </c>
      <c r="C870" t="s">
        <v>139</v>
      </c>
      <c r="D870" s="190">
        <v>1094</v>
      </c>
      <c r="E870" s="192">
        <v>12905</v>
      </c>
      <c r="F870" s="192">
        <v>14168</v>
      </c>
      <c r="G870" s="481">
        <v>402</v>
      </c>
      <c r="H870" s="19"/>
      <c r="I870" s="19"/>
      <c r="M870" s="19"/>
    </row>
    <row r="871" spans="1:13">
      <c r="A871" s="479">
        <v>1008</v>
      </c>
      <c r="B871" s="19" t="s">
        <v>281</v>
      </c>
      <c r="C871" t="s">
        <v>139</v>
      </c>
      <c r="D871" s="190">
        <v>1008</v>
      </c>
      <c r="E871" s="192">
        <v>10564</v>
      </c>
      <c r="F871" s="192">
        <v>11291</v>
      </c>
      <c r="G871" s="481">
        <v>356</v>
      </c>
      <c r="H871" s="19"/>
      <c r="I871" s="19"/>
      <c r="M871" s="19"/>
    </row>
    <row r="872" spans="1:13">
      <c r="A872" s="479">
        <v>1864</v>
      </c>
      <c r="B872" s="19" t="s">
        <v>282</v>
      </c>
      <c r="C872" t="s">
        <v>139</v>
      </c>
      <c r="D872" s="190">
        <v>1864</v>
      </c>
      <c r="E872" s="192">
        <v>8512</v>
      </c>
      <c r="F872" s="192">
        <v>7685</v>
      </c>
      <c r="G872" s="481">
        <v>441</v>
      </c>
      <c r="H872" s="19"/>
      <c r="I872" s="19"/>
      <c r="M872" s="19"/>
    </row>
    <row r="873" spans="1:13">
      <c r="A873" s="479">
        <v>1143</v>
      </c>
      <c r="B873" s="19" t="s">
        <v>283</v>
      </c>
      <c r="C873" t="s">
        <v>139</v>
      </c>
      <c r="D873" s="190">
        <v>1143</v>
      </c>
      <c r="E873" s="192">
        <v>7715</v>
      </c>
      <c r="F873" s="192">
        <v>9428</v>
      </c>
      <c r="G873" s="481">
        <v>303</v>
      </c>
      <c r="H873" s="19"/>
      <c r="I873" s="19"/>
      <c r="M873" s="19"/>
    </row>
    <row r="874" spans="1:13">
      <c r="A874" s="479">
        <v>1270</v>
      </c>
      <c r="B874" s="19" t="s">
        <v>284</v>
      </c>
      <c r="C874" t="s">
        <v>139</v>
      </c>
      <c r="D874" s="190">
        <v>1270</v>
      </c>
      <c r="E874" s="192">
        <v>10850</v>
      </c>
      <c r="F874" s="192">
        <v>11309</v>
      </c>
      <c r="G874" s="481">
        <v>364</v>
      </c>
      <c r="H874" s="19"/>
      <c r="I874" s="19"/>
      <c r="M874" s="19"/>
    </row>
    <row r="875" spans="1:13">
      <c r="A875" s="479">
        <v>1169</v>
      </c>
      <c r="B875" s="19" t="s">
        <v>285</v>
      </c>
      <c r="C875" t="s">
        <v>139</v>
      </c>
      <c r="D875" s="190">
        <v>1169</v>
      </c>
      <c r="E875" s="192">
        <v>8412</v>
      </c>
      <c r="F875" s="192">
        <v>9354</v>
      </c>
      <c r="G875" s="481">
        <v>340</v>
      </c>
      <c r="H875" s="19"/>
      <c r="I875" s="19"/>
      <c r="M875" s="19"/>
    </row>
    <row r="876" spans="1:13">
      <c r="A876" s="479">
        <v>1882</v>
      </c>
      <c r="B876" s="19" t="s">
        <v>286</v>
      </c>
      <c r="C876" t="s">
        <v>139</v>
      </c>
      <c r="D876" s="190">
        <v>1882</v>
      </c>
      <c r="E876" s="192">
        <v>7237</v>
      </c>
      <c r="F876" s="192">
        <v>8923</v>
      </c>
      <c r="G876" s="481">
        <v>230</v>
      </c>
      <c r="H876" s="19"/>
      <c r="I876" s="19"/>
      <c r="M876" s="19"/>
    </row>
    <row r="877" spans="1:13">
      <c r="A877" s="479">
        <v>1269</v>
      </c>
      <c r="B877" s="19" t="s">
        <v>287</v>
      </c>
      <c r="C877" t="s">
        <v>139</v>
      </c>
      <c r="D877" s="190">
        <v>1269</v>
      </c>
      <c r="E877" s="192">
        <v>8967</v>
      </c>
      <c r="F877" s="192">
        <v>10765</v>
      </c>
      <c r="G877" s="481">
        <v>247</v>
      </c>
      <c r="H877" s="19"/>
      <c r="I877" s="19"/>
      <c r="M877" s="19"/>
    </row>
    <row r="878" spans="1:13">
      <c r="A878" s="479">
        <v>1182</v>
      </c>
      <c r="B878" s="19" t="s">
        <v>288</v>
      </c>
      <c r="C878" t="s">
        <v>139</v>
      </c>
      <c r="D878" s="190">
        <v>1182</v>
      </c>
      <c r="E878" s="192">
        <v>10553</v>
      </c>
      <c r="F878" s="192">
        <v>10952</v>
      </c>
      <c r="G878" s="481">
        <v>371</v>
      </c>
      <c r="H878" s="19"/>
      <c r="I878" s="19"/>
      <c r="M878" s="19"/>
    </row>
    <row r="879" spans="1:13">
      <c r="A879" s="479">
        <v>1279</v>
      </c>
      <c r="B879" s="19" t="s">
        <v>289</v>
      </c>
      <c r="C879" t="s">
        <v>139</v>
      </c>
      <c r="D879" s="190">
        <v>1279</v>
      </c>
      <c r="E879" s="192">
        <v>10701</v>
      </c>
      <c r="F879" s="192">
        <v>10846</v>
      </c>
      <c r="G879" s="481">
        <v>340</v>
      </c>
      <c r="H879" s="19"/>
      <c r="I879" s="19"/>
      <c r="M879" s="19"/>
    </row>
    <row r="880" spans="1:13">
      <c r="A880" s="479">
        <v>1302</v>
      </c>
      <c r="B880" s="19" t="s">
        <v>290</v>
      </c>
      <c r="C880" t="s">
        <v>139</v>
      </c>
      <c r="D880" s="190">
        <v>1302</v>
      </c>
      <c r="E880" s="192">
        <v>8592</v>
      </c>
      <c r="F880" s="192">
        <v>8675</v>
      </c>
      <c r="G880" s="481">
        <v>296</v>
      </c>
      <c r="H880" s="19"/>
      <c r="I880" s="19"/>
      <c r="M880" s="19"/>
    </row>
    <row r="881" spans="1:13">
      <c r="A881" s="479">
        <v>1261</v>
      </c>
      <c r="B881" s="19" t="s">
        <v>291</v>
      </c>
      <c r="C881" t="s">
        <v>139</v>
      </c>
      <c r="D881" s="190">
        <v>1261</v>
      </c>
      <c r="E881" s="192">
        <v>8736</v>
      </c>
      <c r="F881" s="192">
        <v>9241</v>
      </c>
      <c r="G881" s="481">
        <v>251</v>
      </c>
      <c r="H881" s="19"/>
      <c r="I881" s="19"/>
      <c r="M881" s="19"/>
    </row>
    <row r="882" spans="1:13">
      <c r="A882" s="479">
        <v>1041</v>
      </c>
      <c r="B882" s="19" t="s">
        <v>292</v>
      </c>
      <c r="C882" t="s">
        <v>139</v>
      </c>
      <c r="D882" s="190">
        <v>1041</v>
      </c>
      <c r="E882" s="192">
        <v>6587</v>
      </c>
      <c r="F882" s="192">
        <v>8382</v>
      </c>
      <c r="G882" s="481">
        <v>266</v>
      </c>
      <c r="H882" s="19"/>
      <c r="I882" s="19"/>
      <c r="M882" s="19"/>
    </row>
    <row r="883" spans="1:13">
      <c r="A883" s="479">
        <v>1275</v>
      </c>
      <c r="B883" s="19" t="s">
        <v>293</v>
      </c>
      <c r="C883" t="s">
        <v>139</v>
      </c>
      <c r="D883" s="190">
        <v>1275</v>
      </c>
      <c r="E883" s="192">
        <v>10695</v>
      </c>
      <c r="F883" s="192">
        <v>12547</v>
      </c>
      <c r="G883" s="481">
        <v>327</v>
      </c>
      <c r="H883" s="19"/>
      <c r="I883" s="19"/>
      <c r="M883" s="19"/>
    </row>
    <row r="884" spans="1:13">
      <c r="A884" s="479">
        <v>1038</v>
      </c>
      <c r="B884" s="19" t="s">
        <v>294</v>
      </c>
      <c r="C884" t="s">
        <v>139</v>
      </c>
      <c r="D884" s="190">
        <v>1038</v>
      </c>
      <c r="E884" s="192">
        <v>7069</v>
      </c>
      <c r="F884" s="192">
        <v>7568</v>
      </c>
      <c r="G884" s="481">
        <v>266</v>
      </c>
      <c r="H884" s="19"/>
      <c r="I884" s="19"/>
      <c r="M884" s="19"/>
    </row>
    <row r="885" spans="1:13">
      <c r="A885" s="479">
        <v>1276</v>
      </c>
      <c r="B885" s="19" t="s">
        <v>295</v>
      </c>
      <c r="C885" t="s">
        <v>139</v>
      </c>
      <c r="D885" s="190">
        <v>1276</v>
      </c>
      <c r="E885" s="192">
        <v>10382</v>
      </c>
      <c r="F885" s="192">
        <v>11640</v>
      </c>
      <c r="G885" s="481">
        <v>296</v>
      </c>
      <c r="H885" s="19"/>
      <c r="I885" s="19"/>
      <c r="M885" s="19"/>
    </row>
    <row r="886" spans="1:13">
      <c r="A886" s="479">
        <v>1278</v>
      </c>
      <c r="B886" s="19" t="s">
        <v>296</v>
      </c>
      <c r="C886" t="s">
        <v>139</v>
      </c>
      <c r="D886" s="190">
        <v>1278</v>
      </c>
      <c r="E886" s="192">
        <v>10149</v>
      </c>
      <c r="F886" s="192">
        <v>11011</v>
      </c>
      <c r="G886" s="481">
        <v>279</v>
      </c>
      <c r="H886" s="19"/>
      <c r="I886" s="19"/>
      <c r="M886" s="19"/>
    </row>
    <row r="887" spans="1:13">
      <c r="A887" s="479">
        <v>1263</v>
      </c>
      <c r="B887" s="19" t="s">
        <v>297</v>
      </c>
      <c r="C887" t="s">
        <v>139</v>
      </c>
      <c r="D887" s="190">
        <v>1263</v>
      </c>
      <c r="E887" s="192">
        <v>9372</v>
      </c>
      <c r="F887" s="192">
        <v>10598</v>
      </c>
      <c r="G887" s="481">
        <v>294</v>
      </c>
      <c r="H887" s="19"/>
      <c r="I887" s="19"/>
      <c r="M887" s="19"/>
    </row>
    <row r="888" spans="1:13">
      <c r="A888" s="479">
        <v>1047</v>
      </c>
      <c r="B888" s="19" t="s">
        <v>298</v>
      </c>
      <c r="C888" t="s">
        <v>139</v>
      </c>
      <c r="D888" s="190">
        <v>1047</v>
      </c>
      <c r="E888" s="192">
        <v>8127</v>
      </c>
      <c r="F888" s="192">
        <v>8029</v>
      </c>
      <c r="G888" s="481">
        <v>277</v>
      </c>
      <c r="H888" s="19"/>
      <c r="I888" s="19"/>
      <c r="M888" s="19"/>
    </row>
    <row r="889" spans="1:13">
      <c r="A889" s="479">
        <v>1277</v>
      </c>
      <c r="B889" s="19" t="s">
        <v>299</v>
      </c>
      <c r="C889" t="s">
        <v>139</v>
      </c>
      <c r="D889" s="190">
        <v>1277</v>
      </c>
      <c r="E889" s="192">
        <v>11497</v>
      </c>
      <c r="F889" s="192">
        <v>10509</v>
      </c>
      <c r="G889" s="481">
        <v>318</v>
      </c>
      <c r="H889" s="19"/>
      <c r="I889" s="19"/>
      <c r="M889" s="19"/>
    </row>
    <row r="890" spans="1:13">
      <c r="A890" s="479">
        <v>1142</v>
      </c>
      <c r="B890" s="19" t="s">
        <v>300</v>
      </c>
      <c r="C890" t="s">
        <v>139</v>
      </c>
      <c r="D890" s="190">
        <v>1142</v>
      </c>
      <c r="E890" s="192">
        <v>7420</v>
      </c>
      <c r="F890" s="192">
        <v>7885</v>
      </c>
      <c r="G890" s="481">
        <v>345</v>
      </c>
      <c r="H890" s="19"/>
      <c r="I890" s="19"/>
      <c r="M890" s="19"/>
    </row>
    <row r="891" spans="1:13">
      <c r="A891" s="479">
        <v>1037</v>
      </c>
      <c r="B891" s="19" t="s">
        <v>301</v>
      </c>
      <c r="C891" t="s">
        <v>139</v>
      </c>
      <c r="D891" s="190">
        <v>1037</v>
      </c>
      <c r="E891" s="192">
        <v>7760</v>
      </c>
      <c r="F891" s="192">
        <v>8597</v>
      </c>
      <c r="G891" s="481">
        <v>329</v>
      </c>
      <c r="H891" s="19"/>
      <c r="I891" s="19"/>
      <c r="M891" s="19"/>
    </row>
    <row r="892" spans="1:13">
      <c r="A892" s="479">
        <v>1862</v>
      </c>
      <c r="B892" s="19" t="s">
        <v>302</v>
      </c>
      <c r="C892" t="s">
        <v>139</v>
      </c>
      <c r="D892" s="190">
        <v>1862</v>
      </c>
      <c r="E892" s="192">
        <v>5226</v>
      </c>
      <c r="F892" s="192">
        <v>5604</v>
      </c>
      <c r="G892" s="481">
        <v>173</v>
      </c>
      <c r="H892" s="19"/>
      <c r="I892" s="19"/>
      <c r="M892" s="19"/>
    </row>
    <row r="893" spans="1:13">
      <c r="A893" s="479">
        <v>1376</v>
      </c>
      <c r="B893" s="19" t="s">
        <v>303</v>
      </c>
      <c r="C893" t="s">
        <v>139</v>
      </c>
      <c r="D893" s="190">
        <v>1376</v>
      </c>
      <c r="E893" s="192">
        <v>7745</v>
      </c>
      <c r="F893" s="192">
        <v>8241</v>
      </c>
      <c r="G893" s="481">
        <v>232</v>
      </c>
      <c r="H893" s="19"/>
      <c r="I893" s="19"/>
      <c r="M893" s="19"/>
    </row>
    <row r="894" spans="1:13">
      <c r="A894" s="479">
        <v>1312</v>
      </c>
      <c r="B894" s="19" t="s">
        <v>304</v>
      </c>
      <c r="C894" t="s">
        <v>139</v>
      </c>
      <c r="D894" s="190">
        <v>1312</v>
      </c>
      <c r="E894" s="192">
        <v>7563</v>
      </c>
      <c r="F894" s="192">
        <v>7209</v>
      </c>
      <c r="G894" s="481">
        <v>238</v>
      </c>
      <c r="H894" s="19"/>
      <c r="I894" s="19"/>
      <c r="M894" s="19"/>
    </row>
    <row r="895" spans="1:13">
      <c r="A895" s="479">
        <v>1338</v>
      </c>
      <c r="B895" s="19" t="s">
        <v>305</v>
      </c>
      <c r="C895" t="s">
        <v>139</v>
      </c>
      <c r="D895" s="190">
        <v>1338</v>
      </c>
      <c r="E895" s="192">
        <v>4578</v>
      </c>
      <c r="F895" s="192">
        <v>6354</v>
      </c>
      <c r="G895" s="481">
        <v>198</v>
      </c>
      <c r="H895" s="19"/>
      <c r="I895" s="19"/>
      <c r="M895" s="19"/>
    </row>
    <row r="896" spans="1:13">
      <c r="A896" s="479">
        <v>1054</v>
      </c>
      <c r="B896" s="19" t="s">
        <v>306</v>
      </c>
      <c r="C896" t="s">
        <v>139</v>
      </c>
      <c r="D896" s="190">
        <v>1054</v>
      </c>
      <c r="E896" s="192">
        <v>8133</v>
      </c>
      <c r="F896" s="192">
        <v>8500</v>
      </c>
      <c r="G896" s="481">
        <v>312</v>
      </c>
      <c r="H896" s="19"/>
      <c r="I896" s="19"/>
      <c r="M896" s="19"/>
    </row>
    <row r="897" spans="1:13">
      <c r="A897" s="479">
        <v>1266</v>
      </c>
      <c r="B897" s="19" t="s">
        <v>307</v>
      </c>
      <c r="C897" t="s">
        <v>139</v>
      </c>
      <c r="D897" s="190">
        <v>1266</v>
      </c>
      <c r="E897" s="192">
        <v>11440</v>
      </c>
      <c r="F897" s="192">
        <v>10950</v>
      </c>
      <c r="G897" s="481">
        <v>347</v>
      </c>
      <c r="H897" s="19"/>
      <c r="I897" s="19"/>
      <c r="M897" s="19"/>
    </row>
    <row r="898" spans="1:13">
      <c r="A898" s="479">
        <v>1042</v>
      </c>
      <c r="B898" s="19" t="s">
        <v>308</v>
      </c>
      <c r="C898" t="s">
        <v>139</v>
      </c>
      <c r="D898" s="190">
        <v>1042</v>
      </c>
      <c r="E898" s="192">
        <v>7894</v>
      </c>
      <c r="F898" s="192">
        <v>8499</v>
      </c>
      <c r="G898" s="481">
        <v>278</v>
      </c>
      <c r="H898" s="19"/>
      <c r="I898" s="19"/>
      <c r="M898" s="19"/>
    </row>
    <row r="899" spans="1:13">
      <c r="A899" s="479">
        <v>1446</v>
      </c>
      <c r="B899" s="19" t="s">
        <v>309</v>
      </c>
      <c r="C899" t="s">
        <v>139</v>
      </c>
      <c r="D899" s="190">
        <v>1446</v>
      </c>
      <c r="E899" s="192">
        <v>5124</v>
      </c>
      <c r="F899" s="192">
        <v>5562</v>
      </c>
      <c r="G899" s="481">
        <v>244</v>
      </c>
      <c r="H899" s="19"/>
      <c r="I899" s="19"/>
      <c r="M899" s="19"/>
    </row>
    <row r="900" spans="1:13">
      <c r="A900" s="479">
        <v>1845</v>
      </c>
      <c r="B900" s="19" t="s">
        <v>310</v>
      </c>
      <c r="C900" t="s">
        <v>139</v>
      </c>
      <c r="D900" s="190">
        <v>1845</v>
      </c>
      <c r="E900" s="192">
        <v>7692</v>
      </c>
      <c r="F900" s="192">
        <v>7495</v>
      </c>
      <c r="G900" s="481">
        <v>271</v>
      </c>
      <c r="H900" s="19"/>
      <c r="I900" s="19"/>
      <c r="M900" s="19"/>
    </row>
    <row r="901" spans="1:13">
      <c r="A901" s="479">
        <v>1853</v>
      </c>
      <c r="B901" s="19" t="s">
        <v>311</v>
      </c>
      <c r="C901" t="s">
        <v>139</v>
      </c>
      <c r="D901" s="190">
        <v>1853</v>
      </c>
      <c r="E901" s="192">
        <v>6931</v>
      </c>
      <c r="F901" s="192">
        <v>5500</v>
      </c>
      <c r="G901" s="481">
        <v>230</v>
      </c>
      <c r="H901" s="19"/>
      <c r="I901" s="19"/>
      <c r="M901" s="19"/>
    </row>
    <row r="902" spans="1:13">
      <c r="A902" s="479">
        <v>1188</v>
      </c>
      <c r="B902" s="19" t="s">
        <v>312</v>
      </c>
      <c r="C902" t="s">
        <v>139</v>
      </c>
      <c r="D902" s="190">
        <v>1188</v>
      </c>
      <c r="E902" s="192">
        <v>7284</v>
      </c>
      <c r="F902" s="192">
        <v>8201</v>
      </c>
      <c r="G902" s="481">
        <v>250</v>
      </c>
      <c r="H902" s="19"/>
      <c r="I902" s="19"/>
      <c r="M902" s="19"/>
    </row>
    <row r="903" spans="1:13">
      <c r="A903" s="479">
        <v>1424</v>
      </c>
      <c r="B903" s="19" t="s">
        <v>313</v>
      </c>
      <c r="C903" t="s">
        <v>139</v>
      </c>
      <c r="D903" s="190">
        <v>1424</v>
      </c>
      <c r="E903" s="192">
        <v>7104</v>
      </c>
      <c r="F903" s="192">
        <v>7265</v>
      </c>
      <c r="G903" s="481">
        <v>300</v>
      </c>
      <c r="H903" s="19"/>
      <c r="I903" s="19"/>
      <c r="M903" s="19"/>
    </row>
    <row r="904" spans="1:13">
      <c r="A904" s="479">
        <v>1267</v>
      </c>
      <c r="B904" s="19" t="s">
        <v>314</v>
      </c>
      <c r="C904" t="s">
        <v>139</v>
      </c>
      <c r="D904" s="190">
        <v>1267</v>
      </c>
      <c r="E904" s="192">
        <v>10996</v>
      </c>
      <c r="F904" s="192">
        <v>11623</v>
      </c>
      <c r="G904" s="481">
        <v>300</v>
      </c>
      <c r="H904" s="19"/>
      <c r="I904" s="19"/>
      <c r="M904" s="19"/>
    </row>
    <row r="905" spans="1:13">
      <c r="A905" s="479">
        <v>1175</v>
      </c>
      <c r="B905" s="19" t="s">
        <v>315</v>
      </c>
      <c r="C905" t="s">
        <v>139</v>
      </c>
      <c r="D905" s="190">
        <v>1175</v>
      </c>
      <c r="E905" s="192">
        <v>8210</v>
      </c>
      <c r="F905" s="192">
        <v>9934</v>
      </c>
      <c r="G905" s="481">
        <v>275</v>
      </c>
      <c r="H905" s="19"/>
      <c r="I905" s="19"/>
      <c r="M905" s="19"/>
    </row>
    <row r="906" spans="1:13">
      <c r="A906" s="479">
        <v>1036</v>
      </c>
      <c r="B906" s="19" t="s">
        <v>316</v>
      </c>
      <c r="C906" t="s">
        <v>139</v>
      </c>
      <c r="D906" s="190">
        <v>1036</v>
      </c>
      <c r="E906" s="192">
        <v>7304</v>
      </c>
      <c r="F906" s="192">
        <v>8403</v>
      </c>
      <c r="G906" s="481">
        <v>337</v>
      </c>
      <c r="H906" s="19"/>
      <c r="I906" s="19"/>
      <c r="M906" s="19"/>
    </row>
    <row r="907" spans="1:13">
      <c r="A907" s="479">
        <v>1418</v>
      </c>
      <c r="B907" s="19" t="s">
        <v>317</v>
      </c>
      <c r="C907" t="s">
        <v>139</v>
      </c>
      <c r="D907" s="190">
        <v>1418</v>
      </c>
      <c r="E907" s="192">
        <v>7527</v>
      </c>
      <c r="F907" s="192">
        <v>6231</v>
      </c>
      <c r="G907" s="481">
        <v>261</v>
      </c>
      <c r="H907" s="19"/>
      <c r="I907" s="19"/>
      <c r="M907" s="19"/>
    </row>
    <row r="908" spans="1:13">
      <c r="A908" s="479">
        <v>1148</v>
      </c>
      <c r="B908" s="19" t="s">
        <v>318</v>
      </c>
      <c r="C908" t="s">
        <v>139</v>
      </c>
      <c r="D908" s="190">
        <v>1148</v>
      </c>
      <c r="E908" s="192">
        <v>6073</v>
      </c>
      <c r="F908" s="192">
        <v>6702</v>
      </c>
      <c r="G908" s="481">
        <v>207</v>
      </c>
      <c r="H908" s="19"/>
      <c r="I908" s="19"/>
      <c r="M908" s="19"/>
    </row>
    <row r="909" spans="1:13">
      <c r="A909" s="479">
        <v>1306</v>
      </c>
      <c r="B909" s="19" t="s">
        <v>319</v>
      </c>
      <c r="C909" t="s">
        <v>139</v>
      </c>
      <c r="D909" s="190">
        <v>1306</v>
      </c>
      <c r="E909" s="192">
        <v>8264</v>
      </c>
      <c r="F909" s="192">
        <v>8464</v>
      </c>
      <c r="G909" s="481">
        <v>207</v>
      </c>
      <c r="H909" s="19"/>
      <c r="I909" s="19"/>
      <c r="M909" s="19"/>
    </row>
    <row r="910" spans="1:13">
      <c r="A910" s="479">
        <v>1271</v>
      </c>
      <c r="B910" s="19" t="s">
        <v>320</v>
      </c>
      <c r="C910" t="s">
        <v>139</v>
      </c>
      <c r="D910" s="190">
        <v>1271</v>
      </c>
      <c r="E910" s="192">
        <v>11362</v>
      </c>
      <c r="F910" s="192">
        <v>11078</v>
      </c>
      <c r="G910" s="481">
        <v>379</v>
      </c>
      <c r="H910" s="19"/>
      <c r="I910" s="19"/>
      <c r="M910" s="19"/>
    </row>
    <row r="911" spans="1:13">
      <c r="A911" s="479">
        <v>1147</v>
      </c>
      <c r="B911" s="19" t="s">
        <v>321</v>
      </c>
      <c r="C911" t="s">
        <v>139</v>
      </c>
      <c r="D911" s="190">
        <v>1147</v>
      </c>
      <c r="E911" s="192">
        <v>5933</v>
      </c>
      <c r="F911" s="192">
        <v>6747</v>
      </c>
      <c r="G911" s="481">
        <v>248</v>
      </c>
      <c r="H911" s="19"/>
      <c r="I911" s="19"/>
      <c r="M911" s="19"/>
    </row>
    <row r="912" spans="1:13">
      <c r="A912" s="479">
        <v>1034</v>
      </c>
      <c r="B912" s="19" t="s">
        <v>322</v>
      </c>
      <c r="C912" t="s">
        <v>139</v>
      </c>
      <c r="D912" s="190">
        <v>1034</v>
      </c>
      <c r="E912" s="192">
        <v>7675</v>
      </c>
      <c r="F912" s="192">
        <v>9565</v>
      </c>
      <c r="G912" s="481">
        <v>257</v>
      </c>
      <c r="H912" s="19"/>
      <c r="I912" s="19"/>
      <c r="M912" s="19"/>
    </row>
    <row r="913" spans="1:13">
      <c r="A913" s="479">
        <v>1417</v>
      </c>
      <c r="B913" s="19" t="s">
        <v>323</v>
      </c>
      <c r="C913" t="s">
        <v>139</v>
      </c>
      <c r="D913" s="190">
        <v>1417</v>
      </c>
      <c r="E913" s="192">
        <v>7238</v>
      </c>
      <c r="F913" s="192">
        <v>6796</v>
      </c>
      <c r="G913" s="481">
        <v>233</v>
      </c>
      <c r="H913" s="19"/>
      <c r="I913" s="19"/>
      <c r="M913" s="19"/>
    </row>
    <row r="914" spans="1:13">
      <c r="A914" s="479">
        <v>1426</v>
      </c>
      <c r="B914" s="19" t="s">
        <v>324</v>
      </c>
      <c r="C914" t="s">
        <v>139</v>
      </c>
      <c r="D914" s="190">
        <v>1426</v>
      </c>
      <c r="E914" s="192">
        <v>6524</v>
      </c>
      <c r="F914" s="192">
        <v>6624</v>
      </c>
      <c r="G914" s="481">
        <v>222</v>
      </c>
      <c r="H914" s="19"/>
      <c r="I914" s="19"/>
      <c r="M914" s="19"/>
    </row>
    <row r="915" spans="1:13">
      <c r="A915" s="479">
        <v>1290</v>
      </c>
      <c r="B915" s="19" t="s">
        <v>325</v>
      </c>
      <c r="C915" t="s">
        <v>139</v>
      </c>
      <c r="D915" s="190">
        <v>1290</v>
      </c>
      <c r="E915" s="192">
        <v>10862</v>
      </c>
      <c r="F915" s="192">
        <v>11419</v>
      </c>
      <c r="G915" s="481">
        <v>400</v>
      </c>
      <c r="H915" s="19"/>
      <c r="I915" s="19"/>
      <c r="M915" s="19"/>
    </row>
    <row r="916" spans="1:13">
      <c r="A916" s="479">
        <v>1029</v>
      </c>
      <c r="B916" s="19" t="s">
        <v>326</v>
      </c>
      <c r="C916" t="s">
        <v>139</v>
      </c>
      <c r="D916" s="190">
        <v>1029</v>
      </c>
      <c r="E916" s="192">
        <v>10075</v>
      </c>
      <c r="F916" s="192">
        <v>9183</v>
      </c>
      <c r="G916" s="481">
        <v>308</v>
      </c>
      <c r="H916" s="19"/>
      <c r="I916" s="19"/>
      <c r="M916" s="19"/>
    </row>
    <row r="917" spans="1:13">
      <c r="A917" s="479">
        <v>1372</v>
      </c>
      <c r="B917" s="19" t="s">
        <v>327</v>
      </c>
      <c r="C917" t="s">
        <v>139</v>
      </c>
      <c r="D917" s="190">
        <v>1372</v>
      </c>
      <c r="E917" s="192">
        <v>7393</v>
      </c>
      <c r="F917" s="192">
        <v>8001</v>
      </c>
      <c r="G917" s="481">
        <v>238</v>
      </c>
      <c r="H917" s="19"/>
      <c r="I917" s="19"/>
      <c r="M917" s="19"/>
    </row>
    <row r="918" spans="1:13">
      <c r="A918" s="479">
        <v>1892</v>
      </c>
      <c r="B918" s="19" t="s">
        <v>328</v>
      </c>
      <c r="C918" t="s">
        <v>139</v>
      </c>
      <c r="D918" s="190">
        <v>1892</v>
      </c>
      <c r="E918" s="192">
        <v>4468</v>
      </c>
      <c r="F918" s="192">
        <v>5218</v>
      </c>
      <c r="G918" s="481">
        <v>199</v>
      </c>
      <c r="H918" s="19"/>
      <c r="I918" s="19"/>
      <c r="M918" s="19"/>
    </row>
    <row r="919" spans="1:13">
      <c r="A919" s="479">
        <v>1124</v>
      </c>
      <c r="B919" s="19" t="s">
        <v>329</v>
      </c>
      <c r="C919" t="s">
        <v>139</v>
      </c>
      <c r="D919" s="190">
        <v>1124</v>
      </c>
      <c r="E919" s="192">
        <v>7687</v>
      </c>
      <c r="F919" s="192">
        <v>7358</v>
      </c>
      <c r="G919" s="481">
        <v>299</v>
      </c>
      <c r="H919" s="19"/>
      <c r="I919" s="19"/>
      <c r="M919" s="19"/>
    </row>
    <row r="920" spans="1:13">
      <c r="A920" s="479">
        <v>1279</v>
      </c>
      <c r="B920" s="19" t="s">
        <v>330</v>
      </c>
      <c r="C920" t="s">
        <v>139</v>
      </c>
      <c r="D920" s="190">
        <v>1279</v>
      </c>
      <c r="E920" s="192">
        <v>11507</v>
      </c>
      <c r="F920" s="192">
        <v>10170</v>
      </c>
      <c r="G920" s="481">
        <v>376</v>
      </c>
      <c r="H920" s="19"/>
      <c r="I920" s="19"/>
      <c r="M920" s="19"/>
    </row>
    <row r="921" spans="1:13">
      <c r="A921" s="479">
        <v>1173</v>
      </c>
      <c r="B921" s="19" t="s">
        <v>331</v>
      </c>
      <c r="C921" t="s">
        <v>139</v>
      </c>
      <c r="D921" s="190">
        <v>1173</v>
      </c>
      <c r="E921" s="192">
        <v>10019</v>
      </c>
      <c r="F921" s="192">
        <v>12553</v>
      </c>
      <c r="G921" s="481">
        <v>320</v>
      </c>
      <c r="H921" s="19"/>
      <c r="I921" s="19"/>
      <c r="M921" s="19"/>
    </row>
    <row r="922" spans="1:13">
      <c r="A922" s="479">
        <v>1595</v>
      </c>
      <c r="B922" s="19" t="s">
        <v>332</v>
      </c>
      <c r="C922" t="s">
        <v>139</v>
      </c>
      <c r="D922" s="190">
        <v>1595</v>
      </c>
      <c r="E922" s="192">
        <v>6634</v>
      </c>
      <c r="F922" s="192">
        <v>5883</v>
      </c>
      <c r="G922" s="481">
        <v>239</v>
      </c>
      <c r="H922" s="19"/>
      <c r="I922" s="19"/>
      <c r="M922" s="19"/>
    </row>
    <row r="923" spans="1:13">
      <c r="A923" s="479">
        <v>1659</v>
      </c>
      <c r="B923" s="19" t="s">
        <v>333</v>
      </c>
      <c r="C923" t="s">
        <v>139</v>
      </c>
      <c r="D923" s="190">
        <v>1659</v>
      </c>
      <c r="E923" s="192">
        <v>14019</v>
      </c>
      <c r="F923" s="192">
        <v>16416</v>
      </c>
      <c r="G923" s="481">
        <v>471</v>
      </c>
      <c r="H923" s="19"/>
      <c r="I923" s="19"/>
      <c r="M923" s="19"/>
    </row>
    <row r="924" spans="1:13">
      <c r="A924" s="479">
        <v>1543</v>
      </c>
      <c r="B924" s="19" t="s">
        <v>334</v>
      </c>
      <c r="C924" t="s">
        <v>139</v>
      </c>
      <c r="D924" s="190">
        <v>1543</v>
      </c>
      <c r="E924" s="192">
        <v>5439</v>
      </c>
      <c r="F924" s="192">
        <v>6352</v>
      </c>
      <c r="G924" s="481">
        <v>214</v>
      </c>
      <c r="H924" s="19"/>
      <c r="I924" s="19"/>
      <c r="M924" s="19"/>
    </row>
    <row r="925" spans="1:13">
      <c r="A925" s="479">
        <v>1134</v>
      </c>
      <c r="B925" s="19" t="s">
        <v>335</v>
      </c>
      <c r="C925" t="s">
        <v>139</v>
      </c>
      <c r="D925" s="190">
        <v>1134</v>
      </c>
      <c r="E925" s="192">
        <v>9608</v>
      </c>
      <c r="F925" s="192">
        <v>11460</v>
      </c>
      <c r="G925" s="481">
        <v>286</v>
      </c>
      <c r="H925" s="19"/>
      <c r="I925" s="19"/>
      <c r="M925" s="19"/>
    </row>
    <row r="926" spans="1:13">
      <c r="A926" s="479">
        <v>1345</v>
      </c>
      <c r="B926" s="19" t="s">
        <v>336</v>
      </c>
      <c r="C926" t="s">
        <v>139</v>
      </c>
      <c r="D926" s="190">
        <v>1345</v>
      </c>
      <c r="E926" s="192">
        <v>5698</v>
      </c>
      <c r="F926" s="192">
        <v>5853</v>
      </c>
      <c r="G926" s="481">
        <v>338</v>
      </c>
      <c r="H926" s="19"/>
      <c r="I926" s="19"/>
      <c r="M926" s="19"/>
    </row>
    <row r="927" spans="1:13">
      <c r="A927" s="479">
        <v>1820</v>
      </c>
      <c r="B927" s="19" t="s">
        <v>337</v>
      </c>
      <c r="C927" t="s">
        <v>139</v>
      </c>
      <c r="D927" s="190">
        <v>1820</v>
      </c>
      <c r="E927" s="192">
        <v>11275</v>
      </c>
      <c r="F927" s="192">
        <v>11038</v>
      </c>
      <c r="G927" s="481">
        <v>314</v>
      </c>
      <c r="H927" s="19"/>
      <c r="I927" s="19"/>
      <c r="M927" s="19"/>
    </row>
    <row r="928" spans="1:13">
      <c r="A928" s="479">
        <v>1318</v>
      </c>
      <c r="B928" s="19" t="s">
        <v>338</v>
      </c>
      <c r="C928" t="s">
        <v>139</v>
      </c>
      <c r="D928" s="190">
        <v>1318</v>
      </c>
      <c r="E928" s="192">
        <v>7812</v>
      </c>
      <c r="F928" s="192">
        <v>7436</v>
      </c>
      <c r="G928" s="481">
        <v>242</v>
      </c>
      <c r="H928" s="19"/>
      <c r="I928" s="19"/>
      <c r="M928" s="19"/>
    </row>
    <row r="929" spans="1:13">
      <c r="A929" s="479">
        <v>1041</v>
      </c>
      <c r="B929" s="19" t="s">
        <v>339</v>
      </c>
      <c r="C929" t="s">
        <v>139</v>
      </c>
      <c r="D929" s="190">
        <v>1041</v>
      </c>
      <c r="E929" s="192">
        <v>7613</v>
      </c>
      <c r="F929" s="192">
        <v>7631</v>
      </c>
      <c r="G929" s="481">
        <v>351</v>
      </c>
      <c r="H929" s="19"/>
      <c r="I929" s="19"/>
      <c r="M929" s="19"/>
    </row>
    <row r="930" spans="1:13">
      <c r="A930" s="479">
        <v>1423</v>
      </c>
      <c r="B930" s="19" t="s">
        <v>340</v>
      </c>
      <c r="C930" t="s">
        <v>139</v>
      </c>
      <c r="D930" s="190">
        <v>1423</v>
      </c>
      <c r="E930" s="192">
        <v>7057</v>
      </c>
      <c r="F930" s="192">
        <v>6585</v>
      </c>
      <c r="G930" s="481">
        <v>244</v>
      </c>
      <c r="H930" s="19"/>
      <c r="I930" s="19"/>
      <c r="M930" s="19"/>
    </row>
    <row r="931" spans="1:13">
      <c r="A931" s="479">
        <v>1847</v>
      </c>
      <c r="B931" s="19" t="s">
        <v>341</v>
      </c>
      <c r="C931" t="s">
        <v>139</v>
      </c>
      <c r="D931" s="190">
        <v>1847</v>
      </c>
      <c r="E931" s="192">
        <v>7023</v>
      </c>
      <c r="F931" s="192">
        <v>6931</v>
      </c>
      <c r="G931" s="481">
        <v>290</v>
      </c>
      <c r="H931" s="19"/>
      <c r="I931" s="19"/>
      <c r="M931" s="19"/>
    </row>
    <row r="932" spans="1:13">
      <c r="A932" s="479">
        <v>1053</v>
      </c>
      <c r="B932" s="19" t="s">
        <v>342</v>
      </c>
      <c r="C932" t="s">
        <v>139</v>
      </c>
      <c r="D932" s="190">
        <v>1053</v>
      </c>
      <c r="E932" s="192">
        <v>7541</v>
      </c>
      <c r="F932" s="192">
        <v>8368</v>
      </c>
      <c r="G932" s="481">
        <v>238</v>
      </c>
      <c r="H932" s="19"/>
      <c r="I932" s="19"/>
      <c r="M932" s="19"/>
    </row>
    <row r="933" spans="1:13">
      <c r="A933" s="479">
        <v>1407</v>
      </c>
      <c r="B933" s="19" t="s">
        <v>343</v>
      </c>
      <c r="C933" t="s">
        <v>139</v>
      </c>
      <c r="D933" s="190">
        <v>1407</v>
      </c>
      <c r="E933" s="192">
        <v>4544</v>
      </c>
      <c r="F933" s="192">
        <v>6193</v>
      </c>
      <c r="G933" s="481">
        <v>187</v>
      </c>
      <c r="H933" s="19"/>
      <c r="I933" s="19"/>
      <c r="M933" s="19"/>
    </row>
    <row r="934" spans="1:13">
      <c r="A934" s="479">
        <v>1132</v>
      </c>
      <c r="B934" s="19" t="s">
        <v>344</v>
      </c>
      <c r="C934" t="s">
        <v>139</v>
      </c>
      <c r="D934" s="190">
        <v>1132</v>
      </c>
      <c r="E934" s="192">
        <v>10356</v>
      </c>
      <c r="F934" s="192">
        <v>10682</v>
      </c>
      <c r="G934" s="481">
        <v>311</v>
      </c>
      <c r="H934" s="19"/>
      <c r="I934" s="19"/>
      <c r="M934" s="19"/>
    </row>
    <row r="935" spans="1:13">
      <c r="A935" s="479">
        <v>1405</v>
      </c>
      <c r="B935" s="19" t="s">
        <v>345</v>
      </c>
      <c r="C935" t="s">
        <v>139</v>
      </c>
      <c r="D935" s="190">
        <v>1405</v>
      </c>
      <c r="E935" s="192">
        <v>8008</v>
      </c>
      <c r="F935" s="192">
        <v>7115</v>
      </c>
      <c r="G935" s="481">
        <v>239</v>
      </c>
      <c r="H935" s="19"/>
      <c r="I935" s="19"/>
      <c r="M935" s="19"/>
    </row>
    <row r="936" spans="1:13">
      <c r="A936" s="479">
        <v>1135</v>
      </c>
      <c r="B936" s="19" t="s">
        <v>346</v>
      </c>
      <c r="C936" t="s">
        <v>139</v>
      </c>
      <c r="D936" s="190">
        <v>1135</v>
      </c>
      <c r="E936" s="192">
        <v>9976</v>
      </c>
      <c r="F936" s="192">
        <v>9665</v>
      </c>
      <c r="G936" s="481">
        <v>312</v>
      </c>
      <c r="H936" s="19"/>
      <c r="I936" s="19"/>
      <c r="M936" s="19"/>
    </row>
    <row r="937" spans="1:13">
      <c r="A937" s="479">
        <v>1040</v>
      </c>
      <c r="B937" s="19" t="s">
        <v>347</v>
      </c>
      <c r="C937" t="s">
        <v>139</v>
      </c>
      <c r="D937" s="190">
        <v>1040</v>
      </c>
      <c r="E937" s="192">
        <v>7239</v>
      </c>
      <c r="F937" s="192">
        <v>7470</v>
      </c>
      <c r="G937" s="481">
        <v>312</v>
      </c>
      <c r="H937" s="19"/>
      <c r="I937" s="19"/>
      <c r="M937" s="19"/>
    </row>
    <row r="938" spans="1:13">
      <c r="A938" s="479">
        <v>1183</v>
      </c>
      <c r="B938" s="19" t="s">
        <v>348</v>
      </c>
      <c r="C938" t="s">
        <v>139</v>
      </c>
      <c r="D938" s="190">
        <v>1183</v>
      </c>
      <c r="E938" s="192">
        <v>10095</v>
      </c>
      <c r="F938" s="192">
        <v>10769</v>
      </c>
      <c r="G938" s="481">
        <v>254</v>
      </c>
      <c r="H938" s="19"/>
      <c r="I938" s="19"/>
      <c r="M938" s="19"/>
    </row>
    <row r="939" spans="1:13">
      <c r="A939" s="479">
        <v>1031</v>
      </c>
      <c r="B939" s="19" t="s">
        <v>349</v>
      </c>
      <c r="C939" t="s">
        <v>139</v>
      </c>
      <c r="D939" s="190">
        <v>1031</v>
      </c>
      <c r="E939" s="192">
        <v>10959</v>
      </c>
      <c r="F939" s="192">
        <v>9676</v>
      </c>
      <c r="G939" s="481">
        <v>250</v>
      </c>
      <c r="H939" s="19"/>
      <c r="I939" s="19"/>
      <c r="M939" s="19"/>
    </row>
    <row r="940" spans="1:13">
      <c r="A940" s="479">
        <v>1442</v>
      </c>
      <c r="B940" s="19" t="s">
        <v>350</v>
      </c>
      <c r="C940" t="s">
        <v>139</v>
      </c>
      <c r="D940" s="190">
        <v>1442</v>
      </c>
      <c r="E940" s="192">
        <v>8066</v>
      </c>
      <c r="F940" s="192">
        <v>6234</v>
      </c>
      <c r="G940" s="481">
        <v>282</v>
      </c>
      <c r="H940" s="19"/>
      <c r="I940" s="19"/>
      <c r="M940" s="19"/>
    </row>
    <row r="941" spans="1:13">
      <c r="A941" s="479">
        <v>1441</v>
      </c>
      <c r="B941" s="19" t="s">
        <v>351</v>
      </c>
      <c r="C941" t="s">
        <v>139</v>
      </c>
      <c r="D941" s="190">
        <v>1441</v>
      </c>
      <c r="E941" s="192">
        <v>7871</v>
      </c>
      <c r="F941" s="192">
        <v>6381</v>
      </c>
      <c r="G941" s="481">
        <v>228</v>
      </c>
      <c r="H941" s="19"/>
      <c r="I941" s="19"/>
      <c r="M941" s="19"/>
    </row>
    <row r="942" spans="1:13">
      <c r="A942" s="479">
        <v>1400</v>
      </c>
      <c r="B942" s="19" t="s">
        <v>352</v>
      </c>
      <c r="C942" t="s">
        <v>139</v>
      </c>
      <c r="D942" s="190">
        <v>1400</v>
      </c>
      <c r="E942" s="192">
        <v>7762</v>
      </c>
      <c r="F942" s="192">
        <v>7897</v>
      </c>
      <c r="G942" s="481">
        <v>240</v>
      </c>
      <c r="H942" s="19"/>
      <c r="I942" s="19"/>
      <c r="M942" s="19"/>
    </row>
    <row r="943" spans="1:13">
      <c r="A943" s="479">
        <v>1044</v>
      </c>
      <c r="B943" s="19" t="s">
        <v>353</v>
      </c>
      <c r="C943" t="s">
        <v>139</v>
      </c>
      <c r="D943" s="190">
        <v>1044</v>
      </c>
      <c r="E943" s="192">
        <v>7656</v>
      </c>
      <c r="F943" s="192">
        <v>7033</v>
      </c>
      <c r="G943" s="481">
        <v>312</v>
      </c>
      <c r="H943" s="19"/>
      <c r="I943" s="19"/>
      <c r="M943" s="19"/>
    </row>
    <row r="944" spans="1:13">
      <c r="A944" s="479">
        <v>1186</v>
      </c>
      <c r="B944" s="19" t="s">
        <v>354</v>
      </c>
      <c r="C944" t="s">
        <v>139</v>
      </c>
      <c r="D944" s="190">
        <v>1186</v>
      </c>
      <c r="E944" s="192">
        <v>9794</v>
      </c>
      <c r="F944" s="192">
        <v>10243</v>
      </c>
      <c r="G944" s="481">
        <v>133</v>
      </c>
      <c r="H944" s="19"/>
      <c r="I944" s="19"/>
      <c r="M944" s="19"/>
    </row>
    <row r="945" spans="1:13">
      <c r="A945" s="479">
        <v>1176</v>
      </c>
      <c r="B945" s="19" t="s">
        <v>355</v>
      </c>
      <c r="C945" t="s">
        <v>139</v>
      </c>
      <c r="D945" s="190">
        <v>1176</v>
      </c>
      <c r="E945" s="192">
        <v>9487</v>
      </c>
      <c r="F945" s="192">
        <v>8020</v>
      </c>
      <c r="G945" s="481">
        <v>274</v>
      </c>
      <c r="H945" s="19"/>
      <c r="I945" s="19"/>
      <c r="M945" s="19"/>
    </row>
    <row r="946" spans="1:13">
      <c r="A946" s="479">
        <v>1443</v>
      </c>
      <c r="B946" s="19" t="s">
        <v>356</v>
      </c>
      <c r="C946" t="s">
        <v>139</v>
      </c>
      <c r="D946" s="190">
        <v>1443</v>
      </c>
      <c r="E946" s="192">
        <v>7303</v>
      </c>
      <c r="F946" s="192">
        <v>6823</v>
      </c>
      <c r="G946" s="481">
        <v>230</v>
      </c>
      <c r="H946" s="19"/>
      <c r="I946" s="19"/>
      <c r="M946" s="19"/>
    </row>
    <row r="947" spans="1:13">
      <c r="A947" s="479">
        <v>1167</v>
      </c>
      <c r="B947" s="19" t="s">
        <v>357</v>
      </c>
      <c r="C947" t="s">
        <v>139</v>
      </c>
      <c r="D947" s="190">
        <v>1167</v>
      </c>
      <c r="E947" s="192">
        <v>10599</v>
      </c>
      <c r="F947" s="192">
        <v>10364</v>
      </c>
      <c r="G947" s="481">
        <v>312</v>
      </c>
      <c r="H947" s="19"/>
      <c r="I947" s="19"/>
      <c r="M947" s="19"/>
    </row>
    <row r="948" spans="1:13">
      <c r="A948" s="479">
        <v>1081</v>
      </c>
      <c r="B948" s="19" t="s">
        <v>358</v>
      </c>
      <c r="C948" t="s">
        <v>139</v>
      </c>
      <c r="D948" s="190">
        <v>1081</v>
      </c>
      <c r="E948" s="192">
        <v>8270</v>
      </c>
      <c r="F948" s="192">
        <v>10899</v>
      </c>
      <c r="G948" s="481">
        <v>355</v>
      </c>
      <c r="H948" s="19"/>
      <c r="I948" s="19"/>
      <c r="M948" s="19"/>
    </row>
    <row r="949" spans="1:13">
      <c r="A949" s="479">
        <v>1453</v>
      </c>
      <c r="B949" s="19" t="s">
        <v>359</v>
      </c>
      <c r="C949" t="s">
        <v>139</v>
      </c>
      <c r="D949" s="190">
        <v>1453</v>
      </c>
      <c r="E949" s="192">
        <v>5042</v>
      </c>
      <c r="F949" s="192">
        <v>5723</v>
      </c>
      <c r="G949" s="481">
        <v>231</v>
      </c>
      <c r="H949" s="19"/>
      <c r="I949" s="19"/>
      <c r="M949" s="19"/>
    </row>
    <row r="950" spans="1:13">
      <c r="A950" s="479">
        <v>1321</v>
      </c>
      <c r="B950" s="19" t="s">
        <v>360</v>
      </c>
      <c r="C950" t="s">
        <v>139</v>
      </c>
      <c r="D950" s="190">
        <v>1321</v>
      </c>
      <c r="E950" s="192">
        <v>6374</v>
      </c>
      <c r="F950" s="192">
        <v>6187</v>
      </c>
      <c r="G950" s="481">
        <v>269</v>
      </c>
      <c r="H950" s="19"/>
      <c r="I950" s="19"/>
      <c r="M950" s="19"/>
    </row>
    <row r="951" spans="1:13">
      <c r="A951" s="479">
        <v>1164</v>
      </c>
      <c r="B951" s="19" t="s">
        <v>361</v>
      </c>
      <c r="C951" t="s">
        <v>139</v>
      </c>
      <c r="D951" s="190">
        <v>1164</v>
      </c>
      <c r="E951" s="192">
        <v>9695</v>
      </c>
      <c r="F951" s="192">
        <v>13023</v>
      </c>
      <c r="G951" s="481">
        <v>354</v>
      </c>
      <c r="H951" s="19"/>
      <c r="I951" s="19"/>
      <c r="M951" s="19"/>
    </row>
    <row r="952" spans="1:13">
      <c r="A952" s="479">
        <v>1195</v>
      </c>
      <c r="B952" s="19" t="s">
        <v>362</v>
      </c>
      <c r="C952" t="s">
        <v>139</v>
      </c>
      <c r="D952" s="190">
        <v>1195</v>
      </c>
      <c r="E952" s="192">
        <v>11002</v>
      </c>
      <c r="F952" s="192">
        <v>13032</v>
      </c>
      <c r="G952" s="481">
        <v>300</v>
      </c>
      <c r="H952" s="19"/>
      <c r="I952" s="19"/>
      <c r="M952" s="19"/>
    </row>
    <row r="953" spans="1:13">
      <c r="A953" s="479">
        <v>1358</v>
      </c>
      <c r="B953" s="19" t="s">
        <v>363</v>
      </c>
      <c r="C953" t="s">
        <v>139</v>
      </c>
      <c r="D953" s="190">
        <v>1358</v>
      </c>
      <c r="E953" s="192">
        <v>6215</v>
      </c>
      <c r="F953" s="192">
        <v>7204</v>
      </c>
      <c r="G953" s="481">
        <v>236</v>
      </c>
      <c r="H953" s="19"/>
      <c r="I953" s="19"/>
      <c r="M953" s="19"/>
    </row>
    <row r="954" spans="1:13">
      <c r="A954" s="479">
        <v>1438</v>
      </c>
      <c r="B954" s="19" t="s">
        <v>364</v>
      </c>
      <c r="C954" t="s">
        <v>139</v>
      </c>
      <c r="D954" s="190">
        <v>1438</v>
      </c>
      <c r="E954" s="192">
        <v>6339</v>
      </c>
      <c r="F954" s="192">
        <v>6947</v>
      </c>
      <c r="G954" s="481">
        <v>250</v>
      </c>
      <c r="H954" s="19"/>
      <c r="I954" s="19"/>
      <c r="M954" s="19"/>
    </row>
    <row r="955" spans="1:13">
      <c r="A955" s="479">
        <v>1168</v>
      </c>
      <c r="B955" s="19" t="s">
        <v>365</v>
      </c>
      <c r="C955" t="s">
        <v>139</v>
      </c>
      <c r="D955" s="190">
        <v>1168</v>
      </c>
      <c r="E955" s="192">
        <v>10624</v>
      </c>
      <c r="F955" s="192">
        <v>9830</v>
      </c>
      <c r="G955" s="481">
        <v>226</v>
      </c>
      <c r="H955" s="19"/>
      <c r="I955" s="19"/>
      <c r="M955" s="19"/>
    </row>
    <row r="956" spans="1:13">
      <c r="A956" s="479">
        <v>1184</v>
      </c>
      <c r="B956" s="19" t="s">
        <v>366</v>
      </c>
      <c r="C956" t="s">
        <v>139</v>
      </c>
      <c r="D956" s="190">
        <v>1184</v>
      </c>
      <c r="E956" s="192">
        <v>10226</v>
      </c>
      <c r="F956" s="192">
        <v>8959</v>
      </c>
      <c r="G956" s="481">
        <v>284</v>
      </c>
      <c r="H956" s="19"/>
      <c r="I956" s="19"/>
      <c r="M956" s="19"/>
    </row>
    <row r="957" spans="1:13">
      <c r="A957" s="479">
        <v>1433</v>
      </c>
      <c r="B957" s="19" t="s">
        <v>367</v>
      </c>
      <c r="C957" t="s">
        <v>139</v>
      </c>
      <c r="D957" s="190">
        <v>1433</v>
      </c>
      <c r="E957" s="192">
        <v>6397</v>
      </c>
      <c r="F957" s="192">
        <v>6339</v>
      </c>
      <c r="G957" s="481">
        <v>272</v>
      </c>
      <c r="H957" s="19"/>
      <c r="I957" s="19"/>
      <c r="M957" s="19"/>
    </row>
    <row r="958" spans="1:13">
      <c r="A958" s="479">
        <v>1445</v>
      </c>
      <c r="B958" s="19" t="s">
        <v>368</v>
      </c>
      <c r="C958" t="s">
        <v>139</v>
      </c>
      <c r="D958" s="190">
        <v>1445</v>
      </c>
      <c r="E958" s="192">
        <v>6851</v>
      </c>
      <c r="F958" s="192">
        <v>6427</v>
      </c>
      <c r="G958" s="481">
        <v>261</v>
      </c>
      <c r="H958" s="19"/>
      <c r="I958" s="19"/>
      <c r="M958" s="19"/>
    </row>
    <row r="959" spans="1:13">
      <c r="A959" s="479">
        <v>1509</v>
      </c>
      <c r="B959" s="19" t="s">
        <v>369</v>
      </c>
      <c r="C959" t="s">
        <v>139</v>
      </c>
      <c r="D959" s="190">
        <v>1509</v>
      </c>
      <c r="E959" s="192">
        <v>5082</v>
      </c>
      <c r="F959" s="192">
        <v>6935</v>
      </c>
      <c r="G959" s="481">
        <v>211</v>
      </c>
      <c r="H959" s="19"/>
      <c r="I959" s="19"/>
      <c r="M959" s="19"/>
    </row>
    <row r="960" spans="1:13">
      <c r="A960" s="479">
        <v>1377</v>
      </c>
      <c r="B960" s="19" t="s">
        <v>370</v>
      </c>
      <c r="C960" t="s">
        <v>139</v>
      </c>
      <c r="D960" s="190">
        <v>1377</v>
      </c>
      <c r="E960" s="192">
        <v>6336</v>
      </c>
      <c r="F960" s="192">
        <v>8763</v>
      </c>
      <c r="G960" s="481">
        <v>312</v>
      </c>
      <c r="H960" s="19"/>
      <c r="I960" s="19"/>
      <c r="M960" s="19"/>
    </row>
    <row r="961" spans="1:13">
      <c r="A961" s="479">
        <v>1042</v>
      </c>
      <c r="B961" s="19" t="s">
        <v>371</v>
      </c>
      <c r="C961" t="s">
        <v>139</v>
      </c>
      <c r="D961" s="190">
        <v>1042</v>
      </c>
      <c r="E961" s="192">
        <v>7667</v>
      </c>
      <c r="F961" s="192">
        <v>6959</v>
      </c>
      <c r="G961" s="481">
        <v>179</v>
      </c>
      <c r="H961" s="19"/>
      <c r="I961" s="19"/>
      <c r="M961" s="19"/>
    </row>
    <row r="962" spans="1:13">
      <c r="A962" s="479">
        <v>1274</v>
      </c>
      <c r="B962" s="19" t="s">
        <v>372</v>
      </c>
      <c r="C962" t="s">
        <v>139</v>
      </c>
      <c r="D962" s="190">
        <v>1274</v>
      </c>
      <c r="E962" s="192">
        <v>11446</v>
      </c>
      <c r="F962" s="192">
        <v>11058</v>
      </c>
      <c r="G962" s="481">
        <v>296</v>
      </c>
      <c r="H962" s="19"/>
      <c r="I962" s="19"/>
      <c r="M962" s="19"/>
    </row>
    <row r="963" spans="1:13">
      <c r="A963" s="479">
        <v>1323</v>
      </c>
      <c r="B963" s="19" t="s">
        <v>373</v>
      </c>
      <c r="C963" t="s">
        <v>139</v>
      </c>
      <c r="D963" s="190">
        <v>1323</v>
      </c>
      <c r="E963" s="192">
        <v>3957</v>
      </c>
      <c r="F963" s="192">
        <v>6407</v>
      </c>
      <c r="G963" s="481">
        <v>211</v>
      </c>
      <c r="H963" s="19"/>
      <c r="I963" s="19"/>
      <c r="M963" s="19"/>
    </row>
    <row r="964" spans="1:13">
      <c r="A964" s="479">
        <v>1121</v>
      </c>
      <c r="B964" s="19" t="s">
        <v>374</v>
      </c>
      <c r="C964" t="s">
        <v>139</v>
      </c>
      <c r="D964" s="190">
        <v>1121</v>
      </c>
      <c r="E964" s="192">
        <v>9633</v>
      </c>
      <c r="F964" s="192">
        <v>9910</v>
      </c>
      <c r="G964" s="481">
        <v>304</v>
      </c>
      <c r="H964" s="19"/>
      <c r="I964" s="19"/>
      <c r="M964" s="19"/>
    </row>
    <row r="965" spans="1:13">
      <c r="A965" s="479">
        <v>1123</v>
      </c>
      <c r="B965" s="19" t="s">
        <v>375</v>
      </c>
      <c r="C965" t="s">
        <v>139</v>
      </c>
      <c r="D965" s="190">
        <v>1123</v>
      </c>
      <c r="E965" s="192">
        <v>8842</v>
      </c>
      <c r="F965" s="192">
        <v>7782</v>
      </c>
      <c r="G965" s="481">
        <v>210</v>
      </c>
      <c r="H965" s="19"/>
      <c r="I965" s="19"/>
      <c r="M965" s="19"/>
    </row>
    <row r="966" spans="1:13">
      <c r="A966" s="479">
        <v>1658</v>
      </c>
      <c r="B966" s="19" t="s">
        <v>376</v>
      </c>
      <c r="C966" t="s">
        <v>139</v>
      </c>
      <c r="D966" s="190">
        <v>1658</v>
      </c>
      <c r="E966" s="192">
        <v>7804</v>
      </c>
      <c r="F966" s="192">
        <v>5575</v>
      </c>
      <c r="G966" s="481">
        <v>312</v>
      </c>
      <c r="H966" s="19"/>
      <c r="I966" s="19"/>
      <c r="M966" s="19"/>
    </row>
    <row r="967" spans="1:13">
      <c r="A967" s="479">
        <v>1413</v>
      </c>
      <c r="B967" s="19" t="s">
        <v>377</v>
      </c>
      <c r="C967" t="s">
        <v>139</v>
      </c>
      <c r="D967" s="190">
        <v>1413</v>
      </c>
      <c r="E967" s="192">
        <v>7045</v>
      </c>
      <c r="F967" s="192">
        <v>6834</v>
      </c>
      <c r="G967" s="481">
        <v>224</v>
      </c>
      <c r="H967" s="19"/>
      <c r="I967" s="19"/>
      <c r="M967" s="19"/>
    </row>
    <row r="968" spans="1:13">
      <c r="A968" s="479">
        <v>1436</v>
      </c>
      <c r="B968" s="19" t="s">
        <v>378</v>
      </c>
      <c r="C968" t="s">
        <v>139</v>
      </c>
      <c r="D968" s="190">
        <v>1436</v>
      </c>
      <c r="E968" s="192">
        <v>7786</v>
      </c>
      <c r="F968" s="192">
        <v>7643</v>
      </c>
      <c r="G968" s="481">
        <v>205</v>
      </c>
      <c r="H968" s="19"/>
      <c r="I968" s="19"/>
      <c r="M968" s="19"/>
    </row>
    <row r="969" spans="1:13">
      <c r="A969" s="479">
        <v>1174</v>
      </c>
      <c r="B969" s="19" t="s">
        <v>379</v>
      </c>
      <c r="C969" t="s">
        <v>139</v>
      </c>
      <c r="D969" s="190">
        <v>1174</v>
      </c>
      <c r="E969" s="192">
        <v>9035</v>
      </c>
      <c r="F969" s="192">
        <v>9388</v>
      </c>
      <c r="G969" s="481">
        <v>244</v>
      </c>
      <c r="H969" s="19"/>
      <c r="I969" s="19"/>
      <c r="M969" s="19"/>
    </row>
    <row r="970" spans="1:13">
      <c r="A970" s="479">
        <v>1144</v>
      </c>
      <c r="B970" s="19" t="s">
        <v>380</v>
      </c>
      <c r="C970" t="s">
        <v>139</v>
      </c>
      <c r="D970" s="190">
        <v>1144</v>
      </c>
      <c r="E970" s="192">
        <v>8079</v>
      </c>
      <c r="F970" s="192">
        <v>7455</v>
      </c>
      <c r="G970" s="481">
        <v>236</v>
      </c>
      <c r="H970" s="19"/>
      <c r="I970" s="19"/>
      <c r="M970" s="19"/>
    </row>
    <row r="971" spans="1:13">
      <c r="A971" s="479">
        <v>1085</v>
      </c>
      <c r="B971" s="19" t="s">
        <v>381</v>
      </c>
      <c r="C971" t="s">
        <v>139</v>
      </c>
      <c r="D971" s="190">
        <v>1085</v>
      </c>
      <c r="E971" s="192">
        <v>5936</v>
      </c>
      <c r="F971" s="192">
        <v>7207</v>
      </c>
      <c r="G971" s="481">
        <v>223</v>
      </c>
      <c r="H971" s="19"/>
      <c r="I971" s="19"/>
      <c r="M971" s="19"/>
    </row>
    <row r="972" spans="1:13">
      <c r="A972" s="479">
        <v>1304</v>
      </c>
      <c r="B972" s="19" t="s">
        <v>382</v>
      </c>
      <c r="C972" t="s">
        <v>139</v>
      </c>
      <c r="D972" s="190">
        <v>1304</v>
      </c>
      <c r="E972" s="192">
        <v>10203</v>
      </c>
      <c r="F972" s="192">
        <v>9435</v>
      </c>
      <c r="G972" s="481">
        <v>376</v>
      </c>
      <c r="H972" s="19"/>
      <c r="I972" s="19"/>
      <c r="M972" s="19"/>
    </row>
    <row r="973" spans="1:13">
      <c r="A973" s="479">
        <v>1115</v>
      </c>
      <c r="B973" s="19" t="s">
        <v>383</v>
      </c>
      <c r="C973" t="s">
        <v>139</v>
      </c>
      <c r="D973" s="190">
        <v>1115</v>
      </c>
      <c r="E973" s="192">
        <v>8528</v>
      </c>
      <c r="F973" s="192">
        <v>7758</v>
      </c>
      <c r="G973" s="481">
        <v>278</v>
      </c>
      <c r="H973" s="19"/>
      <c r="I973" s="19"/>
      <c r="M973" s="19"/>
    </row>
    <row r="974" spans="1:13">
      <c r="A974" s="479">
        <v>1427</v>
      </c>
      <c r="B974" s="19" t="s">
        <v>384</v>
      </c>
      <c r="C974" t="s">
        <v>139</v>
      </c>
      <c r="D974" s="190">
        <v>1427</v>
      </c>
      <c r="E974" s="192">
        <v>7050</v>
      </c>
      <c r="F974" s="192">
        <v>7103</v>
      </c>
      <c r="G974" s="481">
        <v>215</v>
      </c>
      <c r="H974" s="19"/>
      <c r="I974" s="19"/>
      <c r="M974" s="19"/>
    </row>
    <row r="975" spans="1:13">
      <c r="A975" s="479">
        <v>1043</v>
      </c>
      <c r="B975" s="19" t="s">
        <v>385</v>
      </c>
      <c r="C975" t="s">
        <v>139</v>
      </c>
      <c r="D975" s="190">
        <v>1043</v>
      </c>
      <c r="E975" s="192">
        <v>8261</v>
      </c>
      <c r="F975" s="192">
        <v>8404</v>
      </c>
      <c r="G975" s="481">
        <v>236</v>
      </c>
      <c r="H975" s="19"/>
      <c r="I975" s="19"/>
      <c r="M975" s="19"/>
    </row>
    <row r="976" spans="1:13">
      <c r="A976" s="479">
        <v>1195</v>
      </c>
      <c r="B976" s="19" t="s">
        <v>386</v>
      </c>
      <c r="C976" t="s">
        <v>139</v>
      </c>
      <c r="D976" s="190">
        <v>1195</v>
      </c>
      <c r="E976" s="192">
        <v>11557</v>
      </c>
      <c r="F976" s="192">
        <v>11338</v>
      </c>
      <c r="G976" s="481">
        <v>450</v>
      </c>
      <c r="H976" s="19"/>
      <c r="I976" s="19"/>
      <c r="M976" s="19"/>
    </row>
    <row r="977" spans="1:13">
      <c r="A977" s="479">
        <v>1325</v>
      </c>
      <c r="B977" s="19" t="s">
        <v>387</v>
      </c>
      <c r="C977" t="s">
        <v>139</v>
      </c>
      <c r="D977" s="190">
        <v>1325</v>
      </c>
      <c r="E977" s="192">
        <v>5495</v>
      </c>
      <c r="F977" s="192">
        <v>5193</v>
      </c>
      <c r="G977" s="481">
        <v>375</v>
      </c>
      <c r="H977" s="19"/>
      <c r="I977" s="19"/>
      <c r="M977" s="19"/>
    </row>
    <row r="978" spans="1:13">
      <c r="A978" s="479">
        <v>1439</v>
      </c>
      <c r="B978" s="19" t="s">
        <v>388</v>
      </c>
      <c r="C978" t="s">
        <v>139</v>
      </c>
      <c r="D978" s="190">
        <v>1439</v>
      </c>
      <c r="E978" s="192">
        <v>6108</v>
      </c>
      <c r="F978" s="192">
        <v>6645</v>
      </c>
      <c r="G978" s="481">
        <v>176</v>
      </c>
      <c r="H978" s="19"/>
      <c r="I978" s="19"/>
      <c r="M978" s="19"/>
    </row>
    <row r="979" spans="1:13">
      <c r="A979" s="479">
        <v>1267</v>
      </c>
      <c r="B979" s="19" t="s">
        <v>389</v>
      </c>
      <c r="C979" t="s">
        <v>139</v>
      </c>
      <c r="D979" s="190">
        <v>1267</v>
      </c>
      <c r="E979" s="192">
        <v>10810</v>
      </c>
      <c r="F979" s="192">
        <v>11025</v>
      </c>
      <c r="G979" s="481">
        <v>388</v>
      </c>
      <c r="H979" s="19"/>
      <c r="I979" s="19"/>
      <c r="M979" s="19"/>
    </row>
    <row r="980" spans="1:13">
      <c r="A980" s="479">
        <v>1354</v>
      </c>
      <c r="B980" s="19" t="s">
        <v>390</v>
      </c>
      <c r="C980" t="s">
        <v>139</v>
      </c>
      <c r="D980" s="190">
        <v>1354</v>
      </c>
      <c r="E980" s="192">
        <v>5755</v>
      </c>
      <c r="F980" s="192">
        <v>7363</v>
      </c>
      <c r="G980" s="481">
        <v>204</v>
      </c>
      <c r="H980" s="19"/>
      <c r="I980" s="19"/>
      <c r="M980" s="19"/>
    </row>
    <row r="981" spans="1:13">
      <c r="A981" s="479">
        <v>1172</v>
      </c>
      <c r="B981" s="19" t="s">
        <v>391</v>
      </c>
      <c r="C981" t="s">
        <v>139</v>
      </c>
      <c r="D981" s="190">
        <v>1172</v>
      </c>
      <c r="E981" s="192">
        <v>12707</v>
      </c>
      <c r="F981" s="192">
        <v>12934</v>
      </c>
      <c r="G981" s="481">
        <v>377</v>
      </c>
      <c r="H981" s="19"/>
      <c r="I981" s="19"/>
      <c r="M981" s="19"/>
    </row>
    <row r="982" spans="1:13">
      <c r="A982" s="479">
        <v>1148</v>
      </c>
      <c r="B982" s="19" t="s">
        <v>392</v>
      </c>
      <c r="C982" t="s">
        <v>139</v>
      </c>
      <c r="D982" s="190">
        <v>1148</v>
      </c>
      <c r="E982" s="192">
        <v>6636</v>
      </c>
      <c r="F982" s="192">
        <v>7314</v>
      </c>
      <c r="G982" s="481">
        <v>282</v>
      </c>
      <c r="H982" s="19"/>
      <c r="I982" s="19"/>
      <c r="M982" s="19"/>
    </row>
    <row r="983" spans="1:13">
      <c r="A983" s="479">
        <v>1116</v>
      </c>
      <c r="B983" s="19" t="s">
        <v>393</v>
      </c>
      <c r="C983" t="s">
        <v>139</v>
      </c>
      <c r="D983" s="190">
        <v>1116</v>
      </c>
      <c r="E983" s="192">
        <v>8018</v>
      </c>
      <c r="F983" s="192">
        <v>7987</v>
      </c>
      <c r="G983" s="481">
        <v>198</v>
      </c>
      <c r="H983" s="19"/>
      <c r="I983" s="19"/>
      <c r="M983" s="19"/>
    </row>
    <row r="984" spans="1:13">
      <c r="A984" s="479">
        <v>1421</v>
      </c>
      <c r="B984" s="19" t="s">
        <v>394</v>
      </c>
      <c r="C984" t="s">
        <v>139</v>
      </c>
      <c r="D984" s="190">
        <v>1421</v>
      </c>
      <c r="E984" s="192">
        <v>6031</v>
      </c>
      <c r="F984" s="192">
        <v>7385</v>
      </c>
      <c r="G984" s="481">
        <v>166</v>
      </c>
      <c r="H984" s="19"/>
      <c r="I984" s="19"/>
      <c r="M984" s="19"/>
    </row>
    <row r="985" spans="1:13">
      <c r="A985" s="479">
        <v>1613</v>
      </c>
      <c r="B985" s="19" t="s">
        <v>395</v>
      </c>
      <c r="C985" t="s">
        <v>139</v>
      </c>
      <c r="D985" s="190">
        <v>1613</v>
      </c>
      <c r="E985" s="192">
        <v>6441</v>
      </c>
      <c r="F985" s="192">
        <v>6950</v>
      </c>
      <c r="G985" s="481">
        <v>252</v>
      </c>
      <c r="H985" s="19"/>
      <c r="I985" s="19"/>
      <c r="M985" s="19"/>
    </row>
    <row r="986" spans="1:13">
      <c r="A986" s="479">
        <v>1261</v>
      </c>
      <c r="B986" s="19" t="s">
        <v>396</v>
      </c>
      <c r="C986" t="s">
        <v>139</v>
      </c>
      <c r="D986" s="190">
        <v>1261</v>
      </c>
      <c r="E986" s="192">
        <v>6975</v>
      </c>
      <c r="F986" s="192">
        <v>8555</v>
      </c>
      <c r="G986" s="481">
        <v>261</v>
      </c>
      <c r="H986" s="19"/>
      <c r="I986" s="19"/>
      <c r="M986" s="19"/>
    </row>
    <row r="987" spans="1:13">
      <c r="A987" s="479">
        <v>1122</v>
      </c>
      <c r="B987" s="19" t="s">
        <v>397</v>
      </c>
      <c r="C987" t="s">
        <v>139</v>
      </c>
      <c r="D987" s="190">
        <v>1122</v>
      </c>
      <c r="E987" s="192">
        <v>8207</v>
      </c>
      <c r="F987" s="192">
        <v>8465</v>
      </c>
      <c r="G987" s="481">
        <v>200</v>
      </c>
      <c r="H987" s="19"/>
      <c r="I987" s="19"/>
      <c r="M987" s="19"/>
    </row>
    <row r="988" spans="1:13">
      <c r="A988" s="479">
        <v>1545</v>
      </c>
      <c r="B988" s="19" t="s">
        <v>398</v>
      </c>
      <c r="C988" t="s">
        <v>139</v>
      </c>
      <c r="D988" s="190">
        <v>1545</v>
      </c>
      <c r="E988" s="192">
        <v>6099</v>
      </c>
      <c r="F988" s="192">
        <v>7673</v>
      </c>
      <c r="G988" s="481">
        <v>208</v>
      </c>
      <c r="H988" s="19"/>
      <c r="I988" s="19"/>
      <c r="M988" s="19"/>
    </row>
    <row r="989" spans="1:13">
      <c r="A989" s="479">
        <v>1307</v>
      </c>
      <c r="B989" s="19" t="s">
        <v>399</v>
      </c>
      <c r="C989" t="s">
        <v>139</v>
      </c>
      <c r="D989" s="190">
        <v>1307</v>
      </c>
      <c r="E989" s="192">
        <v>7758</v>
      </c>
      <c r="F989" s="192">
        <v>6901</v>
      </c>
      <c r="G989" s="481">
        <v>312</v>
      </c>
      <c r="H989" s="19"/>
      <c r="I989" s="19"/>
      <c r="M989" s="19"/>
    </row>
    <row r="990" spans="1:13">
      <c r="A990" s="479">
        <v>1083</v>
      </c>
      <c r="B990" s="19" t="s">
        <v>400</v>
      </c>
      <c r="C990" t="s">
        <v>139</v>
      </c>
      <c r="D990" s="190">
        <v>1083</v>
      </c>
      <c r="E990" s="192">
        <v>7232</v>
      </c>
      <c r="F990" s="192">
        <v>8053</v>
      </c>
      <c r="G990" s="481">
        <v>224</v>
      </c>
      <c r="H990" s="19"/>
      <c r="I990" s="19"/>
      <c r="M990" s="19"/>
    </row>
    <row r="991" spans="1:13">
      <c r="A991" s="479">
        <v>1088</v>
      </c>
      <c r="B991" s="19" t="s">
        <v>401</v>
      </c>
      <c r="C991" t="s">
        <v>139</v>
      </c>
      <c r="D991" s="190">
        <v>1088</v>
      </c>
      <c r="E991" s="192">
        <v>7211</v>
      </c>
      <c r="F991" s="192">
        <v>7274</v>
      </c>
      <c r="G991" s="481">
        <v>160</v>
      </c>
      <c r="H991" s="19"/>
      <c r="I991" s="19"/>
      <c r="M991" s="19"/>
    </row>
    <row r="992" spans="1:13">
      <c r="A992" s="479">
        <v>1261</v>
      </c>
      <c r="B992" s="19" t="s">
        <v>402</v>
      </c>
      <c r="C992" t="s">
        <v>139</v>
      </c>
      <c r="D992" s="190">
        <v>1261</v>
      </c>
      <c r="E992" s="192">
        <v>8255</v>
      </c>
      <c r="F992" s="192">
        <v>9236</v>
      </c>
      <c r="G992" s="481">
        <v>420</v>
      </c>
      <c r="H992" s="19"/>
      <c r="I992" s="19"/>
      <c r="M992" s="19"/>
    </row>
    <row r="993" spans="1:13">
      <c r="A993" s="479">
        <v>1436</v>
      </c>
      <c r="B993" s="19" t="s">
        <v>403</v>
      </c>
      <c r="C993" t="s">
        <v>139</v>
      </c>
      <c r="D993" s="190">
        <v>1436</v>
      </c>
      <c r="E993" s="192">
        <v>7873</v>
      </c>
      <c r="F993" s="192">
        <v>7159</v>
      </c>
      <c r="G993" s="481">
        <v>196</v>
      </c>
      <c r="H993" s="19"/>
      <c r="I993" s="19"/>
      <c r="M993" s="19"/>
    </row>
    <row r="994" spans="1:13">
      <c r="A994" s="479">
        <v>1165</v>
      </c>
      <c r="B994" s="19" t="s">
        <v>404</v>
      </c>
      <c r="C994" t="s">
        <v>139</v>
      </c>
      <c r="D994" s="190">
        <v>1165</v>
      </c>
      <c r="E994" s="192">
        <v>8914</v>
      </c>
      <c r="F994" s="192">
        <v>11090</v>
      </c>
      <c r="G994" s="481">
        <v>324</v>
      </c>
      <c r="H994" s="19"/>
      <c r="I994" s="19"/>
      <c r="M994" s="19"/>
    </row>
    <row r="995" spans="1:13">
      <c r="A995" s="479">
        <v>1856</v>
      </c>
      <c r="B995" s="19" t="s">
        <v>405</v>
      </c>
      <c r="C995" t="s">
        <v>139</v>
      </c>
      <c r="D995" s="190">
        <v>1856</v>
      </c>
      <c r="E995" s="192">
        <v>6793</v>
      </c>
      <c r="F995" s="192">
        <v>5272</v>
      </c>
      <c r="G995" s="481">
        <v>175</v>
      </c>
      <c r="H995" s="19"/>
      <c r="I995" s="19"/>
      <c r="M995" s="19"/>
    </row>
    <row r="996" spans="1:13">
      <c r="A996" s="479">
        <v>1420</v>
      </c>
      <c r="B996" s="19" t="s">
        <v>406</v>
      </c>
      <c r="C996" t="s">
        <v>139</v>
      </c>
      <c r="D996" s="190">
        <v>1420</v>
      </c>
      <c r="E996" s="192">
        <v>5301</v>
      </c>
      <c r="F996" s="192">
        <v>6839</v>
      </c>
      <c r="G996" s="481">
        <v>312</v>
      </c>
      <c r="H996" s="19"/>
      <c r="I996" s="19"/>
      <c r="M996" s="19"/>
    </row>
    <row r="997" spans="1:13">
      <c r="A997" s="479">
        <v>1189</v>
      </c>
      <c r="B997" s="19" t="s">
        <v>407</v>
      </c>
      <c r="C997" t="s">
        <v>139</v>
      </c>
      <c r="D997" s="190">
        <v>1189</v>
      </c>
      <c r="E997" s="192">
        <v>8214</v>
      </c>
      <c r="F997" s="192">
        <v>7254</v>
      </c>
      <c r="G997" s="481">
        <v>240</v>
      </c>
      <c r="H997" s="19"/>
      <c r="I997" s="19"/>
      <c r="M997" s="19"/>
    </row>
    <row r="998" spans="1:13">
      <c r="A998" s="479">
        <v>1308</v>
      </c>
      <c r="B998" s="19" t="s">
        <v>408</v>
      </c>
      <c r="C998" t="s">
        <v>139</v>
      </c>
      <c r="D998" s="190">
        <v>1308</v>
      </c>
      <c r="E998" s="192">
        <v>8309</v>
      </c>
      <c r="F998" s="192">
        <v>7377</v>
      </c>
      <c r="G998" s="481">
        <v>208</v>
      </c>
      <c r="H998" s="19"/>
      <c r="I998" s="19"/>
      <c r="M998" s="19"/>
    </row>
    <row r="999" spans="1:13">
      <c r="A999" s="479">
        <v>1429</v>
      </c>
      <c r="B999" s="19" t="s">
        <v>409</v>
      </c>
      <c r="C999" t="s">
        <v>139</v>
      </c>
      <c r="D999" s="190">
        <v>1429</v>
      </c>
      <c r="E999" s="192">
        <v>9067</v>
      </c>
      <c r="F999" s="192">
        <v>7314</v>
      </c>
      <c r="G999" s="481">
        <v>256</v>
      </c>
      <c r="H999" s="19"/>
      <c r="I999" s="19"/>
      <c r="M999" s="19"/>
    </row>
    <row r="1000" spans="1:13">
      <c r="A1000" s="479">
        <v>1148</v>
      </c>
      <c r="B1000" s="19" t="s">
        <v>410</v>
      </c>
      <c r="C1000" t="s">
        <v>139</v>
      </c>
      <c r="D1000" s="190">
        <v>1148</v>
      </c>
      <c r="E1000" s="192">
        <v>6166</v>
      </c>
      <c r="F1000" s="192">
        <v>6427</v>
      </c>
      <c r="G1000" s="481">
        <v>269</v>
      </c>
      <c r="H1000" s="19"/>
      <c r="I1000" s="19"/>
      <c r="M1000" s="19"/>
    </row>
    <row r="1001" spans="1:13">
      <c r="A1001" s="479">
        <v>1375</v>
      </c>
      <c r="B1001" s="19" t="s">
        <v>411</v>
      </c>
      <c r="C1001" t="s">
        <v>139</v>
      </c>
      <c r="D1001" s="190">
        <v>1375</v>
      </c>
      <c r="E1001" s="192">
        <v>7290</v>
      </c>
      <c r="F1001" s="192">
        <v>7092</v>
      </c>
      <c r="G1001" s="481">
        <v>312</v>
      </c>
      <c r="H1001" s="19"/>
      <c r="I1001" s="19"/>
      <c r="M1001" s="19"/>
    </row>
    <row r="1002" spans="1:13">
      <c r="A1002" s="479">
        <v>1035</v>
      </c>
      <c r="B1002" s="19" t="s">
        <v>412</v>
      </c>
      <c r="C1002" t="s">
        <v>139</v>
      </c>
      <c r="D1002" s="190">
        <v>1035</v>
      </c>
      <c r="E1002" s="192">
        <v>8125</v>
      </c>
      <c r="F1002" s="192">
        <v>8844</v>
      </c>
      <c r="G1002" s="481">
        <v>266</v>
      </c>
      <c r="H1002" s="19"/>
      <c r="I1002" s="19"/>
      <c r="M1002" s="19"/>
    </row>
    <row r="1003" spans="1:13">
      <c r="A1003" s="479">
        <v>1357</v>
      </c>
      <c r="B1003" s="19" t="s">
        <v>413</v>
      </c>
      <c r="C1003" t="s">
        <v>139</v>
      </c>
      <c r="D1003" s="190">
        <v>1357</v>
      </c>
      <c r="E1003" s="192">
        <v>5439</v>
      </c>
      <c r="F1003" s="192">
        <v>5028</v>
      </c>
      <c r="G1003" s="481">
        <v>234</v>
      </c>
      <c r="H1003" s="19"/>
      <c r="I1003" s="19"/>
      <c r="M1003" s="19"/>
    </row>
    <row r="1004" spans="1:13">
      <c r="A1004" s="479">
        <v>1551</v>
      </c>
      <c r="B1004" s="19" t="s">
        <v>414</v>
      </c>
      <c r="C1004" t="s">
        <v>139</v>
      </c>
      <c r="D1004" s="190">
        <v>1551</v>
      </c>
      <c r="E1004" s="192">
        <v>6767</v>
      </c>
      <c r="F1004" s="192">
        <v>5519</v>
      </c>
      <c r="G1004" s="481">
        <v>160</v>
      </c>
      <c r="H1004" s="19"/>
      <c r="I1004" s="19"/>
      <c r="M1004" s="19"/>
    </row>
    <row r="1005" spans="1:13">
      <c r="A1005" s="479">
        <v>1117</v>
      </c>
      <c r="B1005" s="19" t="s">
        <v>415</v>
      </c>
      <c r="C1005" t="s">
        <v>139</v>
      </c>
      <c r="D1005" s="190">
        <v>1117</v>
      </c>
      <c r="E1005" s="192">
        <v>8482</v>
      </c>
      <c r="F1005" s="192">
        <v>9632</v>
      </c>
      <c r="G1005" s="481">
        <v>265</v>
      </c>
      <c r="H1005" s="19"/>
      <c r="I1005" s="19"/>
      <c r="M1005" s="19"/>
    </row>
    <row r="1006" spans="1:13">
      <c r="A1006" s="479">
        <v>1846</v>
      </c>
      <c r="B1006" s="19" t="s">
        <v>416</v>
      </c>
      <c r="C1006" t="s">
        <v>139</v>
      </c>
      <c r="D1006" s="190">
        <v>1846</v>
      </c>
      <c r="E1006" s="192">
        <v>5983</v>
      </c>
      <c r="F1006" s="192">
        <v>5820</v>
      </c>
      <c r="G1006" s="481">
        <v>302</v>
      </c>
      <c r="H1006" s="19"/>
      <c r="I1006" s="19"/>
      <c r="M1006" s="19"/>
    </row>
    <row r="1007" spans="1:13">
      <c r="A1007" s="479">
        <v>1071</v>
      </c>
      <c r="B1007" s="19" t="s">
        <v>417</v>
      </c>
      <c r="C1007" t="s">
        <v>139</v>
      </c>
      <c r="D1007" s="190">
        <v>1071</v>
      </c>
      <c r="E1007" s="192">
        <v>9795</v>
      </c>
      <c r="F1007" s="192">
        <v>10104</v>
      </c>
      <c r="G1007" s="481">
        <v>161</v>
      </c>
      <c r="H1007" s="19"/>
      <c r="I1007" s="19"/>
      <c r="M1007" s="19"/>
    </row>
    <row r="1008" spans="1:13">
      <c r="A1008" s="479">
        <v>1428</v>
      </c>
      <c r="B1008" s="19" t="s">
        <v>418</v>
      </c>
      <c r="C1008" t="s">
        <v>139</v>
      </c>
      <c r="D1008" s="190">
        <v>1428</v>
      </c>
      <c r="E1008" s="192">
        <v>4670</v>
      </c>
      <c r="F1008" s="192">
        <v>5911</v>
      </c>
      <c r="G1008" s="481">
        <v>219</v>
      </c>
      <c r="H1008" s="19"/>
      <c r="I1008" s="19"/>
      <c r="M1008" s="19"/>
    </row>
    <row r="1009" spans="1:13">
      <c r="A1009" s="479">
        <v>1128</v>
      </c>
      <c r="B1009" s="19" t="s">
        <v>419</v>
      </c>
      <c r="C1009" t="s">
        <v>139</v>
      </c>
      <c r="D1009" s="190">
        <v>1128</v>
      </c>
      <c r="E1009" s="192">
        <v>8120</v>
      </c>
      <c r="F1009" s="192">
        <v>7859</v>
      </c>
      <c r="G1009" s="481">
        <v>246</v>
      </c>
      <c r="H1009" s="19"/>
      <c r="I1009" s="19"/>
      <c r="M1009" s="19"/>
    </row>
    <row r="1010" spans="1:13">
      <c r="A1010" s="479">
        <v>1274</v>
      </c>
      <c r="B1010" s="19" t="s">
        <v>420</v>
      </c>
      <c r="C1010" t="s">
        <v>139</v>
      </c>
      <c r="D1010" s="190">
        <v>1274</v>
      </c>
      <c r="E1010" s="192">
        <v>11020</v>
      </c>
      <c r="F1010" s="192">
        <v>11838</v>
      </c>
      <c r="G1010" s="481">
        <v>218</v>
      </c>
      <c r="H1010" s="19"/>
      <c r="I1010" s="19"/>
      <c r="M1010" s="19"/>
    </row>
    <row r="1011" spans="1:13">
      <c r="A1011" s="479">
        <v>1406</v>
      </c>
      <c r="B1011" s="19" t="s">
        <v>421</v>
      </c>
      <c r="C1011" t="s">
        <v>139</v>
      </c>
      <c r="D1011" s="190">
        <v>1406</v>
      </c>
      <c r="E1011" s="192">
        <v>6170</v>
      </c>
      <c r="F1011" s="192">
        <v>7115</v>
      </c>
      <c r="G1011" s="481">
        <v>199</v>
      </c>
      <c r="H1011" s="19"/>
      <c r="I1011" s="19"/>
      <c r="M1011" s="19"/>
    </row>
    <row r="1012" spans="1:13">
      <c r="A1012" s="479">
        <v>1322</v>
      </c>
      <c r="B1012" s="19" t="s">
        <v>422</v>
      </c>
      <c r="C1012" t="s">
        <v>139</v>
      </c>
      <c r="D1012" s="190">
        <v>1322</v>
      </c>
      <c r="E1012" s="192">
        <v>6358</v>
      </c>
      <c r="F1012" s="192">
        <v>7016</v>
      </c>
      <c r="G1012" s="481">
        <v>290</v>
      </c>
      <c r="H1012" s="19"/>
      <c r="I1012" s="19"/>
      <c r="M1012" s="19"/>
    </row>
    <row r="1013" spans="1:13">
      <c r="A1013" s="479">
        <v>1513</v>
      </c>
      <c r="B1013" s="19" t="s">
        <v>423</v>
      </c>
      <c r="C1013" t="s">
        <v>139</v>
      </c>
      <c r="D1013" s="190">
        <v>1513</v>
      </c>
      <c r="E1013" s="192">
        <v>6707</v>
      </c>
      <c r="F1013" s="192">
        <v>6304</v>
      </c>
      <c r="G1013" s="481">
        <v>349</v>
      </c>
      <c r="H1013" s="19"/>
      <c r="I1013" s="19"/>
      <c r="M1013" s="19"/>
    </row>
    <row r="1014" spans="1:13">
      <c r="A1014" s="479">
        <v>1432</v>
      </c>
      <c r="B1014" s="19" t="s">
        <v>424</v>
      </c>
      <c r="C1014" t="s">
        <v>139</v>
      </c>
      <c r="D1014" s="190">
        <v>1432</v>
      </c>
      <c r="E1014" s="192">
        <v>5740</v>
      </c>
      <c r="F1014" s="192">
        <v>6483</v>
      </c>
      <c r="G1014" s="481">
        <v>219</v>
      </c>
      <c r="H1014" s="19"/>
      <c r="I1014" s="19"/>
      <c r="M1014" s="19"/>
    </row>
    <row r="1015" spans="1:13">
      <c r="A1015" s="479">
        <v>1063</v>
      </c>
      <c r="B1015" s="19" t="s">
        <v>425</v>
      </c>
      <c r="C1015" t="s">
        <v>139</v>
      </c>
      <c r="D1015" s="190">
        <v>1063</v>
      </c>
      <c r="E1015" s="192">
        <v>6452</v>
      </c>
      <c r="F1015" s="192">
        <v>7245</v>
      </c>
      <c r="G1015" s="481">
        <v>312</v>
      </c>
      <c r="H1015" s="19"/>
      <c r="I1015" s="19"/>
      <c r="M1015" s="19"/>
    </row>
    <row r="1016" spans="1:13">
      <c r="A1016" s="479">
        <v>1426</v>
      </c>
      <c r="B1016" s="19" t="s">
        <v>426</v>
      </c>
      <c r="C1016" t="s">
        <v>139</v>
      </c>
      <c r="D1016" s="190">
        <v>1426</v>
      </c>
      <c r="E1016" s="192">
        <v>6656</v>
      </c>
      <c r="F1016" s="192">
        <v>8039</v>
      </c>
      <c r="G1016" s="481">
        <v>202</v>
      </c>
      <c r="H1016" s="19"/>
      <c r="I1016" s="19"/>
      <c r="M1016" s="19"/>
    </row>
    <row r="1017" spans="1:13">
      <c r="A1017" s="479">
        <v>1136</v>
      </c>
      <c r="B1017" s="19" t="s">
        <v>427</v>
      </c>
      <c r="C1017" t="s">
        <v>139</v>
      </c>
      <c r="D1017" s="190">
        <v>1136</v>
      </c>
      <c r="E1017" s="192">
        <v>9553</v>
      </c>
      <c r="F1017" s="192">
        <v>9078</v>
      </c>
      <c r="G1017" s="481">
        <v>295</v>
      </c>
      <c r="H1017" s="19"/>
      <c r="I1017" s="19"/>
      <c r="M1017" s="19"/>
    </row>
    <row r="1018" spans="1:13">
      <c r="A1018" s="479">
        <v>1184</v>
      </c>
      <c r="B1018" s="19" t="s">
        <v>428</v>
      </c>
      <c r="C1018" t="s">
        <v>139</v>
      </c>
      <c r="D1018" s="190">
        <v>1184</v>
      </c>
      <c r="E1018" s="192">
        <v>9882</v>
      </c>
      <c r="F1018" s="192">
        <v>10150</v>
      </c>
      <c r="G1018" s="481">
        <v>299</v>
      </c>
      <c r="H1018" s="19"/>
      <c r="I1018" s="19"/>
      <c r="M1018" s="19"/>
    </row>
    <row r="1019" spans="1:13">
      <c r="A1019" s="479">
        <v>1187</v>
      </c>
      <c r="B1019" s="19" t="s">
        <v>429</v>
      </c>
      <c r="C1019" t="s">
        <v>139</v>
      </c>
      <c r="D1019" s="190">
        <v>1187</v>
      </c>
      <c r="E1019" s="192">
        <v>7830</v>
      </c>
      <c r="F1019" s="192">
        <v>8551</v>
      </c>
      <c r="G1019" s="481">
        <v>145</v>
      </c>
      <c r="H1019" s="19"/>
      <c r="I1019" s="19"/>
      <c r="M1019" s="19"/>
    </row>
    <row r="1020" spans="1:13">
      <c r="A1020" s="479">
        <v>1434</v>
      </c>
      <c r="B1020" s="19" t="s">
        <v>430</v>
      </c>
      <c r="C1020" t="s">
        <v>139</v>
      </c>
      <c r="D1020" s="190">
        <v>1434</v>
      </c>
      <c r="E1020" s="192">
        <v>6687</v>
      </c>
      <c r="F1020" s="192">
        <v>7670</v>
      </c>
      <c r="G1020" s="481">
        <v>101</v>
      </c>
      <c r="H1020" s="19"/>
      <c r="I1020" s="19"/>
      <c r="M1020" s="19"/>
    </row>
    <row r="1021" spans="1:13">
      <c r="A1021" s="479">
        <v>1525</v>
      </c>
      <c r="B1021" s="19" t="s">
        <v>431</v>
      </c>
      <c r="C1021" t="s">
        <v>139</v>
      </c>
      <c r="D1021" s="190">
        <v>1525</v>
      </c>
      <c r="E1021" s="192">
        <v>5891</v>
      </c>
      <c r="F1021" s="192">
        <v>5693</v>
      </c>
      <c r="G1021" s="481">
        <v>245</v>
      </c>
      <c r="H1021" s="19"/>
      <c r="I1021" s="19"/>
      <c r="M1021" s="19"/>
    </row>
    <row r="1022" spans="1:13">
      <c r="A1022" s="479">
        <v>1268</v>
      </c>
      <c r="B1022" s="19" t="s">
        <v>432</v>
      </c>
      <c r="C1022" t="s">
        <v>139</v>
      </c>
      <c r="D1022" s="190">
        <v>1268</v>
      </c>
      <c r="E1022" s="192">
        <v>9935</v>
      </c>
      <c r="F1022" s="192">
        <v>10575</v>
      </c>
      <c r="G1022" s="481">
        <v>196</v>
      </c>
      <c r="H1022" s="19"/>
      <c r="I1022" s="19"/>
      <c r="M1022" s="19"/>
    </row>
    <row r="1023" spans="1:13">
      <c r="A1023" s="479">
        <v>1317</v>
      </c>
      <c r="B1023" s="19" t="s">
        <v>433</v>
      </c>
      <c r="C1023" t="s">
        <v>139</v>
      </c>
      <c r="D1023" s="190">
        <v>1317</v>
      </c>
      <c r="E1023" s="192">
        <v>8156</v>
      </c>
      <c r="F1023" s="192">
        <v>7682</v>
      </c>
      <c r="G1023" s="481">
        <v>312</v>
      </c>
      <c r="H1023" s="19"/>
      <c r="I1023" s="19"/>
      <c r="M1023" s="19"/>
    </row>
    <row r="1024" spans="1:13">
      <c r="A1024" s="479">
        <v>1071</v>
      </c>
      <c r="B1024" s="19" t="s">
        <v>434</v>
      </c>
      <c r="C1024" t="s">
        <v>139</v>
      </c>
      <c r="D1024" s="190">
        <v>1071</v>
      </c>
      <c r="E1024" s="192">
        <v>10375</v>
      </c>
      <c r="F1024" s="192">
        <v>11425</v>
      </c>
      <c r="G1024" s="481">
        <v>450</v>
      </c>
      <c r="H1024" s="19"/>
      <c r="I1024" s="19"/>
      <c r="M1024" s="19"/>
    </row>
    <row r="1025" spans="1:13">
      <c r="A1025" s="479">
        <v>1565</v>
      </c>
      <c r="B1025" s="19" t="s">
        <v>435</v>
      </c>
      <c r="C1025" t="s">
        <v>139</v>
      </c>
      <c r="D1025" s="190">
        <v>1565</v>
      </c>
      <c r="E1025" s="192">
        <v>5725</v>
      </c>
      <c r="F1025" s="192">
        <v>4560</v>
      </c>
      <c r="G1025" s="481">
        <v>312</v>
      </c>
      <c r="H1025" s="19"/>
      <c r="I1025" s="19"/>
      <c r="M1025" s="19"/>
    </row>
    <row r="1026" spans="1:13">
      <c r="A1026" s="479">
        <v>1078</v>
      </c>
      <c r="B1026" s="19" t="s">
        <v>436</v>
      </c>
      <c r="C1026" t="s">
        <v>139</v>
      </c>
      <c r="D1026" s="190">
        <v>1078</v>
      </c>
      <c r="E1026" s="192">
        <v>6666</v>
      </c>
      <c r="F1026" s="192">
        <v>7946</v>
      </c>
      <c r="G1026" s="481">
        <v>312</v>
      </c>
      <c r="H1026" s="19"/>
      <c r="I1026" s="19"/>
      <c r="M1026" s="19"/>
    </row>
    <row r="1027" spans="1:13">
      <c r="A1027" s="479">
        <v>1134</v>
      </c>
      <c r="B1027" s="19" t="s">
        <v>437</v>
      </c>
      <c r="C1027" t="s">
        <v>139</v>
      </c>
      <c r="D1027" s="190">
        <v>1134</v>
      </c>
      <c r="E1027" s="192">
        <v>11331</v>
      </c>
      <c r="F1027" s="192">
        <v>10765</v>
      </c>
      <c r="G1027" s="481">
        <v>312</v>
      </c>
      <c r="H1027" s="19"/>
      <c r="I1027" s="19"/>
      <c r="M1027" s="19"/>
    </row>
    <row r="1028" spans="1:13">
      <c r="A1028" s="479">
        <v>1430</v>
      </c>
      <c r="B1028" s="19" t="s">
        <v>438</v>
      </c>
      <c r="C1028" t="s">
        <v>139</v>
      </c>
      <c r="D1028" s="190">
        <v>1430</v>
      </c>
      <c r="E1028" s="192">
        <v>7465</v>
      </c>
      <c r="F1028" s="192">
        <v>6488</v>
      </c>
      <c r="G1028" s="481">
        <v>133</v>
      </c>
      <c r="H1028" s="19"/>
      <c r="I1028" s="19"/>
      <c r="M1028" s="19"/>
    </row>
    <row r="1029" spans="1:13">
      <c r="A1029" s="479">
        <v>1313</v>
      </c>
      <c r="B1029" s="19" t="s">
        <v>439</v>
      </c>
      <c r="C1029" t="s">
        <v>139</v>
      </c>
      <c r="D1029" s="190">
        <v>1313</v>
      </c>
      <c r="E1029" s="192">
        <v>7479</v>
      </c>
      <c r="F1029" s="192">
        <v>4880</v>
      </c>
      <c r="G1029" s="481">
        <v>217</v>
      </c>
      <c r="H1029" s="19"/>
      <c r="I1029" s="19"/>
      <c r="M1029" s="19"/>
    </row>
    <row r="1030" spans="1:13">
      <c r="A1030" s="479">
        <v>1521</v>
      </c>
      <c r="B1030" s="19" t="s">
        <v>440</v>
      </c>
      <c r="C1030" t="s">
        <v>139</v>
      </c>
      <c r="D1030" s="190">
        <v>1521</v>
      </c>
      <c r="E1030" s="192">
        <v>5907</v>
      </c>
      <c r="F1030" s="192">
        <v>6565</v>
      </c>
      <c r="G1030" s="481">
        <v>312</v>
      </c>
      <c r="H1030" s="19"/>
      <c r="I1030" s="19"/>
      <c r="M1030" s="19"/>
    </row>
    <row r="1031" spans="1:13">
      <c r="A1031" s="479">
        <v>1352</v>
      </c>
      <c r="B1031" s="19" t="s">
        <v>441</v>
      </c>
      <c r="C1031" t="s">
        <v>139</v>
      </c>
      <c r="D1031" s="190">
        <v>1352</v>
      </c>
      <c r="E1031" s="192">
        <v>6594</v>
      </c>
      <c r="F1031" s="192">
        <v>7186</v>
      </c>
      <c r="G1031" s="481">
        <v>280</v>
      </c>
      <c r="H1031" s="19"/>
      <c r="I1031" s="19"/>
      <c r="M1031" s="19"/>
    </row>
    <row r="1032" spans="1:13">
      <c r="A1032" s="479">
        <v>1148</v>
      </c>
      <c r="B1032" s="19" t="s">
        <v>442</v>
      </c>
      <c r="C1032" t="s">
        <v>139</v>
      </c>
      <c r="D1032" s="190">
        <v>1148</v>
      </c>
      <c r="E1032" s="192">
        <v>6857</v>
      </c>
      <c r="F1032" s="192">
        <v>5239</v>
      </c>
      <c r="G1032" s="481">
        <v>274</v>
      </c>
      <c r="H1032" s="19"/>
      <c r="I1032" s="19"/>
      <c r="M1032" s="19"/>
    </row>
    <row r="1033" spans="1:13">
      <c r="A1033" s="479">
        <v>1326</v>
      </c>
      <c r="B1033" s="19" t="s">
        <v>443</v>
      </c>
      <c r="C1033" t="s">
        <v>139</v>
      </c>
      <c r="D1033" s="190">
        <v>1326</v>
      </c>
      <c r="E1033" s="192">
        <v>5469</v>
      </c>
      <c r="F1033" s="192">
        <v>6227</v>
      </c>
      <c r="G1033" s="481">
        <v>312</v>
      </c>
      <c r="H1033" s="19"/>
      <c r="I1033" s="19"/>
      <c r="M1033" s="19"/>
    </row>
    <row r="1034" spans="1:13">
      <c r="A1034" s="479">
        <v>1045</v>
      </c>
      <c r="B1034" s="19" t="s">
        <v>444</v>
      </c>
      <c r="C1034" t="s">
        <v>139</v>
      </c>
      <c r="D1034" s="190">
        <v>1045</v>
      </c>
      <c r="E1034" s="192">
        <v>6460</v>
      </c>
      <c r="F1034" s="192">
        <v>6332</v>
      </c>
      <c r="G1034" s="481">
        <v>234</v>
      </c>
      <c r="H1034" s="19"/>
      <c r="I1034" s="19"/>
      <c r="M1034" s="19"/>
    </row>
    <row r="1035" spans="1:13">
      <c r="A1035" s="479">
        <v>1149</v>
      </c>
      <c r="B1035" s="19" t="s">
        <v>445</v>
      </c>
      <c r="C1035" t="s">
        <v>139</v>
      </c>
      <c r="D1035" s="190">
        <v>1149</v>
      </c>
      <c r="E1035" s="192">
        <v>7175</v>
      </c>
      <c r="F1035" s="192">
        <v>6475</v>
      </c>
      <c r="G1035" s="481">
        <v>224</v>
      </c>
      <c r="H1035" s="19"/>
      <c r="I1035" s="19"/>
      <c r="M1035" s="19"/>
    </row>
    <row r="1036" spans="1:13">
      <c r="A1036" s="479">
        <v>1146</v>
      </c>
      <c r="B1036" s="19" t="s">
        <v>446</v>
      </c>
      <c r="C1036" t="s">
        <v>139</v>
      </c>
      <c r="D1036" s="190">
        <v>1146</v>
      </c>
      <c r="E1036" s="192">
        <v>6133</v>
      </c>
      <c r="F1036" s="192">
        <v>5185</v>
      </c>
      <c r="G1036" s="481">
        <v>170</v>
      </c>
      <c r="H1036" s="19"/>
      <c r="I1036" s="19"/>
      <c r="M1036" s="19"/>
    </row>
    <row r="1037" spans="1:13">
      <c r="A1037" s="479">
        <v>1464</v>
      </c>
      <c r="B1037" s="19" t="s">
        <v>447</v>
      </c>
      <c r="C1037" t="s">
        <v>139</v>
      </c>
      <c r="D1037" s="190">
        <v>1464</v>
      </c>
      <c r="E1037" s="192">
        <v>6480</v>
      </c>
      <c r="F1037" s="192">
        <v>5631</v>
      </c>
      <c r="G1037" s="481">
        <v>312</v>
      </c>
      <c r="H1037" s="19"/>
      <c r="I1037" s="19"/>
      <c r="M1037" s="19"/>
    </row>
    <row r="1038" spans="1:13">
      <c r="A1038" s="479">
        <v>1316</v>
      </c>
      <c r="B1038" s="19" t="s">
        <v>448</v>
      </c>
      <c r="C1038" t="s">
        <v>139</v>
      </c>
      <c r="D1038" s="190">
        <v>1316</v>
      </c>
      <c r="E1038" s="192">
        <v>7840</v>
      </c>
      <c r="F1038" s="192">
        <v>6827</v>
      </c>
      <c r="G1038" s="481">
        <v>250</v>
      </c>
      <c r="H1038" s="19"/>
      <c r="I1038" s="19"/>
      <c r="M1038" s="19"/>
    </row>
    <row r="1039" spans="1:13">
      <c r="A1039" s="479">
        <v>1552</v>
      </c>
      <c r="B1039" s="19" t="s">
        <v>449</v>
      </c>
      <c r="C1039" t="s">
        <v>139</v>
      </c>
      <c r="D1039" s="190">
        <v>1552</v>
      </c>
      <c r="E1039" s="192">
        <v>5976</v>
      </c>
      <c r="F1039" s="192">
        <v>6000</v>
      </c>
      <c r="G1039" s="481">
        <v>331</v>
      </c>
      <c r="H1039" s="19"/>
      <c r="I1039" s="19"/>
      <c r="M1039" s="19"/>
    </row>
    <row r="1040" spans="1:13">
      <c r="A1040" s="479">
        <v>1329</v>
      </c>
      <c r="B1040" s="19" t="s">
        <v>450</v>
      </c>
      <c r="C1040" t="s">
        <v>139</v>
      </c>
      <c r="D1040" s="190">
        <v>1329</v>
      </c>
      <c r="E1040" s="192">
        <v>5275</v>
      </c>
      <c r="F1040" s="192">
        <v>6238</v>
      </c>
      <c r="G1040" s="481">
        <v>249</v>
      </c>
      <c r="H1040" s="19"/>
      <c r="I1040" s="19"/>
      <c r="M1040" s="19"/>
    </row>
    <row r="1041" spans="1:13">
      <c r="A1041" s="479">
        <v>1682</v>
      </c>
      <c r="B1041" s="19" t="s">
        <v>451</v>
      </c>
      <c r="C1041" t="s">
        <v>139</v>
      </c>
      <c r="D1041" s="190">
        <v>1682</v>
      </c>
      <c r="E1041" s="192">
        <v>5505</v>
      </c>
      <c r="F1041" s="192">
        <v>7780</v>
      </c>
      <c r="G1041" s="481">
        <v>215</v>
      </c>
      <c r="H1041" s="19"/>
      <c r="I1041" s="19"/>
      <c r="M1041" s="19"/>
    </row>
    <row r="1042" spans="1:13">
      <c r="A1042" s="479">
        <v>1046</v>
      </c>
      <c r="B1042" s="19" t="s">
        <v>452</v>
      </c>
      <c r="C1042" t="s">
        <v>139</v>
      </c>
      <c r="D1042" s="190">
        <v>1046</v>
      </c>
      <c r="E1042" s="192">
        <v>6552</v>
      </c>
      <c r="F1042" s="192">
        <v>7118</v>
      </c>
      <c r="G1042" s="481">
        <v>312</v>
      </c>
      <c r="H1042" s="19"/>
      <c r="I1042" s="19"/>
      <c r="M1042" s="19"/>
    </row>
    <row r="1043" spans="1:13">
      <c r="A1043" s="479">
        <v>1404</v>
      </c>
      <c r="B1043" s="19" t="s">
        <v>453</v>
      </c>
      <c r="C1043" t="s">
        <v>139</v>
      </c>
      <c r="D1043" s="190">
        <v>1404</v>
      </c>
      <c r="E1043" s="192">
        <v>7660</v>
      </c>
      <c r="F1043" s="192">
        <v>7477</v>
      </c>
      <c r="G1043" s="481">
        <v>312</v>
      </c>
      <c r="H1043" s="19"/>
      <c r="I1043" s="19"/>
      <c r="M1043" s="19"/>
    </row>
    <row r="1044" spans="1:13">
      <c r="A1044" s="479">
        <v>1412</v>
      </c>
      <c r="B1044" s="19" t="s">
        <v>454</v>
      </c>
      <c r="C1044" t="s">
        <v>139</v>
      </c>
      <c r="D1044" s="190">
        <v>1412</v>
      </c>
      <c r="E1044" s="191">
        <v>7385</v>
      </c>
      <c r="F1044" s="191">
        <v>7529</v>
      </c>
      <c r="G1044" s="481">
        <v>312</v>
      </c>
      <c r="H1044" s="19"/>
      <c r="I1044" s="19"/>
      <c r="M1044" s="19"/>
    </row>
    <row r="1045" spans="1:13">
      <c r="A1045" s="479">
        <v>1355</v>
      </c>
      <c r="B1045" s="19" t="s">
        <v>455</v>
      </c>
      <c r="C1045" t="s">
        <v>139</v>
      </c>
      <c r="D1045" s="190">
        <v>1355</v>
      </c>
      <c r="E1045" s="191">
        <v>5767</v>
      </c>
      <c r="F1045" s="191">
        <v>6130</v>
      </c>
      <c r="G1045" s="481">
        <v>312</v>
      </c>
      <c r="H1045" s="19"/>
      <c r="I1045" s="19"/>
      <c r="M1045" s="19"/>
    </row>
    <row r="1046" spans="1:13">
      <c r="A1046" s="479">
        <v>1183</v>
      </c>
      <c r="B1046" s="19" t="s">
        <v>456</v>
      </c>
      <c r="C1046" t="s">
        <v>139</v>
      </c>
      <c r="D1046" s="190">
        <v>1183</v>
      </c>
      <c r="E1046" s="191">
        <v>10062</v>
      </c>
      <c r="F1046" s="191">
        <v>12913</v>
      </c>
      <c r="G1046" s="481">
        <v>191</v>
      </c>
      <c r="H1046" s="19"/>
      <c r="I1046" s="19"/>
      <c r="M1046" s="19"/>
    </row>
    <row r="1047" spans="1:13">
      <c r="A1047" s="479">
        <v>1141</v>
      </c>
      <c r="B1047" s="19" t="s">
        <v>457</v>
      </c>
      <c r="C1047" t="s">
        <v>139</v>
      </c>
      <c r="D1047" s="190">
        <v>1141</v>
      </c>
      <c r="E1047" s="191">
        <v>7808</v>
      </c>
      <c r="F1047" s="191">
        <v>8421</v>
      </c>
      <c r="G1047" s="481">
        <v>235</v>
      </c>
      <c r="H1047" s="19"/>
      <c r="I1047" s="19"/>
      <c r="M1047" s="19"/>
    </row>
    <row r="1048" spans="1:13">
      <c r="A1048" s="479">
        <v>1415</v>
      </c>
      <c r="B1048" s="19" t="s">
        <v>458</v>
      </c>
      <c r="C1048" t="s">
        <v>139</v>
      </c>
      <c r="D1048" s="190">
        <v>1415</v>
      </c>
      <c r="E1048" s="191">
        <v>5684</v>
      </c>
      <c r="F1048" s="191">
        <v>5673</v>
      </c>
      <c r="G1048" s="481">
        <v>312</v>
      </c>
      <c r="H1048" s="19"/>
      <c r="I1048" s="19"/>
      <c r="M1048" s="19"/>
    </row>
    <row r="1049" spans="1:13">
      <c r="A1049" s="479">
        <v>1304</v>
      </c>
      <c r="B1049" s="19" t="s">
        <v>459</v>
      </c>
      <c r="C1049" t="s">
        <v>139</v>
      </c>
      <c r="D1049" s="190">
        <v>1304</v>
      </c>
      <c r="E1049" s="191">
        <v>8112</v>
      </c>
      <c r="F1049" s="191">
        <v>7821</v>
      </c>
      <c r="G1049" s="481">
        <v>189</v>
      </c>
      <c r="H1049" s="19"/>
      <c r="I1049" s="19"/>
      <c r="M1049" s="19"/>
    </row>
    <row r="1050" spans="1:13">
      <c r="A1050" s="479">
        <v>1421</v>
      </c>
      <c r="B1050" s="19" t="s">
        <v>460</v>
      </c>
      <c r="C1050" t="s">
        <v>139</v>
      </c>
      <c r="D1050" s="190">
        <v>1421</v>
      </c>
      <c r="E1050" s="191">
        <v>6220</v>
      </c>
      <c r="F1050" s="191">
        <v>5556</v>
      </c>
      <c r="G1050" s="481">
        <v>275</v>
      </c>
      <c r="H1050" s="19"/>
      <c r="I1050" s="19"/>
      <c r="M1050" s="19"/>
    </row>
    <row r="1051" spans="1:13">
      <c r="A1051" s="479">
        <v>1407</v>
      </c>
      <c r="B1051" s="19" t="s">
        <v>461</v>
      </c>
      <c r="C1051" t="s">
        <v>139</v>
      </c>
      <c r="D1051" s="190">
        <v>1407</v>
      </c>
      <c r="E1051" s="191">
        <v>6364</v>
      </c>
      <c r="F1051" s="191">
        <v>6684</v>
      </c>
      <c r="G1051" s="481">
        <v>312</v>
      </c>
      <c r="H1051" s="19"/>
      <c r="I1051" s="19"/>
      <c r="M1051" s="19"/>
    </row>
    <row r="1052" spans="1:13">
      <c r="A1052" s="479">
        <v>1277</v>
      </c>
      <c r="B1052" s="19" t="s">
        <v>462</v>
      </c>
      <c r="C1052" t="s">
        <v>139</v>
      </c>
      <c r="D1052" s="190">
        <v>1277</v>
      </c>
      <c r="E1052" s="191">
        <v>11192</v>
      </c>
      <c r="F1052" s="191">
        <v>10063</v>
      </c>
      <c r="G1052" s="481">
        <v>312</v>
      </c>
      <c r="H1052" s="19"/>
      <c r="I1052" s="19"/>
      <c r="M1052" s="19"/>
    </row>
    <row r="1053" spans="1:13">
      <c r="A1053" s="479">
        <v>1512</v>
      </c>
      <c r="B1053" s="19" t="s">
        <v>463</v>
      </c>
      <c r="C1053" t="s">
        <v>139</v>
      </c>
      <c r="D1053" s="190">
        <v>1512</v>
      </c>
      <c r="E1053" s="191">
        <v>6622</v>
      </c>
      <c r="F1053" s="191">
        <v>6233</v>
      </c>
      <c r="G1053" s="481">
        <v>312</v>
      </c>
      <c r="H1053" s="19"/>
      <c r="I1053" s="19"/>
      <c r="M1053" s="19"/>
    </row>
    <row r="1054" spans="1:13">
      <c r="A1054" s="479">
        <v>1412</v>
      </c>
      <c r="B1054" s="19" t="s">
        <v>464</v>
      </c>
      <c r="C1054" t="s">
        <v>139</v>
      </c>
      <c r="D1054" s="190">
        <v>1412</v>
      </c>
      <c r="E1054" s="191">
        <v>7555</v>
      </c>
      <c r="F1054" s="191">
        <v>6484</v>
      </c>
      <c r="G1054" s="481">
        <v>237</v>
      </c>
      <c r="H1054" s="19"/>
      <c r="I1054" s="19"/>
      <c r="M1054" s="19"/>
    </row>
    <row r="1055" spans="1:13">
      <c r="A1055" s="479">
        <v>1324</v>
      </c>
      <c r="B1055" s="19" t="s">
        <v>465</v>
      </c>
      <c r="C1055" t="s">
        <v>139</v>
      </c>
      <c r="D1055" s="190">
        <v>1324</v>
      </c>
      <c r="E1055" s="191">
        <v>5380</v>
      </c>
      <c r="F1055" s="191">
        <v>5880</v>
      </c>
      <c r="G1055" s="481">
        <v>312</v>
      </c>
      <c r="H1055" s="19"/>
      <c r="I1055" s="19"/>
      <c r="M1055" s="19"/>
    </row>
    <row r="1056" spans="1:13">
      <c r="A1056" s="479">
        <v>1421</v>
      </c>
      <c r="B1056" s="19" t="s">
        <v>466</v>
      </c>
      <c r="C1056" t="s">
        <v>139</v>
      </c>
      <c r="D1056" s="190">
        <v>1421</v>
      </c>
      <c r="E1056" s="191">
        <v>7002</v>
      </c>
      <c r="F1056" s="191">
        <v>6225</v>
      </c>
      <c r="G1056" s="481">
        <v>312</v>
      </c>
      <c r="H1056" s="19"/>
      <c r="I1056" s="19"/>
      <c r="M1056" s="19"/>
    </row>
    <row r="1057" spans="1:13">
      <c r="A1057" s="479">
        <v>1514</v>
      </c>
      <c r="B1057" s="19" t="s">
        <v>467</v>
      </c>
      <c r="C1057" t="s">
        <v>139</v>
      </c>
      <c r="D1057" s="190">
        <v>1514</v>
      </c>
      <c r="E1057" s="191">
        <v>6725</v>
      </c>
      <c r="F1057" s="191">
        <v>6706</v>
      </c>
      <c r="G1057" s="481">
        <v>235</v>
      </c>
      <c r="H1057" s="19"/>
      <c r="I1057" s="19"/>
      <c r="M1057" s="19"/>
    </row>
    <row r="1058" spans="1:13">
      <c r="A1058" s="479">
        <v>1437</v>
      </c>
      <c r="B1058" s="19" t="s">
        <v>468</v>
      </c>
      <c r="C1058" t="s">
        <v>139</v>
      </c>
      <c r="D1058" s="190">
        <v>1437</v>
      </c>
      <c r="E1058" s="191">
        <v>7531</v>
      </c>
      <c r="F1058" s="191">
        <v>8645</v>
      </c>
      <c r="G1058" s="481">
        <v>312</v>
      </c>
      <c r="H1058" s="19"/>
      <c r="I1058" s="19"/>
      <c r="M1058" s="19"/>
    </row>
    <row r="1059" spans="1:13">
      <c r="A1059" s="479">
        <v>1126</v>
      </c>
      <c r="B1059" s="19" t="s">
        <v>469</v>
      </c>
      <c r="C1059" t="s">
        <v>139</v>
      </c>
      <c r="D1059" s="190">
        <v>1126</v>
      </c>
      <c r="E1059" s="191">
        <v>9645</v>
      </c>
      <c r="F1059" s="191">
        <v>9709</v>
      </c>
      <c r="G1059" s="481">
        <v>312</v>
      </c>
      <c r="H1059" s="19"/>
      <c r="I1059" s="19"/>
      <c r="M1059" s="19"/>
    </row>
    <row r="1060" spans="1:13">
      <c r="A1060" s="479">
        <v>1047</v>
      </c>
      <c r="B1060" s="19" t="s">
        <v>470</v>
      </c>
      <c r="C1060" t="s">
        <v>139</v>
      </c>
      <c r="D1060" s="190">
        <v>1047</v>
      </c>
      <c r="E1060" s="191">
        <v>6752</v>
      </c>
      <c r="F1060" s="191">
        <v>6450</v>
      </c>
      <c r="G1060" s="481">
        <v>312</v>
      </c>
      <c r="H1060" s="19"/>
      <c r="I1060" s="19"/>
      <c r="M1060" s="19"/>
    </row>
    <row r="1061" spans="1:13">
      <c r="A1061" s="479">
        <v>1413</v>
      </c>
      <c r="B1061" s="19" t="s">
        <v>471</v>
      </c>
      <c r="C1061" t="s">
        <v>139</v>
      </c>
      <c r="D1061" s="190">
        <v>1413</v>
      </c>
      <c r="E1061" s="191">
        <v>6919</v>
      </c>
      <c r="F1061" s="191">
        <v>6123</v>
      </c>
      <c r="G1061" s="481">
        <v>312</v>
      </c>
      <c r="H1061" s="19"/>
      <c r="I1061" s="19"/>
      <c r="M1061" s="19"/>
    </row>
    <row r="1062" spans="1:13">
      <c r="A1062" s="479">
        <v>1353</v>
      </c>
      <c r="B1062" s="19" t="s">
        <v>472</v>
      </c>
      <c r="C1062" t="s">
        <v>139</v>
      </c>
      <c r="D1062" s="190">
        <v>1353</v>
      </c>
      <c r="E1062" s="191">
        <v>6377</v>
      </c>
      <c r="F1062" s="191">
        <v>4823</v>
      </c>
      <c r="G1062" s="481">
        <v>228</v>
      </c>
      <c r="H1062" s="19"/>
      <c r="I1062" s="19"/>
      <c r="M1062" s="19"/>
    </row>
    <row r="1063" spans="1:13">
      <c r="A1063" s="479">
        <v>1127</v>
      </c>
      <c r="B1063" s="19" t="s">
        <v>473</v>
      </c>
      <c r="C1063" t="s">
        <v>139</v>
      </c>
      <c r="D1063" s="190">
        <v>1127</v>
      </c>
      <c r="E1063" s="191">
        <v>8171</v>
      </c>
      <c r="F1063" s="191">
        <v>7390</v>
      </c>
      <c r="G1063" s="481">
        <v>210</v>
      </c>
      <c r="H1063" s="19"/>
      <c r="I1063" s="19"/>
      <c r="M1063" s="19"/>
    </row>
    <row r="1064" spans="1:13">
      <c r="A1064" s="479">
        <v>1463</v>
      </c>
      <c r="B1064" s="19" t="s">
        <v>474</v>
      </c>
      <c r="C1064" t="s">
        <v>139</v>
      </c>
      <c r="D1064" s="190">
        <v>1463</v>
      </c>
      <c r="E1064" s="191">
        <v>7065</v>
      </c>
      <c r="F1064" s="191">
        <v>6746</v>
      </c>
      <c r="G1064" s="481">
        <v>322</v>
      </c>
      <c r="H1064" s="19"/>
      <c r="I1064" s="19"/>
      <c r="M1064" s="19"/>
    </row>
    <row r="1065" spans="1:13">
      <c r="A1065" s="479">
        <v>1356</v>
      </c>
      <c r="B1065" s="19" t="s">
        <v>475</v>
      </c>
      <c r="C1065" t="s">
        <v>139</v>
      </c>
      <c r="D1065" s="190">
        <v>1356</v>
      </c>
      <c r="E1065" s="191">
        <v>5205</v>
      </c>
      <c r="F1065" s="191">
        <v>4812</v>
      </c>
      <c r="G1065" s="481">
        <v>312</v>
      </c>
      <c r="H1065" s="19"/>
      <c r="I1065" s="19"/>
      <c r="M1065" s="19"/>
    </row>
    <row r="1066" spans="1:13">
      <c r="A1066" s="479">
        <v>1428</v>
      </c>
      <c r="B1066" s="19" t="s">
        <v>476</v>
      </c>
      <c r="C1066" t="s">
        <v>139</v>
      </c>
      <c r="D1066" s="190">
        <v>1428</v>
      </c>
      <c r="E1066" s="191">
        <v>5833</v>
      </c>
      <c r="F1066" s="191">
        <v>6611</v>
      </c>
      <c r="G1066" s="481">
        <v>312</v>
      </c>
      <c r="H1066" s="19"/>
      <c r="I1066" s="19"/>
      <c r="M1066" s="19"/>
    </row>
    <row r="1067" spans="1:13">
      <c r="A1067" s="479">
        <v>1148</v>
      </c>
      <c r="B1067" s="19" t="s">
        <v>477</v>
      </c>
      <c r="C1067" t="s">
        <v>139</v>
      </c>
      <c r="D1067" s="190">
        <v>1148</v>
      </c>
      <c r="E1067" s="191">
        <v>5441</v>
      </c>
      <c r="F1067" s="191">
        <v>7526</v>
      </c>
      <c r="G1067" s="481">
        <v>227</v>
      </c>
      <c r="H1067" s="19"/>
      <c r="I1067" s="19"/>
      <c r="M1067" s="19"/>
    </row>
    <row r="1068" spans="1:13">
      <c r="A1068" s="479">
        <v>1682</v>
      </c>
      <c r="B1068" s="19" t="s">
        <v>478</v>
      </c>
      <c r="C1068" t="s">
        <v>139</v>
      </c>
      <c r="D1068" s="190">
        <v>1682</v>
      </c>
      <c r="E1068" s="191">
        <v>5703</v>
      </c>
      <c r="F1068" s="191">
        <v>5601</v>
      </c>
      <c r="G1068" s="481">
        <v>289</v>
      </c>
      <c r="H1068" s="19"/>
      <c r="I1068" s="19"/>
      <c r="M1068" s="19"/>
    </row>
    <row r="1069" spans="1:13">
      <c r="A1069" s="479">
        <v>1510</v>
      </c>
      <c r="B1069" s="19" t="s">
        <v>479</v>
      </c>
      <c r="C1069" t="s">
        <v>139</v>
      </c>
      <c r="D1069" s="190">
        <v>1510</v>
      </c>
      <c r="E1069" s="191">
        <v>6303</v>
      </c>
      <c r="F1069" s="191">
        <v>5184</v>
      </c>
      <c r="G1069" s="481">
        <v>312</v>
      </c>
      <c r="H1069" s="19"/>
      <c r="I1069" s="19"/>
      <c r="M1069" s="19"/>
    </row>
    <row r="1070" spans="1:13">
      <c r="A1070" s="479">
        <v>1415</v>
      </c>
      <c r="B1070" s="19" t="s">
        <v>480</v>
      </c>
      <c r="C1070" t="s">
        <v>139</v>
      </c>
      <c r="D1070" s="190">
        <v>1415</v>
      </c>
      <c r="E1070" s="191">
        <v>5781</v>
      </c>
      <c r="F1070" s="191">
        <v>5926</v>
      </c>
      <c r="G1070" s="481">
        <v>173</v>
      </c>
      <c r="H1070" s="19"/>
      <c r="I1070" s="19"/>
      <c r="M1070" s="19"/>
    </row>
    <row r="1071" spans="1:13">
      <c r="A1071" s="479">
        <v>1515</v>
      </c>
      <c r="B1071" s="19" t="s">
        <v>481</v>
      </c>
      <c r="C1071" t="s">
        <v>139</v>
      </c>
      <c r="D1071" s="190">
        <v>1515</v>
      </c>
      <c r="E1071" s="191">
        <v>5962</v>
      </c>
      <c r="F1071" s="191">
        <v>5968</v>
      </c>
      <c r="G1071" s="481">
        <v>240</v>
      </c>
      <c r="H1071" s="19"/>
      <c r="I1071" s="19"/>
      <c r="M1071" s="19"/>
    </row>
    <row r="1072" spans="1:13">
      <c r="A1072" s="479">
        <v>1128</v>
      </c>
      <c r="B1072" s="19" t="s">
        <v>482</v>
      </c>
      <c r="C1072" t="s">
        <v>139</v>
      </c>
      <c r="D1072" s="190">
        <v>1128</v>
      </c>
      <c r="E1072" s="191">
        <v>7301</v>
      </c>
      <c r="F1072" s="191">
        <v>7827</v>
      </c>
      <c r="G1072" s="481">
        <v>312</v>
      </c>
      <c r="H1072" s="19"/>
      <c r="I1072" s="19"/>
      <c r="M1072" s="19"/>
    </row>
    <row r="1073" spans="1:13">
      <c r="A1073" s="479">
        <v>1682</v>
      </c>
      <c r="B1073" s="19" t="s">
        <v>483</v>
      </c>
      <c r="C1073" t="s">
        <v>139</v>
      </c>
      <c r="D1073" s="190">
        <v>1682</v>
      </c>
      <c r="E1073" s="191">
        <v>5865</v>
      </c>
      <c r="F1073" s="191">
        <v>5984</v>
      </c>
      <c r="G1073" s="481">
        <v>312</v>
      </c>
      <c r="H1073" s="19"/>
      <c r="I1073" s="19"/>
      <c r="M1073" s="19"/>
    </row>
    <row r="1074" spans="1:13">
      <c r="A1074" s="479">
        <v>1464</v>
      </c>
      <c r="B1074" s="19" t="s">
        <v>484</v>
      </c>
      <c r="C1074" t="s">
        <v>139</v>
      </c>
      <c r="D1074" s="190">
        <v>1464</v>
      </c>
      <c r="E1074" s="191">
        <v>6057</v>
      </c>
      <c r="F1074" s="191">
        <v>6285</v>
      </c>
      <c r="G1074" s="481">
        <v>312</v>
      </c>
      <c r="H1074" s="19"/>
      <c r="I1074" s="19"/>
      <c r="M1074" s="19"/>
    </row>
    <row r="1075" spans="1:13">
      <c r="A1075" s="479">
        <v>1355</v>
      </c>
      <c r="B1075" s="19" t="s">
        <v>485</v>
      </c>
      <c r="C1075" t="s">
        <v>139</v>
      </c>
      <c r="D1075" s="190">
        <v>1355</v>
      </c>
      <c r="E1075" s="191">
        <v>5827</v>
      </c>
      <c r="F1075" s="191">
        <v>6353</v>
      </c>
      <c r="G1075" s="481">
        <v>312</v>
      </c>
      <c r="H1075" s="19"/>
      <c r="I1075" s="19"/>
      <c r="M1075" s="19"/>
    </row>
    <row r="1076" spans="1:13">
      <c r="A1076" s="479">
        <v>1537</v>
      </c>
      <c r="B1076" s="19" t="s">
        <v>486</v>
      </c>
      <c r="C1076" t="s">
        <v>139</v>
      </c>
      <c r="D1076" s="190">
        <v>1537</v>
      </c>
      <c r="E1076" s="191">
        <v>6133</v>
      </c>
      <c r="F1076" s="191">
        <v>5416</v>
      </c>
      <c r="G1076" s="481">
        <v>312</v>
      </c>
      <c r="H1076" s="19"/>
      <c r="I1076" s="19"/>
      <c r="M1076" s="19"/>
    </row>
    <row r="1077" spans="1:13">
      <c r="A1077" s="479">
        <v>1431</v>
      </c>
      <c r="B1077" s="19" t="s">
        <v>487</v>
      </c>
      <c r="C1077" t="s">
        <v>139</v>
      </c>
      <c r="D1077" s="190">
        <v>1431</v>
      </c>
      <c r="E1077" s="191">
        <v>6457</v>
      </c>
      <c r="F1077" s="191">
        <v>5186</v>
      </c>
      <c r="G1077" s="481">
        <v>638</v>
      </c>
      <c r="H1077" s="19"/>
      <c r="I1077" s="19"/>
      <c r="M1077" s="19"/>
    </row>
    <row r="1078" spans="1:13">
      <c r="A1078" s="479">
        <v>1538</v>
      </c>
      <c r="B1078" s="19" t="s">
        <v>488</v>
      </c>
      <c r="C1078" t="s">
        <v>139</v>
      </c>
      <c r="D1078" s="190">
        <v>1538</v>
      </c>
      <c r="E1078" s="191">
        <v>5889</v>
      </c>
      <c r="F1078" s="191">
        <v>5395</v>
      </c>
      <c r="G1078" s="481">
        <v>312</v>
      </c>
      <c r="H1078" s="19"/>
      <c r="I1078" s="19"/>
      <c r="M1078" s="19"/>
    </row>
    <row r="1079" spans="1:13">
      <c r="A1079" s="479">
        <v>1453</v>
      </c>
      <c r="B1079" s="19" t="s">
        <v>489</v>
      </c>
      <c r="C1079" t="s">
        <v>139</v>
      </c>
      <c r="D1079" s="190">
        <v>1453</v>
      </c>
      <c r="E1079" s="191">
        <v>6040</v>
      </c>
      <c r="F1079" s="191">
        <v>6305</v>
      </c>
      <c r="G1079" s="481">
        <v>99</v>
      </c>
      <c r="H1079" s="19"/>
      <c r="I1079" s="19"/>
      <c r="M1079" s="19"/>
    </row>
    <row r="1080" spans="1:13">
      <c r="A1080" s="479">
        <v>1404</v>
      </c>
      <c r="B1080" s="19" t="s">
        <v>490</v>
      </c>
      <c r="C1080" t="s">
        <v>139</v>
      </c>
      <c r="D1080" s="190">
        <v>1404</v>
      </c>
      <c r="E1080" s="191">
        <v>7904</v>
      </c>
      <c r="F1080" s="191">
        <v>7347</v>
      </c>
      <c r="G1080" s="481">
        <v>216</v>
      </c>
      <c r="H1080" s="19"/>
      <c r="I1080" s="19"/>
      <c r="M1080" s="19"/>
    </row>
    <row r="1081" spans="1:13">
      <c r="A1081" s="479">
        <v>1431</v>
      </c>
      <c r="B1081" s="19" t="s">
        <v>491</v>
      </c>
      <c r="C1081" t="s">
        <v>139</v>
      </c>
      <c r="D1081" s="190">
        <v>1431</v>
      </c>
      <c r="E1081" s="191">
        <v>6960</v>
      </c>
      <c r="F1081" s="191">
        <v>5497</v>
      </c>
      <c r="G1081" s="481">
        <v>312</v>
      </c>
      <c r="H1081" s="19"/>
      <c r="I1081" s="19"/>
      <c r="M1081" s="19"/>
    </row>
    <row r="1082" spans="1:13">
      <c r="A1082" s="479">
        <v>1414</v>
      </c>
      <c r="B1082" s="19" t="s">
        <v>492</v>
      </c>
      <c r="C1082" t="s">
        <v>139</v>
      </c>
      <c r="D1082" s="190">
        <v>1414</v>
      </c>
      <c r="E1082" s="191">
        <v>6718</v>
      </c>
      <c r="F1082" s="191">
        <v>5785</v>
      </c>
      <c r="G1082" s="481">
        <v>312</v>
      </c>
      <c r="H1082" s="19"/>
      <c r="I1082" s="19"/>
      <c r="M1082" s="19"/>
    </row>
    <row r="1083" spans="1:13">
      <c r="A1083" s="479">
        <v>1148</v>
      </c>
      <c r="B1083" s="19" t="s">
        <v>493</v>
      </c>
      <c r="C1083" t="s">
        <v>139</v>
      </c>
      <c r="D1083" s="190">
        <v>1148</v>
      </c>
      <c r="E1083" s="191">
        <v>6585</v>
      </c>
      <c r="F1083" s="191">
        <v>6878</v>
      </c>
      <c r="G1083" s="481">
        <v>471</v>
      </c>
      <c r="H1083" s="19"/>
      <c r="I1083" s="19"/>
      <c r="M1083" s="19"/>
    </row>
    <row r="1084" spans="1:13">
      <c r="A1084" s="479">
        <v>4313</v>
      </c>
      <c r="B1084" s="19" t="s">
        <v>494</v>
      </c>
      <c r="C1084" t="s">
        <v>143</v>
      </c>
      <c r="D1084" s="190">
        <v>4313</v>
      </c>
      <c r="E1084" s="191">
        <v>9118</v>
      </c>
      <c r="F1084" s="191">
        <v>8189</v>
      </c>
      <c r="G1084" s="481">
        <v>243</v>
      </c>
      <c r="H1084" s="19"/>
      <c r="I1084" s="19"/>
      <c r="M1084" s="19"/>
    </row>
    <row r="1085" spans="1:13">
      <c r="A1085" s="479">
        <v>5600</v>
      </c>
      <c r="B1085" s="19" t="s">
        <v>495</v>
      </c>
      <c r="C1085" t="s">
        <v>143</v>
      </c>
      <c r="D1085" s="190">
        <v>5600</v>
      </c>
      <c r="E1085" s="191">
        <v>7391</v>
      </c>
      <c r="F1085" s="191">
        <v>7730</v>
      </c>
      <c r="G1085" s="481">
        <v>270</v>
      </c>
      <c r="H1085" s="19"/>
      <c r="I1085" s="19"/>
      <c r="M1085" s="19"/>
    </row>
    <row r="1086" spans="1:13">
      <c r="A1086" s="479">
        <v>5034</v>
      </c>
      <c r="B1086" s="19" t="s">
        <v>496</v>
      </c>
      <c r="C1086" t="s">
        <v>143</v>
      </c>
      <c r="D1086" s="190">
        <v>5034</v>
      </c>
      <c r="E1086" s="191">
        <v>7159</v>
      </c>
      <c r="F1086" s="191">
        <v>7195</v>
      </c>
      <c r="G1086" s="481">
        <v>262</v>
      </c>
      <c r="H1086" s="19"/>
      <c r="I1086" s="19"/>
      <c r="M1086" s="19"/>
    </row>
    <row r="1087" spans="1:13">
      <c r="A1087" s="479">
        <v>4852</v>
      </c>
      <c r="B1087" s="19" t="s">
        <v>497</v>
      </c>
      <c r="C1087" t="s">
        <v>143</v>
      </c>
      <c r="D1087" s="190">
        <v>4852</v>
      </c>
      <c r="E1087" s="191">
        <v>6812</v>
      </c>
      <c r="F1087" s="191">
        <v>7224</v>
      </c>
      <c r="G1087" s="481">
        <v>217</v>
      </c>
      <c r="H1087" s="19"/>
      <c r="I1087" s="19"/>
      <c r="M1087" s="19"/>
    </row>
    <row r="1088" spans="1:13">
      <c r="A1088" s="479">
        <v>5432</v>
      </c>
      <c r="B1088" s="19" t="s">
        <v>498</v>
      </c>
      <c r="C1088" t="s">
        <v>143</v>
      </c>
      <c r="D1088" s="190">
        <v>5432</v>
      </c>
      <c r="E1088" s="191">
        <v>8158</v>
      </c>
      <c r="F1088" s="191">
        <v>8639</v>
      </c>
      <c r="G1088" s="481">
        <v>254</v>
      </c>
      <c r="H1088" s="19"/>
      <c r="I1088" s="19"/>
      <c r="M1088" s="19"/>
    </row>
    <row r="1089" spans="1:13">
      <c r="A1089" s="479">
        <v>5415</v>
      </c>
      <c r="B1089" s="19" t="s">
        <v>499</v>
      </c>
      <c r="C1089" t="s">
        <v>143</v>
      </c>
      <c r="D1089" s="190">
        <v>5415</v>
      </c>
      <c r="E1089" s="191">
        <v>8875</v>
      </c>
      <c r="F1089" s="191">
        <v>9169</v>
      </c>
      <c r="G1089" s="481">
        <v>278</v>
      </c>
      <c r="H1089" s="19"/>
      <c r="I1089" s="19"/>
      <c r="M1089" s="19"/>
    </row>
    <row r="1090" spans="1:13">
      <c r="A1090" s="479">
        <v>5734</v>
      </c>
      <c r="B1090" s="19" t="s">
        <v>500</v>
      </c>
      <c r="C1090" t="s">
        <v>143</v>
      </c>
      <c r="D1090" s="190">
        <v>5734</v>
      </c>
      <c r="E1090" s="191">
        <v>6170</v>
      </c>
      <c r="F1090" s="191">
        <v>6094</v>
      </c>
      <c r="G1090" s="481">
        <v>218</v>
      </c>
      <c r="H1090" s="19"/>
      <c r="I1090" s="19"/>
      <c r="M1090" s="19"/>
    </row>
    <row r="1091" spans="1:13">
      <c r="A1091" s="479">
        <v>5036</v>
      </c>
      <c r="B1091" s="19" t="s">
        <v>501</v>
      </c>
      <c r="C1091" t="s">
        <v>143</v>
      </c>
      <c r="D1091" s="190">
        <v>5036</v>
      </c>
      <c r="E1091" s="191">
        <v>6324</v>
      </c>
      <c r="F1091" s="191">
        <v>6380</v>
      </c>
      <c r="G1091" s="481">
        <v>248</v>
      </c>
      <c r="H1091" s="19"/>
      <c r="I1091" s="19"/>
      <c r="M1091" s="19"/>
    </row>
    <row r="1092" spans="1:13">
      <c r="A1092" s="479">
        <v>4663</v>
      </c>
      <c r="B1092" s="19" t="s">
        <v>502</v>
      </c>
      <c r="C1092" t="s">
        <v>143</v>
      </c>
      <c r="D1092" s="190">
        <v>4663</v>
      </c>
      <c r="E1092" s="191">
        <v>7014</v>
      </c>
      <c r="F1092" s="191">
        <v>6955</v>
      </c>
      <c r="G1092" s="481">
        <v>234</v>
      </c>
      <c r="H1092" s="19"/>
      <c r="I1092" s="19"/>
      <c r="M1092" s="19"/>
    </row>
    <row r="1093" spans="1:13">
      <c r="A1093" s="479">
        <v>5033</v>
      </c>
      <c r="B1093" s="19" t="s">
        <v>503</v>
      </c>
      <c r="C1093" t="s">
        <v>143</v>
      </c>
      <c r="D1093" s="190">
        <v>5033</v>
      </c>
      <c r="E1093" s="191">
        <v>7147</v>
      </c>
      <c r="F1093" s="191">
        <v>7888</v>
      </c>
      <c r="G1093" s="481">
        <v>224</v>
      </c>
      <c r="H1093" s="19"/>
      <c r="I1093" s="19"/>
      <c r="M1093" s="19"/>
    </row>
    <row r="1094" spans="1:13">
      <c r="A1094" s="479">
        <v>5630</v>
      </c>
      <c r="B1094" s="19" t="s">
        <v>504</v>
      </c>
      <c r="C1094" t="s">
        <v>143</v>
      </c>
      <c r="D1094" s="190">
        <v>5630</v>
      </c>
      <c r="E1094" s="191">
        <v>7789</v>
      </c>
      <c r="F1094" s="191">
        <v>7195</v>
      </c>
      <c r="G1094" s="481">
        <v>236</v>
      </c>
      <c r="H1094" s="19"/>
      <c r="I1094" s="19"/>
      <c r="M1094" s="19"/>
    </row>
    <row r="1095" spans="1:13">
      <c r="A1095" s="479">
        <v>5620</v>
      </c>
      <c r="B1095" s="19" t="s">
        <v>505</v>
      </c>
      <c r="C1095" t="s">
        <v>143</v>
      </c>
      <c r="D1095" s="190">
        <v>5620</v>
      </c>
      <c r="E1095" s="191">
        <v>8007</v>
      </c>
      <c r="F1095" s="191">
        <v>8543</v>
      </c>
      <c r="G1095" s="481">
        <v>278</v>
      </c>
      <c r="H1095" s="19"/>
      <c r="I1095" s="19"/>
      <c r="M1095" s="19"/>
    </row>
    <row r="1096" spans="1:13">
      <c r="A1096" s="479">
        <v>5722</v>
      </c>
      <c r="B1096" s="19" t="s">
        <v>506</v>
      </c>
      <c r="C1096" t="s">
        <v>143</v>
      </c>
      <c r="D1096" s="190">
        <v>5722</v>
      </c>
      <c r="E1096" s="191">
        <v>7096</v>
      </c>
      <c r="F1096" s="191">
        <v>7019</v>
      </c>
      <c r="G1096" s="481">
        <v>234</v>
      </c>
      <c r="H1096" s="19"/>
      <c r="I1096" s="19"/>
      <c r="M1096" s="19"/>
    </row>
    <row r="1097" spans="1:13">
      <c r="A1097" s="479">
        <v>5210</v>
      </c>
      <c r="B1097" s="19" t="s">
        <v>507</v>
      </c>
      <c r="C1097" t="s">
        <v>143</v>
      </c>
      <c r="D1097" s="190">
        <v>5210</v>
      </c>
      <c r="E1097" s="191">
        <v>7680</v>
      </c>
      <c r="F1097" s="191">
        <v>7393</v>
      </c>
      <c r="G1097" s="481">
        <v>267</v>
      </c>
      <c r="H1097" s="19"/>
      <c r="I1097" s="19"/>
      <c r="M1097" s="19"/>
    </row>
    <row r="1098" spans="1:13">
      <c r="A1098" s="479">
        <v>5612</v>
      </c>
      <c r="B1098" s="19" t="s">
        <v>508</v>
      </c>
      <c r="C1098" t="s">
        <v>143</v>
      </c>
      <c r="D1098" s="190">
        <v>5612</v>
      </c>
      <c r="E1098" s="191">
        <v>6712</v>
      </c>
      <c r="F1098" s="191">
        <v>6959</v>
      </c>
      <c r="G1098" s="481">
        <v>256</v>
      </c>
      <c r="H1098" s="19"/>
      <c r="I1098" s="19"/>
      <c r="M1098" s="19"/>
    </row>
    <row r="1099" spans="1:13">
      <c r="A1099" s="479">
        <v>5417</v>
      </c>
      <c r="B1099" s="19" t="s">
        <v>509</v>
      </c>
      <c r="C1099" t="s">
        <v>143</v>
      </c>
      <c r="D1099" s="190">
        <v>5417</v>
      </c>
      <c r="E1099" s="191">
        <v>7654</v>
      </c>
      <c r="F1099" s="191">
        <v>8248</v>
      </c>
      <c r="G1099" s="481">
        <v>246</v>
      </c>
      <c r="H1099" s="19"/>
      <c r="I1099" s="19"/>
      <c r="M1099" s="19"/>
    </row>
    <row r="1100" spans="1:13">
      <c r="A1100" s="479">
        <v>5436</v>
      </c>
      <c r="B1100" s="19" t="s">
        <v>510</v>
      </c>
      <c r="C1100" t="s">
        <v>143</v>
      </c>
      <c r="D1100" s="190">
        <v>5436</v>
      </c>
      <c r="E1100" s="191">
        <v>8244</v>
      </c>
      <c r="F1100" s="191">
        <v>8967</v>
      </c>
      <c r="G1100" s="481">
        <v>271</v>
      </c>
      <c r="H1100" s="19"/>
      <c r="I1100" s="19"/>
      <c r="M1100" s="19"/>
    </row>
    <row r="1101" spans="1:13">
      <c r="A1101" s="479">
        <v>5737</v>
      </c>
      <c r="B1101" s="19" t="s">
        <v>511</v>
      </c>
      <c r="C1101" t="s">
        <v>143</v>
      </c>
      <c r="D1101" s="190">
        <v>5737</v>
      </c>
      <c r="E1101" s="191">
        <v>6284</v>
      </c>
      <c r="F1101" s="191">
        <v>6128</v>
      </c>
      <c r="G1101" s="481">
        <v>225</v>
      </c>
      <c r="H1101" s="19"/>
      <c r="I1101" s="19"/>
      <c r="M1101" s="19"/>
    </row>
    <row r="1102" spans="1:13">
      <c r="A1102" s="479">
        <v>5024</v>
      </c>
      <c r="B1102" s="19" t="s">
        <v>512</v>
      </c>
      <c r="C1102" t="s">
        <v>143</v>
      </c>
      <c r="D1102" s="190">
        <v>5024</v>
      </c>
      <c r="E1102" s="191">
        <v>7409</v>
      </c>
      <c r="F1102" s="191">
        <v>7578</v>
      </c>
      <c r="G1102" s="481">
        <v>243</v>
      </c>
      <c r="H1102" s="19"/>
      <c r="I1102" s="19"/>
      <c r="M1102" s="19"/>
    </row>
    <row r="1103" spans="1:13">
      <c r="A1103" s="479">
        <v>4303</v>
      </c>
      <c r="B1103" s="19" t="s">
        <v>513</v>
      </c>
      <c r="C1103" t="s">
        <v>143</v>
      </c>
      <c r="D1103" s="190">
        <v>4303</v>
      </c>
      <c r="E1103" s="191">
        <v>8033</v>
      </c>
      <c r="F1103" s="191">
        <v>8059</v>
      </c>
      <c r="G1103" s="481">
        <v>273</v>
      </c>
      <c r="H1103" s="19"/>
      <c r="I1103" s="19"/>
      <c r="M1103" s="19"/>
    </row>
    <row r="1104" spans="1:13">
      <c r="A1104" s="479">
        <v>5070</v>
      </c>
      <c r="B1104" s="19" t="s">
        <v>514</v>
      </c>
      <c r="C1104" t="s">
        <v>143</v>
      </c>
      <c r="D1104" s="190">
        <v>5070</v>
      </c>
      <c r="E1104" s="191">
        <v>7384</v>
      </c>
      <c r="F1104" s="191">
        <v>6606</v>
      </c>
      <c r="G1104" s="481">
        <v>238</v>
      </c>
      <c r="H1104" s="19"/>
      <c r="I1104" s="19"/>
      <c r="M1104" s="19"/>
    </row>
    <row r="1105" spans="1:13">
      <c r="A1105" s="479">
        <v>5442</v>
      </c>
      <c r="B1105" s="19" t="s">
        <v>515</v>
      </c>
      <c r="C1105" t="s">
        <v>143</v>
      </c>
      <c r="D1105" s="190">
        <v>5442</v>
      </c>
      <c r="E1105" s="191">
        <v>7363</v>
      </c>
      <c r="F1105" s="191">
        <v>9366</v>
      </c>
      <c r="G1105" s="481">
        <v>264</v>
      </c>
      <c r="H1105" s="19"/>
      <c r="I1105" s="19"/>
      <c r="M1105" s="19"/>
    </row>
    <row r="1106" spans="1:13">
      <c r="A1106" s="479">
        <v>5507</v>
      </c>
      <c r="B1106" s="19" t="s">
        <v>516</v>
      </c>
      <c r="C1106" t="s">
        <v>143</v>
      </c>
      <c r="D1106" s="190">
        <v>5507</v>
      </c>
      <c r="E1106" s="191">
        <v>7398</v>
      </c>
      <c r="F1106" s="191">
        <v>7038</v>
      </c>
      <c r="G1106" s="481">
        <v>267</v>
      </c>
      <c r="H1106" s="19"/>
      <c r="I1106" s="19"/>
      <c r="M1106" s="19"/>
    </row>
    <row r="1107" spans="1:13">
      <c r="A1107" s="479">
        <v>5102</v>
      </c>
      <c r="B1107" s="19" t="s">
        <v>517</v>
      </c>
      <c r="C1107" t="s">
        <v>143</v>
      </c>
      <c r="D1107" s="190">
        <v>5102</v>
      </c>
      <c r="E1107" s="191">
        <v>6562</v>
      </c>
      <c r="F1107" s="191">
        <v>6802</v>
      </c>
      <c r="G1107" s="481">
        <v>253</v>
      </c>
      <c r="H1107" s="19"/>
      <c r="I1107" s="19"/>
      <c r="M1107" s="19"/>
    </row>
    <row r="1108" spans="1:13">
      <c r="A1108" s="479">
        <v>5412</v>
      </c>
      <c r="B1108" s="19" t="s">
        <v>518</v>
      </c>
      <c r="C1108" t="s">
        <v>143</v>
      </c>
      <c r="D1108" s="190">
        <v>5412</v>
      </c>
      <c r="E1108" s="191">
        <v>7836</v>
      </c>
      <c r="F1108" s="191">
        <v>7789</v>
      </c>
      <c r="G1108" s="481">
        <v>252</v>
      </c>
      <c r="H1108" s="19"/>
      <c r="I1108" s="19"/>
      <c r="M1108" s="19"/>
    </row>
    <row r="1109" spans="1:13">
      <c r="A1109" s="479">
        <v>5703</v>
      </c>
      <c r="B1109" s="19" t="s">
        <v>519</v>
      </c>
      <c r="C1109" t="s">
        <v>143</v>
      </c>
      <c r="D1109" s="190">
        <v>5703</v>
      </c>
      <c r="E1109" s="191">
        <v>5851</v>
      </c>
      <c r="F1109" s="191">
        <v>7093</v>
      </c>
      <c r="G1109" s="481">
        <v>248</v>
      </c>
      <c r="H1109" s="19"/>
      <c r="I1109" s="19"/>
      <c r="M1109" s="19"/>
    </row>
    <row r="1110" spans="1:13">
      <c r="A1110" s="479">
        <v>5420</v>
      </c>
      <c r="B1110" s="19" t="s">
        <v>520</v>
      </c>
      <c r="C1110" t="s">
        <v>143</v>
      </c>
      <c r="D1110" s="190">
        <v>5420</v>
      </c>
      <c r="E1110" s="191">
        <v>7246</v>
      </c>
      <c r="F1110" s="191">
        <v>8318</v>
      </c>
      <c r="G1110" s="481">
        <v>255</v>
      </c>
      <c r="H1110" s="19"/>
      <c r="I1110" s="19"/>
      <c r="M1110" s="19"/>
    </row>
    <row r="1111" spans="1:13">
      <c r="A1111" s="479">
        <v>4802</v>
      </c>
      <c r="B1111" s="19" t="s">
        <v>521</v>
      </c>
      <c r="C1111" t="s">
        <v>143</v>
      </c>
      <c r="D1111" s="190">
        <v>4802</v>
      </c>
      <c r="E1111" s="191">
        <v>7067</v>
      </c>
      <c r="F1111" s="191">
        <v>6916</v>
      </c>
      <c r="G1111" s="481">
        <v>216</v>
      </c>
      <c r="H1111" s="19"/>
      <c r="I1111" s="19"/>
      <c r="M1111" s="19"/>
    </row>
    <row r="1112" spans="1:13">
      <c r="A1112" s="479">
        <v>5702</v>
      </c>
      <c r="B1112" s="19" t="s">
        <v>522</v>
      </c>
      <c r="C1112" t="s">
        <v>143</v>
      </c>
      <c r="D1112" s="190">
        <v>5702</v>
      </c>
      <c r="E1112" s="191">
        <v>7240</v>
      </c>
      <c r="F1112" s="191">
        <v>7665</v>
      </c>
      <c r="G1112" s="481">
        <v>255</v>
      </c>
      <c r="H1112" s="19"/>
      <c r="I1112" s="19"/>
      <c r="M1112" s="19"/>
    </row>
    <row r="1113" spans="1:13">
      <c r="A1113" s="479">
        <v>8965</v>
      </c>
      <c r="B1113" s="19" t="s">
        <v>523</v>
      </c>
      <c r="C1113" t="s">
        <v>143</v>
      </c>
      <c r="D1113" s="190">
        <v>8965</v>
      </c>
      <c r="E1113" s="191">
        <v>8825</v>
      </c>
      <c r="F1113" s="191">
        <v>9763</v>
      </c>
      <c r="G1113" s="481">
        <v>262</v>
      </c>
      <c r="H1113" s="19"/>
      <c r="I1113" s="19"/>
      <c r="M1113" s="19"/>
    </row>
    <row r="1114" spans="1:13">
      <c r="A1114" s="479">
        <v>5303</v>
      </c>
      <c r="B1114" s="19" t="s">
        <v>524</v>
      </c>
      <c r="C1114" t="s">
        <v>143</v>
      </c>
      <c r="D1114" s="190">
        <v>5303</v>
      </c>
      <c r="E1114" s="191">
        <v>7287</v>
      </c>
      <c r="F1114" s="191">
        <v>7595</v>
      </c>
      <c r="G1114" s="481">
        <v>210</v>
      </c>
      <c r="H1114" s="19"/>
      <c r="I1114" s="19"/>
      <c r="M1114" s="19"/>
    </row>
    <row r="1115" spans="1:13">
      <c r="A1115" s="479">
        <v>5242</v>
      </c>
      <c r="B1115" s="19" t="s">
        <v>525</v>
      </c>
      <c r="C1115" t="s">
        <v>143</v>
      </c>
      <c r="D1115" s="190">
        <v>5242</v>
      </c>
      <c r="E1115" s="191">
        <v>6661</v>
      </c>
      <c r="F1115" s="191">
        <v>7120</v>
      </c>
      <c r="G1115" s="481">
        <v>211</v>
      </c>
      <c r="H1115" s="19"/>
      <c r="I1115" s="19"/>
      <c r="M1115" s="19"/>
    </row>
    <row r="1116" spans="1:13">
      <c r="A1116" s="479">
        <v>8964</v>
      </c>
      <c r="B1116" s="19" t="s">
        <v>526</v>
      </c>
      <c r="C1116" t="s">
        <v>143</v>
      </c>
      <c r="D1116" s="190">
        <v>8964</v>
      </c>
      <c r="E1116" s="191">
        <v>8212</v>
      </c>
      <c r="F1116" s="191">
        <v>9031</v>
      </c>
      <c r="G1116" s="481">
        <v>294</v>
      </c>
      <c r="H1116" s="19"/>
      <c r="I1116" s="19"/>
      <c r="M1116" s="19"/>
    </row>
    <row r="1117" spans="1:13">
      <c r="A1117" s="479">
        <v>5621</v>
      </c>
      <c r="B1117" s="19" t="s">
        <v>527</v>
      </c>
      <c r="C1117" t="s">
        <v>143</v>
      </c>
      <c r="D1117" s="190">
        <v>5621</v>
      </c>
      <c r="E1117" s="191">
        <v>8478</v>
      </c>
      <c r="F1117" s="191">
        <v>9387</v>
      </c>
      <c r="G1117" s="481">
        <v>285</v>
      </c>
      <c r="H1117" s="19"/>
      <c r="I1117" s="19"/>
      <c r="M1117" s="19"/>
    </row>
    <row r="1118" spans="1:13">
      <c r="A1118" s="479">
        <v>5103</v>
      </c>
      <c r="B1118" s="19" t="s">
        <v>528</v>
      </c>
      <c r="C1118" t="s">
        <v>143</v>
      </c>
      <c r="D1118" s="190">
        <v>5103</v>
      </c>
      <c r="E1118" s="191">
        <v>6499</v>
      </c>
      <c r="F1118" s="191">
        <v>7164</v>
      </c>
      <c r="G1118" s="481">
        <v>242</v>
      </c>
      <c r="H1118" s="19"/>
      <c r="I1118" s="19"/>
      <c r="M1118" s="19"/>
    </row>
    <row r="1119" spans="1:13">
      <c r="A1119" s="479">
        <v>5742</v>
      </c>
      <c r="B1119" s="19" t="s">
        <v>529</v>
      </c>
      <c r="C1119" t="s">
        <v>143</v>
      </c>
      <c r="D1119" s="190">
        <v>5742</v>
      </c>
      <c r="E1119" s="191">
        <v>6734</v>
      </c>
      <c r="F1119" s="191">
        <v>6684</v>
      </c>
      <c r="G1119" s="481">
        <v>231</v>
      </c>
      <c r="H1119" s="19"/>
      <c r="I1119" s="19"/>
      <c r="M1119" s="19"/>
    </row>
    <row r="1120" spans="1:13">
      <c r="A1120" s="479">
        <v>5643</v>
      </c>
      <c r="B1120" s="19" t="s">
        <v>530</v>
      </c>
      <c r="C1120" t="s">
        <v>143</v>
      </c>
      <c r="D1120" s="190">
        <v>5643</v>
      </c>
      <c r="E1120" s="191">
        <v>8681</v>
      </c>
      <c r="F1120" s="191">
        <v>8162</v>
      </c>
      <c r="G1120" s="481">
        <v>238</v>
      </c>
      <c r="H1120" s="19"/>
      <c r="I1120" s="19"/>
      <c r="M1120" s="19"/>
    </row>
    <row r="1121" spans="1:13">
      <c r="A1121" s="479">
        <v>5040</v>
      </c>
      <c r="B1121" s="19" t="s">
        <v>531</v>
      </c>
      <c r="C1121" t="s">
        <v>143</v>
      </c>
      <c r="D1121" s="190">
        <v>5040</v>
      </c>
      <c r="E1121" s="191">
        <v>6444</v>
      </c>
      <c r="F1121" s="191">
        <v>6751</v>
      </c>
      <c r="G1121" s="481">
        <v>255</v>
      </c>
      <c r="H1121" s="19"/>
      <c r="I1121" s="19"/>
      <c r="M1121" s="19"/>
    </row>
    <row r="1122" spans="1:13">
      <c r="A1122" s="479">
        <v>5330</v>
      </c>
      <c r="B1122" s="19" t="s">
        <v>532</v>
      </c>
      <c r="C1122" t="s">
        <v>143</v>
      </c>
      <c r="D1122" s="190">
        <v>5330</v>
      </c>
      <c r="E1122" s="191">
        <v>6425</v>
      </c>
      <c r="F1122" s="191">
        <v>5969</v>
      </c>
      <c r="G1122" s="481">
        <v>249</v>
      </c>
      <c r="H1122" s="19"/>
      <c r="I1122" s="19"/>
      <c r="M1122" s="19"/>
    </row>
    <row r="1123" spans="1:13">
      <c r="A1123" s="479">
        <v>5015</v>
      </c>
      <c r="B1123" s="19" t="s">
        <v>533</v>
      </c>
      <c r="C1123" t="s">
        <v>143</v>
      </c>
      <c r="D1123" s="190">
        <v>5015</v>
      </c>
      <c r="E1123" s="191">
        <v>8165</v>
      </c>
      <c r="F1123" s="191">
        <v>7547</v>
      </c>
      <c r="G1123" s="481">
        <v>236</v>
      </c>
      <c r="H1123" s="19"/>
      <c r="I1123" s="19"/>
      <c r="M1123" s="19"/>
    </row>
    <row r="1124" spans="1:13">
      <c r="A1124" s="479">
        <v>5452</v>
      </c>
      <c r="B1124" s="19" t="s">
        <v>534</v>
      </c>
      <c r="C1124" t="s">
        <v>143</v>
      </c>
      <c r="D1124" s="190">
        <v>5452</v>
      </c>
      <c r="E1124" s="191">
        <v>8668</v>
      </c>
      <c r="F1124" s="191">
        <v>9209</v>
      </c>
      <c r="G1124" s="481">
        <v>250</v>
      </c>
      <c r="H1124" s="19"/>
      <c r="I1124" s="19"/>
      <c r="M1124" s="19"/>
    </row>
    <row r="1125" spans="1:13">
      <c r="A1125" s="479">
        <v>5035</v>
      </c>
      <c r="B1125" s="19" t="s">
        <v>535</v>
      </c>
      <c r="C1125" t="s">
        <v>143</v>
      </c>
      <c r="D1125" s="190">
        <v>5035</v>
      </c>
      <c r="E1125" s="191">
        <v>6194</v>
      </c>
      <c r="F1125" s="191">
        <v>6989</v>
      </c>
      <c r="G1125" s="481">
        <v>249</v>
      </c>
      <c r="H1125" s="19"/>
      <c r="I1125" s="19"/>
      <c r="M1125" s="19"/>
    </row>
    <row r="1126" spans="1:13">
      <c r="A1126" s="479">
        <v>5502</v>
      </c>
      <c r="B1126" s="19" t="s">
        <v>536</v>
      </c>
      <c r="C1126" t="s">
        <v>143</v>
      </c>
      <c r="D1126" s="190">
        <v>5502</v>
      </c>
      <c r="E1126" s="191">
        <v>5679</v>
      </c>
      <c r="F1126" s="191">
        <v>7075</v>
      </c>
      <c r="G1126" s="481">
        <v>237</v>
      </c>
      <c r="H1126" s="19"/>
      <c r="I1126" s="19"/>
      <c r="M1126" s="19"/>
    </row>
    <row r="1127" spans="1:13">
      <c r="A1127" s="479">
        <v>5443</v>
      </c>
      <c r="B1127" s="19" t="s">
        <v>537</v>
      </c>
      <c r="C1127" t="s">
        <v>143</v>
      </c>
      <c r="D1127" s="190">
        <v>5443</v>
      </c>
      <c r="E1127" s="191">
        <v>8452</v>
      </c>
      <c r="F1127" s="191">
        <v>8776</v>
      </c>
      <c r="G1127" s="481">
        <v>246</v>
      </c>
      <c r="H1127" s="19"/>
      <c r="I1127" s="19"/>
      <c r="M1127" s="19"/>
    </row>
    <row r="1128" spans="1:13">
      <c r="A1128" s="479">
        <v>5315</v>
      </c>
      <c r="B1128" s="19" t="s">
        <v>538</v>
      </c>
      <c r="C1128" t="s">
        <v>143</v>
      </c>
      <c r="D1128" s="190">
        <v>5315</v>
      </c>
      <c r="E1128" s="191">
        <v>5995</v>
      </c>
      <c r="F1128" s="191">
        <v>5629</v>
      </c>
      <c r="G1128" s="481">
        <v>196</v>
      </c>
      <c r="H1128" s="19"/>
      <c r="I1128" s="19"/>
      <c r="M1128" s="19"/>
    </row>
    <row r="1129" spans="1:13">
      <c r="A1129" s="479">
        <v>5707</v>
      </c>
      <c r="B1129" s="19" t="s">
        <v>539</v>
      </c>
      <c r="C1129" t="s">
        <v>143</v>
      </c>
      <c r="D1129" s="190">
        <v>5707</v>
      </c>
      <c r="E1129" s="191">
        <v>7959</v>
      </c>
      <c r="F1129" s="191">
        <v>8207</v>
      </c>
      <c r="G1129" s="481">
        <v>231</v>
      </c>
      <c r="H1129" s="19"/>
      <c r="I1129" s="19"/>
      <c r="M1129" s="19"/>
    </row>
    <row r="1130" spans="1:13">
      <c r="A1130" s="479">
        <v>4312</v>
      </c>
      <c r="B1130" s="19" t="s">
        <v>540</v>
      </c>
      <c r="C1130" t="s">
        <v>143</v>
      </c>
      <c r="D1130" s="190">
        <v>4312</v>
      </c>
      <c r="E1130" s="191">
        <v>9289</v>
      </c>
      <c r="F1130" s="191">
        <v>8022</v>
      </c>
      <c r="G1130" s="481">
        <v>263</v>
      </c>
      <c r="H1130" s="19"/>
      <c r="I1130" s="19"/>
      <c r="M1130" s="19"/>
    </row>
    <row r="1131" spans="1:13">
      <c r="A1131" s="479">
        <v>4805</v>
      </c>
      <c r="B1131" s="19" t="s">
        <v>541</v>
      </c>
      <c r="C1131" t="s">
        <v>143</v>
      </c>
      <c r="D1131" s="190">
        <v>4805</v>
      </c>
      <c r="E1131" s="191">
        <v>7116</v>
      </c>
      <c r="F1131" s="191">
        <v>5880</v>
      </c>
      <c r="G1131" s="481">
        <v>222</v>
      </c>
      <c r="H1131" s="19"/>
      <c r="I1131" s="19"/>
      <c r="M1131" s="19"/>
    </row>
    <row r="1132" spans="1:13">
      <c r="A1132" s="479">
        <v>5312</v>
      </c>
      <c r="B1132" s="19" t="s">
        <v>542</v>
      </c>
      <c r="C1132" t="s">
        <v>143</v>
      </c>
      <c r="D1132" s="190">
        <v>5312</v>
      </c>
      <c r="E1132" s="191">
        <v>7299</v>
      </c>
      <c r="F1132" s="191">
        <v>5841</v>
      </c>
      <c r="G1132" s="481">
        <v>244</v>
      </c>
      <c r="H1132" s="19"/>
      <c r="I1132" s="19"/>
      <c r="M1132" s="19"/>
    </row>
    <row r="1133" spans="1:13">
      <c r="A1133" s="479">
        <v>5605</v>
      </c>
      <c r="B1133" s="19" t="s">
        <v>543</v>
      </c>
      <c r="C1133" t="s">
        <v>143</v>
      </c>
      <c r="D1133" s="190">
        <v>5605</v>
      </c>
      <c r="E1133" s="191">
        <v>5969</v>
      </c>
      <c r="F1133" s="191">
        <v>6733</v>
      </c>
      <c r="G1133" s="481">
        <v>237</v>
      </c>
      <c r="H1133" s="19"/>
      <c r="I1133" s="19"/>
      <c r="M1133" s="19"/>
    </row>
    <row r="1134" spans="1:13">
      <c r="A1134" s="479">
        <v>5037</v>
      </c>
      <c r="B1134" s="19" t="s">
        <v>544</v>
      </c>
      <c r="C1134" t="s">
        <v>143</v>
      </c>
      <c r="D1134" s="190">
        <v>5037</v>
      </c>
      <c r="E1134" s="191">
        <v>7646</v>
      </c>
      <c r="F1134" s="191">
        <v>6952</v>
      </c>
      <c r="G1134" s="481">
        <v>238</v>
      </c>
      <c r="H1134" s="19"/>
      <c r="I1134" s="19"/>
      <c r="M1134" s="19"/>
    </row>
    <row r="1135" spans="1:13">
      <c r="A1135" s="479">
        <v>5745</v>
      </c>
      <c r="B1135" s="19" t="s">
        <v>545</v>
      </c>
      <c r="C1135" t="s">
        <v>143</v>
      </c>
      <c r="D1135" s="190">
        <v>5745</v>
      </c>
      <c r="E1135" s="191">
        <v>5605</v>
      </c>
      <c r="F1135" s="191">
        <v>6262</v>
      </c>
      <c r="G1135" s="481">
        <v>227</v>
      </c>
      <c r="H1135" s="19"/>
      <c r="I1135" s="19"/>
      <c r="M1135" s="19"/>
    </row>
    <row r="1136" spans="1:13">
      <c r="A1136" s="479">
        <v>8967</v>
      </c>
      <c r="B1136" s="19" t="s">
        <v>546</v>
      </c>
      <c r="C1136" t="s">
        <v>143</v>
      </c>
      <c r="D1136" s="190">
        <v>8967</v>
      </c>
      <c r="E1136" s="191">
        <v>9434</v>
      </c>
      <c r="F1136" s="191">
        <v>9780</v>
      </c>
      <c r="G1136" s="481">
        <v>284</v>
      </c>
      <c r="H1136" s="19"/>
      <c r="I1136" s="19"/>
      <c r="M1136" s="19"/>
    </row>
    <row r="1137" spans="1:13">
      <c r="A1137" s="479">
        <v>5080</v>
      </c>
      <c r="B1137" s="19" t="s">
        <v>547</v>
      </c>
      <c r="C1137" t="s">
        <v>143</v>
      </c>
      <c r="D1137" s="190">
        <v>5080</v>
      </c>
      <c r="E1137" s="191">
        <v>5808</v>
      </c>
      <c r="F1137" s="191">
        <v>5628</v>
      </c>
      <c r="G1137" s="481">
        <v>225</v>
      </c>
      <c r="H1137" s="19"/>
      <c r="I1137" s="19"/>
      <c r="M1137" s="19"/>
    </row>
    <row r="1138" spans="1:13">
      <c r="A1138" s="479">
        <v>5212</v>
      </c>
      <c r="B1138" s="19" t="s">
        <v>548</v>
      </c>
      <c r="C1138" t="s">
        <v>143</v>
      </c>
      <c r="D1138" s="190">
        <v>5212</v>
      </c>
      <c r="E1138" s="191">
        <v>6608</v>
      </c>
      <c r="F1138" s="191">
        <v>8340</v>
      </c>
      <c r="G1138" s="481">
        <v>246</v>
      </c>
      <c r="H1138" s="19"/>
      <c r="I1138" s="19"/>
      <c r="M1138" s="19"/>
    </row>
    <row r="1139" spans="1:13">
      <c r="A1139" s="479">
        <v>5634</v>
      </c>
      <c r="B1139" s="19" t="s">
        <v>549</v>
      </c>
      <c r="C1139" t="s">
        <v>143</v>
      </c>
      <c r="D1139" s="190">
        <v>5634</v>
      </c>
      <c r="E1139" s="191">
        <v>7184</v>
      </c>
      <c r="F1139" s="191">
        <v>8128</v>
      </c>
      <c r="G1139" s="481">
        <v>280</v>
      </c>
      <c r="H1139" s="19"/>
      <c r="I1139" s="19"/>
      <c r="M1139" s="19"/>
    </row>
    <row r="1140" spans="1:13">
      <c r="A1140" s="479">
        <v>5073</v>
      </c>
      <c r="B1140" s="19" t="s">
        <v>550</v>
      </c>
      <c r="C1140" t="s">
        <v>143</v>
      </c>
      <c r="D1140" s="190">
        <v>5073</v>
      </c>
      <c r="E1140" s="191">
        <v>7072</v>
      </c>
      <c r="F1140" s="191">
        <v>7482</v>
      </c>
      <c r="G1140" s="481">
        <v>251</v>
      </c>
      <c r="H1140" s="19"/>
      <c r="I1140" s="19"/>
      <c r="M1140" s="19"/>
    </row>
    <row r="1141" spans="1:13">
      <c r="A1141" s="479">
        <v>5408</v>
      </c>
      <c r="B1141" s="19" t="s">
        <v>551</v>
      </c>
      <c r="C1141" t="s">
        <v>143</v>
      </c>
      <c r="D1141" s="190">
        <v>5408</v>
      </c>
      <c r="E1141" s="191">
        <v>10293</v>
      </c>
      <c r="F1141" s="191">
        <v>9589</v>
      </c>
      <c r="G1141" s="481">
        <v>353</v>
      </c>
      <c r="H1141" s="19"/>
      <c r="I1141" s="19"/>
      <c r="M1141" s="19"/>
    </row>
    <row r="1142" spans="1:13">
      <c r="A1142" s="479">
        <v>5313</v>
      </c>
      <c r="B1142" s="19" t="s">
        <v>552</v>
      </c>
      <c r="C1142" t="s">
        <v>143</v>
      </c>
      <c r="D1142" s="190">
        <v>5313</v>
      </c>
      <c r="E1142" s="191">
        <v>6335</v>
      </c>
      <c r="F1142" s="191">
        <v>6100</v>
      </c>
      <c r="G1142" s="481">
        <v>226</v>
      </c>
      <c r="H1142" s="19"/>
      <c r="I1142" s="19"/>
      <c r="M1142" s="19"/>
    </row>
    <row r="1143" spans="1:13">
      <c r="A1143" s="479">
        <v>5603</v>
      </c>
      <c r="B1143" s="19" t="s">
        <v>553</v>
      </c>
      <c r="C1143" t="s">
        <v>143</v>
      </c>
      <c r="D1143" s="190">
        <v>5603</v>
      </c>
      <c r="E1143" s="191">
        <v>8193</v>
      </c>
      <c r="F1143" s="191">
        <v>8553</v>
      </c>
      <c r="G1143" s="481">
        <v>274</v>
      </c>
      <c r="H1143" s="19"/>
      <c r="I1143" s="19"/>
      <c r="M1143" s="19"/>
    </row>
    <row r="1144" spans="1:13">
      <c r="A1144" s="479">
        <v>4332</v>
      </c>
      <c r="B1144" s="19" t="s">
        <v>554</v>
      </c>
      <c r="C1144" t="s">
        <v>143</v>
      </c>
      <c r="D1144" s="190">
        <v>4332</v>
      </c>
      <c r="E1144" s="191">
        <v>6854</v>
      </c>
      <c r="F1144" s="191">
        <v>6306</v>
      </c>
      <c r="G1144" s="481">
        <v>247</v>
      </c>
      <c r="H1144" s="19"/>
      <c r="I1144" s="19"/>
      <c r="M1144" s="19"/>
    </row>
    <row r="1145" spans="1:13">
      <c r="A1145" s="479">
        <v>5712</v>
      </c>
      <c r="B1145" s="19" t="s">
        <v>555</v>
      </c>
      <c r="C1145" t="s">
        <v>143</v>
      </c>
      <c r="D1145" s="190">
        <v>5712</v>
      </c>
      <c r="E1145" s="191">
        <v>8087</v>
      </c>
      <c r="F1145" s="191">
        <v>8204</v>
      </c>
      <c r="G1145" s="481">
        <v>249</v>
      </c>
      <c r="H1145" s="19"/>
      <c r="I1145" s="19"/>
      <c r="M1145" s="19"/>
    </row>
    <row r="1146" spans="1:13">
      <c r="A1146" s="479">
        <v>5726</v>
      </c>
      <c r="B1146" s="19" t="s">
        <v>556</v>
      </c>
      <c r="C1146" t="s">
        <v>143</v>
      </c>
      <c r="D1146" s="190">
        <v>5726</v>
      </c>
      <c r="E1146" s="191">
        <v>5594</v>
      </c>
      <c r="F1146" s="191">
        <v>5762</v>
      </c>
      <c r="G1146" s="481">
        <v>210</v>
      </c>
      <c r="H1146" s="19"/>
      <c r="I1146" s="19"/>
      <c r="M1146" s="19"/>
    </row>
    <row r="1147" spans="1:13">
      <c r="A1147" s="479">
        <v>5242</v>
      </c>
      <c r="B1147" s="19" t="s">
        <v>557</v>
      </c>
      <c r="C1147" t="s">
        <v>143</v>
      </c>
      <c r="D1147" s="190">
        <v>5242</v>
      </c>
      <c r="E1147" s="191">
        <v>6617</v>
      </c>
      <c r="F1147" s="191">
        <v>6806</v>
      </c>
      <c r="G1147" s="481">
        <v>244</v>
      </c>
      <c r="H1147" s="19"/>
      <c r="I1147" s="19"/>
      <c r="M1147" s="19"/>
    </row>
    <row r="1148" spans="1:13">
      <c r="A1148" s="479">
        <v>5503</v>
      </c>
      <c r="B1148" s="19" t="s">
        <v>558</v>
      </c>
      <c r="C1148" t="s">
        <v>143</v>
      </c>
      <c r="D1148" s="190">
        <v>5503</v>
      </c>
      <c r="E1148" s="191">
        <v>6673</v>
      </c>
      <c r="F1148" s="191">
        <v>7559</v>
      </c>
      <c r="G1148" s="481">
        <v>242</v>
      </c>
      <c r="H1148" s="19"/>
      <c r="I1148" s="19"/>
      <c r="M1148" s="19"/>
    </row>
    <row r="1149" spans="1:13">
      <c r="A1149" s="479">
        <v>5413</v>
      </c>
      <c r="B1149" s="19" t="s">
        <v>559</v>
      </c>
      <c r="C1149" t="s">
        <v>143</v>
      </c>
      <c r="D1149" s="190">
        <v>5413</v>
      </c>
      <c r="E1149" s="191">
        <v>7428</v>
      </c>
      <c r="F1149" s="191">
        <v>7092</v>
      </c>
      <c r="G1149" s="481">
        <v>244</v>
      </c>
      <c r="H1149" s="19"/>
      <c r="I1149" s="19"/>
      <c r="M1149" s="19"/>
    </row>
    <row r="1150" spans="1:13">
      <c r="A1150" s="479">
        <v>5300</v>
      </c>
      <c r="B1150" s="19" t="s">
        <v>560</v>
      </c>
      <c r="C1150" t="s">
        <v>143</v>
      </c>
      <c r="D1150" s="190">
        <v>5300</v>
      </c>
      <c r="E1150" s="191">
        <v>7522</v>
      </c>
      <c r="F1150" s="191">
        <v>8120</v>
      </c>
      <c r="G1150" s="481">
        <v>262</v>
      </c>
      <c r="H1150" s="19"/>
      <c r="I1150" s="19"/>
      <c r="M1150" s="19"/>
    </row>
    <row r="1151" spans="1:13">
      <c r="A1151" s="479">
        <v>5616</v>
      </c>
      <c r="B1151" s="19" t="s">
        <v>561</v>
      </c>
      <c r="C1151" t="s">
        <v>143</v>
      </c>
      <c r="D1151" s="190">
        <v>5616</v>
      </c>
      <c r="E1151" s="191">
        <v>9410</v>
      </c>
      <c r="F1151" s="191">
        <v>8613</v>
      </c>
      <c r="G1151" s="481">
        <v>273</v>
      </c>
      <c r="H1151" s="19"/>
      <c r="I1151" s="19"/>
      <c r="M1151" s="19"/>
    </row>
    <row r="1152" spans="1:13">
      <c r="A1152" s="479">
        <v>4853</v>
      </c>
      <c r="B1152" s="19" t="s">
        <v>562</v>
      </c>
      <c r="C1152" t="s">
        <v>143</v>
      </c>
      <c r="D1152" s="190">
        <v>4853</v>
      </c>
      <c r="E1152" s="191">
        <v>6514</v>
      </c>
      <c r="F1152" s="191">
        <v>5936</v>
      </c>
      <c r="G1152" s="481">
        <v>211</v>
      </c>
      <c r="H1152" s="19"/>
      <c r="I1152" s="19"/>
      <c r="M1152" s="19"/>
    </row>
    <row r="1153" spans="1:13">
      <c r="A1153" s="479">
        <v>5622</v>
      </c>
      <c r="B1153" s="19" t="s">
        <v>563</v>
      </c>
      <c r="C1153" t="s">
        <v>143</v>
      </c>
      <c r="D1153" s="190">
        <v>5622</v>
      </c>
      <c r="E1153" s="191">
        <v>6563</v>
      </c>
      <c r="F1153" s="191">
        <v>7378</v>
      </c>
      <c r="G1153" s="481">
        <v>239</v>
      </c>
      <c r="H1153" s="19"/>
      <c r="I1153" s="19"/>
      <c r="M1153" s="19"/>
    </row>
    <row r="1154" spans="1:13">
      <c r="A1154" s="479">
        <v>5614</v>
      </c>
      <c r="B1154" s="19" t="s">
        <v>564</v>
      </c>
      <c r="C1154" t="s">
        <v>143</v>
      </c>
      <c r="D1154" s="190">
        <v>5614</v>
      </c>
      <c r="E1154" s="191">
        <v>6182</v>
      </c>
      <c r="F1154" s="191">
        <v>8527</v>
      </c>
      <c r="G1154" s="481">
        <v>236</v>
      </c>
      <c r="H1154" s="19"/>
      <c r="I1154" s="19"/>
      <c r="M1154" s="19"/>
    </row>
    <row r="1155" spans="1:13">
      <c r="A1155" s="479">
        <v>5524</v>
      </c>
      <c r="B1155" s="19" t="s">
        <v>565</v>
      </c>
      <c r="C1155" t="s">
        <v>143</v>
      </c>
      <c r="D1155" s="190">
        <v>5524</v>
      </c>
      <c r="E1155" s="191">
        <v>6373</v>
      </c>
      <c r="F1155" s="191">
        <v>6812</v>
      </c>
      <c r="G1155" s="481">
        <v>232</v>
      </c>
      <c r="H1155" s="19"/>
      <c r="I1155" s="19"/>
      <c r="M1155" s="19"/>
    </row>
    <row r="1156" spans="1:13">
      <c r="A1156" s="479">
        <v>8962</v>
      </c>
      <c r="B1156" s="19" t="s">
        <v>566</v>
      </c>
      <c r="C1156" t="s">
        <v>143</v>
      </c>
      <c r="D1156" s="190">
        <v>8962</v>
      </c>
      <c r="E1156" s="191">
        <v>9707</v>
      </c>
      <c r="F1156" s="191">
        <v>10000</v>
      </c>
      <c r="G1156" s="481">
        <v>314</v>
      </c>
      <c r="H1156" s="19"/>
      <c r="I1156" s="19"/>
      <c r="M1156" s="19"/>
    </row>
    <row r="1157" spans="1:13">
      <c r="A1157" s="479">
        <v>5504</v>
      </c>
      <c r="B1157" s="19" t="s">
        <v>567</v>
      </c>
      <c r="C1157" t="s">
        <v>143</v>
      </c>
      <c r="D1157" s="190">
        <v>5504</v>
      </c>
      <c r="E1157" s="191">
        <v>6979</v>
      </c>
      <c r="F1157" s="191">
        <v>7602</v>
      </c>
      <c r="G1157" s="481">
        <v>242</v>
      </c>
      <c r="H1157" s="19"/>
      <c r="I1157" s="19"/>
      <c r="M1157" s="19"/>
    </row>
    <row r="1158" spans="1:13">
      <c r="A1158" s="479">
        <v>5623</v>
      </c>
      <c r="B1158" s="19" t="s">
        <v>568</v>
      </c>
      <c r="C1158" t="s">
        <v>143</v>
      </c>
      <c r="D1158" s="190">
        <v>5623</v>
      </c>
      <c r="E1158" s="191">
        <v>6927</v>
      </c>
      <c r="F1158" s="191">
        <v>7346</v>
      </c>
      <c r="G1158" s="481">
        <v>237</v>
      </c>
      <c r="H1158" s="19"/>
      <c r="I1158" s="19"/>
      <c r="M1158" s="19"/>
    </row>
    <row r="1159" spans="1:13">
      <c r="A1159" s="479">
        <v>5426</v>
      </c>
      <c r="B1159" s="19" t="s">
        <v>569</v>
      </c>
      <c r="C1159" t="s">
        <v>143</v>
      </c>
      <c r="D1159" s="190">
        <v>5426</v>
      </c>
      <c r="E1159" s="191">
        <v>7120</v>
      </c>
      <c r="F1159" s="191">
        <v>7114</v>
      </c>
      <c r="G1159" s="481">
        <v>213</v>
      </c>
      <c r="H1159" s="19"/>
      <c r="I1159" s="19"/>
      <c r="M1159" s="19"/>
    </row>
    <row r="1160" spans="1:13">
      <c r="A1160" s="479">
        <v>5727</v>
      </c>
      <c r="B1160" s="19" t="s">
        <v>570</v>
      </c>
      <c r="C1160" t="s">
        <v>143</v>
      </c>
      <c r="D1160" s="190">
        <v>5727</v>
      </c>
      <c r="E1160" s="191">
        <v>5903</v>
      </c>
      <c r="F1160" s="191">
        <v>6412</v>
      </c>
      <c r="G1160" s="481">
        <v>206</v>
      </c>
      <c r="H1160" s="19"/>
      <c r="I1160" s="19"/>
      <c r="M1160" s="19"/>
    </row>
    <row r="1161" spans="1:13">
      <c r="A1161" s="479">
        <v>5082</v>
      </c>
      <c r="B1161" s="19" t="s">
        <v>571</v>
      </c>
      <c r="C1161" t="s">
        <v>143</v>
      </c>
      <c r="D1161" s="190">
        <v>5082</v>
      </c>
      <c r="E1161" s="191">
        <v>5432</v>
      </c>
      <c r="F1161" s="191">
        <v>5989</v>
      </c>
      <c r="G1161" s="481">
        <v>229</v>
      </c>
      <c r="H1161" s="19"/>
      <c r="I1161" s="19"/>
      <c r="M1161" s="19"/>
    </row>
    <row r="1162" spans="1:13">
      <c r="A1162" s="479">
        <v>5304</v>
      </c>
      <c r="B1162" s="19" t="s">
        <v>572</v>
      </c>
      <c r="C1162" t="s">
        <v>143</v>
      </c>
      <c r="D1162" s="190">
        <v>5304</v>
      </c>
      <c r="E1162" s="191">
        <v>7789</v>
      </c>
      <c r="F1162" s="191">
        <v>6858</v>
      </c>
      <c r="G1162" s="481">
        <v>202</v>
      </c>
      <c r="H1162" s="19"/>
      <c r="I1162" s="19"/>
      <c r="M1162" s="19"/>
    </row>
    <row r="1163" spans="1:13">
      <c r="A1163" s="479">
        <v>5607</v>
      </c>
      <c r="B1163" s="19" t="s">
        <v>573</v>
      </c>
      <c r="C1163" t="s">
        <v>143</v>
      </c>
      <c r="D1163" s="190">
        <v>5607</v>
      </c>
      <c r="E1163" s="191">
        <v>7343</v>
      </c>
      <c r="F1163" s="191">
        <v>6648</v>
      </c>
      <c r="G1163" s="481">
        <v>250</v>
      </c>
      <c r="H1163" s="19"/>
      <c r="I1163" s="19"/>
      <c r="M1163" s="19"/>
    </row>
    <row r="1164" spans="1:13">
      <c r="A1164" s="479">
        <v>8966</v>
      </c>
      <c r="B1164" s="19" t="s">
        <v>574</v>
      </c>
      <c r="C1164" t="s">
        <v>143</v>
      </c>
      <c r="D1164" s="190">
        <v>8966</v>
      </c>
      <c r="E1164" s="191">
        <v>10048</v>
      </c>
      <c r="F1164" s="191">
        <v>9865</v>
      </c>
      <c r="G1164" s="481">
        <v>283</v>
      </c>
      <c r="H1164" s="19"/>
      <c r="I1164" s="19"/>
      <c r="M1164" s="19"/>
    </row>
    <row r="1165" spans="1:13">
      <c r="A1165" s="479">
        <v>4314</v>
      </c>
      <c r="B1165" s="19" t="s">
        <v>575</v>
      </c>
      <c r="C1165" t="s">
        <v>143</v>
      </c>
      <c r="D1165" s="190">
        <v>4314</v>
      </c>
      <c r="E1165" s="191">
        <v>7691</v>
      </c>
      <c r="F1165" s="191">
        <v>6654</v>
      </c>
      <c r="G1165" s="481">
        <v>252</v>
      </c>
      <c r="H1165" s="19"/>
      <c r="I1165" s="19"/>
      <c r="M1165" s="19"/>
    </row>
    <row r="1166" spans="1:13">
      <c r="A1166" s="479">
        <v>5074</v>
      </c>
      <c r="B1166" s="19" t="s">
        <v>576</v>
      </c>
      <c r="C1166" t="s">
        <v>143</v>
      </c>
      <c r="D1166" s="190">
        <v>5074</v>
      </c>
      <c r="E1166" s="191">
        <v>7284</v>
      </c>
      <c r="F1166" s="191">
        <v>6236</v>
      </c>
      <c r="G1166" s="481">
        <v>239</v>
      </c>
      <c r="H1166" s="19"/>
      <c r="I1166" s="19"/>
      <c r="M1166" s="19"/>
    </row>
    <row r="1167" spans="1:13">
      <c r="A1167" s="479">
        <v>5608</v>
      </c>
      <c r="B1167" s="19" t="s">
        <v>577</v>
      </c>
      <c r="C1167" t="s">
        <v>143</v>
      </c>
      <c r="D1167" s="190">
        <v>5608</v>
      </c>
      <c r="E1167" s="191">
        <v>7356</v>
      </c>
      <c r="F1167" s="191">
        <v>7164</v>
      </c>
      <c r="G1167" s="481">
        <v>242</v>
      </c>
      <c r="H1167" s="19"/>
      <c r="I1167" s="19"/>
      <c r="M1167" s="19"/>
    </row>
    <row r="1168" spans="1:13">
      <c r="A1168" s="479">
        <v>5107</v>
      </c>
      <c r="B1168" s="19" t="s">
        <v>578</v>
      </c>
      <c r="C1168" t="s">
        <v>143</v>
      </c>
      <c r="D1168" s="190">
        <v>5107</v>
      </c>
      <c r="E1168" s="191">
        <v>7042</v>
      </c>
      <c r="F1168" s="191">
        <v>6138</v>
      </c>
      <c r="G1168" s="481">
        <v>244</v>
      </c>
      <c r="H1168" s="19"/>
      <c r="I1168" s="19"/>
      <c r="M1168" s="19"/>
    </row>
    <row r="1169" spans="1:13">
      <c r="A1169" s="479">
        <v>5606</v>
      </c>
      <c r="B1169" s="19" t="s">
        <v>579</v>
      </c>
      <c r="C1169" t="s">
        <v>143</v>
      </c>
      <c r="D1169" s="190">
        <v>5606</v>
      </c>
      <c r="E1169" s="191">
        <v>6953</v>
      </c>
      <c r="F1169" s="191">
        <v>6980</v>
      </c>
      <c r="G1169" s="481">
        <v>253</v>
      </c>
      <c r="H1169" s="19"/>
      <c r="I1169" s="19"/>
      <c r="M1169" s="19"/>
    </row>
    <row r="1170" spans="1:13">
      <c r="A1170" s="479">
        <v>5316</v>
      </c>
      <c r="B1170" s="19" t="s">
        <v>580</v>
      </c>
      <c r="C1170" t="s">
        <v>143</v>
      </c>
      <c r="D1170" s="190">
        <v>5316</v>
      </c>
      <c r="E1170" s="191">
        <v>5120</v>
      </c>
      <c r="F1170" s="191">
        <v>6181</v>
      </c>
      <c r="G1170" s="481">
        <v>243</v>
      </c>
      <c r="H1170" s="19"/>
      <c r="I1170" s="19"/>
      <c r="M1170" s="19"/>
    </row>
    <row r="1171" spans="1:13">
      <c r="A1171" s="479">
        <v>5728</v>
      </c>
      <c r="B1171" s="19" t="s">
        <v>581</v>
      </c>
      <c r="C1171" t="s">
        <v>143</v>
      </c>
      <c r="D1171" s="190">
        <v>5728</v>
      </c>
      <c r="E1171" s="191">
        <v>6002</v>
      </c>
      <c r="F1171" s="191">
        <v>6466</v>
      </c>
      <c r="G1171" s="481">
        <v>229</v>
      </c>
      <c r="H1171" s="19"/>
      <c r="I1171" s="19"/>
      <c r="M1171" s="19"/>
    </row>
    <row r="1172" spans="1:13">
      <c r="A1172" s="479">
        <v>5506</v>
      </c>
      <c r="B1172" s="19" t="s">
        <v>582</v>
      </c>
      <c r="C1172" t="s">
        <v>143</v>
      </c>
      <c r="D1172" s="190">
        <v>5506</v>
      </c>
      <c r="E1172" s="191">
        <v>7215</v>
      </c>
      <c r="F1172" s="191">
        <v>7347</v>
      </c>
      <c r="G1172" s="481">
        <v>213</v>
      </c>
      <c r="H1172" s="19"/>
      <c r="I1172" s="19"/>
      <c r="M1172" s="19"/>
    </row>
    <row r="1173" spans="1:13">
      <c r="A1173" s="479">
        <v>5644</v>
      </c>
      <c r="B1173" s="19" t="s">
        <v>583</v>
      </c>
      <c r="C1173" t="s">
        <v>143</v>
      </c>
      <c r="D1173" s="190">
        <v>5644</v>
      </c>
      <c r="E1173" s="191">
        <v>5744</v>
      </c>
      <c r="F1173" s="191">
        <v>7144</v>
      </c>
      <c r="G1173" s="481">
        <v>237</v>
      </c>
      <c r="H1173" s="19"/>
      <c r="I1173" s="19"/>
      <c r="M1173" s="19"/>
    </row>
    <row r="1174" spans="1:13">
      <c r="A1174" s="479">
        <v>5234</v>
      </c>
      <c r="B1174" s="19" t="s">
        <v>584</v>
      </c>
      <c r="C1174" t="s">
        <v>143</v>
      </c>
      <c r="D1174" s="190">
        <v>5234</v>
      </c>
      <c r="E1174" s="191">
        <v>7187</v>
      </c>
      <c r="F1174" s="191">
        <v>7812</v>
      </c>
      <c r="G1174" s="481">
        <v>274</v>
      </c>
      <c r="H1174" s="19"/>
      <c r="I1174" s="19"/>
      <c r="M1174" s="19"/>
    </row>
    <row r="1175" spans="1:13">
      <c r="A1175" s="479">
        <v>5453</v>
      </c>
      <c r="B1175" s="19" t="s">
        <v>585</v>
      </c>
      <c r="C1175" t="s">
        <v>143</v>
      </c>
      <c r="D1175" s="190">
        <v>5453</v>
      </c>
      <c r="E1175" s="191">
        <v>7819</v>
      </c>
      <c r="F1175" s="191">
        <v>8274</v>
      </c>
      <c r="G1175" s="481">
        <v>143</v>
      </c>
      <c r="H1175" s="19"/>
      <c r="I1175" s="19"/>
      <c r="M1175" s="19"/>
    </row>
    <row r="1176" spans="1:13">
      <c r="A1176" s="479">
        <v>8956</v>
      </c>
      <c r="B1176" s="19" t="s">
        <v>586</v>
      </c>
      <c r="C1176" t="s">
        <v>143</v>
      </c>
      <c r="D1176" s="190">
        <v>8956</v>
      </c>
      <c r="E1176" s="191">
        <v>8694</v>
      </c>
      <c r="F1176" s="191">
        <v>9322</v>
      </c>
      <c r="G1176" s="481">
        <v>293</v>
      </c>
      <c r="H1176" s="19"/>
      <c r="I1176" s="19"/>
      <c r="M1176" s="19"/>
    </row>
    <row r="1177" spans="1:13">
      <c r="A1177" s="479">
        <v>8916</v>
      </c>
      <c r="B1177" s="19" t="s">
        <v>587</v>
      </c>
      <c r="C1177" t="s">
        <v>143</v>
      </c>
      <c r="D1177" s="190">
        <v>8916</v>
      </c>
      <c r="E1177" s="191">
        <v>7978</v>
      </c>
      <c r="F1177" s="191">
        <v>8347</v>
      </c>
      <c r="G1177" s="481">
        <v>268</v>
      </c>
      <c r="H1177" s="19"/>
      <c r="I1177" s="19"/>
      <c r="M1177" s="19"/>
    </row>
    <row r="1178" spans="1:13">
      <c r="A1178" s="479">
        <v>5615</v>
      </c>
      <c r="B1178" s="19" t="s">
        <v>588</v>
      </c>
      <c r="C1178" t="s">
        <v>143</v>
      </c>
      <c r="D1178" s="190">
        <v>5615</v>
      </c>
      <c r="E1178" s="191">
        <v>7616</v>
      </c>
      <c r="F1178" s="191">
        <v>7540</v>
      </c>
      <c r="G1178" s="481">
        <v>229</v>
      </c>
      <c r="H1178" s="19"/>
      <c r="I1178" s="19"/>
      <c r="M1178" s="19"/>
    </row>
    <row r="1179" spans="1:13">
      <c r="A1179" s="479">
        <v>8917</v>
      </c>
      <c r="B1179" s="19" t="s">
        <v>589</v>
      </c>
      <c r="C1179" t="s">
        <v>143</v>
      </c>
      <c r="D1179" s="190">
        <v>8917</v>
      </c>
      <c r="E1179" s="191">
        <v>8464</v>
      </c>
      <c r="F1179" s="191">
        <v>9662</v>
      </c>
      <c r="G1179" s="481">
        <v>248</v>
      </c>
      <c r="H1179" s="19"/>
      <c r="I1179" s="19"/>
      <c r="M1179" s="19"/>
    </row>
    <row r="1180" spans="1:13">
      <c r="A1180" s="479">
        <v>5273</v>
      </c>
      <c r="B1180" s="19" t="s">
        <v>590</v>
      </c>
      <c r="C1180" t="s">
        <v>143</v>
      </c>
      <c r="D1180" s="190">
        <v>5273</v>
      </c>
      <c r="E1180" s="191">
        <v>6597</v>
      </c>
      <c r="F1180" s="191">
        <v>6238</v>
      </c>
      <c r="G1180" s="481">
        <v>168</v>
      </c>
      <c r="H1180" s="19"/>
      <c r="I1180" s="19"/>
      <c r="M1180" s="19"/>
    </row>
    <row r="1181" spans="1:13">
      <c r="A1181" s="479">
        <v>4323</v>
      </c>
      <c r="B1181" s="19" t="s">
        <v>591</v>
      </c>
      <c r="C1181" t="s">
        <v>143</v>
      </c>
      <c r="D1181" s="190">
        <v>4323</v>
      </c>
      <c r="E1181" s="191">
        <v>6808</v>
      </c>
      <c r="F1181" s="191">
        <v>7477</v>
      </c>
      <c r="G1181" s="481">
        <v>212</v>
      </c>
      <c r="H1181" s="19"/>
      <c r="I1181" s="19"/>
      <c r="M1181" s="19"/>
    </row>
    <row r="1182" spans="1:13">
      <c r="A1182" s="479">
        <v>4803</v>
      </c>
      <c r="B1182" s="19" t="s">
        <v>592</v>
      </c>
      <c r="C1182" t="s">
        <v>143</v>
      </c>
      <c r="D1182" s="190">
        <v>4803</v>
      </c>
      <c r="E1182" s="191">
        <v>7060</v>
      </c>
      <c r="F1182" s="191">
        <v>6929</v>
      </c>
      <c r="G1182" s="481">
        <v>238</v>
      </c>
      <c r="H1182" s="19"/>
      <c r="I1182" s="19"/>
      <c r="M1182" s="19"/>
    </row>
    <row r="1183" spans="1:13">
      <c r="A1183" s="479">
        <v>8905</v>
      </c>
      <c r="B1183" s="19" t="s">
        <v>593</v>
      </c>
      <c r="C1183" t="s">
        <v>143</v>
      </c>
      <c r="D1183" s="190">
        <v>8905</v>
      </c>
      <c r="E1183" s="191">
        <v>8163</v>
      </c>
      <c r="F1183" s="191">
        <v>10176</v>
      </c>
      <c r="G1183" s="481">
        <v>229</v>
      </c>
      <c r="H1183" s="19"/>
      <c r="I1183" s="19"/>
      <c r="M1183" s="19"/>
    </row>
    <row r="1184" spans="1:13">
      <c r="A1184" s="479">
        <v>5444</v>
      </c>
      <c r="B1184" s="19" t="s">
        <v>594</v>
      </c>
      <c r="C1184" t="s">
        <v>143</v>
      </c>
      <c r="D1184" s="190">
        <v>5444</v>
      </c>
      <c r="E1184" s="191">
        <v>7948</v>
      </c>
      <c r="F1184" s="191">
        <v>7600</v>
      </c>
      <c r="G1184" s="481">
        <v>245</v>
      </c>
      <c r="H1184" s="19"/>
      <c r="I1184" s="19"/>
      <c r="M1184" s="19"/>
    </row>
    <row r="1185" spans="1:13">
      <c r="A1185" s="479">
        <v>5322</v>
      </c>
      <c r="B1185" s="19" t="s">
        <v>595</v>
      </c>
      <c r="C1185" t="s">
        <v>143</v>
      </c>
      <c r="D1185" s="190">
        <v>5322</v>
      </c>
      <c r="E1185" s="191">
        <v>4969</v>
      </c>
      <c r="F1185" s="191">
        <v>6094</v>
      </c>
      <c r="G1185" s="481">
        <v>197</v>
      </c>
      <c r="H1185" s="19"/>
      <c r="I1185" s="19"/>
      <c r="M1185" s="19"/>
    </row>
    <row r="1186" spans="1:13">
      <c r="A1186" s="479">
        <v>5213</v>
      </c>
      <c r="B1186" s="19" t="s">
        <v>596</v>
      </c>
      <c r="C1186" t="s">
        <v>143</v>
      </c>
      <c r="D1186" s="190">
        <v>5213</v>
      </c>
      <c r="E1186" s="191">
        <v>7005</v>
      </c>
      <c r="F1186" s="191">
        <v>8051</v>
      </c>
      <c r="G1186" s="481">
        <v>257</v>
      </c>
      <c r="H1186" s="19"/>
      <c r="I1186" s="19"/>
      <c r="M1186" s="19"/>
    </row>
    <row r="1187" spans="1:13">
      <c r="A1187" s="479">
        <v>5525</v>
      </c>
      <c r="B1187" s="19" t="s">
        <v>597</v>
      </c>
      <c r="C1187" t="s">
        <v>143</v>
      </c>
      <c r="D1187" s="190">
        <v>5525</v>
      </c>
      <c r="E1187" s="191">
        <v>7167</v>
      </c>
      <c r="F1187" s="191">
        <v>7354</v>
      </c>
      <c r="G1187" s="481">
        <v>215</v>
      </c>
      <c r="H1187" s="19"/>
      <c r="I1187" s="19"/>
      <c r="M1187" s="19"/>
    </row>
    <row r="1188" spans="1:13">
      <c r="A1188" s="479">
        <v>5723</v>
      </c>
      <c r="B1188" s="19" t="s">
        <v>598</v>
      </c>
      <c r="C1188" t="s">
        <v>143</v>
      </c>
      <c r="D1188" s="190">
        <v>5723</v>
      </c>
      <c r="E1188" s="191">
        <v>5012</v>
      </c>
      <c r="F1188" s="191">
        <v>5869</v>
      </c>
      <c r="G1188" s="481">
        <v>209</v>
      </c>
      <c r="H1188" s="19"/>
      <c r="I1188" s="19"/>
      <c r="M1188" s="19"/>
    </row>
    <row r="1189" spans="1:13">
      <c r="A1189" s="479">
        <v>4334</v>
      </c>
      <c r="B1189" s="19" t="s">
        <v>599</v>
      </c>
      <c r="C1189" t="s">
        <v>143</v>
      </c>
      <c r="D1189" s="190">
        <v>4334</v>
      </c>
      <c r="E1189" s="191">
        <v>6605</v>
      </c>
      <c r="F1189" s="191">
        <v>6319</v>
      </c>
      <c r="G1189" s="481">
        <v>242</v>
      </c>
      <c r="H1189" s="19"/>
      <c r="I1189" s="19"/>
      <c r="M1189" s="19"/>
    </row>
    <row r="1190" spans="1:13">
      <c r="A1190" s="479">
        <v>5023</v>
      </c>
      <c r="B1190" s="19" t="s">
        <v>600</v>
      </c>
      <c r="C1190" t="s">
        <v>143</v>
      </c>
      <c r="D1190" s="190">
        <v>5023</v>
      </c>
      <c r="E1190" s="191">
        <v>8720</v>
      </c>
      <c r="F1190" s="191">
        <v>8887</v>
      </c>
      <c r="G1190" s="481">
        <v>242</v>
      </c>
      <c r="H1190" s="19"/>
      <c r="I1190" s="19"/>
      <c r="M1190" s="19"/>
    </row>
    <row r="1191" spans="1:13">
      <c r="A1191" s="479">
        <v>5042</v>
      </c>
      <c r="B1191" s="19" t="s">
        <v>601</v>
      </c>
      <c r="C1191" t="s">
        <v>143</v>
      </c>
      <c r="D1191" s="190">
        <v>5042</v>
      </c>
      <c r="E1191" s="191">
        <v>6559</v>
      </c>
      <c r="F1191" s="191">
        <v>7038</v>
      </c>
      <c r="G1191" s="481">
        <v>289</v>
      </c>
      <c r="H1191" s="19"/>
      <c r="I1191" s="19"/>
      <c r="M1191" s="19"/>
    </row>
    <row r="1192" spans="1:13">
      <c r="A1192" s="479">
        <v>5647</v>
      </c>
      <c r="B1192" s="19" t="s">
        <v>602</v>
      </c>
      <c r="C1192" t="s">
        <v>143</v>
      </c>
      <c r="D1192" s="190">
        <v>5647</v>
      </c>
      <c r="E1192" s="191">
        <v>8252</v>
      </c>
      <c r="F1192" s="191">
        <v>8683</v>
      </c>
      <c r="G1192" s="481">
        <v>208</v>
      </c>
      <c r="H1192" s="19"/>
      <c r="I1192" s="19"/>
      <c r="M1192" s="19"/>
    </row>
    <row r="1193" spans="1:13">
      <c r="A1193" s="479">
        <v>5105</v>
      </c>
      <c r="B1193" s="19" t="s">
        <v>603</v>
      </c>
      <c r="C1193" t="s">
        <v>143</v>
      </c>
      <c r="D1193" s="190">
        <v>5105</v>
      </c>
      <c r="E1193" s="191">
        <v>7004</v>
      </c>
      <c r="F1193" s="191">
        <v>7002</v>
      </c>
      <c r="G1193" s="481">
        <v>247</v>
      </c>
      <c r="H1193" s="19"/>
      <c r="I1193" s="19"/>
      <c r="M1193" s="19"/>
    </row>
    <row r="1194" spans="1:13">
      <c r="A1194" s="479">
        <v>5225</v>
      </c>
      <c r="B1194" s="19" t="s">
        <v>604</v>
      </c>
      <c r="C1194" t="s">
        <v>143</v>
      </c>
      <c r="D1194" s="190">
        <v>5225</v>
      </c>
      <c r="E1194" s="191">
        <v>6662</v>
      </c>
      <c r="F1194" s="191">
        <v>6400</v>
      </c>
      <c r="G1194" s="481">
        <v>296</v>
      </c>
      <c r="H1194" s="19"/>
      <c r="I1194" s="19"/>
      <c r="M1194" s="19"/>
    </row>
    <row r="1195" spans="1:13">
      <c r="A1195" s="479">
        <v>5057</v>
      </c>
      <c r="B1195" s="19" t="s">
        <v>605</v>
      </c>
      <c r="C1195" t="s">
        <v>143</v>
      </c>
      <c r="D1195" s="190">
        <v>5057</v>
      </c>
      <c r="E1195" s="191">
        <v>6433</v>
      </c>
      <c r="F1195" s="191">
        <v>6373</v>
      </c>
      <c r="G1195" s="481">
        <v>214</v>
      </c>
      <c r="H1195" s="19"/>
      <c r="I1195" s="19"/>
      <c r="M1195" s="19"/>
    </row>
    <row r="1196" spans="1:13">
      <c r="A1196" s="479">
        <v>5512</v>
      </c>
      <c r="B1196" s="19" t="s">
        <v>606</v>
      </c>
      <c r="C1196" t="s">
        <v>143</v>
      </c>
      <c r="D1196" s="190">
        <v>5512</v>
      </c>
      <c r="E1196" s="191">
        <v>7193</v>
      </c>
      <c r="F1196" s="191">
        <v>7280</v>
      </c>
      <c r="G1196" s="481">
        <v>257</v>
      </c>
      <c r="H1196" s="19"/>
      <c r="I1196" s="19"/>
      <c r="M1196" s="19"/>
    </row>
    <row r="1197" spans="1:13">
      <c r="A1197" s="479">
        <v>5454</v>
      </c>
      <c r="B1197" s="19" t="s">
        <v>607</v>
      </c>
      <c r="C1197" t="s">
        <v>143</v>
      </c>
      <c r="D1197" s="190">
        <v>5454</v>
      </c>
      <c r="E1197" s="191">
        <v>9208</v>
      </c>
      <c r="F1197" s="191">
        <v>9991</v>
      </c>
      <c r="G1197" s="481">
        <v>234</v>
      </c>
      <c r="H1197" s="19"/>
      <c r="I1197" s="19"/>
      <c r="M1197" s="19"/>
    </row>
    <row r="1198" spans="1:13">
      <c r="A1198" s="479">
        <v>5522</v>
      </c>
      <c r="B1198" s="19" t="s">
        <v>608</v>
      </c>
      <c r="C1198" t="s">
        <v>143</v>
      </c>
      <c r="D1198" s="190">
        <v>5522</v>
      </c>
      <c r="E1198" s="191">
        <v>6211</v>
      </c>
      <c r="F1198" s="191">
        <v>8234</v>
      </c>
      <c r="G1198" s="481">
        <v>219</v>
      </c>
      <c r="H1198" s="19"/>
      <c r="I1198" s="19"/>
      <c r="M1198" s="19"/>
    </row>
    <row r="1199" spans="1:13">
      <c r="A1199" s="479">
        <v>5027</v>
      </c>
      <c r="B1199" s="19" t="s">
        <v>609</v>
      </c>
      <c r="C1199" t="s">
        <v>143</v>
      </c>
      <c r="D1199" s="190">
        <v>5027</v>
      </c>
      <c r="E1199" s="191">
        <v>6177</v>
      </c>
      <c r="F1199" s="191">
        <v>6906</v>
      </c>
      <c r="G1199" s="481">
        <v>255</v>
      </c>
      <c r="H1199" s="19"/>
      <c r="I1199" s="19"/>
      <c r="M1199" s="19"/>
    </row>
    <row r="1200" spans="1:13">
      <c r="A1200" s="479">
        <v>5223</v>
      </c>
      <c r="B1200" s="19" t="s">
        <v>610</v>
      </c>
      <c r="C1200" t="s">
        <v>143</v>
      </c>
      <c r="D1200" s="190">
        <v>5223</v>
      </c>
      <c r="E1200" s="191">
        <v>7125</v>
      </c>
      <c r="F1200" s="191">
        <v>7318</v>
      </c>
      <c r="G1200" s="481">
        <v>248</v>
      </c>
      <c r="H1200" s="19"/>
      <c r="I1200" s="19"/>
      <c r="M1200" s="19"/>
    </row>
    <row r="1201" spans="1:13">
      <c r="A1201" s="479">
        <v>5628</v>
      </c>
      <c r="B1201" s="19" t="s">
        <v>611</v>
      </c>
      <c r="C1201" t="s">
        <v>143</v>
      </c>
      <c r="D1201" s="190">
        <v>5628</v>
      </c>
      <c r="E1201" s="191">
        <v>7135</v>
      </c>
      <c r="F1201" s="191">
        <v>8015</v>
      </c>
      <c r="G1201" s="481">
        <v>227</v>
      </c>
      <c r="H1201" s="19"/>
      <c r="I1201" s="19"/>
      <c r="M1201" s="19"/>
    </row>
    <row r="1202" spans="1:13">
      <c r="A1202" s="479">
        <v>5106</v>
      </c>
      <c r="B1202" s="19" t="s">
        <v>612</v>
      </c>
      <c r="C1202" t="s">
        <v>143</v>
      </c>
      <c r="D1202" s="190">
        <v>5106</v>
      </c>
      <c r="E1202" s="191">
        <v>6220</v>
      </c>
      <c r="F1202" s="191">
        <v>6394</v>
      </c>
      <c r="G1202" s="481">
        <v>241</v>
      </c>
      <c r="H1202" s="19"/>
      <c r="I1202" s="19"/>
      <c r="M1202" s="19"/>
    </row>
    <row r="1203" spans="1:13">
      <c r="A1203" s="479">
        <v>4322</v>
      </c>
      <c r="B1203" s="19" t="s">
        <v>613</v>
      </c>
      <c r="C1203" t="s">
        <v>143</v>
      </c>
      <c r="D1203" s="190">
        <v>4322</v>
      </c>
      <c r="E1203" s="191">
        <v>5714</v>
      </c>
      <c r="F1203" s="191">
        <v>6652</v>
      </c>
      <c r="G1203" s="481">
        <v>236</v>
      </c>
      <c r="H1203" s="19"/>
      <c r="I1203" s="19"/>
      <c r="M1203" s="19"/>
    </row>
    <row r="1204" spans="1:13">
      <c r="A1204" s="479">
        <v>5704</v>
      </c>
      <c r="B1204" s="19" t="s">
        <v>614</v>
      </c>
      <c r="C1204" t="s">
        <v>143</v>
      </c>
      <c r="D1204" s="190">
        <v>5704</v>
      </c>
      <c r="E1204" s="191">
        <v>5557</v>
      </c>
      <c r="F1204" s="191">
        <v>7900</v>
      </c>
      <c r="G1204" s="481">
        <v>245</v>
      </c>
      <c r="H1204" s="19"/>
      <c r="I1204" s="19"/>
      <c r="M1204" s="19"/>
    </row>
    <row r="1205" spans="1:13">
      <c r="A1205" s="479">
        <v>5706</v>
      </c>
      <c r="B1205" s="19" t="s">
        <v>615</v>
      </c>
      <c r="C1205" t="s">
        <v>143</v>
      </c>
      <c r="D1205" s="190">
        <v>5706</v>
      </c>
      <c r="E1205" s="191">
        <v>7747</v>
      </c>
      <c r="F1205" s="191">
        <v>8345</v>
      </c>
      <c r="G1205" s="481">
        <v>262</v>
      </c>
      <c r="H1205" s="19"/>
      <c r="I1205" s="19"/>
      <c r="M1205" s="19"/>
    </row>
    <row r="1206" spans="1:13">
      <c r="A1206" s="479">
        <v>5425</v>
      </c>
      <c r="B1206" s="19" t="s">
        <v>616</v>
      </c>
      <c r="C1206" t="s">
        <v>143</v>
      </c>
      <c r="D1206" s="190">
        <v>5425</v>
      </c>
      <c r="E1206" s="191">
        <v>7595</v>
      </c>
      <c r="F1206" s="191">
        <v>7968</v>
      </c>
      <c r="G1206" s="481">
        <v>262</v>
      </c>
      <c r="H1206" s="19"/>
      <c r="I1206" s="19"/>
      <c r="M1206" s="19"/>
    </row>
    <row r="1207" spans="1:13">
      <c r="A1207" s="479">
        <v>8918</v>
      </c>
      <c r="B1207" s="19" t="s">
        <v>617</v>
      </c>
      <c r="C1207" t="s">
        <v>143</v>
      </c>
      <c r="D1207" s="190">
        <v>8918</v>
      </c>
      <c r="E1207" s="191">
        <v>7363</v>
      </c>
      <c r="F1207" s="191">
        <v>7909</v>
      </c>
      <c r="G1207" s="481">
        <v>230</v>
      </c>
      <c r="H1207" s="19"/>
      <c r="I1207" s="19"/>
      <c r="M1207" s="19"/>
    </row>
    <row r="1208" spans="1:13">
      <c r="A1208" s="479">
        <v>4813</v>
      </c>
      <c r="B1208" s="19" t="s">
        <v>618</v>
      </c>
      <c r="C1208" t="s">
        <v>143</v>
      </c>
      <c r="D1208" s="190">
        <v>4813</v>
      </c>
      <c r="E1208" s="191">
        <v>7464</v>
      </c>
      <c r="F1208" s="191">
        <v>6829</v>
      </c>
      <c r="G1208" s="481">
        <v>414</v>
      </c>
      <c r="H1208" s="19"/>
      <c r="I1208" s="19"/>
      <c r="M1208" s="19"/>
    </row>
    <row r="1209" spans="1:13">
      <c r="A1209" s="479">
        <v>5043</v>
      </c>
      <c r="B1209" s="19" t="s">
        <v>619</v>
      </c>
      <c r="C1209" t="s">
        <v>143</v>
      </c>
      <c r="D1209" s="190">
        <v>5043</v>
      </c>
      <c r="E1209" s="191">
        <v>6594</v>
      </c>
      <c r="F1209" s="191">
        <v>6909</v>
      </c>
      <c r="G1209" s="481">
        <v>235</v>
      </c>
      <c r="H1209" s="19"/>
      <c r="I1209" s="19"/>
      <c r="M1209" s="19"/>
    </row>
    <row r="1210" spans="1:13">
      <c r="A1210" s="479">
        <v>5064</v>
      </c>
      <c r="B1210" s="19" t="s">
        <v>620</v>
      </c>
      <c r="C1210" t="s">
        <v>143</v>
      </c>
      <c r="D1210" s="190">
        <v>5064</v>
      </c>
      <c r="E1210" s="191">
        <v>6899</v>
      </c>
      <c r="F1210" s="191">
        <v>5755</v>
      </c>
      <c r="G1210" s="481">
        <v>204</v>
      </c>
      <c r="H1210" s="19"/>
      <c r="I1210" s="19"/>
      <c r="M1210" s="19"/>
    </row>
    <row r="1211" spans="1:13">
      <c r="A1211" s="479">
        <v>6042</v>
      </c>
      <c r="B1211" s="19" t="s">
        <v>621</v>
      </c>
      <c r="C1211" t="s">
        <v>143</v>
      </c>
      <c r="D1211" s="190">
        <v>6042</v>
      </c>
      <c r="E1211" s="191">
        <v>7626</v>
      </c>
      <c r="F1211" s="191">
        <v>8414</v>
      </c>
      <c r="G1211" s="481">
        <v>278</v>
      </c>
      <c r="H1211" s="19"/>
      <c r="I1211" s="19"/>
      <c r="M1211" s="19"/>
    </row>
    <row r="1212" spans="1:13">
      <c r="A1212" s="479">
        <v>5732</v>
      </c>
      <c r="B1212" s="19" t="s">
        <v>622</v>
      </c>
      <c r="C1212" t="s">
        <v>143</v>
      </c>
      <c r="D1212" s="190">
        <v>5732</v>
      </c>
      <c r="E1212" s="191">
        <v>6977</v>
      </c>
      <c r="F1212" s="191">
        <v>6587</v>
      </c>
      <c r="G1212" s="481">
        <v>236</v>
      </c>
      <c r="H1212" s="19"/>
      <c r="I1212" s="19"/>
      <c r="M1212" s="19"/>
    </row>
    <row r="1213" spans="1:13">
      <c r="A1213" s="479">
        <v>5116</v>
      </c>
      <c r="B1213" s="19" t="s">
        <v>623</v>
      </c>
      <c r="C1213" t="s">
        <v>143</v>
      </c>
      <c r="D1213" s="190">
        <v>5116</v>
      </c>
      <c r="E1213" s="191">
        <v>6009</v>
      </c>
      <c r="F1213" s="191">
        <v>7732</v>
      </c>
      <c r="G1213" s="481">
        <v>260</v>
      </c>
      <c r="H1213" s="19"/>
      <c r="I1213" s="19"/>
      <c r="M1213" s="19"/>
    </row>
    <row r="1214" spans="1:13">
      <c r="A1214" s="479">
        <v>5325</v>
      </c>
      <c r="B1214" s="19" t="s">
        <v>624</v>
      </c>
      <c r="C1214" t="s">
        <v>143</v>
      </c>
      <c r="D1214" s="190">
        <v>5325</v>
      </c>
      <c r="E1214" s="191">
        <v>4948</v>
      </c>
      <c r="F1214" s="191">
        <v>6274</v>
      </c>
      <c r="G1214" s="481">
        <v>248</v>
      </c>
      <c r="H1214" s="19"/>
      <c r="I1214" s="19"/>
      <c r="M1214" s="19"/>
    </row>
    <row r="1215" spans="1:13">
      <c r="A1215" s="479">
        <v>5724</v>
      </c>
      <c r="B1215" s="19" t="s">
        <v>625</v>
      </c>
      <c r="C1215" t="s">
        <v>143</v>
      </c>
      <c r="D1215" s="190">
        <v>5724</v>
      </c>
      <c r="E1215" s="191">
        <v>6578</v>
      </c>
      <c r="F1215" s="191">
        <v>6502</v>
      </c>
      <c r="G1215" s="481">
        <v>246</v>
      </c>
      <c r="H1215" s="19"/>
      <c r="I1215" s="19"/>
      <c r="M1215" s="19"/>
    </row>
    <row r="1216" spans="1:13">
      <c r="A1216" s="479">
        <v>5053</v>
      </c>
      <c r="B1216" s="19" t="s">
        <v>626</v>
      </c>
      <c r="C1216" t="s">
        <v>143</v>
      </c>
      <c r="D1216" s="190">
        <v>5053</v>
      </c>
      <c r="E1216" s="191">
        <v>6545</v>
      </c>
      <c r="F1216" s="191">
        <v>6443</v>
      </c>
      <c r="G1216" s="481">
        <v>209</v>
      </c>
      <c r="H1216" s="19"/>
      <c r="I1216" s="19"/>
      <c r="M1216" s="19"/>
    </row>
    <row r="1217" spans="1:13">
      <c r="A1217" s="479">
        <v>5604</v>
      </c>
      <c r="B1217" s="19" t="s">
        <v>627</v>
      </c>
      <c r="C1217" t="s">
        <v>143</v>
      </c>
      <c r="D1217" s="190">
        <v>5604</v>
      </c>
      <c r="E1217" s="191">
        <v>7213</v>
      </c>
      <c r="F1217" s="191">
        <v>6907</v>
      </c>
      <c r="G1217" s="481">
        <v>250</v>
      </c>
      <c r="H1217" s="19"/>
      <c r="I1217" s="19"/>
      <c r="M1217" s="19"/>
    </row>
    <row r="1218" spans="1:13">
      <c r="A1218" s="479">
        <v>5632</v>
      </c>
      <c r="B1218" s="19" t="s">
        <v>628</v>
      </c>
      <c r="C1218" t="s">
        <v>143</v>
      </c>
      <c r="D1218" s="190">
        <v>5632</v>
      </c>
      <c r="E1218" s="191">
        <v>7245</v>
      </c>
      <c r="F1218" s="191">
        <v>9516</v>
      </c>
      <c r="G1218" s="481">
        <v>240</v>
      </c>
      <c r="H1218" s="19"/>
      <c r="I1218" s="19"/>
      <c r="M1218" s="19"/>
    </row>
    <row r="1219" spans="1:13">
      <c r="A1219" s="479">
        <v>5113</v>
      </c>
      <c r="B1219" s="19" t="s">
        <v>629</v>
      </c>
      <c r="C1219" t="s">
        <v>143</v>
      </c>
      <c r="D1219" s="190">
        <v>5113</v>
      </c>
      <c r="E1219" s="191">
        <v>6701</v>
      </c>
      <c r="F1219" s="191">
        <v>6492</v>
      </c>
      <c r="G1219" s="481">
        <v>269</v>
      </c>
      <c r="H1219" s="19"/>
      <c r="I1219" s="19"/>
      <c r="M1219" s="19"/>
    </row>
    <row r="1220" spans="1:13">
      <c r="A1220" s="479">
        <v>5306</v>
      </c>
      <c r="B1220" s="19" t="s">
        <v>630</v>
      </c>
      <c r="C1220" t="s">
        <v>143</v>
      </c>
      <c r="D1220" s="190">
        <v>5306</v>
      </c>
      <c r="E1220" s="191">
        <v>6985</v>
      </c>
      <c r="F1220" s="191">
        <v>6320</v>
      </c>
      <c r="G1220" s="481">
        <v>162</v>
      </c>
      <c r="H1220" s="19"/>
      <c r="I1220" s="19"/>
      <c r="M1220" s="19"/>
    </row>
    <row r="1221" spans="1:13">
      <c r="A1221" s="479">
        <v>5708</v>
      </c>
      <c r="B1221" s="19" t="s">
        <v>631</v>
      </c>
      <c r="C1221" t="s">
        <v>143</v>
      </c>
      <c r="D1221" s="190">
        <v>5708</v>
      </c>
      <c r="E1221" s="191">
        <v>7594</v>
      </c>
      <c r="F1221" s="191">
        <v>9023</v>
      </c>
      <c r="G1221" s="481">
        <v>283</v>
      </c>
      <c r="H1221" s="19"/>
      <c r="I1221" s="19"/>
      <c r="M1221" s="19"/>
    </row>
    <row r="1222" spans="1:13">
      <c r="A1222" s="479">
        <v>5642</v>
      </c>
      <c r="B1222" s="19" t="s">
        <v>632</v>
      </c>
      <c r="C1222" t="s">
        <v>143</v>
      </c>
      <c r="D1222" s="190">
        <v>5642</v>
      </c>
      <c r="E1222" s="191">
        <v>6566</v>
      </c>
      <c r="F1222" s="191">
        <v>8180</v>
      </c>
      <c r="G1222" s="481">
        <v>222</v>
      </c>
      <c r="H1222" s="19"/>
      <c r="I1222" s="19"/>
      <c r="M1222" s="19"/>
    </row>
    <row r="1223" spans="1:13">
      <c r="A1223" s="479">
        <v>5079</v>
      </c>
      <c r="B1223" s="19" t="s">
        <v>633</v>
      </c>
      <c r="C1223" t="s">
        <v>143</v>
      </c>
      <c r="D1223" s="190">
        <v>5079</v>
      </c>
      <c r="E1223" s="191">
        <v>6880</v>
      </c>
      <c r="F1223" s="191">
        <v>6333</v>
      </c>
      <c r="G1223" s="481">
        <v>211</v>
      </c>
      <c r="H1223" s="19"/>
      <c r="I1223" s="19"/>
      <c r="M1223" s="19"/>
    </row>
    <row r="1224" spans="1:13">
      <c r="A1224" s="479">
        <v>5046</v>
      </c>
      <c r="B1224" s="19" t="s">
        <v>634</v>
      </c>
      <c r="C1224" t="s">
        <v>143</v>
      </c>
      <c r="D1224" s="190">
        <v>5046</v>
      </c>
      <c r="E1224" s="191">
        <v>4678</v>
      </c>
      <c r="F1224" s="191">
        <v>5860</v>
      </c>
      <c r="G1224" s="481">
        <v>195</v>
      </c>
      <c r="H1224" s="19"/>
      <c r="I1224" s="19"/>
      <c r="M1224" s="19"/>
    </row>
    <row r="1225" spans="1:13">
      <c r="A1225" s="479">
        <v>5637</v>
      </c>
      <c r="B1225" s="19" t="s">
        <v>635</v>
      </c>
      <c r="C1225" t="s">
        <v>143</v>
      </c>
      <c r="D1225" s="190">
        <v>5637</v>
      </c>
      <c r="E1225" s="191">
        <v>7230</v>
      </c>
      <c r="F1225" s="191">
        <v>7630</v>
      </c>
      <c r="G1225" s="481">
        <v>220</v>
      </c>
      <c r="H1225" s="19"/>
      <c r="I1225" s="19"/>
      <c r="M1225" s="19"/>
    </row>
    <row r="1226" spans="1:13">
      <c r="A1226" s="479">
        <v>5624</v>
      </c>
      <c r="B1226" s="19" t="s">
        <v>636</v>
      </c>
      <c r="C1226" t="s">
        <v>143</v>
      </c>
      <c r="D1226" s="190">
        <v>5624</v>
      </c>
      <c r="E1226" s="191">
        <v>6268</v>
      </c>
      <c r="F1226" s="191">
        <v>7795</v>
      </c>
      <c r="G1226" s="481">
        <v>259</v>
      </c>
      <c r="H1226" s="19"/>
      <c r="I1226" s="19"/>
      <c r="M1226" s="19"/>
    </row>
    <row r="1227" spans="1:13">
      <c r="A1227" s="479">
        <v>5243</v>
      </c>
      <c r="B1227" s="19" t="s">
        <v>637</v>
      </c>
      <c r="C1227" t="s">
        <v>143</v>
      </c>
      <c r="D1227" s="190">
        <v>5243</v>
      </c>
      <c r="E1227" s="191">
        <v>6802</v>
      </c>
      <c r="F1227" s="191">
        <v>6456</v>
      </c>
      <c r="G1227" s="481">
        <v>234</v>
      </c>
      <c r="H1227" s="19"/>
      <c r="I1227" s="19"/>
      <c r="M1227" s="19"/>
    </row>
    <row r="1228" spans="1:13">
      <c r="A1228" s="479">
        <v>4317</v>
      </c>
      <c r="B1228" s="19" t="s">
        <v>638</v>
      </c>
      <c r="C1228" t="s">
        <v>143</v>
      </c>
      <c r="D1228" s="190">
        <v>4317</v>
      </c>
      <c r="E1228" s="191">
        <v>4524</v>
      </c>
      <c r="F1228" s="191">
        <v>5646</v>
      </c>
      <c r="G1228" s="481">
        <v>194</v>
      </c>
      <c r="H1228" s="19"/>
      <c r="I1228" s="19"/>
      <c r="M1228" s="19"/>
    </row>
    <row r="1229" spans="1:13">
      <c r="A1229" s="479">
        <v>5236</v>
      </c>
      <c r="B1229" s="19" t="s">
        <v>639</v>
      </c>
      <c r="C1229" t="s">
        <v>143</v>
      </c>
      <c r="D1229" s="190">
        <v>5236</v>
      </c>
      <c r="E1229" s="191">
        <v>6375</v>
      </c>
      <c r="F1229" s="191">
        <v>7584</v>
      </c>
      <c r="G1229" s="481">
        <v>280</v>
      </c>
      <c r="H1229" s="19"/>
      <c r="I1229" s="19"/>
      <c r="M1229" s="19"/>
    </row>
    <row r="1230" spans="1:13">
      <c r="A1230" s="479">
        <v>4324</v>
      </c>
      <c r="B1230" s="19" t="s">
        <v>640</v>
      </c>
      <c r="C1230" t="s">
        <v>143</v>
      </c>
      <c r="D1230" s="190">
        <v>4324</v>
      </c>
      <c r="E1230" s="191">
        <v>6230</v>
      </c>
      <c r="F1230" s="191">
        <v>6420</v>
      </c>
      <c r="G1230" s="481">
        <v>209</v>
      </c>
      <c r="H1230" s="19"/>
      <c r="I1230" s="19"/>
      <c r="M1230" s="19"/>
    </row>
    <row r="1231" spans="1:13">
      <c r="A1231" s="479">
        <v>5063</v>
      </c>
      <c r="B1231" s="19" t="s">
        <v>641</v>
      </c>
      <c r="C1231" t="s">
        <v>143</v>
      </c>
      <c r="D1231" s="190">
        <v>5063</v>
      </c>
      <c r="E1231" s="191">
        <v>7353</v>
      </c>
      <c r="F1231" s="191">
        <v>6661</v>
      </c>
      <c r="G1231" s="481">
        <v>261</v>
      </c>
      <c r="H1231" s="19"/>
      <c r="I1231" s="19"/>
      <c r="M1231" s="19"/>
    </row>
    <row r="1232" spans="1:13">
      <c r="A1232" s="479">
        <v>5423</v>
      </c>
      <c r="B1232" s="19" t="s">
        <v>642</v>
      </c>
      <c r="C1232" t="s">
        <v>143</v>
      </c>
      <c r="D1232" s="190">
        <v>5423</v>
      </c>
      <c r="E1232" s="191">
        <v>8504</v>
      </c>
      <c r="F1232" s="191">
        <v>8747</v>
      </c>
      <c r="G1232" s="481">
        <v>296</v>
      </c>
      <c r="H1232" s="19"/>
      <c r="I1232" s="19"/>
      <c r="M1232" s="19"/>
    </row>
    <row r="1233" spans="1:13">
      <c r="A1233" s="479">
        <v>5272</v>
      </c>
      <c r="B1233" s="19" t="s">
        <v>643</v>
      </c>
      <c r="C1233" t="s">
        <v>143</v>
      </c>
      <c r="D1233" s="190">
        <v>5272</v>
      </c>
      <c r="E1233" s="191">
        <v>7044</v>
      </c>
      <c r="F1233" s="191">
        <v>5744</v>
      </c>
      <c r="G1233" s="481">
        <v>205</v>
      </c>
      <c r="H1233" s="19"/>
      <c r="I1233" s="19"/>
      <c r="M1233" s="19"/>
    </row>
    <row r="1234" spans="1:13">
      <c r="A1234" s="479">
        <v>5736</v>
      </c>
      <c r="B1234" s="19" t="s">
        <v>644</v>
      </c>
      <c r="C1234" t="s">
        <v>143</v>
      </c>
      <c r="D1234" s="190">
        <v>5736</v>
      </c>
      <c r="E1234" s="191">
        <v>6278</v>
      </c>
      <c r="F1234" s="191">
        <v>5845</v>
      </c>
      <c r="G1234" s="481">
        <v>234</v>
      </c>
      <c r="H1234" s="19"/>
      <c r="I1234" s="19"/>
      <c r="M1234" s="19"/>
    </row>
    <row r="1235" spans="1:13">
      <c r="A1235" s="479">
        <v>5072</v>
      </c>
      <c r="B1235" s="19" t="s">
        <v>645</v>
      </c>
      <c r="C1235" t="s">
        <v>143</v>
      </c>
      <c r="D1235" s="190">
        <v>5072</v>
      </c>
      <c r="E1235" s="191">
        <v>7129</v>
      </c>
      <c r="F1235" s="191">
        <v>6491</v>
      </c>
      <c r="G1235" s="481">
        <v>246</v>
      </c>
      <c r="H1235" s="19"/>
      <c r="I1235" s="19"/>
      <c r="M1235" s="19"/>
    </row>
    <row r="1236" spans="1:13">
      <c r="A1236" s="479">
        <v>5445</v>
      </c>
      <c r="B1236" s="19" t="s">
        <v>646</v>
      </c>
      <c r="C1236" t="s">
        <v>143</v>
      </c>
      <c r="D1236" s="190">
        <v>5445</v>
      </c>
      <c r="E1236" s="191">
        <v>8283</v>
      </c>
      <c r="F1236" s="191">
        <v>8679</v>
      </c>
      <c r="G1236" s="481">
        <v>197</v>
      </c>
      <c r="H1236" s="19"/>
      <c r="I1236" s="19"/>
      <c r="M1236" s="19"/>
    </row>
    <row r="1237" spans="1:13">
      <c r="A1237" s="479">
        <v>5619</v>
      </c>
      <c r="B1237" s="19" t="s">
        <v>647</v>
      </c>
      <c r="C1237" t="s">
        <v>143</v>
      </c>
      <c r="D1237" s="190">
        <v>5619</v>
      </c>
      <c r="E1237" s="191">
        <v>6671</v>
      </c>
      <c r="F1237" s="191">
        <v>7451</v>
      </c>
      <c r="G1237" s="481">
        <v>222</v>
      </c>
      <c r="H1237" s="19"/>
      <c r="I1237" s="19"/>
      <c r="M1237" s="19"/>
    </row>
    <row r="1238" spans="1:13">
      <c r="A1238" s="479">
        <v>5646</v>
      </c>
      <c r="B1238" s="19" t="s">
        <v>648</v>
      </c>
      <c r="C1238" t="s">
        <v>143</v>
      </c>
      <c r="D1238" s="190">
        <v>5646</v>
      </c>
      <c r="E1238" s="191">
        <v>8022</v>
      </c>
      <c r="F1238" s="191">
        <v>9318</v>
      </c>
      <c r="G1238" s="481">
        <v>266</v>
      </c>
      <c r="H1238" s="19"/>
      <c r="I1238" s="19"/>
      <c r="M1238" s="19"/>
    </row>
    <row r="1239" spans="1:13">
      <c r="A1239" s="479">
        <v>5332</v>
      </c>
      <c r="B1239" s="19" t="s">
        <v>649</v>
      </c>
      <c r="C1239" t="s">
        <v>143</v>
      </c>
      <c r="D1239" s="190">
        <v>5332</v>
      </c>
      <c r="E1239" s="191">
        <v>6535</v>
      </c>
      <c r="F1239" s="191">
        <v>6122</v>
      </c>
      <c r="G1239" s="481">
        <v>116</v>
      </c>
      <c r="H1239" s="19"/>
      <c r="I1239" s="19"/>
      <c r="M1239" s="19"/>
    </row>
    <row r="1240" spans="1:13">
      <c r="A1240" s="479">
        <v>5075</v>
      </c>
      <c r="B1240" s="19" t="s">
        <v>650</v>
      </c>
      <c r="C1240" t="s">
        <v>143</v>
      </c>
      <c r="D1240" s="190">
        <v>5075</v>
      </c>
      <c r="E1240" s="191">
        <v>5726</v>
      </c>
      <c r="F1240" s="191">
        <v>5353</v>
      </c>
      <c r="G1240" s="481">
        <v>214</v>
      </c>
      <c r="H1240" s="19"/>
      <c r="I1240" s="19"/>
      <c r="M1240" s="19"/>
    </row>
    <row r="1241" spans="1:13">
      <c r="A1241" s="479">
        <v>4333</v>
      </c>
      <c r="B1241" s="19" t="s">
        <v>651</v>
      </c>
      <c r="C1241" t="s">
        <v>143</v>
      </c>
      <c r="D1241" s="190">
        <v>4333</v>
      </c>
      <c r="E1241" s="191">
        <v>6311</v>
      </c>
      <c r="F1241" s="191">
        <v>6028</v>
      </c>
      <c r="G1241" s="481">
        <v>239</v>
      </c>
      <c r="H1241" s="19"/>
      <c r="I1241" s="19"/>
      <c r="M1241" s="19"/>
    </row>
    <row r="1242" spans="1:13">
      <c r="A1242" s="479">
        <v>5054</v>
      </c>
      <c r="B1242" s="19" t="s">
        <v>652</v>
      </c>
      <c r="C1242" t="s">
        <v>143</v>
      </c>
      <c r="D1242" s="190">
        <v>5054</v>
      </c>
      <c r="E1242" s="191">
        <v>5985</v>
      </c>
      <c r="F1242" s="191">
        <v>6766</v>
      </c>
      <c r="G1242" s="481">
        <v>208</v>
      </c>
      <c r="H1242" s="19"/>
      <c r="I1242" s="19"/>
      <c r="M1242" s="19"/>
    </row>
    <row r="1243" spans="1:13">
      <c r="A1243" s="479">
        <v>5028</v>
      </c>
      <c r="B1243" s="19" t="s">
        <v>653</v>
      </c>
      <c r="C1243" t="s">
        <v>143</v>
      </c>
      <c r="D1243" s="190">
        <v>5028</v>
      </c>
      <c r="E1243" s="191">
        <v>5918</v>
      </c>
      <c r="F1243" s="191">
        <v>6083</v>
      </c>
      <c r="G1243" s="481">
        <v>238</v>
      </c>
      <c r="H1243" s="19"/>
      <c r="I1243" s="19"/>
      <c r="M1243" s="19"/>
    </row>
    <row r="1244" spans="1:13">
      <c r="A1244" s="479">
        <v>4315</v>
      </c>
      <c r="B1244" s="19" t="s">
        <v>654</v>
      </c>
      <c r="C1244" t="s">
        <v>143</v>
      </c>
      <c r="D1244" s="190">
        <v>4315</v>
      </c>
      <c r="E1244" s="191">
        <v>6371</v>
      </c>
      <c r="F1244" s="191">
        <v>5696</v>
      </c>
      <c r="G1244" s="481">
        <v>213</v>
      </c>
      <c r="H1244" s="19"/>
      <c r="I1244" s="19"/>
      <c r="M1244" s="19"/>
    </row>
    <row r="1245" spans="1:13">
      <c r="A1245" s="479">
        <v>5324</v>
      </c>
      <c r="B1245" s="19" t="s">
        <v>655</v>
      </c>
      <c r="C1245" t="s">
        <v>143</v>
      </c>
      <c r="D1245" s="190">
        <v>5324</v>
      </c>
      <c r="E1245" s="191">
        <v>6018</v>
      </c>
      <c r="F1245" s="191">
        <v>5787</v>
      </c>
      <c r="G1245" s="481">
        <v>227</v>
      </c>
      <c r="H1245" s="19"/>
      <c r="I1245" s="19"/>
      <c r="M1245" s="19"/>
    </row>
    <row r="1246" spans="1:13">
      <c r="A1246" s="479">
        <v>5705</v>
      </c>
      <c r="B1246" s="19" t="s">
        <v>656</v>
      </c>
      <c r="C1246" t="s">
        <v>143</v>
      </c>
      <c r="D1246" s="190">
        <v>5705</v>
      </c>
      <c r="E1246" s="191">
        <v>6384</v>
      </c>
      <c r="F1246" s="191">
        <v>7001</v>
      </c>
      <c r="G1246" s="481">
        <v>239</v>
      </c>
      <c r="H1246" s="19"/>
      <c r="I1246" s="19"/>
      <c r="M1246" s="19"/>
    </row>
    <row r="1247" spans="1:13">
      <c r="A1247" s="479">
        <v>5235</v>
      </c>
      <c r="B1247" s="19" t="s">
        <v>657</v>
      </c>
      <c r="C1247" t="s">
        <v>143</v>
      </c>
      <c r="D1247" s="190">
        <v>5235</v>
      </c>
      <c r="E1247" s="191">
        <v>7526</v>
      </c>
      <c r="F1247" s="191">
        <v>7222</v>
      </c>
      <c r="G1247" s="481">
        <v>273</v>
      </c>
      <c r="H1247" s="19"/>
      <c r="I1247" s="19"/>
      <c r="M1247" s="19"/>
    </row>
    <row r="1248" spans="1:13">
      <c r="A1248" s="479">
        <v>5054</v>
      </c>
      <c r="B1248" s="19" t="s">
        <v>658</v>
      </c>
      <c r="C1248" t="s">
        <v>143</v>
      </c>
      <c r="D1248" s="190">
        <v>5054</v>
      </c>
      <c r="E1248" s="191">
        <v>6158</v>
      </c>
      <c r="F1248" s="191">
        <v>6512</v>
      </c>
      <c r="G1248" s="481">
        <v>201</v>
      </c>
      <c r="H1248" s="19"/>
      <c r="I1248" s="19"/>
      <c r="M1248" s="19"/>
    </row>
    <row r="1249" spans="1:13">
      <c r="A1249" s="479">
        <v>5044</v>
      </c>
      <c r="B1249" s="19" t="s">
        <v>659</v>
      </c>
      <c r="C1249" t="s">
        <v>143</v>
      </c>
      <c r="D1249" s="190">
        <v>5044</v>
      </c>
      <c r="E1249" s="191">
        <v>6028</v>
      </c>
      <c r="F1249" s="191">
        <v>5687</v>
      </c>
      <c r="G1249" s="481">
        <v>212</v>
      </c>
      <c r="H1249" s="19"/>
      <c r="I1249" s="19"/>
      <c r="M1249" s="19"/>
    </row>
    <row r="1250" spans="1:13">
      <c r="A1250" s="479">
        <v>5112</v>
      </c>
      <c r="B1250" s="19" t="s">
        <v>660</v>
      </c>
      <c r="C1250" t="s">
        <v>143</v>
      </c>
      <c r="D1250" s="190">
        <v>5112</v>
      </c>
      <c r="E1250" s="191">
        <v>7148</v>
      </c>
      <c r="F1250" s="191">
        <v>6258</v>
      </c>
      <c r="G1250" s="481">
        <v>249</v>
      </c>
      <c r="H1250" s="19"/>
      <c r="I1250" s="19"/>
      <c r="M1250" s="19"/>
    </row>
    <row r="1251" spans="1:13">
      <c r="A1251" s="479">
        <v>4325</v>
      </c>
      <c r="B1251" s="19" t="s">
        <v>661</v>
      </c>
      <c r="C1251" t="s">
        <v>143</v>
      </c>
      <c r="D1251" s="190">
        <v>4325</v>
      </c>
      <c r="E1251" s="191">
        <v>7844</v>
      </c>
      <c r="F1251" s="191">
        <v>7989</v>
      </c>
      <c r="G1251" s="481">
        <v>226</v>
      </c>
      <c r="H1251" s="19"/>
      <c r="I1251" s="19"/>
      <c r="M1251" s="19"/>
    </row>
    <row r="1252" spans="1:13">
      <c r="A1252" s="479">
        <v>8919</v>
      </c>
      <c r="B1252" s="19" t="s">
        <v>662</v>
      </c>
      <c r="C1252" t="s">
        <v>143</v>
      </c>
      <c r="D1252" s="190">
        <v>8919</v>
      </c>
      <c r="E1252" s="191">
        <v>7173</v>
      </c>
      <c r="F1252" s="191">
        <v>7986</v>
      </c>
      <c r="G1252" s="481">
        <v>250</v>
      </c>
      <c r="H1252" s="19"/>
      <c r="I1252" s="19"/>
      <c r="M1252" s="19"/>
    </row>
    <row r="1253" spans="1:13">
      <c r="A1253" s="479">
        <v>5505</v>
      </c>
      <c r="B1253" s="19" t="s">
        <v>663</v>
      </c>
      <c r="C1253" t="s">
        <v>143</v>
      </c>
      <c r="D1253" s="190">
        <v>5505</v>
      </c>
      <c r="E1253" s="191">
        <v>7496</v>
      </c>
      <c r="F1253" s="191">
        <v>7213</v>
      </c>
      <c r="G1253" s="481">
        <v>263</v>
      </c>
      <c r="H1253" s="19"/>
      <c r="I1253" s="19"/>
      <c r="M1253" s="19"/>
    </row>
    <row r="1254" spans="1:13">
      <c r="A1254" s="479">
        <v>4814</v>
      </c>
      <c r="B1254" s="19" t="s">
        <v>664</v>
      </c>
      <c r="C1254" t="s">
        <v>143</v>
      </c>
      <c r="D1254" s="190">
        <v>4814</v>
      </c>
      <c r="E1254" s="191">
        <v>5964</v>
      </c>
      <c r="F1254" s="191">
        <v>4419</v>
      </c>
      <c r="G1254" s="481">
        <v>207</v>
      </c>
      <c r="H1254" s="19"/>
      <c r="I1254" s="19"/>
      <c r="M1254" s="19"/>
    </row>
    <row r="1255" spans="1:13">
      <c r="A1255" s="479">
        <v>4316</v>
      </c>
      <c r="B1255" s="19" t="s">
        <v>665</v>
      </c>
      <c r="C1255" t="s">
        <v>143</v>
      </c>
      <c r="D1255" s="190">
        <v>4316</v>
      </c>
      <c r="E1255" s="191">
        <v>5565</v>
      </c>
      <c r="F1255" s="191">
        <v>6069</v>
      </c>
      <c r="G1255" s="481">
        <v>152</v>
      </c>
      <c r="H1255" s="19"/>
      <c r="I1255" s="19"/>
      <c r="M1255" s="19"/>
    </row>
    <row r="1256" spans="1:13">
      <c r="A1256" s="479">
        <v>5725</v>
      </c>
      <c r="B1256" s="19" t="s">
        <v>666</v>
      </c>
      <c r="C1256" t="s">
        <v>143</v>
      </c>
      <c r="D1256" s="190">
        <v>5725</v>
      </c>
      <c r="E1256" s="191">
        <v>7072</v>
      </c>
      <c r="F1256" s="191">
        <v>7266</v>
      </c>
      <c r="G1256" s="481">
        <v>167</v>
      </c>
      <c r="H1256" s="19"/>
      <c r="I1256" s="19"/>
      <c r="M1256" s="19"/>
    </row>
    <row r="1257" spans="1:13">
      <c r="A1257" s="479">
        <v>5323</v>
      </c>
      <c r="B1257" s="19" t="s">
        <v>667</v>
      </c>
      <c r="C1257" t="s">
        <v>143</v>
      </c>
      <c r="D1257" s="190">
        <v>5323</v>
      </c>
      <c r="E1257" s="191">
        <v>6061</v>
      </c>
      <c r="F1257" s="191">
        <v>5988</v>
      </c>
      <c r="G1257" s="481">
        <v>218</v>
      </c>
      <c r="H1257" s="19"/>
      <c r="I1257" s="19"/>
      <c r="M1257" s="19"/>
    </row>
    <row r="1258" spans="1:13">
      <c r="A1258" s="479">
        <v>5076</v>
      </c>
      <c r="B1258" s="19" t="s">
        <v>668</v>
      </c>
      <c r="C1258" t="s">
        <v>143</v>
      </c>
      <c r="D1258" s="190">
        <v>5076</v>
      </c>
      <c r="E1258" s="191">
        <v>6500</v>
      </c>
      <c r="F1258" s="191">
        <v>6537</v>
      </c>
      <c r="G1258" s="481">
        <v>213</v>
      </c>
      <c r="H1258" s="19"/>
      <c r="I1258" s="19"/>
      <c r="M1258" s="19"/>
    </row>
    <row r="1259" spans="1:13">
      <c r="A1259" s="479">
        <v>5026</v>
      </c>
      <c r="B1259" s="19" t="s">
        <v>669</v>
      </c>
      <c r="C1259" t="s">
        <v>143</v>
      </c>
      <c r="D1259" s="190">
        <v>5026</v>
      </c>
      <c r="E1259" s="191">
        <v>6757</v>
      </c>
      <c r="F1259" s="191">
        <v>7194</v>
      </c>
      <c r="G1259" s="481">
        <v>217</v>
      </c>
      <c r="H1259" s="19"/>
      <c r="I1259" s="19"/>
      <c r="M1259" s="19"/>
    </row>
    <row r="1260" spans="1:13">
      <c r="A1260" s="479">
        <v>5244</v>
      </c>
      <c r="B1260" s="19" t="s">
        <v>670</v>
      </c>
      <c r="C1260" t="s">
        <v>143</v>
      </c>
      <c r="D1260" s="190">
        <v>5244</v>
      </c>
      <c r="E1260" s="191">
        <v>8161</v>
      </c>
      <c r="F1260" s="191">
        <v>6914</v>
      </c>
      <c r="G1260" s="481">
        <v>277</v>
      </c>
      <c r="H1260" s="19"/>
      <c r="I1260" s="19"/>
      <c r="M1260" s="19"/>
    </row>
    <row r="1261" spans="1:13">
      <c r="A1261" s="479">
        <v>5600</v>
      </c>
      <c r="B1261" s="19" t="s">
        <v>671</v>
      </c>
      <c r="C1261" t="s">
        <v>143</v>
      </c>
      <c r="D1261" s="190">
        <v>5600</v>
      </c>
      <c r="E1261" s="191">
        <v>6870</v>
      </c>
      <c r="F1261" s="191">
        <v>7058</v>
      </c>
      <c r="G1261" s="481">
        <v>220</v>
      </c>
      <c r="H1261" s="19"/>
      <c r="I1261" s="19"/>
      <c r="M1261" s="19"/>
    </row>
    <row r="1262" spans="1:13">
      <c r="A1262" s="479">
        <v>5326</v>
      </c>
      <c r="B1262" s="19" t="s">
        <v>672</v>
      </c>
      <c r="C1262" t="s">
        <v>143</v>
      </c>
      <c r="D1262" s="190">
        <v>5326</v>
      </c>
      <c r="E1262" s="191">
        <v>3688</v>
      </c>
      <c r="F1262" s="191">
        <v>6619</v>
      </c>
      <c r="G1262" s="481">
        <v>184</v>
      </c>
      <c r="H1262" s="19"/>
      <c r="I1262" s="19"/>
      <c r="M1262" s="19"/>
    </row>
    <row r="1263" spans="1:13">
      <c r="A1263" s="479">
        <v>5462</v>
      </c>
      <c r="B1263" s="19" t="s">
        <v>673</v>
      </c>
      <c r="C1263" t="s">
        <v>143</v>
      </c>
      <c r="D1263" s="190">
        <v>5462</v>
      </c>
      <c r="E1263" s="191">
        <v>7261</v>
      </c>
      <c r="F1263" s="191">
        <v>6368</v>
      </c>
      <c r="G1263" s="481">
        <v>219</v>
      </c>
      <c r="H1263" s="19"/>
      <c r="I1263" s="19"/>
      <c r="M1263" s="19"/>
    </row>
    <row r="1264" spans="1:13">
      <c r="A1264" s="479">
        <v>5627</v>
      </c>
      <c r="B1264" s="19" t="s">
        <v>674</v>
      </c>
      <c r="C1264" t="s">
        <v>143</v>
      </c>
      <c r="D1264" s="190">
        <v>5627</v>
      </c>
      <c r="E1264" s="191">
        <v>7016</v>
      </c>
      <c r="F1264" s="191">
        <v>7989</v>
      </c>
      <c r="G1264" s="481">
        <v>222</v>
      </c>
      <c r="H1264" s="19"/>
      <c r="I1264" s="19"/>
      <c r="M1264" s="19"/>
    </row>
    <row r="1265" spans="1:13">
      <c r="A1265" s="479">
        <v>5618</v>
      </c>
      <c r="B1265" s="19" t="s">
        <v>675</v>
      </c>
      <c r="C1265" t="s">
        <v>143</v>
      </c>
      <c r="D1265" s="190">
        <v>5618</v>
      </c>
      <c r="E1265" s="191">
        <v>7195</v>
      </c>
      <c r="F1265" s="191">
        <v>6610</v>
      </c>
      <c r="G1265" s="481">
        <v>247</v>
      </c>
      <c r="H1265" s="19"/>
      <c r="I1265" s="19"/>
      <c r="M1265" s="19"/>
    </row>
    <row r="1266" spans="1:13">
      <c r="A1266" s="479">
        <v>8905</v>
      </c>
      <c r="B1266" s="19" t="s">
        <v>676</v>
      </c>
      <c r="C1266" t="s">
        <v>143</v>
      </c>
      <c r="D1266" s="190">
        <v>8905</v>
      </c>
      <c r="E1266" s="191">
        <v>9146</v>
      </c>
      <c r="F1266" s="191">
        <v>8631</v>
      </c>
      <c r="G1266" s="481">
        <v>242</v>
      </c>
      <c r="H1266" s="19"/>
      <c r="I1266" s="19"/>
      <c r="M1266" s="19"/>
    </row>
    <row r="1267" spans="1:13">
      <c r="A1267" s="479">
        <v>5062</v>
      </c>
      <c r="B1267" s="19" t="s">
        <v>677</v>
      </c>
      <c r="C1267" t="s">
        <v>143</v>
      </c>
      <c r="D1267" s="190">
        <v>5062</v>
      </c>
      <c r="E1267" s="191">
        <v>7450</v>
      </c>
      <c r="F1267" s="191">
        <v>6965</v>
      </c>
      <c r="G1267" s="481">
        <v>249</v>
      </c>
      <c r="H1267" s="19"/>
      <c r="I1267" s="19"/>
      <c r="M1267" s="19"/>
    </row>
    <row r="1268" spans="1:13">
      <c r="A1268" s="479">
        <v>5078</v>
      </c>
      <c r="B1268" s="19" t="s">
        <v>678</v>
      </c>
      <c r="C1268" t="s">
        <v>143</v>
      </c>
      <c r="D1268" s="190">
        <v>5078</v>
      </c>
      <c r="E1268" s="191">
        <v>6468</v>
      </c>
      <c r="F1268" s="191">
        <v>6119</v>
      </c>
      <c r="G1268" s="481">
        <v>239</v>
      </c>
      <c r="H1268" s="19"/>
      <c r="I1268" s="19"/>
      <c r="M1268" s="19"/>
    </row>
    <row r="1269" spans="1:13">
      <c r="A1269" s="479">
        <v>5467</v>
      </c>
      <c r="B1269" s="19" t="s">
        <v>679</v>
      </c>
      <c r="C1269" t="s">
        <v>143</v>
      </c>
      <c r="D1269" s="190">
        <v>5467</v>
      </c>
      <c r="E1269" s="191">
        <v>7254</v>
      </c>
      <c r="F1269" s="191">
        <v>5901</v>
      </c>
      <c r="G1269" s="481">
        <v>236</v>
      </c>
      <c r="H1269" s="19"/>
      <c r="I1269" s="19"/>
      <c r="M1269" s="19"/>
    </row>
    <row r="1270" spans="1:13">
      <c r="A1270" s="479">
        <v>5619</v>
      </c>
      <c r="B1270" s="19" t="s">
        <v>680</v>
      </c>
      <c r="C1270" t="s">
        <v>143</v>
      </c>
      <c r="D1270" s="190">
        <v>5619</v>
      </c>
      <c r="E1270" s="191">
        <v>6399</v>
      </c>
      <c r="F1270" s="191">
        <v>7795</v>
      </c>
      <c r="G1270" s="481">
        <v>194</v>
      </c>
      <c r="H1270" s="19"/>
      <c r="I1270" s="19"/>
      <c r="M1270" s="19"/>
    </row>
    <row r="1271" spans="1:13">
      <c r="A1271" s="479">
        <v>5733</v>
      </c>
      <c r="B1271" s="19" t="s">
        <v>681</v>
      </c>
      <c r="C1271" t="s">
        <v>143</v>
      </c>
      <c r="D1271" s="190">
        <v>5733</v>
      </c>
      <c r="E1271" s="191">
        <v>6619</v>
      </c>
      <c r="F1271" s="191">
        <v>6771</v>
      </c>
      <c r="G1271" s="481">
        <v>305</v>
      </c>
      <c r="H1271" s="19"/>
      <c r="I1271" s="19"/>
      <c r="M1271" s="19"/>
    </row>
    <row r="1272" spans="1:13">
      <c r="A1272" s="479">
        <v>5245</v>
      </c>
      <c r="B1272" s="19" t="s">
        <v>682</v>
      </c>
      <c r="C1272" t="s">
        <v>143</v>
      </c>
      <c r="D1272" s="190">
        <v>5245</v>
      </c>
      <c r="E1272" s="191">
        <v>7210</v>
      </c>
      <c r="F1272" s="191">
        <v>7363</v>
      </c>
      <c r="G1272" s="481">
        <v>265</v>
      </c>
      <c r="H1272" s="19"/>
      <c r="I1272" s="19"/>
      <c r="M1272" s="19"/>
    </row>
    <row r="1273" spans="1:13">
      <c r="A1273" s="479">
        <v>5466</v>
      </c>
      <c r="B1273" s="19" t="s">
        <v>683</v>
      </c>
      <c r="C1273" t="s">
        <v>143</v>
      </c>
      <c r="D1273" s="190">
        <v>5466</v>
      </c>
      <c r="E1273" s="191">
        <v>7341</v>
      </c>
      <c r="F1273" s="191">
        <v>5838</v>
      </c>
      <c r="G1273" s="481">
        <v>260</v>
      </c>
      <c r="H1273" s="19"/>
      <c r="I1273" s="19"/>
      <c r="M1273" s="19"/>
    </row>
    <row r="1274" spans="1:13">
      <c r="A1274" s="479">
        <v>5237</v>
      </c>
      <c r="B1274" s="19" t="s">
        <v>684</v>
      </c>
      <c r="C1274" t="s">
        <v>143</v>
      </c>
      <c r="D1274" s="190">
        <v>5237</v>
      </c>
      <c r="E1274" s="191">
        <v>6460</v>
      </c>
      <c r="F1274" s="191">
        <v>6086</v>
      </c>
      <c r="G1274" s="481">
        <v>249</v>
      </c>
      <c r="H1274" s="19"/>
      <c r="I1274" s="19"/>
      <c r="M1274" s="19"/>
    </row>
    <row r="1275" spans="1:13">
      <c r="A1275" s="479">
        <v>5625</v>
      </c>
      <c r="B1275" s="19" t="s">
        <v>685</v>
      </c>
      <c r="C1275" t="s">
        <v>143</v>
      </c>
      <c r="D1275" s="190">
        <v>5625</v>
      </c>
      <c r="E1275" s="191">
        <v>6882</v>
      </c>
      <c r="F1275" s="191">
        <v>9954</v>
      </c>
      <c r="G1275" s="481">
        <v>261</v>
      </c>
      <c r="H1275" s="19"/>
      <c r="I1275" s="19"/>
      <c r="M1275" s="19"/>
    </row>
    <row r="1276" spans="1:13">
      <c r="A1276" s="479">
        <v>4305</v>
      </c>
      <c r="B1276" s="19" t="s">
        <v>686</v>
      </c>
      <c r="C1276" t="s">
        <v>143</v>
      </c>
      <c r="D1276" s="190">
        <v>4305</v>
      </c>
      <c r="E1276" s="191">
        <v>6491</v>
      </c>
      <c r="F1276" s="191">
        <v>8493</v>
      </c>
      <c r="G1276" s="481">
        <v>235</v>
      </c>
      <c r="H1276" s="19"/>
      <c r="I1276" s="19"/>
      <c r="M1276" s="19"/>
    </row>
    <row r="1277" spans="1:13">
      <c r="A1277" s="479">
        <v>5463</v>
      </c>
      <c r="B1277" s="19" t="s">
        <v>687</v>
      </c>
      <c r="C1277" t="s">
        <v>143</v>
      </c>
      <c r="D1277" s="190">
        <v>5463</v>
      </c>
      <c r="E1277" s="191">
        <v>7319</v>
      </c>
      <c r="F1277" s="191">
        <v>5508</v>
      </c>
      <c r="G1277" s="481">
        <v>249</v>
      </c>
      <c r="H1277" s="19"/>
      <c r="I1277" s="19"/>
      <c r="M1277" s="19"/>
    </row>
    <row r="1278" spans="1:13">
      <c r="A1278" s="479">
        <v>5318</v>
      </c>
      <c r="B1278" s="19" t="s">
        <v>688</v>
      </c>
      <c r="C1278" t="s">
        <v>143</v>
      </c>
      <c r="D1278" s="190">
        <v>5318</v>
      </c>
      <c r="E1278" s="191">
        <v>5021</v>
      </c>
      <c r="F1278" s="191">
        <v>6692</v>
      </c>
      <c r="G1278" s="481">
        <v>247</v>
      </c>
      <c r="H1278" s="19"/>
      <c r="I1278" s="19"/>
      <c r="M1278" s="19"/>
    </row>
    <row r="1279" spans="1:13">
      <c r="A1279" s="479">
        <v>5464</v>
      </c>
      <c r="B1279" s="19" t="s">
        <v>689</v>
      </c>
      <c r="C1279" t="s">
        <v>143</v>
      </c>
      <c r="D1279" s="190">
        <v>5464</v>
      </c>
      <c r="E1279" s="191">
        <v>7388</v>
      </c>
      <c r="F1279" s="191">
        <v>6342</v>
      </c>
      <c r="G1279" s="481">
        <v>234</v>
      </c>
      <c r="H1279" s="19"/>
      <c r="I1279" s="19"/>
      <c r="M1279" s="19"/>
    </row>
    <row r="1280" spans="1:13">
      <c r="A1280" s="479">
        <v>5077</v>
      </c>
      <c r="B1280" s="19" t="s">
        <v>690</v>
      </c>
      <c r="C1280" t="s">
        <v>143</v>
      </c>
      <c r="D1280" s="190">
        <v>5077</v>
      </c>
      <c r="E1280" s="191">
        <v>5364</v>
      </c>
      <c r="F1280" s="191">
        <v>5498</v>
      </c>
      <c r="G1280" s="481">
        <v>217</v>
      </c>
      <c r="H1280" s="19"/>
      <c r="I1280" s="19"/>
      <c r="M1280" s="19"/>
    </row>
    <row r="1281" spans="1:13">
      <c r="A1281" s="479">
        <v>5333</v>
      </c>
      <c r="B1281" s="19" t="s">
        <v>691</v>
      </c>
      <c r="C1281" t="s">
        <v>143</v>
      </c>
      <c r="D1281" s="190">
        <v>5333</v>
      </c>
      <c r="E1281" s="191">
        <v>6882</v>
      </c>
      <c r="F1281" s="191">
        <v>6074</v>
      </c>
      <c r="G1281" s="481">
        <v>203</v>
      </c>
      <c r="H1281" s="19"/>
      <c r="I1281" s="19"/>
      <c r="M1281" s="19"/>
    </row>
    <row r="1282" spans="1:13">
      <c r="A1282" s="479">
        <v>5465</v>
      </c>
      <c r="B1282" s="19" t="s">
        <v>692</v>
      </c>
      <c r="C1282" t="s">
        <v>143</v>
      </c>
      <c r="D1282" s="190">
        <v>5465</v>
      </c>
      <c r="E1282" s="191">
        <v>7095</v>
      </c>
      <c r="F1282" s="191">
        <v>6086</v>
      </c>
      <c r="G1282" s="481">
        <v>249</v>
      </c>
      <c r="H1282" s="19"/>
      <c r="I1282" s="19"/>
      <c r="M1282" s="19"/>
    </row>
    <row r="1283" spans="1:13">
      <c r="A1283" s="479">
        <v>5637</v>
      </c>
      <c r="B1283" s="19" t="s">
        <v>693</v>
      </c>
      <c r="C1283" t="s">
        <v>143</v>
      </c>
      <c r="D1283" s="190">
        <v>5637</v>
      </c>
      <c r="E1283" s="191">
        <v>7568</v>
      </c>
      <c r="F1283" s="191">
        <v>7911</v>
      </c>
      <c r="G1283" s="481">
        <v>179</v>
      </c>
      <c r="H1283" s="19"/>
      <c r="I1283" s="19"/>
      <c r="M1283" s="19"/>
    </row>
    <row r="1284" spans="1:13">
      <c r="A1284" s="479">
        <v>5334</v>
      </c>
      <c r="B1284" s="19" t="s">
        <v>694</v>
      </c>
      <c r="C1284" t="s">
        <v>143</v>
      </c>
      <c r="D1284" s="190">
        <v>5334</v>
      </c>
      <c r="E1284" s="191">
        <v>7115</v>
      </c>
      <c r="F1284" s="191">
        <v>6096</v>
      </c>
      <c r="G1284" s="481">
        <v>249</v>
      </c>
      <c r="H1284" s="19"/>
      <c r="I1284" s="19"/>
      <c r="M1284" s="19"/>
    </row>
    <row r="1285" spans="1:13">
      <c r="A1285" s="479">
        <v>5058</v>
      </c>
      <c r="B1285" s="19" t="s">
        <v>695</v>
      </c>
      <c r="C1285" t="s">
        <v>143</v>
      </c>
      <c r="D1285" s="190">
        <v>5058</v>
      </c>
      <c r="E1285" s="191">
        <v>6509</v>
      </c>
      <c r="F1285" s="191">
        <v>5177</v>
      </c>
      <c r="G1285" s="481">
        <v>249</v>
      </c>
      <c r="H1285" s="19"/>
      <c r="I1285" s="19"/>
      <c r="M1285" s="19"/>
    </row>
    <row r="1286" spans="1:13">
      <c r="A1286" s="479">
        <v>7000</v>
      </c>
      <c r="B1286" s="19" t="s">
        <v>696</v>
      </c>
      <c r="C1286" t="s">
        <v>4941</v>
      </c>
      <c r="D1286" s="190">
        <v>7000</v>
      </c>
      <c r="E1286" s="191">
        <v>8386</v>
      </c>
      <c r="F1286" s="191">
        <v>9086</v>
      </c>
      <c r="G1286" s="481">
        <v>277</v>
      </c>
      <c r="H1286" s="19"/>
      <c r="I1286" s="19"/>
      <c r="M1286" s="19"/>
    </row>
    <row r="1287" spans="1:13">
      <c r="A1287" s="479">
        <v>7270</v>
      </c>
      <c r="B1287" s="19" t="s">
        <v>697</v>
      </c>
      <c r="C1287" t="s">
        <v>4941</v>
      </c>
      <c r="D1287" s="190">
        <v>7270</v>
      </c>
      <c r="E1287" s="191">
        <v>13614</v>
      </c>
      <c r="F1287" s="191">
        <v>14103</v>
      </c>
      <c r="G1287" s="481">
        <v>341</v>
      </c>
      <c r="H1287" s="19"/>
      <c r="I1287" s="19"/>
      <c r="M1287" s="19"/>
    </row>
    <row r="1288" spans="1:13">
      <c r="A1288" s="479">
        <v>7302</v>
      </c>
      <c r="B1288" s="19" t="s">
        <v>698</v>
      </c>
      <c r="C1288" t="s">
        <v>4941</v>
      </c>
      <c r="D1288" s="190">
        <v>7302</v>
      </c>
      <c r="E1288" s="191">
        <v>7054</v>
      </c>
      <c r="F1288" s="191">
        <v>7326</v>
      </c>
      <c r="G1288" s="481">
        <v>245</v>
      </c>
      <c r="H1288" s="19"/>
      <c r="I1288" s="19"/>
      <c r="M1288" s="19"/>
    </row>
    <row r="1289" spans="1:13">
      <c r="A1289" s="479">
        <v>7013</v>
      </c>
      <c r="B1289" s="19" t="s">
        <v>699</v>
      </c>
      <c r="C1289" t="s">
        <v>4941</v>
      </c>
      <c r="D1289" s="190">
        <v>7013</v>
      </c>
      <c r="E1289" s="191">
        <v>7290</v>
      </c>
      <c r="F1289" s="191">
        <v>7914</v>
      </c>
      <c r="G1289" s="481">
        <v>255</v>
      </c>
      <c r="H1289" s="19"/>
      <c r="I1289" s="19"/>
      <c r="M1289" s="19"/>
    </row>
    <row r="1290" spans="1:13">
      <c r="A1290" s="479">
        <v>7013</v>
      </c>
      <c r="B1290" s="19" t="s">
        <v>700</v>
      </c>
      <c r="C1290" t="s">
        <v>4941</v>
      </c>
      <c r="D1290" s="190">
        <v>7013</v>
      </c>
      <c r="E1290" s="191">
        <v>7290</v>
      </c>
      <c r="F1290" s="191">
        <v>7914</v>
      </c>
      <c r="G1290" s="481">
        <v>255</v>
      </c>
      <c r="H1290" s="19"/>
      <c r="I1290" s="19"/>
      <c r="M1290" s="19"/>
    </row>
    <row r="1291" spans="1:13">
      <c r="A1291" s="479">
        <v>7500</v>
      </c>
      <c r="B1291" s="19" t="s">
        <v>701</v>
      </c>
      <c r="C1291" t="s">
        <v>4941</v>
      </c>
      <c r="D1291" s="190">
        <v>7500</v>
      </c>
      <c r="E1291" s="191">
        <v>18878</v>
      </c>
      <c r="F1291" s="191">
        <v>19302</v>
      </c>
      <c r="G1291" s="481">
        <v>437</v>
      </c>
      <c r="H1291" s="19"/>
      <c r="I1291" s="19"/>
      <c r="M1291" s="19"/>
    </row>
    <row r="1292" spans="1:13">
      <c r="A1292" s="479">
        <v>7130</v>
      </c>
      <c r="B1292" s="19" t="s">
        <v>702</v>
      </c>
      <c r="C1292" t="s">
        <v>4941</v>
      </c>
      <c r="D1292" s="190">
        <v>7130</v>
      </c>
      <c r="E1292" s="191">
        <v>8080</v>
      </c>
      <c r="F1292" s="191">
        <v>6358</v>
      </c>
      <c r="G1292" s="481">
        <v>264</v>
      </c>
      <c r="H1292" s="19"/>
      <c r="I1292" s="19"/>
      <c r="M1292" s="19"/>
    </row>
    <row r="1293" spans="1:13">
      <c r="A1293" s="479">
        <v>1823</v>
      </c>
      <c r="B1293" s="19" t="s">
        <v>703</v>
      </c>
      <c r="C1293" t="s">
        <v>4941</v>
      </c>
      <c r="D1293" s="190">
        <v>1823</v>
      </c>
      <c r="E1293" s="191">
        <v>8080</v>
      </c>
      <c r="F1293" s="191">
        <v>6358</v>
      </c>
      <c r="G1293" s="481">
        <v>264</v>
      </c>
      <c r="H1293" s="19"/>
      <c r="I1293" s="19"/>
      <c r="M1293" s="19"/>
    </row>
    <row r="1294" spans="1:13">
      <c r="A1294" s="479">
        <v>7550</v>
      </c>
      <c r="B1294" s="19" t="s">
        <v>704</v>
      </c>
      <c r="C1294" t="s">
        <v>4941</v>
      </c>
      <c r="D1294" s="190">
        <v>7550</v>
      </c>
      <c r="E1294" s="191">
        <v>9258</v>
      </c>
      <c r="F1294" s="191">
        <v>8561</v>
      </c>
      <c r="G1294" s="481">
        <v>255</v>
      </c>
      <c r="H1294" s="19"/>
      <c r="I1294" s="19"/>
      <c r="M1294" s="19"/>
    </row>
    <row r="1295" spans="1:13">
      <c r="A1295" s="479">
        <v>7250</v>
      </c>
      <c r="B1295" s="19" t="s">
        <v>705</v>
      </c>
      <c r="C1295" t="s">
        <v>4941</v>
      </c>
      <c r="D1295" s="190">
        <v>7250</v>
      </c>
      <c r="E1295" s="191">
        <v>12895</v>
      </c>
      <c r="F1295" s="191">
        <v>10999</v>
      </c>
      <c r="G1295" s="481">
        <v>346</v>
      </c>
      <c r="H1295" s="19"/>
      <c r="I1295" s="19"/>
      <c r="M1295" s="19"/>
    </row>
    <row r="1296" spans="1:13">
      <c r="A1296" s="479">
        <v>7742</v>
      </c>
      <c r="B1296" s="19" t="s">
        <v>706</v>
      </c>
      <c r="C1296" t="s">
        <v>4941</v>
      </c>
      <c r="D1296" s="190">
        <v>7742</v>
      </c>
      <c r="E1296" s="191">
        <v>4371</v>
      </c>
      <c r="F1296" s="191">
        <v>4343</v>
      </c>
      <c r="G1296" s="481">
        <v>126</v>
      </c>
      <c r="H1296" s="19"/>
      <c r="I1296" s="19"/>
      <c r="M1296" s="19"/>
    </row>
    <row r="1297" spans="1:13">
      <c r="A1297" s="479">
        <v>7205</v>
      </c>
      <c r="B1297" s="19" t="s">
        <v>707</v>
      </c>
      <c r="C1297" t="s">
        <v>4941</v>
      </c>
      <c r="D1297" s="190">
        <v>7205</v>
      </c>
      <c r="E1297" s="191">
        <v>8168</v>
      </c>
      <c r="F1297" s="191">
        <v>7226</v>
      </c>
      <c r="G1297" s="481">
        <v>273</v>
      </c>
      <c r="H1297" s="19"/>
      <c r="I1297" s="19"/>
      <c r="M1297" s="19"/>
    </row>
    <row r="1298" spans="1:13">
      <c r="A1298" s="479">
        <v>7402</v>
      </c>
      <c r="B1298" s="19" t="s">
        <v>708</v>
      </c>
      <c r="C1298" t="s">
        <v>4941</v>
      </c>
      <c r="D1298" s="190">
        <v>7402</v>
      </c>
      <c r="E1298" s="191">
        <v>7950</v>
      </c>
      <c r="F1298" s="191">
        <v>8528</v>
      </c>
      <c r="G1298" s="481">
        <v>256</v>
      </c>
      <c r="H1298" s="19"/>
      <c r="I1298" s="19"/>
      <c r="M1298" s="19"/>
    </row>
    <row r="1299" spans="1:13">
      <c r="A1299" s="479">
        <v>7203</v>
      </c>
      <c r="B1299" s="19" t="s">
        <v>709</v>
      </c>
      <c r="C1299" t="s">
        <v>4941</v>
      </c>
      <c r="D1299" s="190">
        <v>7203</v>
      </c>
      <c r="E1299" s="191">
        <v>7374</v>
      </c>
      <c r="F1299" s="191">
        <v>6578</v>
      </c>
      <c r="G1299" s="481">
        <v>278</v>
      </c>
      <c r="H1299" s="19"/>
      <c r="I1299" s="19"/>
      <c r="M1299" s="19"/>
    </row>
    <row r="1300" spans="1:13">
      <c r="A1300" s="479">
        <v>7430</v>
      </c>
      <c r="B1300" s="19" t="s">
        <v>710</v>
      </c>
      <c r="C1300" t="s">
        <v>4941</v>
      </c>
      <c r="D1300" s="190">
        <v>7430</v>
      </c>
      <c r="E1300" s="191">
        <v>7256</v>
      </c>
      <c r="F1300" s="191">
        <v>5817</v>
      </c>
      <c r="G1300" s="481">
        <v>245</v>
      </c>
      <c r="H1300" s="19"/>
      <c r="I1300" s="19"/>
      <c r="M1300" s="19"/>
    </row>
    <row r="1301" spans="1:13">
      <c r="A1301" s="479">
        <v>7050</v>
      </c>
      <c r="B1301" s="19" t="s">
        <v>711</v>
      </c>
      <c r="C1301" t="s">
        <v>4941</v>
      </c>
      <c r="D1301" s="190">
        <v>7050</v>
      </c>
      <c r="E1301" s="191">
        <v>13156</v>
      </c>
      <c r="F1301" s="191">
        <v>7497</v>
      </c>
      <c r="G1301" s="481">
        <v>321</v>
      </c>
      <c r="H1301" s="19"/>
      <c r="I1301" s="19"/>
      <c r="M1301" s="19"/>
    </row>
    <row r="1302" spans="1:13">
      <c r="A1302" s="479">
        <v>7503</v>
      </c>
      <c r="B1302" s="19" t="s">
        <v>712</v>
      </c>
      <c r="C1302" t="s">
        <v>4941</v>
      </c>
      <c r="D1302" s="190">
        <v>7503</v>
      </c>
      <c r="E1302" s="191">
        <v>15098</v>
      </c>
      <c r="F1302" s="191">
        <v>11193</v>
      </c>
      <c r="G1302" s="481">
        <v>321</v>
      </c>
      <c r="H1302" s="19"/>
      <c r="I1302" s="19"/>
      <c r="M1302" s="19"/>
    </row>
    <row r="1303" spans="1:13">
      <c r="A1303" s="479">
        <v>7304</v>
      </c>
      <c r="B1303" s="19" t="s">
        <v>713</v>
      </c>
      <c r="C1303" t="s">
        <v>4941</v>
      </c>
      <c r="D1303" s="190">
        <v>7304</v>
      </c>
      <c r="E1303" s="191">
        <v>8822</v>
      </c>
      <c r="F1303" s="191">
        <v>8939</v>
      </c>
      <c r="G1303" s="481">
        <v>265</v>
      </c>
      <c r="H1303" s="19"/>
      <c r="I1303" s="19"/>
      <c r="M1303" s="19"/>
    </row>
    <row r="1304" spans="1:13">
      <c r="A1304" s="479">
        <v>7017</v>
      </c>
      <c r="B1304" s="19" t="s">
        <v>714</v>
      </c>
      <c r="C1304" t="s">
        <v>4941</v>
      </c>
      <c r="D1304" s="190">
        <v>7017</v>
      </c>
      <c r="E1304" s="191">
        <v>14848</v>
      </c>
      <c r="F1304" s="191">
        <v>18723</v>
      </c>
      <c r="G1304" s="481">
        <v>336</v>
      </c>
      <c r="H1304" s="19"/>
      <c r="I1304" s="19"/>
      <c r="M1304" s="19"/>
    </row>
    <row r="1305" spans="1:13">
      <c r="A1305" s="479">
        <v>7084</v>
      </c>
      <c r="B1305" s="19" t="s">
        <v>715</v>
      </c>
      <c r="C1305" t="s">
        <v>4941</v>
      </c>
      <c r="D1305" s="190">
        <v>7084</v>
      </c>
      <c r="E1305" s="191">
        <v>15819</v>
      </c>
      <c r="F1305" s="191">
        <v>15551</v>
      </c>
      <c r="G1305" s="481">
        <v>338</v>
      </c>
      <c r="H1305" s="19"/>
      <c r="I1305" s="19"/>
      <c r="M1305" s="19"/>
    </row>
    <row r="1306" spans="1:13">
      <c r="A1306" s="479">
        <v>7082</v>
      </c>
      <c r="B1306" s="19" t="s">
        <v>716</v>
      </c>
      <c r="C1306" t="s">
        <v>4941</v>
      </c>
      <c r="D1306" s="190">
        <v>7082</v>
      </c>
      <c r="E1306" s="191">
        <v>15819</v>
      </c>
      <c r="F1306" s="191">
        <v>15551</v>
      </c>
      <c r="G1306" s="481">
        <v>338</v>
      </c>
      <c r="H1306" s="19"/>
      <c r="I1306" s="19"/>
      <c r="M1306" s="19"/>
    </row>
    <row r="1307" spans="1:13">
      <c r="A1307" s="479">
        <v>7220</v>
      </c>
      <c r="B1307" s="19" t="s">
        <v>717</v>
      </c>
      <c r="C1307" t="s">
        <v>4941</v>
      </c>
      <c r="D1307" s="190">
        <v>7220</v>
      </c>
      <c r="E1307" s="191">
        <v>7008</v>
      </c>
      <c r="F1307" s="191">
        <v>5595</v>
      </c>
      <c r="G1307" s="481">
        <v>256</v>
      </c>
      <c r="H1307" s="19"/>
      <c r="I1307" s="19"/>
      <c r="M1307" s="19"/>
    </row>
    <row r="1308" spans="1:13">
      <c r="A1308" s="479">
        <v>7012</v>
      </c>
      <c r="B1308" s="19" t="s">
        <v>718</v>
      </c>
      <c r="C1308" t="s">
        <v>4941</v>
      </c>
      <c r="D1308" s="190">
        <v>7012</v>
      </c>
      <c r="E1308" s="191">
        <v>7346</v>
      </c>
      <c r="F1308" s="191">
        <v>8496</v>
      </c>
      <c r="G1308" s="481">
        <v>264</v>
      </c>
      <c r="H1308" s="19"/>
      <c r="I1308" s="19"/>
      <c r="M1308" s="19"/>
    </row>
    <row r="1309" spans="1:13">
      <c r="A1309" s="479">
        <v>7204</v>
      </c>
      <c r="B1309" s="19" t="s">
        <v>719</v>
      </c>
      <c r="C1309" t="s">
        <v>4941</v>
      </c>
      <c r="D1309" s="190">
        <v>7204</v>
      </c>
      <c r="E1309" s="191">
        <v>7678</v>
      </c>
      <c r="F1309" s="191">
        <v>8055</v>
      </c>
      <c r="G1309" s="481">
        <v>255</v>
      </c>
      <c r="H1309" s="19"/>
      <c r="I1309" s="19"/>
      <c r="M1309" s="19"/>
    </row>
    <row r="1310" spans="1:13">
      <c r="A1310" s="479">
        <v>6535</v>
      </c>
      <c r="B1310" s="19" t="s">
        <v>720</v>
      </c>
      <c r="C1310" t="s">
        <v>4941</v>
      </c>
      <c r="D1310" s="190">
        <v>6535</v>
      </c>
      <c r="E1310" s="191">
        <v>6272</v>
      </c>
      <c r="F1310" s="191">
        <v>4545</v>
      </c>
      <c r="G1310" s="481">
        <v>202</v>
      </c>
      <c r="H1310" s="19"/>
      <c r="I1310" s="19"/>
      <c r="M1310" s="19"/>
    </row>
    <row r="1311" spans="1:13">
      <c r="A1311" s="479">
        <v>7457</v>
      </c>
      <c r="B1311" s="19" t="s">
        <v>721</v>
      </c>
      <c r="C1311" t="s">
        <v>4941</v>
      </c>
      <c r="D1311" s="190">
        <v>7457</v>
      </c>
      <c r="E1311" s="191">
        <v>6582</v>
      </c>
      <c r="F1311" s="191">
        <v>6490</v>
      </c>
      <c r="G1311" s="481">
        <v>293</v>
      </c>
      <c r="H1311" s="19"/>
      <c r="I1311" s="19"/>
      <c r="M1311" s="19"/>
    </row>
    <row r="1312" spans="1:13">
      <c r="A1312" s="479">
        <v>7208</v>
      </c>
      <c r="B1312" s="19" t="s">
        <v>722</v>
      </c>
      <c r="C1312" t="s">
        <v>4941</v>
      </c>
      <c r="D1312" s="190">
        <v>7208</v>
      </c>
      <c r="E1312" s="191">
        <v>9232</v>
      </c>
      <c r="F1312" s="191">
        <v>9577</v>
      </c>
      <c r="G1312" s="481">
        <v>243</v>
      </c>
      <c r="H1312" s="19"/>
      <c r="I1312" s="19"/>
      <c r="M1312" s="19"/>
    </row>
    <row r="1313" spans="1:13">
      <c r="A1313" s="479">
        <v>7504</v>
      </c>
      <c r="B1313" s="19" t="s">
        <v>723</v>
      </c>
      <c r="C1313" t="s">
        <v>4941</v>
      </c>
      <c r="D1313" s="190">
        <v>7504</v>
      </c>
      <c r="E1313" s="191">
        <v>15229</v>
      </c>
      <c r="F1313" s="191">
        <v>18357</v>
      </c>
      <c r="G1313" s="481">
        <v>392</v>
      </c>
      <c r="H1313" s="19"/>
      <c r="I1313" s="19"/>
      <c r="M1313" s="19"/>
    </row>
    <row r="1314" spans="1:13">
      <c r="A1314" s="479">
        <v>7408</v>
      </c>
      <c r="B1314" s="19" t="s">
        <v>724</v>
      </c>
      <c r="C1314" t="s">
        <v>4941</v>
      </c>
      <c r="D1314" s="190">
        <v>7408</v>
      </c>
      <c r="E1314" s="191">
        <v>7369</v>
      </c>
      <c r="F1314" s="191">
        <v>5010</v>
      </c>
      <c r="G1314" s="481">
        <v>221</v>
      </c>
      <c r="H1314" s="19"/>
      <c r="I1314" s="19"/>
      <c r="M1314" s="19"/>
    </row>
    <row r="1315" spans="1:13">
      <c r="A1315" s="479">
        <v>7187</v>
      </c>
      <c r="B1315" s="19" t="s">
        <v>725</v>
      </c>
      <c r="C1315" t="s">
        <v>4941</v>
      </c>
      <c r="D1315" s="190">
        <v>7187</v>
      </c>
      <c r="E1315" s="191">
        <v>7432</v>
      </c>
      <c r="F1315" s="191">
        <v>5273</v>
      </c>
      <c r="G1315" s="481">
        <v>234</v>
      </c>
      <c r="H1315" s="19"/>
      <c r="I1315" s="19"/>
      <c r="M1315" s="19"/>
    </row>
    <row r="1316" spans="1:13">
      <c r="A1316" s="479">
        <v>7180</v>
      </c>
      <c r="B1316" s="19" t="s">
        <v>726</v>
      </c>
      <c r="C1316" t="s">
        <v>4941</v>
      </c>
      <c r="D1316" s="190">
        <v>7180</v>
      </c>
      <c r="E1316" s="191">
        <v>7432</v>
      </c>
      <c r="F1316" s="191">
        <v>5273</v>
      </c>
      <c r="G1316" s="481">
        <v>234</v>
      </c>
      <c r="H1316" s="19"/>
      <c r="I1316" s="19"/>
      <c r="M1316" s="19"/>
    </row>
    <row r="1317" spans="1:13">
      <c r="A1317" s="479">
        <v>7214</v>
      </c>
      <c r="B1317" s="19" t="s">
        <v>727</v>
      </c>
      <c r="C1317" t="s">
        <v>4941</v>
      </c>
      <c r="D1317" s="190">
        <v>7214</v>
      </c>
      <c r="E1317" s="191">
        <v>6612</v>
      </c>
      <c r="F1317" s="191">
        <v>6874</v>
      </c>
      <c r="G1317" s="481">
        <v>197</v>
      </c>
      <c r="H1317" s="19"/>
      <c r="I1317" s="19"/>
      <c r="M1317" s="19"/>
    </row>
    <row r="1318" spans="1:13">
      <c r="A1318" s="479">
        <v>7148</v>
      </c>
      <c r="B1318" s="19" t="s">
        <v>728</v>
      </c>
      <c r="C1318" t="s">
        <v>4941</v>
      </c>
      <c r="D1318" s="190">
        <v>7148</v>
      </c>
      <c r="E1318" s="191">
        <v>8010</v>
      </c>
      <c r="F1318" s="191">
        <v>6217</v>
      </c>
      <c r="G1318" s="481">
        <v>226</v>
      </c>
      <c r="H1318" s="19"/>
      <c r="I1318" s="19"/>
      <c r="M1318" s="19"/>
    </row>
    <row r="1319" spans="1:13">
      <c r="A1319" s="479">
        <v>7075</v>
      </c>
      <c r="B1319" s="19" t="s">
        <v>729</v>
      </c>
      <c r="C1319" t="s">
        <v>4941</v>
      </c>
      <c r="D1319" s="190">
        <v>7075</v>
      </c>
      <c r="E1319" s="191">
        <v>10348</v>
      </c>
      <c r="F1319" s="191">
        <v>8027</v>
      </c>
      <c r="G1319" s="481">
        <v>319</v>
      </c>
      <c r="H1319" s="19"/>
      <c r="I1319" s="19"/>
      <c r="M1319" s="19"/>
    </row>
    <row r="1320" spans="1:13">
      <c r="A1320" s="479">
        <v>7435</v>
      </c>
      <c r="B1320" s="19" t="s">
        <v>730</v>
      </c>
      <c r="C1320" t="s">
        <v>4941</v>
      </c>
      <c r="D1320" s="190">
        <v>7435</v>
      </c>
      <c r="E1320" s="191">
        <v>8064</v>
      </c>
      <c r="F1320" s="191">
        <v>6601</v>
      </c>
      <c r="G1320" s="481">
        <v>231</v>
      </c>
      <c r="H1320" s="19"/>
      <c r="I1320" s="19"/>
      <c r="M1320" s="19"/>
    </row>
    <row r="1321" spans="1:13">
      <c r="A1321" s="479">
        <v>7165</v>
      </c>
      <c r="B1321" s="19" t="s">
        <v>731</v>
      </c>
      <c r="C1321" t="s">
        <v>4941</v>
      </c>
      <c r="D1321" s="190">
        <v>7165</v>
      </c>
      <c r="E1321" s="191">
        <v>8263</v>
      </c>
      <c r="F1321" s="191">
        <v>6460</v>
      </c>
      <c r="G1321" s="481">
        <v>234</v>
      </c>
      <c r="H1321" s="19"/>
      <c r="I1321" s="19"/>
      <c r="M1321" s="19"/>
    </row>
    <row r="1322" spans="1:13">
      <c r="A1322" s="479">
        <v>7165</v>
      </c>
      <c r="B1322" s="19" t="s">
        <v>732</v>
      </c>
      <c r="C1322" t="s">
        <v>4941</v>
      </c>
      <c r="D1322" s="190">
        <v>7165</v>
      </c>
      <c r="E1322" s="191">
        <v>8263</v>
      </c>
      <c r="F1322" s="191">
        <v>6460</v>
      </c>
      <c r="G1322" s="481">
        <v>234</v>
      </c>
      <c r="H1322" s="19"/>
      <c r="I1322" s="19"/>
      <c r="M1322" s="19"/>
    </row>
    <row r="1323" spans="1:13">
      <c r="A1323" s="479">
        <v>7031</v>
      </c>
      <c r="B1323" s="19" t="s">
        <v>733</v>
      </c>
      <c r="C1323" t="s">
        <v>4941</v>
      </c>
      <c r="D1323" s="190">
        <v>7031</v>
      </c>
      <c r="E1323" s="191">
        <v>12658</v>
      </c>
      <c r="F1323" s="191">
        <v>12520</v>
      </c>
      <c r="G1323" s="481">
        <v>408</v>
      </c>
      <c r="H1323" s="19"/>
      <c r="I1323" s="19"/>
      <c r="M1323" s="19"/>
    </row>
    <row r="1324" spans="1:13">
      <c r="A1324" s="479">
        <v>7242</v>
      </c>
      <c r="B1324" s="19" t="s">
        <v>734</v>
      </c>
      <c r="C1324" t="s">
        <v>4941</v>
      </c>
      <c r="D1324" s="190">
        <v>7242</v>
      </c>
      <c r="E1324" s="191">
        <v>6758</v>
      </c>
      <c r="F1324" s="191">
        <v>7383</v>
      </c>
      <c r="G1324" s="481">
        <v>272</v>
      </c>
      <c r="H1324" s="19"/>
      <c r="I1324" s="19"/>
      <c r="M1324" s="19"/>
    </row>
    <row r="1325" spans="1:13">
      <c r="A1325" s="479">
        <v>7530</v>
      </c>
      <c r="B1325" s="19" t="s">
        <v>735</v>
      </c>
      <c r="C1325" t="s">
        <v>4941</v>
      </c>
      <c r="D1325" s="190">
        <v>7530</v>
      </c>
      <c r="E1325" s="191">
        <v>9550</v>
      </c>
      <c r="F1325" s="191">
        <v>6803</v>
      </c>
      <c r="G1325" s="481">
        <v>222</v>
      </c>
      <c r="H1325" s="19"/>
      <c r="I1325" s="19"/>
      <c r="M1325" s="19"/>
    </row>
    <row r="1326" spans="1:13">
      <c r="A1326" s="479">
        <v>7606</v>
      </c>
      <c r="B1326" s="19" t="s">
        <v>736</v>
      </c>
      <c r="C1326" t="s">
        <v>4941</v>
      </c>
      <c r="D1326" s="190">
        <v>7606</v>
      </c>
      <c r="E1326" s="191">
        <v>10627</v>
      </c>
      <c r="F1326" s="191">
        <v>5716</v>
      </c>
      <c r="G1326" s="481">
        <v>415</v>
      </c>
      <c r="H1326" s="19"/>
      <c r="I1326" s="19"/>
      <c r="M1326" s="19"/>
    </row>
    <row r="1327" spans="1:13">
      <c r="A1327" s="479">
        <v>7536</v>
      </c>
      <c r="B1327" s="19" t="s">
        <v>737</v>
      </c>
      <c r="C1327" t="s">
        <v>4941</v>
      </c>
      <c r="D1327" s="190">
        <v>7536</v>
      </c>
      <c r="E1327" s="191">
        <v>4066</v>
      </c>
      <c r="F1327" s="191">
        <v>5403</v>
      </c>
      <c r="G1327" s="481">
        <v>216</v>
      </c>
      <c r="H1327" s="19"/>
      <c r="I1327" s="19"/>
      <c r="M1327" s="19"/>
    </row>
    <row r="1328" spans="1:13">
      <c r="A1328" s="479">
        <v>7505</v>
      </c>
      <c r="B1328" s="19" t="s">
        <v>738</v>
      </c>
      <c r="C1328" t="s">
        <v>4941</v>
      </c>
      <c r="D1328" s="190">
        <v>7505</v>
      </c>
      <c r="E1328" s="191">
        <v>16282</v>
      </c>
      <c r="F1328" s="191">
        <v>17349</v>
      </c>
      <c r="G1328" s="481">
        <v>423</v>
      </c>
      <c r="H1328" s="19"/>
      <c r="I1328" s="19"/>
      <c r="M1328" s="19"/>
    </row>
    <row r="1329" spans="1:13">
      <c r="A1329" s="479">
        <v>7505</v>
      </c>
      <c r="B1329" s="19" t="s">
        <v>739</v>
      </c>
      <c r="C1329" t="s">
        <v>4941</v>
      </c>
      <c r="D1329" s="190">
        <v>7505</v>
      </c>
      <c r="E1329" s="191">
        <v>16282</v>
      </c>
      <c r="F1329" s="191">
        <v>17349</v>
      </c>
      <c r="G1329" s="481">
        <v>423</v>
      </c>
      <c r="H1329" s="19"/>
      <c r="I1329" s="19"/>
      <c r="M1329" s="19"/>
    </row>
    <row r="1330" spans="1:13">
      <c r="A1330" s="479">
        <v>7403</v>
      </c>
      <c r="B1330" s="19" t="s">
        <v>740</v>
      </c>
      <c r="C1330" t="s">
        <v>4941</v>
      </c>
      <c r="D1330" s="190">
        <v>7403</v>
      </c>
      <c r="E1330" s="191">
        <v>7247</v>
      </c>
      <c r="F1330" s="191">
        <v>6515</v>
      </c>
      <c r="G1330" s="481">
        <v>222</v>
      </c>
      <c r="H1330" s="19"/>
      <c r="I1330" s="19"/>
      <c r="M1330" s="19"/>
    </row>
    <row r="1331" spans="1:13">
      <c r="A1331" s="479">
        <v>7014</v>
      </c>
      <c r="B1331" s="19" t="s">
        <v>741</v>
      </c>
      <c r="C1331" t="s">
        <v>4941</v>
      </c>
      <c r="D1331" s="190">
        <v>7014</v>
      </c>
      <c r="E1331" s="191">
        <v>9572</v>
      </c>
      <c r="F1331" s="191">
        <v>7629</v>
      </c>
      <c r="G1331" s="481">
        <v>320</v>
      </c>
      <c r="H1331" s="19"/>
      <c r="I1331" s="19"/>
      <c r="M1331" s="19"/>
    </row>
    <row r="1332" spans="1:13">
      <c r="A1332" s="479">
        <v>7212</v>
      </c>
      <c r="B1332" s="19" t="s">
        <v>742</v>
      </c>
      <c r="C1332" t="s">
        <v>4941</v>
      </c>
      <c r="D1332" s="190">
        <v>7212</v>
      </c>
      <c r="E1332" s="191">
        <v>6471</v>
      </c>
      <c r="F1332" s="191">
        <v>6672</v>
      </c>
      <c r="G1332" s="481">
        <v>224</v>
      </c>
      <c r="H1332" s="19"/>
      <c r="I1332" s="19"/>
      <c r="M1332" s="19"/>
    </row>
    <row r="1333" spans="1:13">
      <c r="A1333" s="479">
        <v>6563</v>
      </c>
      <c r="B1333" s="19" t="s">
        <v>743</v>
      </c>
      <c r="C1333" t="s">
        <v>4941</v>
      </c>
      <c r="D1333" s="190">
        <v>6563</v>
      </c>
      <c r="E1333" s="191">
        <v>7690</v>
      </c>
      <c r="F1333" s="191">
        <v>4057</v>
      </c>
      <c r="G1333" s="481">
        <v>227</v>
      </c>
      <c r="H1333" s="19"/>
      <c r="I1333" s="19"/>
      <c r="M1333" s="19"/>
    </row>
    <row r="1334" spans="1:13">
      <c r="A1334" s="479">
        <v>6537</v>
      </c>
      <c r="B1334" s="19" t="s">
        <v>744</v>
      </c>
      <c r="C1334" t="s">
        <v>4941</v>
      </c>
      <c r="D1334" s="190">
        <v>6537</v>
      </c>
      <c r="E1334" s="191">
        <v>5709</v>
      </c>
      <c r="F1334" s="191">
        <v>4143</v>
      </c>
      <c r="G1334" s="481">
        <v>219</v>
      </c>
      <c r="H1334" s="19"/>
      <c r="I1334" s="19"/>
      <c r="M1334" s="19"/>
    </row>
    <row r="1335" spans="1:13">
      <c r="A1335" s="479">
        <v>7450</v>
      </c>
      <c r="B1335" s="19" t="s">
        <v>745</v>
      </c>
      <c r="C1335" t="s">
        <v>4941</v>
      </c>
      <c r="D1335" s="190">
        <v>7450</v>
      </c>
      <c r="E1335" s="191">
        <v>7249</v>
      </c>
      <c r="F1335" s="191">
        <v>5285</v>
      </c>
      <c r="G1335" s="481">
        <v>194</v>
      </c>
      <c r="H1335" s="19"/>
      <c r="I1335" s="19"/>
      <c r="M1335" s="19"/>
    </row>
    <row r="1336" spans="1:13">
      <c r="A1336" s="479">
        <v>7473</v>
      </c>
      <c r="B1336" s="19" t="s">
        <v>746</v>
      </c>
      <c r="C1336" t="s">
        <v>4941</v>
      </c>
      <c r="D1336" s="190">
        <v>7473</v>
      </c>
      <c r="E1336" s="191">
        <v>7249</v>
      </c>
      <c r="F1336" s="191">
        <v>5285</v>
      </c>
      <c r="G1336" s="481">
        <v>194</v>
      </c>
      <c r="H1336" s="19"/>
      <c r="I1336" s="19"/>
      <c r="M1336" s="19"/>
    </row>
    <row r="1337" spans="1:13">
      <c r="A1337" s="479">
        <v>7189</v>
      </c>
      <c r="B1337" s="19" t="s">
        <v>747</v>
      </c>
      <c r="C1337" t="s">
        <v>4941</v>
      </c>
      <c r="D1337" s="190">
        <v>7189</v>
      </c>
      <c r="E1337" s="191">
        <v>8098</v>
      </c>
      <c r="F1337" s="191">
        <v>5136</v>
      </c>
      <c r="G1337" s="481">
        <v>240</v>
      </c>
      <c r="H1337" s="19"/>
      <c r="I1337" s="19"/>
      <c r="M1337" s="19"/>
    </row>
    <row r="1338" spans="1:13">
      <c r="A1338" s="479">
        <v>7015</v>
      </c>
      <c r="B1338" s="19" t="s">
        <v>748</v>
      </c>
      <c r="C1338" t="s">
        <v>4941</v>
      </c>
      <c r="D1338" s="190">
        <v>7015</v>
      </c>
      <c r="E1338" s="191">
        <v>6152</v>
      </c>
      <c r="F1338" s="191">
        <v>8354</v>
      </c>
      <c r="G1338" s="481">
        <v>197</v>
      </c>
      <c r="H1338" s="19"/>
      <c r="I1338" s="19"/>
      <c r="M1338" s="19"/>
    </row>
    <row r="1339" spans="1:13">
      <c r="A1339" s="479">
        <v>7524</v>
      </c>
      <c r="B1339" s="19" t="s">
        <v>749</v>
      </c>
      <c r="C1339" t="s">
        <v>4941</v>
      </c>
      <c r="D1339" s="190">
        <v>7524</v>
      </c>
      <c r="E1339" s="191">
        <v>13255</v>
      </c>
      <c r="F1339" s="191">
        <v>14987</v>
      </c>
      <c r="G1339" s="481">
        <v>288</v>
      </c>
      <c r="H1339" s="19"/>
      <c r="I1339" s="19"/>
      <c r="M1339" s="19"/>
    </row>
    <row r="1340" spans="1:13">
      <c r="A1340" s="479">
        <v>7175</v>
      </c>
      <c r="B1340" s="19" t="s">
        <v>750</v>
      </c>
      <c r="C1340" t="s">
        <v>4941</v>
      </c>
      <c r="D1340" s="190">
        <v>7175</v>
      </c>
      <c r="E1340" s="191">
        <v>4276</v>
      </c>
      <c r="F1340" s="191">
        <v>5052</v>
      </c>
      <c r="G1340" s="481">
        <v>112</v>
      </c>
      <c r="H1340" s="19"/>
      <c r="I1340" s="19"/>
      <c r="M1340" s="19"/>
    </row>
    <row r="1341" spans="1:13">
      <c r="A1341" s="479">
        <v>7166</v>
      </c>
      <c r="B1341" s="19" t="s">
        <v>751</v>
      </c>
      <c r="C1341" t="s">
        <v>4941</v>
      </c>
      <c r="D1341" s="190">
        <v>7166</v>
      </c>
      <c r="E1341" s="191">
        <v>3746</v>
      </c>
      <c r="F1341" s="191">
        <v>4501</v>
      </c>
      <c r="G1341" s="481">
        <v>194</v>
      </c>
      <c r="H1341" s="19"/>
      <c r="I1341" s="19"/>
      <c r="M1341" s="19"/>
    </row>
    <row r="1342" spans="1:13">
      <c r="A1342" s="479">
        <v>7233</v>
      </c>
      <c r="B1342" s="19" t="s">
        <v>752</v>
      </c>
      <c r="C1342" t="s">
        <v>4941</v>
      </c>
      <c r="D1342" s="190">
        <v>7233</v>
      </c>
      <c r="E1342" s="191">
        <v>7421</v>
      </c>
      <c r="F1342" s="191">
        <v>6520</v>
      </c>
      <c r="G1342" s="481">
        <v>234</v>
      </c>
      <c r="H1342" s="19"/>
      <c r="I1342" s="19"/>
      <c r="M1342" s="19"/>
    </row>
    <row r="1343" spans="1:13">
      <c r="A1343" s="479">
        <v>7134</v>
      </c>
      <c r="B1343" s="19" t="s">
        <v>753</v>
      </c>
      <c r="C1343" t="s">
        <v>4941</v>
      </c>
      <c r="D1343" s="190">
        <v>7134</v>
      </c>
      <c r="E1343" s="191">
        <v>7459</v>
      </c>
      <c r="F1343" s="191">
        <v>8096</v>
      </c>
      <c r="G1343" s="481">
        <v>179</v>
      </c>
      <c r="H1343" s="19"/>
      <c r="I1343" s="19"/>
      <c r="M1343" s="19"/>
    </row>
    <row r="1344" spans="1:13">
      <c r="A1344" s="479">
        <v>7743</v>
      </c>
      <c r="B1344" s="19" t="s">
        <v>754</v>
      </c>
      <c r="C1344" t="s">
        <v>4941</v>
      </c>
      <c r="D1344" s="190">
        <v>7743</v>
      </c>
      <c r="E1344" s="191">
        <v>1860</v>
      </c>
      <c r="F1344" s="191">
        <v>3291</v>
      </c>
      <c r="G1344" s="481">
        <v>272</v>
      </c>
      <c r="H1344" s="19"/>
      <c r="I1344" s="19"/>
      <c r="M1344" s="19"/>
    </row>
    <row r="1345" spans="1:13">
      <c r="A1345" s="479">
        <v>7513</v>
      </c>
      <c r="B1345" s="19" t="s">
        <v>755</v>
      </c>
      <c r="C1345" t="s">
        <v>4941</v>
      </c>
      <c r="D1345" s="190">
        <v>7513</v>
      </c>
      <c r="E1345" s="191">
        <v>17510</v>
      </c>
      <c r="F1345" s="191">
        <v>17825</v>
      </c>
      <c r="G1345" s="481">
        <v>390</v>
      </c>
      <c r="H1345" s="19"/>
      <c r="I1345" s="19"/>
      <c r="M1345" s="19"/>
    </row>
    <row r="1346" spans="1:13">
      <c r="A1346" s="479">
        <v>7132</v>
      </c>
      <c r="B1346" s="19" t="s">
        <v>756</v>
      </c>
      <c r="C1346" t="s">
        <v>4941</v>
      </c>
      <c r="D1346" s="190">
        <v>7132</v>
      </c>
      <c r="E1346" s="191">
        <v>6868</v>
      </c>
      <c r="F1346" s="191">
        <v>8439</v>
      </c>
      <c r="G1346" s="481">
        <v>251</v>
      </c>
      <c r="H1346" s="19"/>
      <c r="I1346" s="19"/>
      <c r="M1346" s="19"/>
    </row>
    <row r="1347" spans="1:13">
      <c r="A1347" s="479">
        <v>7023</v>
      </c>
      <c r="B1347" s="19" t="s">
        <v>757</v>
      </c>
      <c r="C1347" t="s">
        <v>4941</v>
      </c>
      <c r="D1347" s="190">
        <v>7023</v>
      </c>
      <c r="E1347" s="191">
        <v>8374</v>
      </c>
      <c r="F1347" s="191">
        <v>8471</v>
      </c>
      <c r="G1347" s="481">
        <v>261</v>
      </c>
      <c r="H1347" s="19"/>
      <c r="I1347" s="19"/>
      <c r="M1347" s="19"/>
    </row>
    <row r="1348" spans="1:13">
      <c r="A1348" s="479">
        <v>7440</v>
      </c>
      <c r="B1348" s="19" t="s">
        <v>758</v>
      </c>
      <c r="C1348" t="s">
        <v>4941</v>
      </c>
      <c r="D1348" s="190">
        <v>7440</v>
      </c>
      <c r="E1348" s="191">
        <v>7815</v>
      </c>
      <c r="F1348" s="191">
        <v>6737</v>
      </c>
      <c r="G1348" s="481">
        <v>272</v>
      </c>
      <c r="H1348" s="19"/>
      <c r="I1348" s="19"/>
      <c r="M1348" s="19"/>
    </row>
    <row r="1349" spans="1:13">
      <c r="A1349" s="479">
        <v>7411</v>
      </c>
      <c r="B1349" s="19" t="s">
        <v>759</v>
      </c>
      <c r="C1349" t="s">
        <v>4941</v>
      </c>
      <c r="D1349" s="190">
        <v>7411</v>
      </c>
      <c r="E1349" s="191">
        <v>5925</v>
      </c>
      <c r="F1349" s="191">
        <v>6107</v>
      </c>
      <c r="G1349" s="481">
        <v>219</v>
      </c>
      <c r="H1349" s="19"/>
      <c r="I1349" s="19"/>
      <c r="M1349" s="19"/>
    </row>
    <row r="1350" spans="1:13">
      <c r="A1350" s="479">
        <v>7482</v>
      </c>
      <c r="B1350" s="19" t="s">
        <v>760</v>
      </c>
      <c r="C1350" t="s">
        <v>4941</v>
      </c>
      <c r="D1350" s="190">
        <v>7482</v>
      </c>
      <c r="E1350" s="191">
        <v>6460</v>
      </c>
      <c r="F1350" s="191">
        <v>7599</v>
      </c>
      <c r="G1350" s="481">
        <v>280</v>
      </c>
      <c r="H1350" s="19"/>
      <c r="I1350" s="19"/>
      <c r="M1350" s="19"/>
    </row>
    <row r="1351" spans="1:13">
      <c r="A1351" s="479">
        <v>7107</v>
      </c>
      <c r="B1351" s="19" t="s">
        <v>761</v>
      </c>
      <c r="C1351" t="s">
        <v>4941</v>
      </c>
      <c r="D1351" s="190">
        <v>7107</v>
      </c>
      <c r="E1351" s="191">
        <v>9482</v>
      </c>
      <c r="F1351" s="191">
        <v>6684</v>
      </c>
      <c r="G1351" s="481">
        <v>155</v>
      </c>
      <c r="H1351" s="19"/>
      <c r="I1351" s="19"/>
      <c r="M1351" s="19"/>
    </row>
    <row r="1352" spans="1:13">
      <c r="A1352" s="479">
        <v>7307</v>
      </c>
      <c r="B1352" s="19" t="s">
        <v>762</v>
      </c>
      <c r="C1352" t="s">
        <v>4941</v>
      </c>
      <c r="D1352" s="190">
        <v>7307</v>
      </c>
      <c r="E1352" s="191">
        <v>8570</v>
      </c>
      <c r="F1352" s="191">
        <v>8435</v>
      </c>
      <c r="G1352" s="481">
        <v>298</v>
      </c>
      <c r="H1352" s="19"/>
      <c r="I1352" s="19"/>
      <c r="M1352" s="19"/>
    </row>
    <row r="1353" spans="1:13">
      <c r="A1353" s="479">
        <v>7556</v>
      </c>
      <c r="B1353" s="19" t="s">
        <v>763</v>
      </c>
      <c r="C1353" t="s">
        <v>4941</v>
      </c>
      <c r="D1353" s="190">
        <v>7556</v>
      </c>
      <c r="E1353" s="191">
        <v>6866</v>
      </c>
      <c r="F1353" s="191">
        <v>8134</v>
      </c>
      <c r="G1353" s="481">
        <v>200</v>
      </c>
      <c r="H1353" s="19"/>
      <c r="I1353" s="19"/>
      <c r="M1353" s="19"/>
    </row>
    <row r="1354" spans="1:13">
      <c r="A1354" s="479">
        <v>7240</v>
      </c>
      <c r="B1354" s="19" t="s">
        <v>764</v>
      </c>
      <c r="C1354" t="s">
        <v>4941</v>
      </c>
      <c r="D1354" s="190">
        <v>7240</v>
      </c>
      <c r="E1354" s="191">
        <v>6891</v>
      </c>
      <c r="F1354" s="191">
        <v>7059</v>
      </c>
      <c r="G1354" s="481">
        <v>268</v>
      </c>
      <c r="H1354" s="19"/>
      <c r="I1354" s="19"/>
      <c r="M1354" s="19"/>
    </row>
    <row r="1355" spans="1:13">
      <c r="A1355" s="479">
        <v>6534</v>
      </c>
      <c r="B1355" s="19" t="s">
        <v>765</v>
      </c>
      <c r="C1355" t="s">
        <v>4941</v>
      </c>
      <c r="D1355" s="190">
        <v>6534</v>
      </c>
      <c r="E1355" s="191">
        <v>5815</v>
      </c>
      <c r="F1355" s="191">
        <v>4963</v>
      </c>
      <c r="G1355" s="481">
        <v>195</v>
      </c>
      <c r="H1355" s="19"/>
      <c r="I1355" s="19"/>
      <c r="M1355" s="19"/>
    </row>
    <row r="1356" spans="1:13">
      <c r="A1356" s="479">
        <v>7412</v>
      </c>
      <c r="B1356" s="19" t="s">
        <v>766</v>
      </c>
      <c r="C1356" t="s">
        <v>4941</v>
      </c>
      <c r="D1356" s="190">
        <v>7412</v>
      </c>
      <c r="E1356" s="191">
        <v>9314</v>
      </c>
      <c r="F1356" s="191">
        <v>6713</v>
      </c>
      <c r="G1356" s="481">
        <v>189</v>
      </c>
      <c r="H1356" s="19"/>
      <c r="I1356" s="19"/>
      <c r="M1356" s="19"/>
    </row>
    <row r="1357" spans="1:13">
      <c r="A1357" s="479">
        <v>7306</v>
      </c>
      <c r="B1357" s="19" t="s">
        <v>767</v>
      </c>
      <c r="C1357" t="s">
        <v>4941</v>
      </c>
      <c r="D1357" s="190">
        <v>7306</v>
      </c>
      <c r="E1357" s="191">
        <v>8615</v>
      </c>
      <c r="F1357" s="191">
        <v>8154</v>
      </c>
      <c r="G1357" s="481">
        <v>223</v>
      </c>
      <c r="H1357" s="19"/>
      <c r="I1357" s="19"/>
      <c r="M1357" s="19"/>
    </row>
    <row r="1358" spans="1:13">
      <c r="A1358" s="479">
        <v>7563</v>
      </c>
      <c r="B1358" s="19" t="s">
        <v>768</v>
      </c>
      <c r="C1358" t="s">
        <v>4941</v>
      </c>
      <c r="D1358" s="190">
        <v>7563</v>
      </c>
      <c r="E1358" s="191">
        <v>9483</v>
      </c>
      <c r="F1358" s="191">
        <v>2885</v>
      </c>
      <c r="G1358" s="481">
        <v>418</v>
      </c>
      <c r="H1358" s="19"/>
      <c r="I1358" s="19"/>
      <c r="M1358" s="19"/>
    </row>
    <row r="1359" spans="1:13">
      <c r="A1359" s="479">
        <v>6558</v>
      </c>
      <c r="B1359" s="19" t="s">
        <v>769</v>
      </c>
      <c r="C1359" t="s">
        <v>4941</v>
      </c>
      <c r="D1359" s="190">
        <v>6558</v>
      </c>
      <c r="E1359" s="191">
        <v>2937</v>
      </c>
      <c r="F1359" s="191">
        <v>3771</v>
      </c>
      <c r="G1359" s="481">
        <v>155</v>
      </c>
      <c r="H1359" s="19"/>
      <c r="I1359" s="19"/>
      <c r="M1359" s="19"/>
    </row>
    <row r="1360" spans="1:13">
      <c r="A1360" s="479">
        <v>7522</v>
      </c>
      <c r="B1360" s="19" t="s">
        <v>770</v>
      </c>
      <c r="C1360" t="s">
        <v>4941</v>
      </c>
      <c r="D1360" s="190">
        <v>7522</v>
      </c>
      <c r="E1360" s="191">
        <v>14744</v>
      </c>
      <c r="F1360" s="191">
        <v>19136</v>
      </c>
      <c r="G1360" s="481">
        <v>425</v>
      </c>
      <c r="H1360" s="19"/>
      <c r="I1360" s="19"/>
      <c r="M1360" s="19"/>
    </row>
    <row r="1361" spans="1:13">
      <c r="A1361" s="479">
        <v>7514</v>
      </c>
      <c r="B1361" s="19" t="s">
        <v>771</v>
      </c>
      <c r="C1361" t="s">
        <v>4941</v>
      </c>
      <c r="D1361" s="190">
        <v>7514</v>
      </c>
      <c r="E1361" s="191">
        <v>19073</v>
      </c>
      <c r="F1361" s="191">
        <v>9962</v>
      </c>
      <c r="G1361" s="481">
        <v>360</v>
      </c>
      <c r="H1361" s="19"/>
      <c r="I1361" s="19"/>
      <c r="M1361" s="19"/>
    </row>
    <row r="1362" spans="1:13">
      <c r="A1362" s="479">
        <v>7514</v>
      </c>
      <c r="B1362" s="19" t="s">
        <v>772</v>
      </c>
      <c r="C1362" t="s">
        <v>4941</v>
      </c>
      <c r="D1362" s="190">
        <v>7514</v>
      </c>
      <c r="E1362" s="191">
        <v>19073</v>
      </c>
      <c r="F1362" s="191">
        <v>9962</v>
      </c>
      <c r="G1362" s="481">
        <v>360</v>
      </c>
      <c r="H1362" s="19"/>
      <c r="I1362" s="19"/>
      <c r="M1362" s="19"/>
    </row>
    <row r="1363" spans="1:13">
      <c r="A1363" s="479">
        <v>7152</v>
      </c>
      <c r="B1363" s="19" t="s">
        <v>773</v>
      </c>
      <c r="C1363" t="s">
        <v>4941</v>
      </c>
      <c r="D1363" s="190">
        <v>7152</v>
      </c>
      <c r="E1363" s="191">
        <v>10615</v>
      </c>
      <c r="F1363" s="191">
        <v>9385</v>
      </c>
      <c r="G1363" s="481">
        <v>268</v>
      </c>
      <c r="H1363" s="19"/>
      <c r="I1363" s="19"/>
      <c r="M1363" s="19"/>
    </row>
    <row r="1364" spans="1:13">
      <c r="A1364" s="479">
        <v>7525</v>
      </c>
      <c r="B1364" s="19" t="s">
        <v>774</v>
      </c>
      <c r="C1364" t="s">
        <v>4941</v>
      </c>
      <c r="D1364" s="190">
        <v>7525</v>
      </c>
      <c r="E1364" s="191">
        <v>12053</v>
      </c>
      <c r="F1364" s="191">
        <v>9565</v>
      </c>
      <c r="G1364" s="481">
        <v>276</v>
      </c>
      <c r="H1364" s="19"/>
      <c r="I1364" s="19"/>
      <c r="M1364" s="19"/>
    </row>
    <row r="1365" spans="1:13">
      <c r="A1365" s="479">
        <v>7438</v>
      </c>
      <c r="B1365" s="19" t="s">
        <v>775</v>
      </c>
      <c r="C1365" t="s">
        <v>4941</v>
      </c>
      <c r="D1365" s="190">
        <v>7438</v>
      </c>
      <c r="E1365" s="191">
        <v>7151</v>
      </c>
      <c r="F1365" s="191">
        <v>4709</v>
      </c>
      <c r="G1365" s="481">
        <v>188</v>
      </c>
      <c r="H1365" s="19"/>
      <c r="I1365" s="19"/>
      <c r="M1365" s="19"/>
    </row>
    <row r="1366" spans="1:13">
      <c r="A1366" s="479">
        <v>7151</v>
      </c>
      <c r="B1366" s="19" t="s">
        <v>776</v>
      </c>
      <c r="C1366" t="s">
        <v>4941</v>
      </c>
      <c r="D1366" s="190">
        <v>7151</v>
      </c>
      <c r="E1366" s="191">
        <v>9351</v>
      </c>
      <c r="F1366" s="191">
        <v>8795</v>
      </c>
      <c r="G1366" s="481">
        <v>213</v>
      </c>
      <c r="H1366" s="19"/>
      <c r="I1366" s="19"/>
      <c r="M1366" s="19"/>
    </row>
    <row r="1367" spans="1:13">
      <c r="A1367" s="479">
        <v>7153</v>
      </c>
      <c r="B1367" s="19" t="s">
        <v>777</v>
      </c>
      <c r="C1367" t="s">
        <v>4941</v>
      </c>
      <c r="D1367" s="190">
        <v>7153</v>
      </c>
      <c r="E1367" s="191">
        <v>14232</v>
      </c>
      <c r="F1367" s="191">
        <v>15665</v>
      </c>
      <c r="G1367" s="481">
        <v>359</v>
      </c>
      <c r="H1367" s="19"/>
      <c r="I1367" s="19"/>
      <c r="M1367" s="19"/>
    </row>
    <row r="1368" spans="1:13">
      <c r="A1368" s="479">
        <v>7235</v>
      </c>
      <c r="B1368" s="19" t="s">
        <v>778</v>
      </c>
      <c r="C1368" t="s">
        <v>4941</v>
      </c>
      <c r="D1368" s="190">
        <v>7235</v>
      </c>
      <c r="E1368" s="191">
        <v>8048</v>
      </c>
      <c r="F1368" s="191">
        <v>7608</v>
      </c>
      <c r="G1368" s="481">
        <v>198</v>
      </c>
      <c r="H1368" s="19"/>
      <c r="I1368" s="19"/>
      <c r="M1368" s="19"/>
    </row>
    <row r="1369" spans="1:13">
      <c r="A1369" s="479">
        <v>7502</v>
      </c>
      <c r="B1369" s="19" t="s">
        <v>779</v>
      </c>
      <c r="C1369" t="s">
        <v>4941</v>
      </c>
      <c r="D1369" s="190">
        <v>7502</v>
      </c>
      <c r="E1369" s="191">
        <v>13755</v>
      </c>
      <c r="F1369" s="191">
        <v>9520</v>
      </c>
      <c r="G1369" s="481">
        <v>382</v>
      </c>
      <c r="H1369" s="19"/>
      <c r="I1369" s="19"/>
      <c r="M1369" s="19"/>
    </row>
    <row r="1370" spans="1:13">
      <c r="A1370" s="479">
        <v>6557</v>
      </c>
      <c r="B1370" s="19" t="s">
        <v>780</v>
      </c>
      <c r="C1370" t="s">
        <v>4941</v>
      </c>
      <c r="D1370" s="190">
        <v>6557</v>
      </c>
      <c r="E1370" s="191">
        <v>5763</v>
      </c>
      <c r="F1370" s="191">
        <v>3816</v>
      </c>
      <c r="G1370" s="481">
        <v>260</v>
      </c>
      <c r="H1370" s="19"/>
      <c r="I1370" s="19"/>
      <c r="M1370" s="19"/>
    </row>
    <row r="1371" spans="1:13">
      <c r="A1371" s="479">
        <v>7083</v>
      </c>
      <c r="B1371" s="19" t="s">
        <v>781</v>
      </c>
      <c r="C1371" t="s">
        <v>4941</v>
      </c>
      <c r="D1371" s="190">
        <v>7083</v>
      </c>
      <c r="E1371" s="191">
        <v>12573</v>
      </c>
      <c r="F1371" s="191">
        <v>8623</v>
      </c>
      <c r="G1371" s="481">
        <v>235</v>
      </c>
      <c r="H1371" s="19"/>
      <c r="I1371" s="19"/>
      <c r="M1371" s="19"/>
    </row>
    <row r="1372" spans="1:13">
      <c r="A1372" s="479">
        <v>7082</v>
      </c>
      <c r="B1372" s="19" t="s">
        <v>782</v>
      </c>
      <c r="C1372" t="s">
        <v>4941</v>
      </c>
      <c r="D1372" s="190">
        <v>7082</v>
      </c>
      <c r="E1372" s="191">
        <v>12573</v>
      </c>
      <c r="F1372" s="191">
        <v>8623</v>
      </c>
      <c r="G1372" s="481">
        <v>235</v>
      </c>
      <c r="H1372" s="19"/>
      <c r="I1372" s="19"/>
      <c r="M1372" s="19"/>
    </row>
    <row r="1373" spans="1:13">
      <c r="A1373" s="479">
        <v>7026</v>
      </c>
      <c r="B1373" s="19" t="s">
        <v>783</v>
      </c>
      <c r="C1373" t="s">
        <v>4941</v>
      </c>
      <c r="D1373" s="190">
        <v>7026</v>
      </c>
      <c r="E1373" s="191">
        <v>6865</v>
      </c>
      <c r="F1373" s="191">
        <v>7762</v>
      </c>
      <c r="G1373" s="481">
        <v>307</v>
      </c>
      <c r="H1373" s="19"/>
      <c r="I1373" s="19"/>
      <c r="M1373" s="19"/>
    </row>
    <row r="1374" spans="1:13">
      <c r="A1374" s="479">
        <v>7425</v>
      </c>
      <c r="B1374" s="19" t="s">
        <v>784</v>
      </c>
      <c r="C1374" t="s">
        <v>4941</v>
      </c>
      <c r="D1374" s="190">
        <v>7425</v>
      </c>
      <c r="E1374" s="191">
        <v>6994</v>
      </c>
      <c r="F1374" s="191">
        <v>5612</v>
      </c>
      <c r="G1374" s="481">
        <v>272</v>
      </c>
      <c r="H1374" s="19"/>
      <c r="I1374" s="19"/>
      <c r="M1374" s="19"/>
    </row>
    <row r="1375" spans="1:13">
      <c r="A1375" s="479">
        <v>7432</v>
      </c>
      <c r="B1375" s="19" t="s">
        <v>785</v>
      </c>
      <c r="C1375" t="s">
        <v>4941</v>
      </c>
      <c r="D1375" s="190">
        <v>7432</v>
      </c>
      <c r="E1375" s="191">
        <v>3052</v>
      </c>
      <c r="F1375" s="191">
        <v>5583</v>
      </c>
      <c r="G1375" s="481">
        <v>208</v>
      </c>
      <c r="H1375" s="19"/>
      <c r="I1375" s="19"/>
      <c r="M1375" s="19"/>
    </row>
    <row r="1376" spans="1:13">
      <c r="A1376" s="479">
        <v>7182</v>
      </c>
      <c r="B1376" s="19" t="s">
        <v>786</v>
      </c>
      <c r="C1376" t="s">
        <v>4941</v>
      </c>
      <c r="D1376" s="190">
        <v>7182</v>
      </c>
      <c r="E1376" s="191">
        <v>6934</v>
      </c>
      <c r="F1376" s="191">
        <v>3301</v>
      </c>
      <c r="G1376" s="481">
        <v>288</v>
      </c>
      <c r="H1376" s="19"/>
      <c r="I1376" s="19"/>
      <c r="M1376" s="19"/>
    </row>
    <row r="1377" spans="1:13">
      <c r="A1377" s="479">
        <v>7413</v>
      </c>
      <c r="B1377" s="19" t="s">
        <v>787</v>
      </c>
      <c r="C1377" t="s">
        <v>4941</v>
      </c>
      <c r="D1377" s="190">
        <v>7413</v>
      </c>
      <c r="E1377" s="191">
        <v>6892</v>
      </c>
      <c r="F1377" s="191">
        <v>6186</v>
      </c>
      <c r="G1377" s="481">
        <v>67</v>
      </c>
      <c r="H1377" s="19"/>
      <c r="I1377" s="19"/>
      <c r="M1377" s="19"/>
    </row>
    <row r="1378" spans="1:13">
      <c r="A1378" s="479">
        <v>6562</v>
      </c>
      <c r="B1378" s="19" t="s">
        <v>788</v>
      </c>
      <c r="C1378" t="s">
        <v>4941</v>
      </c>
      <c r="D1378" s="190">
        <v>6562</v>
      </c>
      <c r="E1378" s="191">
        <v>5121</v>
      </c>
      <c r="F1378" s="191">
        <v>4899</v>
      </c>
      <c r="G1378" s="481">
        <v>272</v>
      </c>
      <c r="H1378" s="19"/>
      <c r="I1378" s="19"/>
      <c r="M1378" s="19"/>
    </row>
    <row r="1379" spans="1:13">
      <c r="A1379" s="479">
        <v>7063</v>
      </c>
      <c r="B1379" s="19" t="s">
        <v>789</v>
      </c>
      <c r="C1379" t="s">
        <v>4941</v>
      </c>
      <c r="D1379" s="190">
        <v>7063</v>
      </c>
      <c r="E1379" s="191">
        <v>7209</v>
      </c>
      <c r="F1379" s="191">
        <v>7313</v>
      </c>
      <c r="G1379" s="481">
        <v>245</v>
      </c>
      <c r="H1379" s="19"/>
      <c r="I1379" s="19"/>
      <c r="M1379" s="19"/>
    </row>
    <row r="1380" spans="1:13">
      <c r="A1380" s="479">
        <v>7405</v>
      </c>
      <c r="B1380" s="19" t="s">
        <v>790</v>
      </c>
      <c r="C1380" t="s">
        <v>4941</v>
      </c>
      <c r="D1380" s="190">
        <v>7405</v>
      </c>
      <c r="E1380" s="191">
        <v>7745</v>
      </c>
      <c r="F1380" s="191">
        <v>6952</v>
      </c>
      <c r="G1380" s="481">
        <v>235</v>
      </c>
      <c r="H1380" s="19"/>
      <c r="I1380" s="19"/>
      <c r="M1380" s="19"/>
    </row>
    <row r="1381" spans="1:13">
      <c r="A1381" s="479">
        <v>6540</v>
      </c>
      <c r="B1381" s="19" t="s">
        <v>791</v>
      </c>
      <c r="C1381" t="s">
        <v>4941</v>
      </c>
      <c r="D1381" s="190">
        <v>6540</v>
      </c>
      <c r="E1381" s="191">
        <v>6327</v>
      </c>
      <c r="F1381" s="191">
        <v>4526</v>
      </c>
      <c r="G1381" s="481">
        <v>210</v>
      </c>
      <c r="H1381" s="19"/>
      <c r="I1381" s="19"/>
      <c r="M1381" s="19"/>
    </row>
    <row r="1382" spans="1:13">
      <c r="A1382" s="479">
        <v>7426</v>
      </c>
      <c r="B1382" s="19" t="s">
        <v>792</v>
      </c>
      <c r="C1382" t="s">
        <v>4941</v>
      </c>
      <c r="D1382" s="190">
        <v>7426</v>
      </c>
      <c r="E1382" s="191">
        <v>6936</v>
      </c>
      <c r="F1382" s="191">
        <v>5587</v>
      </c>
      <c r="G1382" s="481">
        <v>272</v>
      </c>
      <c r="H1382" s="19"/>
      <c r="I1382" s="19"/>
      <c r="M1382" s="19"/>
    </row>
    <row r="1383" spans="1:13">
      <c r="A1383" s="479">
        <v>7493</v>
      </c>
      <c r="B1383" s="19" t="s">
        <v>793</v>
      </c>
      <c r="C1383" t="s">
        <v>4941</v>
      </c>
      <c r="D1383" s="190">
        <v>7493</v>
      </c>
      <c r="E1383" s="191">
        <v>6727</v>
      </c>
      <c r="F1383" s="191">
        <v>6161</v>
      </c>
      <c r="G1383" s="481">
        <v>759</v>
      </c>
      <c r="H1383" s="19"/>
      <c r="I1383" s="19"/>
      <c r="M1383" s="19"/>
    </row>
    <row r="1384" spans="1:13">
      <c r="A1384" s="479">
        <v>7241</v>
      </c>
      <c r="B1384" s="19" t="s">
        <v>794</v>
      </c>
      <c r="C1384" t="s">
        <v>4941</v>
      </c>
      <c r="D1384" s="190">
        <v>7241</v>
      </c>
      <c r="E1384" s="191">
        <v>7493</v>
      </c>
      <c r="F1384" s="191">
        <v>7843</v>
      </c>
      <c r="G1384" s="481">
        <v>272</v>
      </c>
      <c r="H1384" s="19"/>
      <c r="I1384" s="19"/>
      <c r="M1384" s="19"/>
    </row>
    <row r="1385" spans="1:13">
      <c r="A1385" s="479">
        <v>7232</v>
      </c>
      <c r="B1385" s="19" t="s">
        <v>795</v>
      </c>
      <c r="C1385" t="s">
        <v>4941</v>
      </c>
      <c r="D1385" s="190">
        <v>7232</v>
      </c>
      <c r="E1385" s="191">
        <v>6803</v>
      </c>
      <c r="F1385" s="191">
        <v>6731</v>
      </c>
      <c r="G1385" s="481">
        <v>272</v>
      </c>
      <c r="H1385" s="19"/>
      <c r="I1385" s="19"/>
      <c r="M1385" s="19"/>
    </row>
    <row r="1386" spans="1:13">
      <c r="A1386" s="479">
        <v>7433</v>
      </c>
      <c r="B1386" s="19" t="s">
        <v>796</v>
      </c>
      <c r="C1386" t="s">
        <v>4941</v>
      </c>
      <c r="D1386" s="190">
        <v>7433</v>
      </c>
      <c r="E1386" s="191">
        <v>7245</v>
      </c>
      <c r="F1386" s="191">
        <v>8701</v>
      </c>
      <c r="G1386" s="481">
        <v>173</v>
      </c>
      <c r="H1386" s="19"/>
      <c r="I1386" s="19"/>
      <c r="M1386" s="19"/>
    </row>
    <row r="1387" spans="1:13">
      <c r="A1387" s="479">
        <v>7523</v>
      </c>
      <c r="B1387" s="19" t="s">
        <v>797</v>
      </c>
      <c r="C1387" t="s">
        <v>4941</v>
      </c>
      <c r="D1387" s="190">
        <v>7523</v>
      </c>
      <c r="E1387" s="191">
        <v>14022</v>
      </c>
      <c r="F1387" s="191">
        <v>14734</v>
      </c>
      <c r="G1387" s="481">
        <v>277</v>
      </c>
      <c r="H1387" s="19"/>
      <c r="I1387" s="19"/>
      <c r="M1387" s="19"/>
    </row>
    <row r="1388" spans="1:13">
      <c r="A1388" s="479">
        <v>6543</v>
      </c>
      <c r="B1388" s="19" t="s">
        <v>798</v>
      </c>
      <c r="C1388" t="s">
        <v>4941</v>
      </c>
      <c r="D1388" s="190">
        <v>6543</v>
      </c>
      <c r="E1388" s="191">
        <v>3750</v>
      </c>
      <c r="F1388" s="191">
        <v>5008</v>
      </c>
      <c r="G1388" s="481">
        <v>272</v>
      </c>
      <c r="H1388" s="19"/>
      <c r="I1388" s="19"/>
      <c r="M1388" s="19"/>
    </row>
    <row r="1389" spans="1:13">
      <c r="A1389" s="479">
        <v>7447</v>
      </c>
      <c r="B1389" s="19" t="s">
        <v>799</v>
      </c>
      <c r="C1389" t="s">
        <v>4941</v>
      </c>
      <c r="D1389" s="190">
        <v>7447</v>
      </c>
      <c r="E1389" s="191">
        <v>7613</v>
      </c>
      <c r="F1389" s="191">
        <v>5455</v>
      </c>
      <c r="G1389" s="481">
        <v>204</v>
      </c>
      <c r="H1389" s="19"/>
      <c r="I1389" s="19"/>
      <c r="M1389" s="19"/>
    </row>
    <row r="1390" spans="1:13">
      <c r="A1390" s="479">
        <v>6548</v>
      </c>
      <c r="B1390" s="19" t="s">
        <v>800</v>
      </c>
      <c r="C1390" t="s">
        <v>4941</v>
      </c>
      <c r="D1390" s="190">
        <v>6548</v>
      </c>
      <c r="E1390" s="191">
        <v>5612</v>
      </c>
      <c r="F1390" s="191">
        <v>4922</v>
      </c>
      <c r="G1390" s="481">
        <v>139</v>
      </c>
      <c r="H1390" s="19"/>
      <c r="I1390" s="19"/>
      <c r="M1390" s="19"/>
    </row>
    <row r="1391" spans="1:13">
      <c r="A1391" s="479">
        <v>7427</v>
      </c>
      <c r="B1391" s="19" t="s">
        <v>801</v>
      </c>
      <c r="C1391" t="s">
        <v>4941</v>
      </c>
      <c r="D1391" s="190">
        <v>7427</v>
      </c>
      <c r="E1391" s="191">
        <v>6609</v>
      </c>
      <c r="F1391" s="191">
        <v>5038</v>
      </c>
      <c r="G1391" s="481">
        <v>272</v>
      </c>
      <c r="H1391" s="19"/>
      <c r="I1391" s="19"/>
      <c r="M1391" s="19"/>
    </row>
    <row r="1392" spans="1:13">
      <c r="A1392" s="479">
        <v>7434</v>
      </c>
      <c r="B1392" s="19" t="s">
        <v>802</v>
      </c>
      <c r="C1392" t="s">
        <v>4941</v>
      </c>
      <c r="D1392" s="190">
        <v>7434</v>
      </c>
      <c r="E1392" s="191">
        <v>7795</v>
      </c>
      <c r="F1392" s="191">
        <v>5445</v>
      </c>
      <c r="G1392" s="481">
        <v>272</v>
      </c>
      <c r="H1392" s="19"/>
      <c r="I1392" s="19"/>
      <c r="M1392" s="19"/>
    </row>
    <row r="1393" spans="1:13">
      <c r="A1393" s="479">
        <v>7428</v>
      </c>
      <c r="B1393" s="19" t="s">
        <v>803</v>
      </c>
      <c r="C1393" t="s">
        <v>4941</v>
      </c>
      <c r="D1393" s="190">
        <v>7428</v>
      </c>
      <c r="E1393" s="191">
        <v>7563</v>
      </c>
      <c r="F1393" s="191">
        <v>4612</v>
      </c>
      <c r="G1393" s="481">
        <v>272</v>
      </c>
      <c r="H1393" s="19"/>
      <c r="I1393" s="19"/>
      <c r="M1393" s="19"/>
    </row>
    <row r="1394" spans="1:13">
      <c r="A1394" s="479">
        <v>6541</v>
      </c>
      <c r="B1394" s="19" t="s">
        <v>804</v>
      </c>
      <c r="C1394" t="s">
        <v>4941</v>
      </c>
      <c r="D1394" s="190">
        <v>6541</v>
      </c>
      <c r="E1394" s="191">
        <v>5794</v>
      </c>
      <c r="F1394" s="191">
        <v>4279</v>
      </c>
      <c r="G1394" s="481">
        <v>272</v>
      </c>
      <c r="H1394" s="19"/>
      <c r="I1394" s="19"/>
      <c r="M1394" s="19"/>
    </row>
    <row r="1395" spans="1:13">
      <c r="A1395" s="479">
        <v>6542</v>
      </c>
      <c r="B1395" s="19" t="s">
        <v>805</v>
      </c>
      <c r="C1395" t="s">
        <v>4941</v>
      </c>
      <c r="D1395" s="190">
        <v>6542</v>
      </c>
      <c r="E1395" s="191">
        <v>5954</v>
      </c>
      <c r="F1395" s="191">
        <v>3061</v>
      </c>
      <c r="G1395" s="481">
        <v>272</v>
      </c>
      <c r="H1395" s="19"/>
      <c r="I1395" s="19"/>
      <c r="M1395" s="19"/>
    </row>
    <row r="1396" spans="1:13">
      <c r="A1396" s="479">
        <v>7444</v>
      </c>
      <c r="B1396" s="19" t="s">
        <v>806</v>
      </c>
      <c r="C1396" t="s">
        <v>4941</v>
      </c>
      <c r="D1396" s="190">
        <v>7444</v>
      </c>
      <c r="E1396" s="191">
        <v>8039</v>
      </c>
      <c r="F1396" s="191">
        <v>6226</v>
      </c>
      <c r="G1396" s="481">
        <v>272</v>
      </c>
      <c r="H1396" s="19"/>
      <c r="I1396" s="19"/>
      <c r="M1396" s="19"/>
    </row>
    <row r="1397" spans="1:13">
      <c r="A1397" s="479">
        <v>7433</v>
      </c>
      <c r="B1397" s="19" t="s">
        <v>807</v>
      </c>
      <c r="C1397" t="s">
        <v>4941</v>
      </c>
      <c r="D1397" s="190">
        <v>7433</v>
      </c>
      <c r="E1397" s="191">
        <v>7892</v>
      </c>
      <c r="F1397" s="191">
        <v>6088</v>
      </c>
      <c r="G1397" s="481">
        <v>272</v>
      </c>
      <c r="H1397" s="19"/>
      <c r="I1397" s="19"/>
      <c r="M1397" s="19"/>
    </row>
    <row r="1398" spans="1:13">
      <c r="A1398" s="479">
        <v>7430</v>
      </c>
      <c r="B1398" s="19" t="s">
        <v>808</v>
      </c>
      <c r="C1398" t="s">
        <v>4941</v>
      </c>
      <c r="D1398" s="190">
        <v>7430</v>
      </c>
      <c r="E1398" s="191">
        <v>7493</v>
      </c>
      <c r="F1398" s="191">
        <v>5742</v>
      </c>
      <c r="G1398" s="481">
        <v>272</v>
      </c>
      <c r="H1398" s="19"/>
      <c r="I1398" s="19"/>
      <c r="M1398" s="19"/>
    </row>
    <row r="1399" spans="1:13">
      <c r="A1399" s="479">
        <v>7433</v>
      </c>
      <c r="B1399" s="19" t="s">
        <v>809</v>
      </c>
      <c r="C1399" t="s">
        <v>4941</v>
      </c>
      <c r="D1399" s="190">
        <v>7433</v>
      </c>
      <c r="E1399" s="191">
        <v>7771</v>
      </c>
      <c r="F1399" s="191">
        <v>8053</v>
      </c>
      <c r="G1399" s="481">
        <v>272</v>
      </c>
      <c r="H1399" s="19"/>
      <c r="I1399" s="19"/>
      <c r="M1399" s="19"/>
    </row>
    <row r="1400" spans="1:13">
      <c r="A1400" s="479">
        <v>7433</v>
      </c>
      <c r="B1400" s="19" t="s">
        <v>810</v>
      </c>
      <c r="C1400" t="s">
        <v>4941</v>
      </c>
      <c r="D1400" s="190">
        <v>7433</v>
      </c>
      <c r="E1400" s="191">
        <v>7298</v>
      </c>
      <c r="F1400" s="191">
        <v>6196</v>
      </c>
      <c r="G1400" s="481">
        <v>272</v>
      </c>
      <c r="H1400" s="19"/>
      <c r="I1400" s="19"/>
      <c r="M1400" s="19"/>
    </row>
    <row r="1401" spans="1:13">
      <c r="A1401" s="479">
        <v>1200</v>
      </c>
      <c r="B1401" s="19" t="s">
        <v>163</v>
      </c>
      <c r="C1401" t="s">
        <v>137</v>
      </c>
      <c r="D1401" s="190">
        <v>1200</v>
      </c>
      <c r="E1401" s="191">
        <v>15482</v>
      </c>
      <c r="F1401" s="191">
        <v>14233</v>
      </c>
      <c r="G1401" s="481">
        <v>456</v>
      </c>
      <c r="H1401" s="19"/>
      <c r="I1401" s="19"/>
      <c r="M1401" s="19"/>
    </row>
    <row r="1402" spans="1:13">
      <c r="A1402" s="479">
        <v>1214</v>
      </c>
      <c r="B1402" s="19" t="s">
        <v>811</v>
      </c>
      <c r="C1402" t="s">
        <v>137</v>
      </c>
      <c r="D1402" s="190">
        <v>1214</v>
      </c>
      <c r="E1402" s="191">
        <v>10690</v>
      </c>
      <c r="F1402" s="191">
        <v>11945</v>
      </c>
      <c r="G1402" s="481">
        <v>337</v>
      </c>
      <c r="H1402" s="19"/>
      <c r="I1402" s="19"/>
      <c r="M1402" s="19"/>
    </row>
    <row r="1403" spans="1:13">
      <c r="A1403" s="479">
        <v>1212</v>
      </c>
      <c r="B1403" s="19" t="s">
        <v>812</v>
      </c>
      <c r="C1403" t="s">
        <v>137</v>
      </c>
      <c r="D1403" s="190">
        <v>1212</v>
      </c>
      <c r="E1403" s="191">
        <v>12015</v>
      </c>
      <c r="F1403" s="191">
        <v>12891</v>
      </c>
      <c r="G1403" s="481">
        <v>357</v>
      </c>
      <c r="H1403" s="19"/>
      <c r="I1403" s="19"/>
      <c r="M1403" s="19"/>
    </row>
    <row r="1404" spans="1:13">
      <c r="A1404" s="479">
        <v>1217</v>
      </c>
      <c r="B1404" s="19" t="s">
        <v>813</v>
      </c>
      <c r="C1404" t="s">
        <v>137</v>
      </c>
      <c r="D1404" s="190">
        <v>1217</v>
      </c>
      <c r="E1404" s="191">
        <v>11130</v>
      </c>
      <c r="F1404" s="191">
        <v>11395</v>
      </c>
      <c r="G1404" s="481">
        <v>326</v>
      </c>
      <c r="H1404" s="19"/>
      <c r="I1404" s="19"/>
      <c r="M1404" s="19"/>
    </row>
    <row r="1405" spans="1:13">
      <c r="A1405" s="479">
        <v>1227</v>
      </c>
      <c r="B1405" s="19" t="s">
        <v>814</v>
      </c>
      <c r="C1405" t="s">
        <v>137</v>
      </c>
      <c r="D1405" s="190">
        <v>1227</v>
      </c>
      <c r="E1405" s="191">
        <v>14250</v>
      </c>
      <c r="F1405" s="191">
        <v>15889</v>
      </c>
      <c r="G1405" s="481">
        <v>408</v>
      </c>
      <c r="H1405" s="19"/>
      <c r="I1405" s="19"/>
      <c r="M1405" s="19"/>
    </row>
    <row r="1406" spans="1:13">
      <c r="A1406" s="479">
        <v>1213</v>
      </c>
      <c r="B1406" s="19" t="s">
        <v>815</v>
      </c>
      <c r="C1406" t="s">
        <v>137</v>
      </c>
      <c r="D1406" s="190">
        <v>1213</v>
      </c>
      <c r="E1406" s="191">
        <v>12038</v>
      </c>
      <c r="F1406" s="191">
        <v>12673</v>
      </c>
      <c r="G1406" s="481">
        <v>363</v>
      </c>
      <c r="H1406" s="19"/>
      <c r="I1406" s="19"/>
      <c r="M1406" s="19"/>
    </row>
    <row r="1407" spans="1:13">
      <c r="A1407" s="479">
        <v>1226</v>
      </c>
      <c r="B1407" s="19" t="s">
        <v>816</v>
      </c>
      <c r="C1407" t="s">
        <v>137</v>
      </c>
      <c r="D1407" s="190">
        <v>1226</v>
      </c>
      <c r="E1407" s="191">
        <v>11801</v>
      </c>
      <c r="F1407" s="191">
        <v>12904</v>
      </c>
      <c r="G1407" s="481">
        <v>363</v>
      </c>
      <c r="H1407" s="19"/>
      <c r="I1407" s="19"/>
      <c r="M1407" s="19"/>
    </row>
    <row r="1408" spans="1:13">
      <c r="A1408" s="479">
        <v>1290</v>
      </c>
      <c r="B1408" s="19" t="s">
        <v>817</v>
      </c>
      <c r="C1408" t="s">
        <v>137</v>
      </c>
      <c r="D1408" s="190">
        <v>1290</v>
      </c>
      <c r="E1408" s="191">
        <v>12241</v>
      </c>
      <c r="F1408" s="191">
        <v>13717</v>
      </c>
      <c r="G1408" s="481">
        <v>364</v>
      </c>
      <c r="H1408" s="19"/>
      <c r="I1408" s="19"/>
      <c r="M1408" s="19"/>
    </row>
    <row r="1409" spans="1:13">
      <c r="A1409" s="479">
        <v>1218</v>
      </c>
      <c r="B1409" s="19" t="s">
        <v>818</v>
      </c>
      <c r="C1409" t="s">
        <v>137</v>
      </c>
      <c r="D1409" s="190">
        <v>1218</v>
      </c>
      <c r="E1409" s="191">
        <v>13033</v>
      </c>
      <c r="F1409" s="191">
        <v>13012</v>
      </c>
      <c r="G1409" s="481">
        <v>382</v>
      </c>
      <c r="H1409" s="19"/>
      <c r="I1409" s="19"/>
      <c r="M1409" s="19"/>
    </row>
    <row r="1410" spans="1:13">
      <c r="A1410" s="479">
        <v>1224</v>
      </c>
      <c r="B1410" s="19" t="s">
        <v>819</v>
      </c>
      <c r="C1410" t="s">
        <v>137</v>
      </c>
      <c r="D1410" s="190">
        <v>1224</v>
      </c>
      <c r="E1410" s="191">
        <v>15066</v>
      </c>
      <c r="F1410" s="191">
        <v>17941</v>
      </c>
      <c r="G1410" s="481">
        <v>411</v>
      </c>
      <c r="H1410" s="19"/>
      <c r="I1410" s="19"/>
      <c r="M1410" s="19"/>
    </row>
    <row r="1411" spans="1:13">
      <c r="A1411" s="479">
        <v>1255</v>
      </c>
      <c r="B1411" s="19" t="s">
        <v>820</v>
      </c>
      <c r="C1411" t="s">
        <v>137</v>
      </c>
      <c r="D1411" s="190">
        <v>1255</v>
      </c>
      <c r="E1411" s="191">
        <v>12885</v>
      </c>
      <c r="F1411" s="191">
        <v>14508</v>
      </c>
      <c r="G1411" s="481">
        <v>436</v>
      </c>
      <c r="H1411" s="19"/>
      <c r="I1411" s="19"/>
      <c r="M1411" s="19"/>
    </row>
    <row r="1412" spans="1:13">
      <c r="A1412" s="479">
        <v>1228</v>
      </c>
      <c r="B1412" s="19" t="s">
        <v>821</v>
      </c>
      <c r="C1412" t="s">
        <v>137</v>
      </c>
      <c r="D1412" s="190">
        <v>1228</v>
      </c>
      <c r="E1412" s="191">
        <v>12070</v>
      </c>
      <c r="F1412" s="191">
        <v>12291</v>
      </c>
      <c r="G1412" s="481">
        <v>292</v>
      </c>
      <c r="H1412" s="19"/>
      <c r="I1412" s="19"/>
      <c r="M1412" s="19"/>
    </row>
    <row r="1413" spans="1:13">
      <c r="A1413" s="479">
        <v>1233</v>
      </c>
      <c r="B1413" s="19" t="s">
        <v>822</v>
      </c>
      <c r="C1413" t="s">
        <v>137</v>
      </c>
      <c r="D1413" s="190">
        <v>1233</v>
      </c>
      <c r="E1413" s="191">
        <v>11042</v>
      </c>
      <c r="F1413" s="191">
        <v>12021</v>
      </c>
      <c r="G1413" s="481">
        <v>357</v>
      </c>
      <c r="H1413" s="19"/>
      <c r="I1413" s="19"/>
      <c r="M1413" s="19"/>
    </row>
    <row r="1414" spans="1:13">
      <c r="A1414" s="479">
        <v>1225</v>
      </c>
      <c r="B1414" s="19" t="s">
        <v>823</v>
      </c>
      <c r="C1414" t="s">
        <v>137</v>
      </c>
      <c r="D1414" s="190">
        <v>1225</v>
      </c>
      <c r="E1414" s="191">
        <v>12393</v>
      </c>
      <c r="F1414" s="191">
        <v>13805</v>
      </c>
      <c r="G1414" s="481">
        <v>364</v>
      </c>
      <c r="H1414" s="19"/>
      <c r="I1414" s="19"/>
      <c r="M1414" s="19"/>
    </row>
    <row r="1415" spans="1:13">
      <c r="A1415" s="479">
        <v>1245</v>
      </c>
      <c r="B1415" s="19" t="s">
        <v>824</v>
      </c>
      <c r="C1415" t="s">
        <v>137</v>
      </c>
      <c r="D1415" s="190">
        <v>1245</v>
      </c>
      <c r="E1415" s="191">
        <v>14725</v>
      </c>
      <c r="F1415" s="191">
        <v>17701</v>
      </c>
      <c r="G1415" s="481">
        <v>440</v>
      </c>
      <c r="H1415" s="19"/>
      <c r="I1415" s="19"/>
      <c r="M1415" s="19"/>
    </row>
    <row r="1416" spans="1:13">
      <c r="A1416" s="479">
        <v>1223</v>
      </c>
      <c r="B1416" s="19" t="s">
        <v>825</v>
      </c>
      <c r="C1416" t="s">
        <v>137</v>
      </c>
      <c r="D1416" s="190">
        <v>1223</v>
      </c>
      <c r="E1416" s="191">
        <v>17221</v>
      </c>
      <c r="F1416" s="191">
        <v>23074</v>
      </c>
      <c r="G1416" s="481">
        <v>498</v>
      </c>
      <c r="H1416" s="19"/>
      <c r="I1416" s="19"/>
      <c r="M1416" s="19"/>
    </row>
    <row r="1417" spans="1:13">
      <c r="A1417" s="479">
        <v>1232</v>
      </c>
      <c r="B1417" s="19" t="s">
        <v>826</v>
      </c>
      <c r="C1417" t="s">
        <v>137</v>
      </c>
      <c r="D1417" s="190">
        <v>1232</v>
      </c>
      <c r="E1417" s="191">
        <v>12407</v>
      </c>
      <c r="F1417" s="191">
        <v>13039</v>
      </c>
      <c r="G1417" s="481">
        <v>386</v>
      </c>
      <c r="H1417" s="19"/>
      <c r="I1417" s="19"/>
      <c r="M1417" s="19"/>
    </row>
    <row r="1418" spans="1:13">
      <c r="A1418" s="479">
        <v>1242</v>
      </c>
      <c r="B1418" s="19" t="s">
        <v>827</v>
      </c>
      <c r="C1418" t="s">
        <v>137</v>
      </c>
      <c r="D1418" s="190">
        <v>1242</v>
      </c>
      <c r="E1418" s="191">
        <v>11445</v>
      </c>
      <c r="F1418" s="191">
        <v>9827</v>
      </c>
      <c r="G1418" s="481">
        <v>250</v>
      </c>
      <c r="H1418" s="19"/>
      <c r="I1418" s="19"/>
      <c r="M1418" s="19"/>
    </row>
    <row r="1419" spans="1:13">
      <c r="A1419" s="479">
        <v>1292</v>
      </c>
      <c r="B1419" s="19" t="s">
        <v>828</v>
      </c>
      <c r="C1419" t="s">
        <v>137</v>
      </c>
      <c r="D1419" s="190">
        <v>1292</v>
      </c>
      <c r="E1419" s="191">
        <v>13981</v>
      </c>
      <c r="F1419" s="191">
        <v>14137</v>
      </c>
      <c r="G1419" s="481">
        <v>448</v>
      </c>
      <c r="H1419" s="19"/>
      <c r="I1419" s="19"/>
      <c r="M1419" s="19"/>
    </row>
    <row r="1420" spans="1:13">
      <c r="A1420" s="479">
        <v>1293</v>
      </c>
      <c r="B1420" s="19" t="s">
        <v>829</v>
      </c>
      <c r="C1420" t="s">
        <v>137</v>
      </c>
      <c r="D1420" s="190">
        <v>1293</v>
      </c>
      <c r="E1420" s="191">
        <v>13142</v>
      </c>
      <c r="F1420" s="191">
        <v>12027</v>
      </c>
      <c r="G1420" s="481">
        <v>405</v>
      </c>
      <c r="H1420" s="19"/>
      <c r="I1420" s="19"/>
      <c r="M1420" s="19"/>
    </row>
    <row r="1421" spans="1:13">
      <c r="A1421" s="479">
        <v>1258</v>
      </c>
      <c r="B1421" s="19" t="s">
        <v>830</v>
      </c>
      <c r="C1421" t="s">
        <v>137</v>
      </c>
      <c r="D1421" s="190">
        <v>1258</v>
      </c>
      <c r="E1421" s="191">
        <v>10580</v>
      </c>
      <c r="F1421" s="191">
        <v>8976</v>
      </c>
      <c r="G1421" s="481">
        <v>346</v>
      </c>
      <c r="H1421" s="19"/>
      <c r="I1421" s="19"/>
      <c r="M1421" s="19"/>
    </row>
    <row r="1422" spans="1:13">
      <c r="A1422" s="479">
        <v>1294</v>
      </c>
      <c r="B1422" s="19" t="s">
        <v>831</v>
      </c>
      <c r="C1422" t="s">
        <v>137</v>
      </c>
      <c r="D1422" s="190">
        <v>1294</v>
      </c>
      <c r="E1422" s="191">
        <v>12766</v>
      </c>
      <c r="F1422" s="191">
        <v>11545</v>
      </c>
      <c r="G1422" s="481">
        <v>400</v>
      </c>
      <c r="H1422" s="19"/>
      <c r="I1422" s="19"/>
      <c r="M1422" s="19"/>
    </row>
    <row r="1423" spans="1:13">
      <c r="A1423" s="479">
        <v>1253</v>
      </c>
      <c r="B1423" s="19" t="s">
        <v>832</v>
      </c>
      <c r="C1423" t="s">
        <v>137</v>
      </c>
      <c r="D1423" s="190">
        <v>1253</v>
      </c>
      <c r="E1423" s="191">
        <v>17038</v>
      </c>
      <c r="F1423" s="191">
        <v>19403</v>
      </c>
      <c r="G1423" s="481">
        <v>493</v>
      </c>
      <c r="H1423" s="19"/>
      <c r="I1423" s="19"/>
      <c r="M1423" s="19"/>
    </row>
    <row r="1424" spans="1:13">
      <c r="A1424" s="479">
        <v>1247</v>
      </c>
      <c r="B1424" s="19" t="s">
        <v>833</v>
      </c>
      <c r="C1424" t="s">
        <v>137</v>
      </c>
      <c r="D1424" s="190">
        <v>1247</v>
      </c>
      <c r="E1424" s="191">
        <v>14494</v>
      </c>
      <c r="F1424" s="191">
        <v>15576</v>
      </c>
      <c r="G1424" s="481">
        <v>388</v>
      </c>
      <c r="H1424" s="19"/>
      <c r="I1424" s="19"/>
      <c r="M1424" s="19"/>
    </row>
    <row r="1425" spans="1:13">
      <c r="A1425" s="479">
        <v>1241</v>
      </c>
      <c r="B1425" s="19" t="s">
        <v>834</v>
      </c>
      <c r="C1425" t="s">
        <v>137</v>
      </c>
      <c r="D1425" s="190">
        <v>1241</v>
      </c>
      <c r="E1425" s="191">
        <v>11230</v>
      </c>
      <c r="F1425" s="191">
        <v>11492</v>
      </c>
      <c r="G1425" s="481">
        <v>303</v>
      </c>
      <c r="H1425" s="19"/>
      <c r="I1425" s="19"/>
      <c r="M1425" s="19"/>
    </row>
    <row r="1426" spans="1:13">
      <c r="A1426" s="479">
        <v>1256</v>
      </c>
      <c r="B1426" s="19" t="s">
        <v>835</v>
      </c>
      <c r="C1426" t="s">
        <v>137</v>
      </c>
      <c r="D1426" s="190">
        <v>1256</v>
      </c>
      <c r="E1426" s="191">
        <v>13527</v>
      </c>
      <c r="F1426" s="191">
        <v>13994</v>
      </c>
      <c r="G1426" s="481">
        <v>411</v>
      </c>
      <c r="H1426" s="19"/>
      <c r="I1426" s="19"/>
      <c r="M1426" s="19"/>
    </row>
    <row r="1427" spans="1:13">
      <c r="A1427" s="479">
        <v>1257</v>
      </c>
      <c r="B1427" s="19" t="s">
        <v>836</v>
      </c>
      <c r="C1427" t="s">
        <v>137</v>
      </c>
      <c r="D1427" s="190">
        <v>1257</v>
      </c>
      <c r="E1427" s="191">
        <v>10389</v>
      </c>
      <c r="F1427" s="191">
        <v>10706</v>
      </c>
      <c r="G1427" s="481">
        <v>356</v>
      </c>
      <c r="H1427" s="19"/>
      <c r="I1427" s="19"/>
      <c r="M1427" s="19"/>
    </row>
    <row r="1428" spans="1:13">
      <c r="A1428" s="479">
        <v>1252</v>
      </c>
      <c r="B1428" s="19" t="s">
        <v>837</v>
      </c>
      <c r="C1428" t="s">
        <v>137</v>
      </c>
      <c r="D1428" s="190">
        <v>1252</v>
      </c>
      <c r="E1428" s="191">
        <v>11962</v>
      </c>
      <c r="F1428" s="191">
        <v>12763</v>
      </c>
      <c r="G1428" s="481">
        <v>346</v>
      </c>
      <c r="H1428" s="19"/>
      <c r="I1428" s="19"/>
      <c r="M1428" s="19"/>
    </row>
    <row r="1429" spans="1:13">
      <c r="A1429" s="479">
        <v>1246</v>
      </c>
      <c r="B1429" s="19" t="s">
        <v>838</v>
      </c>
      <c r="C1429" t="s">
        <v>137</v>
      </c>
      <c r="D1429" s="190">
        <v>1246</v>
      </c>
      <c r="E1429" s="191">
        <v>13053</v>
      </c>
      <c r="F1429" s="191">
        <v>15056</v>
      </c>
      <c r="G1429" s="481">
        <v>381</v>
      </c>
      <c r="H1429" s="19"/>
      <c r="I1429" s="19"/>
      <c r="M1429" s="19"/>
    </row>
    <row r="1430" spans="1:13">
      <c r="A1430" s="479">
        <v>1283</v>
      </c>
      <c r="B1430" s="19" t="s">
        <v>839</v>
      </c>
      <c r="C1430" t="s">
        <v>137</v>
      </c>
      <c r="D1430" s="190">
        <v>1283</v>
      </c>
      <c r="E1430" s="191">
        <v>8635</v>
      </c>
      <c r="F1430" s="191">
        <v>7395</v>
      </c>
      <c r="G1430" s="481">
        <v>293</v>
      </c>
      <c r="H1430" s="19"/>
      <c r="I1430" s="19"/>
      <c r="M1430" s="19"/>
    </row>
    <row r="1431" spans="1:13">
      <c r="A1431" s="479">
        <v>1237</v>
      </c>
      <c r="B1431" s="19" t="s">
        <v>840</v>
      </c>
      <c r="C1431" t="s">
        <v>137</v>
      </c>
      <c r="D1431" s="190">
        <v>1237</v>
      </c>
      <c r="E1431" s="191">
        <v>8923</v>
      </c>
      <c r="F1431" s="191">
        <v>9478</v>
      </c>
      <c r="G1431" s="481">
        <v>334</v>
      </c>
      <c r="H1431" s="19"/>
      <c r="I1431" s="19"/>
      <c r="M1431" s="19"/>
    </row>
    <row r="1432" spans="1:13">
      <c r="A1432" s="479">
        <v>1284</v>
      </c>
      <c r="B1432" s="19" t="s">
        <v>841</v>
      </c>
      <c r="C1432" t="s">
        <v>137</v>
      </c>
      <c r="D1432" s="190">
        <v>1284</v>
      </c>
      <c r="E1432" s="191">
        <v>9832</v>
      </c>
      <c r="F1432" s="191">
        <v>9237</v>
      </c>
      <c r="G1432" s="481">
        <v>308</v>
      </c>
      <c r="H1432" s="19"/>
      <c r="I1432" s="19"/>
      <c r="M1432" s="19"/>
    </row>
    <row r="1433" spans="1:13">
      <c r="A1433" s="479">
        <v>1239</v>
      </c>
      <c r="B1433" s="19" t="s">
        <v>842</v>
      </c>
      <c r="C1433" t="s">
        <v>137</v>
      </c>
      <c r="D1433" s="190">
        <v>1239</v>
      </c>
      <c r="E1433" s="191">
        <v>10429</v>
      </c>
      <c r="F1433" s="191">
        <v>10347</v>
      </c>
      <c r="G1433" s="481">
        <v>429</v>
      </c>
      <c r="H1433" s="19"/>
      <c r="I1433" s="19"/>
      <c r="M1433" s="19"/>
    </row>
    <row r="1434" spans="1:13">
      <c r="A1434" s="479">
        <v>1285</v>
      </c>
      <c r="B1434" s="19" t="s">
        <v>843</v>
      </c>
      <c r="C1434" t="s">
        <v>137</v>
      </c>
      <c r="D1434" s="190">
        <v>1285</v>
      </c>
      <c r="E1434" s="191">
        <v>10030</v>
      </c>
      <c r="F1434" s="191">
        <v>10587</v>
      </c>
      <c r="G1434" s="481">
        <v>297</v>
      </c>
      <c r="H1434" s="19"/>
      <c r="I1434" s="19"/>
      <c r="M1434" s="19"/>
    </row>
    <row r="1435" spans="1:13">
      <c r="A1435" s="479">
        <v>1254</v>
      </c>
      <c r="B1435" s="19" t="s">
        <v>844</v>
      </c>
      <c r="C1435" t="s">
        <v>137</v>
      </c>
      <c r="D1435" s="190">
        <v>1254</v>
      </c>
      <c r="E1435" s="191">
        <v>11626</v>
      </c>
      <c r="F1435" s="191">
        <v>9701</v>
      </c>
      <c r="G1435" s="481">
        <v>361</v>
      </c>
      <c r="H1435" s="19"/>
      <c r="I1435" s="19"/>
      <c r="M1435" s="19"/>
    </row>
    <row r="1436" spans="1:13">
      <c r="A1436" s="479">
        <v>1288</v>
      </c>
      <c r="B1436" s="19" t="s">
        <v>845</v>
      </c>
      <c r="C1436" t="s">
        <v>137</v>
      </c>
      <c r="D1436" s="190">
        <v>1288</v>
      </c>
      <c r="E1436" s="191">
        <v>10147</v>
      </c>
      <c r="F1436" s="191">
        <v>9945</v>
      </c>
      <c r="G1436" s="481">
        <v>397</v>
      </c>
      <c r="H1436" s="19"/>
      <c r="I1436" s="19"/>
      <c r="M1436" s="19"/>
    </row>
    <row r="1437" spans="1:13">
      <c r="A1437" s="479">
        <v>1244</v>
      </c>
      <c r="B1437" s="19" t="s">
        <v>846</v>
      </c>
      <c r="C1437" t="s">
        <v>137</v>
      </c>
      <c r="D1437" s="190">
        <v>1244</v>
      </c>
      <c r="E1437" s="191">
        <v>12450</v>
      </c>
      <c r="F1437" s="191">
        <v>16820</v>
      </c>
      <c r="G1437" s="481">
        <v>436</v>
      </c>
      <c r="H1437" s="19"/>
      <c r="I1437" s="19"/>
      <c r="M1437" s="19"/>
    </row>
    <row r="1438" spans="1:13">
      <c r="A1438" s="479">
        <v>1248</v>
      </c>
      <c r="B1438" s="19" t="s">
        <v>847</v>
      </c>
      <c r="C1438" t="s">
        <v>137</v>
      </c>
      <c r="D1438" s="190">
        <v>1248</v>
      </c>
      <c r="E1438" s="191">
        <v>11488</v>
      </c>
      <c r="F1438" s="191">
        <v>12757</v>
      </c>
      <c r="G1438" s="481">
        <v>524</v>
      </c>
      <c r="H1438" s="19"/>
      <c r="I1438" s="19"/>
      <c r="M1438" s="19"/>
    </row>
    <row r="1439" spans="1:13">
      <c r="A1439" s="479">
        <v>1236</v>
      </c>
      <c r="B1439" s="19" t="s">
        <v>848</v>
      </c>
      <c r="C1439" t="s">
        <v>137</v>
      </c>
      <c r="D1439" s="190">
        <v>1236</v>
      </c>
      <c r="E1439" s="191">
        <v>10159</v>
      </c>
      <c r="F1439" s="191">
        <v>9122</v>
      </c>
      <c r="G1439" s="481">
        <v>328</v>
      </c>
      <c r="H1439" s="19"/>
      <c r="I1439" s="19"/>
      <c r="M1439" s="19"/>
    </row>
    <row r="1440" spans="1:13">
      <c r="A1440" s="479">
        <v>1286</v>
      </c>
      <c r="B1440" s="19" t="s">
        <v>849</v>
      </c>
      <c r="C1440" t="s">
        <v>137</v>
      </c>
      <c r="D1440" s="190">
        <v>1286</v>
      </c>
      <c r="E1440" s="191">
        <v>10781</v>
      </c>
      <c r="F1440" s="191">
        <v>10218</v>
      </c>
      <c r="G1440" s="481">
        <v>325</v>
      </c>
      <c r="H1440" s="19"/>
      <c r="I1440" s="19"/>
      <c r="M1440" s="19"/>
    </row>
    <row r="1441" spans="1:13">
      <c r="A1441" s="479">
        <v>1298</v>
      </c>
      <c r="B1441" s="19" t="s">
        <v>850</v>
      </c>
      <c r="C1441" t="s">
        <v>137</v>
      </c>
      <c r="D1441" s="190">
        <v>1298</v>
      </c>
      <c r="E1441" s="191">
        <v>11666</v>
      </c>
      <c r="F1441" s="191">
        <v>12557</v>
      </c>
      <c r="G1441" s="481">
        <v>269</v>
      </c>
      <c r="H1441" s="19"/>
      <c r="I1441" s="19"/>
      <c r="M1441" s="19"/>
    </row>
    <row r="1442" spans="1:13">
      <c r="A1442" s="479">
        <v>1243</v>
      </c>
      <c r="B1442" s="19" t="s">
        <v>851</v>
      </c>
      <c r="C1442" t="s">
        <v>137</v>
      </c>
      <c r="D1442" s="190">
        <v>1243</v>
      </c>
      <c r="E1442" s="191">
        <v>11066</v>
      </c>
      <c r="F1442" s="191">
        <v>10964</v>
      </c>
      <c r="G1442" s="481">
        <v>415</v>
      </c>
      <c r="H1442" s="19"/>
      <c r="I1442" s="19"/>
      <c r="M1442" s="19"/>
    </row>
    <row r="1443" spans="1:13">
      <c r="A1443" s="479">
        <v>1287</v>
      </c>
      <c r="B1443" s="19" t="s">
        <v>852</v>
      </c>
      <c r="C1443" t="s">
        <v>137</v>
      </c>
      <c r="D1443" s="190">
        <v>1287</v>
      </c>
      <c r="E1443" s="191">
        <v>9349</v>
      </c>
      <c r="F1443" s="191">
        <v>11060</v>
      </c>
      <c r="G1443" s="481">
        <v>415</v>
      </c>
      <c r="H1443" s="19"/>
      <c r="I1443" s="19"/>
      <c r="M1443" s="19"/>
    </row>
    <row r="1444" spans="1:13">
      <c r="A1444" s="479">
        <v>1281</v>
      </c>
      <c r="B1444" s="19" t="s">
        <v>853</v>
      </c>
      <c r="C1444" t="s">
        <v>137</v>
      </c>
      <c r="D1444" s="190">
        <v>1281</v>
      </c>
      <c r="E1444" s="191">
        <v>9810</v>
      </c>
      <c r="F1444" s="191">
        <v>8809</v>
      </c>
      <c r="G1444" s="481">
        <v>322</v>
      </c>
      <c r="H1444" s="19"/>
      <c r="I1444" s="19"/>
      <c r="M1444" s="19"/>
    </row>
    <row r="1445" spans="1:13">
      <c r="A1445" s="479">
        <v>1251</v>
      </c>
      <c r="B1445" s="19" t="s">
        <v>854</v>
      </c>
      <c r="C1445" t="s">
        <v>137</v>
      </c>
      <c r="D1445" s="190">
        <v>1251</v>
      </c>
      <c r="E1445" s="191">
        <v>12700</v>
      </c>
      <c r="F1445" s="191">
        <v>12825</v>
      </c>
      <c r="G1445" s="481">
        <v>360</v>
      </c>
      <c r="H1445" s="19"/>
      <c r="I1445" s="19"/>
      <c r="M1445" s="19"/>
    </row>
    <row r="1446" spans="1:13">
      <c r="A1446" s="479">
        <v>1950</v>
      </c>
      <c r="B1446" s="19" t="s">
        <v>855</v>
      </c>
      <c r="C1446" t="s">
        <v>159</v>
      </c>
      <c r="D1446" s="190">
        <v>1950</v>
      </c>
      <c r="E1446" s="191">
        <v>5974</v>
      </c>
      <c r="F1446" s="191">
        <v>5980</v>
      </c>
      <c r="G1446" s="481">
        <v>238</v>
      </c>
      <c r="H1446" s="19"/>
      <c r="I1446" s="19"/>
      <c r="M1446" s="19"/>
    </row>
    <row r="1447" spans="1:13">
      <c r="A1447" s="479">
        <v>1920</v>
      </c>
      <c r="B1447" s="19" t="s">
        <v>856</v>
      </c>
      <c r="C1447" t="s">
        <v>159</v>
      </c>
      <c r="D1447" s="190">
        <v>1920</v>
      </c>
      <c r="E1447" s="191">
        <v>5863</v>
      </c>
      <c r="F1447" s="191">
        <v>5880</v>
      </c>
      <c r="G1447" s="481">
        <v>232</v>
      </c>
      <c r="H1447" s="19"/>
      <c r="I1447" s="19"/>
      <c r="M1447" s="19"/>
    </row>
    <row r="1448" spans="1:13">
      <c r="A1448" s="479">
        <v>1870</v>
      </c>
      <c r="B1448" s="19" t="s">
        <v>857</v>
      </c>
      <c r="C1448" t="s">
        <v>159</v>
      </c>
      <c r="D1448" s="190">
        <v>1870</v>
      </c>
      <c r="E1448" s="191">
        <v>5740</v>
      </c>
      <c r="F1448" s="191">
        <v>5913</v>
      </c>
      <c r="G1448" s="481">
        <v>224</v>
      </c>
      <c r="H1448" s="19"/>
      <c r="I1448" s="19"/>
      <c r="M1448" s="19"/>
    </row>
    <row r="1449" spans="1:13">
      <c r="A1449" s="479">
        <v>3960</v>
      </c>
      <c r="B1449" s="19" t="s">
        <v>858</v>
      </c>
      <c r="C1449" t="s">
        <v>159</v>
      </c>
      <c r="D1449" s="190">
        <v>3960</v>
      </c>
      <c r="E1449" s="191">
        <v>5155</v>
      </c>
      <c r="F1449" s="191">
        <v>5761</v>
      </c>
      <c r="G1449" s="481">
        <v>217</v>
      </c>
      <c r="H1449" s="19"/>
      <c r="I1449" s="19"/>
      <c r="M1449" s="19"/>
    </row>
    <row r="1450" spans="1:13">
      <c r="A1450" s="479">
        <v>3902</v>
      </c>
      <c r="B1450" s="19" t="s">
        <v>859</v>
      </c>
      <c r="C1450" t="s">
        <v>159</v>
      </c>
      <c r="D1450" s="190">
        <v>3902</v>
      </c>
      <c r="E1450" s="191">
        <v>5716</v>
      </c>
      <c r="F1450" s="191">
        <v>5039</v>
      </c>
      <c r="G1450" s="481">
        <v>211</v>
      </c>
      <c r="H1450" s="19"/>
      <c r="I1450" s="19"/>
      <c r="M1450" s="19"/>
    </row>
    <row r="1451" spans="1:13">
      <c r="A1451" s="479">
        <v>3963</v>
      </c>
      <c r="B1451" s="19" t="s">
        <v>860</v>
      </c>
      <c r="C1451" t="s">
        <v>159</v>
      </c>
      <c r="D1451" s="190">
        <v>3963</v>
      </c>
      <c r="E1451" s="191">
        <v>10465</v>
      </c>
      <c r="F1451" s="191">
        <v>9010</v>
      </c>
      <c r="G1451" s="481">
        <v>391</v>
      </c>
      <c r="H1451" s="19"/>
      <c r="I1451" s="19"/>
      <c r="M1451" s="19"/>
    </row>
    <row r="1452" spans="1:13">
      <c r="A1452" s="479">
        <v>3904</v>
      </c>
      <c r="B1452" s="19" t="s">
        <v>861</v>
      </c>
      <c r="C1452" t="s">
        <v>159</v>
      </c>
      <c r="D1452" s="190">
        <v>3904</v>
      </c>
      <c r="E1452" s="191">
        <v>5459</v>
      </c>
      <c r="F1452" s="191">
        <v>5104</v>
      </c>
      <c r="G1452" s="481">
        <v>215</v>
      </c>
      <c r="H1452" s="19"/>
      <c r="I1452" s="19"/>
      <c r="M1452" s="19"/>
    </row>
    <row r="1453" spans="1:13">
      <c r="A1453" s="479">
        <v>1893</v>
      </c>
      <c r="B1453" s="19" t="s">
        <v>862</v>
      </c>
      <c r="C1453" t="s">
        <v>159</v>
      </c>
      <c r="D1453" s="190">
        <v>1893</v>
      </c>
      <c r="E1453" s="191">
        <v>5660</v>
      </c>
      <c r="F1453" s="191">
        <v>5992</v>
      </c>
      <c r="G1453" s="481">
        <v>238</v>
      </c>
      <c r="H1453" s="19"/>
      <c r="I1453" s="19"/>
      <c r="M1453" s="19"/>
    </row>
    <row r="1454" spans="1:13">
      <c r="A1454" s="479">
        <v>1926</v>
      </c>
      <c r="B1454" s="19" t="s">
        <v>863</v>
      </c>
      <c r="C1454" t="s">
        <v>159</v>
      </c>
      <c r="D1454" s="190">
        <v>1926</v>
      </c>
      <c r="E1454" s="191">
        <v>5566</v>
      </c>
      <c r="F1454" s="191">
        <v>6296</v>
      </c>
      <c r="G1454" s="481">
        <v>286</v>
      </c>
      <c r="H1454" s="19"/>
      <c r="I1454" s="19"/>
      <c r="M1454" s="19"/>
    </row>
    <row r="1455" spans="1:13">
      <c r="A1455" s="479">
        <v>1964</v>
      </c>
      <c r="B1455" s="19" t="s">
        <v>864</v>
      </c>
      <c r="C1455" t="s">
        <v>159</v>
      </c>
      <c r="D1455" s="190">
        <v>1964</v>
      </c>
      <c r="E1455" s="191">
        <v>5380</v>
      </c>
      <c r="F1455" s="191">
        <v>5744</v>
      </c>
      <c r="G1455" s="481">
        <v>220</v>
      </c>
      <c r="H1455" s="19"/>
      <c r="I1455" s="19"/>
      <c r="M1455" s="19"/>
    </row>
    <row r="1456" spans="1:13">
      <c r="A1456" s="479">
        <v>1934</v>
      </c>
      <c r="B1456" s="19" t="s">
        <v>865</v>
      </c>
      <c r="C1456" t="s">
        <v>159</v>
      </c>
      <c r="D1456" s="190">
        <v>1934</v>
      </c>
      <c r="E1456" s="191">
        <v>16437</v>
      </c>
      <c r="F1456" s="191">
        <v>13430</v>
      </c>
      <c r="G1456" s="481">
        <v>260</v>
      </c>
      <c r="H1456" s="19"/>
      <c r="I1456" s="19"/>
      <c r="M1456" s="19"/>
    </row>
    <row r="1457" spans="1:13">
      <c r="A1457" s="479">
        <v>3930</v>
      </c>
      <c r="B1457" s="19" t="s">
        <v>866</v>
      </c>
      <c r="C1457" t="s">
        <v>159</v>
      </c>
      <c r="D1457" s="190">
        <v>3930</v>
      </c>
      <c r="E1457" s="191">
        <v>5198</v>
      </c>
      <c r="F1457" s="191">
        <v>5373</v>
      </c>
      <c r="G1457" s="481">
        <v>220</v>
      </c>
      <c r="H1457" s="19"/>
      <c r="I1457" s="19"/>
      <c r="M1457" s="19"/>
    </row>
    <row r="1458" spans="1:13">
      <c r="A1458" s="479">
        <v>1965</v>
      </c>
      <c r="B1458" s="19" t="s">
        <v>867</v>
      </c>
      <c r="C1458" t="s">
        <v>159</v>
      </c>
      <c r="D1458" s="190">
        <v>1965</v>
      </c>
      <c r="E1458" s="191">
        <v>6337</v>
      </c>
      <c r="F1458" s="191">
        <v>6136</v>
      </c>
      <c r="G1458" s="481">
        <v>221</v>
      </c>
      <c r="H1458" s="19"/>
      <c r="I1458" s="19"/>
      <c r="M1458" s="19"/>
    </row>
    <row r="1459" spans="1:13">
      <c r="A1459" s="479">
        <v>1997</v>
      </c>
      <c r="B1459" s="19" t="s">
        <v>868</v>
      </c>
      <c r="C1459" t="s">
        <v>159</v>
      </c>
      <c r="D1459" s="190">
        <v>1997</v>
      </c>
      <c r="E1459" s="191">
        <v>7106</v>
      </c>
      <c r="F1459" s="191">
        <v>7282</v>
      </c>
      <c r="G1459" s="481">
        <v>244</v>
      </c>
      <c r="H1459" s="19"/>
      <c r="I1459" s="19"/>
      <c r="M1459" s="19"/>
    </row>
    <row r="1460" spans="1:13">
      <c r="A1460" s="479">
        <v>1963</v>
      </c>
      <c r="B1460" s="19" t="s">
        <v>869</v>
      </c>
      <c r="C1460" t="s">
        <v>159</v>
      </c>
      <c r="D1460" s="190">
        <v>1963</v>
      </c>
      <c r="E1460" s="191">
        <v>5714</v>
      </c>
      <c r="F1460" s="191">
        <v>6096</v>
      </c>
      <c r="G1460" s="481">
        <v>237</v>
      </c>
      <c r="H1460" s="19"/>
      <c r="I1460" s="19"/>
      <c r="M1460" s="19"/>
    </row>
    <row r="1461" spans="1:13">
      <c r="A1461" s="479">
        <v>1907</v>
      </c>
      <c r="B1461" s="19" t="s">
        <v>870</v>
      </c>
      <c r="C1461" t="s">
        <v>159</v>
      </c>
      <c r="D1461" s="190">
        <v>1907</v>
      </c>
      <c r="E1461" s="191">
        <v>5097</v>
      </c>
      <c r="F1461" s="191">
        <v>5438</v>
      </c>
      <c r="G1461" s="481">
        <v>272</v>
      </c>
      <c r="H1461" s="19"/>
      <c r="I1461" s="19"/>
      <c r="M1461" s="19"/>
    </row>
    <row r="1462" spans="1:13">
      <c r="A1462" s="479">
        <v>3920</v>
      </c>
      <c r="B1462" s="19" t="s">
        <v>871</v>
      </c>
      <c r="C1462" t="s">
        <v>159</v>
      </c>
      <c r="D1462" s="190">
        <v>3920</v>
      </c>
      <c r="E1462" s="191">
        <v>15968</v>
      </c>
      <c r="F1462" s="191">
        <v>21268</v>
      </c>
      <c r="G1462" s="481">
        <v>372</v>
      </c>
      <c r="H1462" s="19"/>
      <c r="I1462" s="19"/>
      <c r="M1462" s="19"/>
    </row>
    <row r="1463" spans="1:13">
      <c r="A1463" s="479">
        <v>1872</v>
      </c>
      <c r="B1463" s="19" t="s">
        <v>872</v>
      </c>
      <c r="C1463" t="s">
        <v>159</v>
      </c>
      <c r="D1463" s="190">
        <v>1872</v>
      </c>
      <c r="E1463" s="191">
        <v>6030</v>
      </c>
      <c r="F1463" s="191">
        <v>6077</v>
      </c>
      <c r="G1463" s="481">
        <v>255</v>
      </c>
      <c r="H1463" s="19"/>
      <c r="I1463" s="19"/>
      <c r="M1463" s="19"/>
    </row>
    <row r="1464" spans="1:13">
      <c r="A1464" s="479">
        <v>1890</v>
      </c>
      <c r="B1464" s="19" t="s">
        <v>873</v>
      </c>
      <c r="C1464" t="s">
        <v>159</v>
      </c>
      <c r="D1464" s="190">
        <v>1890</v>
      </c>
      <c r="E1464" s="191">
        <v>4663</v>
      </c>
      <c r="F1464" s="191">
        <v>5605</v>
      </c>
      <c r="G1464" s="481">
        <v>222</v>
      </c>
      <c r="H1464" s="19"/>
      <c r="I1464" s="19"/>
      <c r="M1464" s="19"/>
    </row>
    <row r="1465" spans="1:13">
      <c r="A1465" s="479">
        <v>1978</v>
      </c>
      <c r="B1465" s="19" t="s">
        <v>874</v>
      </c>
      <c r="C1465" t="s">
        <v>159</v>
      </c>
      <c r="D1465" s="190">
        <v>1978</v>
      </c>
      <c r="E1465" s="191">
        <v>10272</v>
      </c>
      <c r="F1465" s="191">
        <v>8149</v>
      </c>
      <c r="G1465" s="481">
        <v>271</v>
      </c>
      <c r="H1465" s="19"/>
      <c r="I1465" s="19"/>
      <c r="M1465" s="19"/>
    </row>
    <row r="1466" spans="1:13">
      <c r="A1466" s="479">
        <v>1896</v>
      </c>
      <c r="B1466" s="19" t="s">
        <v>875</v>
      </c>
      <c r="C1466" t="s">
        <v>159</v>
      </c>
      <c r="D1466" s="190">
        <v>1896</v>
      </c>
      <c r="E1466" s="191">
        <v>5814</v>
      </c>
      <c r="F1466" s="191">
        <v>5884</v>
      </c>
      <c r="G1466" s="481">
        <v>245</v>
      </c>
      <c r="H1466" s="19"/>
      <c r="I1466" s="19"/>
      <c r="M1466" s="19"/>
    </row>
    <row r="1467" spans="1:13">
      <c r="A1467" s="479">
        <v>1897</v>
      </c>
      <c r="B1467" s="19" t="s">
        <v>876</v>
      </c>
      <c r="C1467" t="s">
        <v>159</v>
      </c>
      <c r="D1467" s="190">
        <v>1897</v>
      </c>
      <c r="E1467" s="191">
        <v>6483</v>
      </c>
      <c r="F1467" s="191">
        <v>6606</v>
      </c>
      <c r="G1467" s="481">
        <v>274</v>
      </c>
      <c r="H1467" s="19"/>
      <c r="I1467" s="19"/>
      <c r="M1467" s="19"/>
    </row>
    <row r="1468" spans="1:13">
      <c r="A1468" s="479">
        <v>1966</v>
      </c>
      <c r="B1468" s="19" t="s">
        <v>877</v>
      </c>
      <c r="C1468" t="s">
        <v>159</v>
      </c>
      <c r="D1468" s="190">
        <v>1966</v>
      </c>
      <c r="E1468" s="191">
        <v>5351</v>
      </c>
      <c r="F1468" s="191">
        <v>5721</v>
      </c>
      <c r="G1468" s="481">
        <v>234</v>
      </c>
      <c r="H1468" s="19"/>
      <c r="I1468" s="19"/>
      <c r="M1468" s="19"/>
    </row>
    <row r="1469" spans="1:13">
      <c r="A1469" s="479">
        <v>3952</v>
      </c>
      <c r="B1469" s="19" t="s">
        <v>878</v>
      </c>
      <c r="C1469" t="s">
        <v>159</v>
      </c>
      <c r="D1469" s="190">
        <v>3952</v>
      </c>
      <c r="E1469" s="191">
        <v>4597</v>
      </c>
      <c r="F1469" s="191">
        <v>4264</v>
      </c>
      <c r="G1469" s="481">
        <v>184</v>
      </c>
      <c r="H1469" s="19"/>
      <c r="I1469" s="19"/>
      <c r="M1469" s="19"/>
    </row>
    <row r="1470" spans="1:13">
      <c r="A1470" s="479">
        <v>1955</v>
      </c>
      <c r="B1470" s="19" t="s">
        <v>879</v>
      </c>
      <c r="C1470" t="s">
        <v>159</v>
      </c>
      <c r="D1470" s="190">
        <v>1955</v>
      </c>
      <c r="E1470" s="191">
        <v>5463</v>
      </c>
      <c r="F1470" s="191">
        <v>5483</v>
      </c>
      <c r="G1470" s="481">
        <v>180</v>
      </c>
      <c r="H1470" s="19"/>
      <c r="I1470" s="19"/>
      <c r="M1470" s="19"/>
    </row>
    <row r="1471" spans="1:13">
      <c r="A1471" s="479">
        <v>3966</v>
      </c>
      <c r="B1471" s="19" t="s">
        <v>880</v>
      </c>
      <c r="C1471" t="s">
        <v>159</v>
      </c>
      <c r="D1471" s="190">
        <v>3966</v>
      </c>
      <c r="E1471" s="191">
        <v>4970</v>
      </c>
      <c r="F1471" s="191">
        <v>5853</v>
      </c>
      <c r="G1471" s="481">
        <v>216</v>
      </c>
      <c r="H1471" s="19"/>
      <c r="I1471" s="19"/>
      <c r="M1471" s="19"/>
    </row>
    <row r="1472" spans="1:13">
      <c r="A1472" s="479">
        <v>1971</v>
      </c>
      <c r="B1472" s="19" t="s">
        <v>881</v>
      </c>
      <c r="C1472" t="s">
        <v>159</v>
      </c>
      <c r="D1472" s="190">
        <v>1971</v>
      </c>
      <c r="E1472" s="191">
        <v>5778</v>
      </c>
      <c r="F1472" s="191">
        <v>5878</v>
      </c>
      <c r="G1472" s="481">
        <v>260</v>
      </c>
      <c r="H1472" s="19"/>
      <c r="I1472" s="19"/>
      <c r="M1472" s="19"/>
    </row>
    <row r="1473" spans="1:13">
      <c r="A1473" s="479">
        <v>1937</v>
      </c>
      <c r="B1473" s="19" t="s">
        <v>882</v>
      </c>
      <c r="C1473" t="s">
        <v>159</v>
      </c>
      <c r="D1473" s="190">
        <v>1937</v>
      </c>
      <c r="E1473" s="191">
        <v>4938</v>
      </c>
      <c r="F1473" s="191">
        <v>4241</v>
      </c>
      <c r="G1473" s="481">
        <v>267</v>
      </c>
      <c r="H1473" s="19"/>
      <c r="I1473" s="19"/>
      <c r="M1473" s="19"/>
    </row>
    <row r="1474" spans="1:13">
      <c r="A1474" s="479">
        <v>1912</v>
      </c>
      <c r="B1474" s="19" t="s">
        <v>883</v>
      </c>
      <c r="C1474" t="s">
        <v>159</v>
      </c>
      <c r="D1474" s="190">
        <v>1912</v>
      </c>
      <c r="E1474" s="191">
        <v>6132</v>
      </c>
      <c r="F1474" s="191">
        <v>5472</v>
      </c>
      <c r="G1474" s="481">
        <v>237</v>
      </c>
      <c r="H1474" s="19"/>
      <c r="I1474" s="19"/>
      <c r="M1474" s="19"/>
    </row>
    <row r="1475" spans="1:13">
      <c r="A1475" s="479">
        <v>1957</v>
      </c>
      <c r="B1475" s="19" t="s">
        <v>884</v>
      </c>
      <c r="C1475" t="s">
        <v>159</v>
      </c>
      <c r="D1475" s="190">
        <v>1957</v>
      </c>
      <c r="E1475" s="191">
        <v>5034</v>
      </c>
      <c r="F1475" s="191">
        <v>5742</v>
      </c>
      <c r="G1475" s="481">
        <v>214</v>
      </c>
      <c r="H1475" s="19"/>
      <c r="I1475" s="19"/>
      <c r="M1475" s="19"/>
    </row>
    <row r="1476" spans="1:13">
      <c r="A1476" s="479">
        <v>1908</v>
      </c>
      <c r="B1476" s="19" t="s">
        <v>885</v>
      </c>
      <c r="C1476" t="s">
        <v>159</v>
      </c>
      <c r="D1476" s="190">
        <v>1908</v>
      </c>
      <c r="E1476" s="191">
        <v>5762</v>
      </c>
      <c r="F1476" s="191">
        <v>7233</v>
      </c>
      <c r="G1476" s="481">
        <v>232</v>
      </c>
      <c r="H1476" s="19"/>
      <c r="I1476" s="19"/>
      <c r="M1476" s="19"/>
    </row>
    <row r="1477" spans="1:13">
      <c r="A1477" s="479">
        <v>3961</v>
      </c>
      <c r="B1477" s="19" t="s">
        <v>886</v>
      </c>
      <c r="C1477" t="s">
        <v>159</v>
      </c>
      <c r="D1477" s="190">
        <v>3961</v>
      </c>
      <c r="E1477" s="191">
        <v>9042</v>
      </c>
      <c r="F1477" s="191">
        <v>7926</v>
      </c>
      <c r="G1477" s="481">
        <v>225</v>
      </c>
      <c r="H1477" s="19"/>
      <c r="I1477" s="19"/>
      <c r="M1477" s="19"/>
    </row>
    <row r="1478" spans="1:13">
      <c r="A1478" s="479">
        <v>1895</v>
      </c>
      <c r="B1478" s="19" t="s">
        <v>887</v>
      </c>
      <c r="C1478" t="s">
        <v>159</v>
      </c>
      <c r="D1478" s="190">
        <v>1895</v>
      </c>
      <c r="E1478" s="191">
        <v>4320</v>
      </c>
      <c r="F1478" s="191">
        <v>6039</v>
      </c>
      <c r="G1478" s="481">
        <v>233</v>
      </c>
      <c r="H1478" s="19"/>
      <c r="I1478" s="19"/>
      <c r="M1478" s="19"/>
    </row>
    <row r="1479" spans="1:13">
      <c r="A1479" s="479">
        <v>1913</v>
      </c>
      <c r="B1479" s="19" t="s">
        <v>888</v>
      </c>
      <c r="C1479" t="s">
        <v>159</v>
      </c>
      <c r="D1479" s="190">
        <v>1913</v>
      </c>
      <c r="E1479" s="191">
        <v>5898</v>
      </c>
      <c r="F1479" s="191">
        <v>5648</v>
      </c>
      <c r="G1479" s="481">
        <v>284</v>
      </c>
      <c r="H1479" s="19"/>
      <c r="I1479" s="19"/>
      <c r="M1479" s="19"/>
    </row>
    <row r="1480" spans="1:13">
      <c r="A1480" s="479">
        <v>3979</v>
      </c>
      <c r="B1480" s="19" t="s">
        <v>889</v>
      </c>
      <c r="C1480" t="s">
        <v>159</v>
      </c>
      <c r="D1480" s="190">
        <v>3979</v>
      </c>
      <c r="E1480" s="191">
        <v>4174</v>
      </c>
      <c r="F1480" s="191">
        <v>5307</v>
      </c>
      <c r="G1480" s="481">
        <v>192</v>
      </c>
      <c r="H1480" s="19"/>
      <c r="I1480" s="19"/>
      <c r="M1480" s="19"/>
    </row>
    <row r="1481" spans="1:13">
      <c r="A1481" s="479">
        <v>1958</v>
      </c>
      <c r="B1481" s="19" t="s">
        <v>890</v>
      </c>
      <c r="C1481" t="s">
        <v>159</v>
      </c>
      <c r="D1481" s="190">
        <v>1958</v>
      </c>
      <c r="E1481" s="191">
        <v>5157</v>
      </c>
      <c r="F1481" s="191">
        <v>5808</v>
      </c>
      <c r="G1481" s="481">
        <v>225</v>
      </c>
      <c r="H1481" s="19"/>
      <c r="I1481" s="19"/>
      <c r="M1481" s="19"/>
    </row>
    <row r="1482" spans="1:13">
      <c r="A1482" s="479">
        <v>1921</v>
      </c>
      <c r="B1482" s="19" t="s">
        <v>891</v>
      </c>
      <c r="C1482" t="s">
        <v>159</v>
      </c>
      <c r="D1482" s="190">
        <v>1921</v>
      </c>
      <c r="E1482" s="191">
        <v>5439</v>
      </c>
      <c r="F1482" s="191">
        <v>5386</v>
      </c>
      <c r="G1482" s="481">
        <v>504</v>
      </c>
      <c r="H1482" s="19"/>
      <c r="I1482" s="19"/>
      <c r="M1482" s="19"/>
    </row>
    <row r="1483" spans="1:13">
      <c r="A1483" s="479">
        <v>3924</v>
      </c>
      <c r="B1483" s="19" t="s">
        <v>892</v>
      </c>
      <c r="C1483" t="s">
        <v>159</v>
      </c>
      <c r="D1483" s="190">
        <v>3924</v>
      </c>
      <c r="E1483" s="191">
        <v>4644</v>
      </c>
      <c r="F1483" s="191">
        <v>5572</v>
      </c>
      <c r="G1483" s="481">
        <v>250</v>
      </c>
      <c r="H1483" s="19"/>
      <c r="I1483" s="19"/>
      <c r="M1483" s="19"/>
    </row>
    <row r="1484" spans="1:13">
      <c r="A1484" s="479">
        <v>3911</v>
      </c>
      <c r="B1484" s="19" t="s">
        <v>893</v>
      </c>
      <c r="C1484" t="s">
        <v>159</v>
      </c>
      <c r="D1484" s="190">
        <v>3911</v>
      </c>
      <c r="E1484" s="191">
        <v>5844</v>
      </c>
      <c r="F1484" s="191">
        <v>5325</v>
      </c>
      <c r="G1484" s="481">
        <v>193</v>
      </c>
      <c r="H1484" s="19"/>
      <c r="I1484" s="19"/>
      <c r="M1484" s="19"/>
    </row>
    <row r="1485" spans="1:13">
      <c r="A1485" s="479">
        <v>1941</v>
      </c>
      <c r="B1485" s="19" t="s">
        <v>894</v>
      </c>
      <c r="C1485" t="s">
        <v>159</v>
      </c>
      <c r="D1485" s="190">
        <v>1941</v>
      </c>
      <c r="E1485" s="191">
        <v>6791</v>
      </c>
      <c r="F1485" s="191">
        <v>7331</v>
      </c>
      <c r="G1485" s="481">
        <v>237</v>
      </c>
      <c r="H1485" s="19"/>
      <c r="I1485" s="19"/>
      <c r="M1485" s="19"/>
    </row>
    <row r="1486" spans="1:13">
      <c r="A1486" s="479">
        <v>3945</v>
      </c>
      <c r="B1486" s="19" t="s">
        <v>895</v>
      </c>
      <c r="C1486" t="s">
        <v>159</v>
      </c>
      <c r="D1486" s="190">
        <v>3945</v>
      </c>
      <c r="E1486" s="191">
        <v>4481</v>
      </c>
      <c r="F1486" s="191">
        <v>4884</v>
      </c>
      <c r="G1486" s="481">
        <v>232</v>
      </c>
      <c r="H1486" s="19"/>
      <c r="I1486" s="19"/>
      <c r="M1486" s="19"/>
    </row>
    <row r="1487" spans="1:13">
      <c r="A1487" s="479">
        <v>3942</v>
      </c>
      <c r="B1487" s="19" t="s">
        <v>896</v>
      </c>
      <c r="C1487" t="s">
        <v>159</v>
      </c>
      <c r="D1487" s="190">
        <v>3942</v>
      </c>
      <c r="E1487" s="191">
        <v>4787</v>
      </c>
      <c r="F1487" s="191">
        <v>4860</v>
      </c>
      <c r="G1487" s="481">
        <v>181</v>
      </c>
      <c r="H1487" s="19"/>
      <c r="I1487" s="19"/>
      <c r="M1487" s="19"/>
    </row>
    <row r="1488" spans="1:13">
      <c r="A1488" s="479">
        <v>1873</v>
      </c>
      <c r="B1488" s="19" t="s">
        <v>897</v>
      </c>
      <c r="C1488" t="s">
        <v>159</v>
      </c>
      <c r="D1488" s="190">
        <v>1873</v>
      </c>
      <c r="E1488" s="191">
        <v>6406</v>
      </c>
      <c r="F1488" s="191">
        <v>7126</v>
      </c>
      <c r="G1488" s="481">
        <v>254</v>
      </c>
      <c r="H1488" s="19"/>
      <c r="I1488" s="19"/>
      <c r="M1488" s="19"/>
    </row>
    <row r="1489" spans="1:13">
      <c r="A1489" s="479">
        <v>1904</v>
      </c>
      <c r="B1489" s="19" t="s">
        <v>898</v>
      </c>
      <c r="C1489" t="s">
        <v>159</v>
      </c>
      <c r="D1489" s="190">
        <v>1904</v>
      </c>
      <c r="E1489" s="191">
        <v>4528</v>
      </c>
      <c r="F1489" s="191">
        <v>4535</v>
      </c>
      <c r="G1489" s="481">
        <v>200</v>
      </c>
      <c r="H1489" s="19"/>
      <c r="I1489" s="19"/>
      <c r="M1489" s="19"/>
    </row>
    <row r="1490" spans="1:13">
      <c r="A1490" s="479">
        <v>3968</v>
      </c>
      <c r="B1490" s="19" t="s">
        <v>899</v>
      </c>
      <c r="C1490" t="s">
        <v>159</v>
      </c>
      <c r="D1490" s="190">
        <v>3968</v>
      </c>
      <c r="E1490" s="191">
        <v>5070</v>
      </c>
      <c r="F1490" s="191">
        <v>5794</v>
      </c>
      <c r="G1490" s="481">
        <v>211</v>
      </c>
      <c r="H1490" s="19"/>
      <c r="I1490" s="19"/>
      <c r="M1490" s="19"/>
    </row>
    <row r="1491" spans="1:13">
      <c r="A1491" s="479">
        <v>1981</v>
      </c>
      <c r="B1491" s="19" t="s">
        <v>900</v>
      </c>
      <c r="C1491" t="s">
        <v>159</v>
      </c>
      <c r="D1491" s="190">
        <v>1981</v>
      </c>
      <c r="E1491" s="191">
        <v>6337</v>
      </c>
      <c r="F1491" s="191">
        <v>6538</v>
      </c>
      <c r="G1491" s="481">
        <v>216</v>
      </c>
      <c r="H1491" s="19"/>
      <c r="I1491" s="19"/>
      <c r="M1491" s="19"/>
    </row>
    <row r="1492" spans="1:13">
      <c r="A1492" s="479">
        <v>1869</v>
      </c>
      <c r="B1492" s="19" t="s">
        <v>901</v>
      </c>
      <c r="C1492" t="s">
        <v>159</v>
      </c>
      <c r="D1492" s="190">
        <v>1869</v>
      </c>
      <c r="E1492" s="191">
        <v>5300</v>
      </c>
      <c r="F1492" s="191">
        <v>5665</v>
      </c>
      <c r="G1492" s="481">
        <v>212</v>
      </c>
      <c r="H1492" s="19"/>
      <c r="I1492" s="19"/>
      <c r="M1492" s="19"/>
    </row>
    <row r="1493" spans="1:13">
      <c r="A1493" s="479">
        <v>1906</v>
      </c>
      <c r="B1493" s="19" t="s">
        <v>902</v>
      </c>
      <c r="C1493" t="s">
        <v>159</v>
      </c>
      <c r="D1493" s="190">
        <v>1906</v>
      </c>
      <c r="E1493" s="191">
        <v>5366</v>
      </c>
      <c r="F1493" s="191">
        <v>5124</v>
      </c>
      <c r="G1493" s="481">
        <v>231</v>
      </c>
      <c r="H1493" s="19"/>
      <c r="I1493" s="19"/>
      <c r="M1493" s="19"/>
    </row>
    <row r="1494" spans="1:13">
      <c r="A1494" s="479">
        <v>1983</v>
      </c>
      <c r="B1494" s="19" t="s">
        <v>903</v>
      </c>
      <c r="C1494" t="s">
        <v>159</v>
      </c>
      <c r="D1494" s="190">
        <v>1983</v>
      </c>
      <c r="E1494" s="191">
        <v>4604</v>
      </c>
      <c r="F1494" s="191">
        <v>5504</v>
      </c>
      <c r="G1494" s="481">
        <v>221</v>
      </c>
      <c r="H1494" s="19"/>
      <c r="I1494" s="19"/>
      <c r="M1494" s="19"/>
    </row>
    <row r="1495" spans="1:13">
      <c r="A1495" s="479">
        <v>3906</v>
      </c>
      <c r="B1495" s="19" t="s">
        <v>904</v>
      </c>
      <c r="C1495" t="s">
        <v>159</v>
      </c>
      <c r="D1495" s="190">
        <v>3906</v>
      </c>
      <c r="E1495" s="191">
        <v>9930</v>
      </c>
      <c r="F1495" s="191">
        <v>11000</v>
      </c>
      <c r="G1495" s="481">
        <v>272</v>
      </c>
      <c r="H1495" s="19"/>
      <c r="I1495" s="19"/>
      <c r="M1495" s="19"/>
    </row>
    <row r="1496" spans="1:13">
      <c r="A1496" s="479">
        <v>3965</v>
      </c>
      <c r="B1496" s="19" t="s">
        <v>905</v>
      </c>
      <c r="C1496" t="s">
        <v>159</v>
      </c>
      <c r="D1496" s="190">
        <v>3965</v>
      </c>
      <c r="E1496" s="191">
        <v>3986</v>
      </c>
      <c r="F1496" s="191">
        <v>5460</v>
      </c>
      <c r="G1496" s="481">
        <v>394</v>
      </c>
      <c r="H1496" s="19"/>
      <c r="I1496" s="19"/>
      <c r="M1496" s="19"/>
    </row>
    <row r="1497" spans="1:13">
      <c r="A1497" s="479">
        <v>3940</v>
      </c>
      <c r="B1497" s="19" t="s">
        <v>906</v>
      </c>
      <c r="C1497" t="s">
        <v>159</v>
      </c>
      <c r="D1497" s="190">
        <v>3940</v>
      </c>
      <c r="E1497" s="191">
        <v>4189</v>
      </c>
      <c r="F1497" s="191">
        <v>6354</v>
      </c>
      <c r="G1497" s="481">
        <v>212</v>
      </c>
      <c r="H1497" s="19"/>
      <c r="I1497" s="19"/>
      <c r="M1497" s="19"/>
    </row>
    <row r="1498" spans="1:13">
      <c r="A1498" s="479">
        <v>3970</v>
      </c>
      <c r="B1498" s="19" t="s">
        <v>907</v>
      </c>
      <c r="C1498" t="s">
        <v>159</v>
      </c>
      <c r="D1498" s="190">
        <v>3970</v>
      </c>
      <c r="E1498" s="191">
        <v>4498</v>
      </c>
      <c r="F1498" s="191">
        <v>4135</v>
      </c>
      <c r="G1498" s="481">
        <v>224</v>
      </c>
      <c r="H1498" s="19"/>
      <c r="I1498" s="19"/>
      <c r="M1498" s="19"/>
    </row>
    <row r="1499" spans="1:13">
      <c r="A1499" s="479">
        <v>3954</v>
      </c>
      <c r="B1499" s="19" t="s">
        <v>908</v>
      </c>
      <c r="C1499" t="s">
        <v>159</v>
      </c>
      <c r="D1499" s="190">
        <v>3954</v>
      </c>
      <c r="E1499" s="191">
        <v>5498</v>
      </c>
      <c r="F1499" s="191">
        <v>5431</v>
      </c>
      <c r="G1499" s="481">
        <v>223</v>
      </c>
      <c r="H1499" s="19"/>
      <c r="I1499" s="19"/>
      <c r="M1499" s="19"/>
    </row>
    <row r="1500" spans="1:13">
      <c r="A1500" s="479">
        <v>1987</v>
      </c>
      <c r="B1500" s="19" t="s">
        <v>909</v>
      </c>
      <c r="C1500" t="s">
        <v>159</v>
      </c>
      <c r="D1500" s="190">
        <v>1987</v>
      </c>
      <c r="E1500" s="191">
        <v>6617</v>
      </c>
      <c r="F1500" s="191">
        <v>6567</v>
      </c>
      <c r="G1500" s="481">
        <v>174</v>
      </c>
      <c r="H1500" s="19"/>
      <c r="I1500" s="19"/>
      <c r="M1500" s="19"/>
    </row>
    <row r="1501" spans="1:13">
      <c r="A1501" s="479">
        <v>1922</v>
      </c>
      <c r="B1501" s="19" t="s">
        <v>910</v>
      </c>
      <c r="C1501" t="s">
        <v>159</v>
      </c>
      <c r="D1501" s="190">
        <v>1922</v>
      </c>
      <c r="E1501" s="191">
        <v>5470</v>
      </c>
      <c r="F1501" s="191">
        <v>5135</v>
      </c>
      <c r="G1501" s="481">
        <v>265</v>
      </c>
      <c r="H1501" s="19"/>
      <c r="I1501" s="19"/>
      <c r="M1501" s="19"/>
    </row>
    <row r="1502" spans="1:13">
      <c r="A1502" s="479">
        <v>3932</v>
      </c>
      <c r="B1502" s="19" t="s">
        <v>911</v>
      </c>
      <c r="C1502" t="s">
        <v>159</v>
      </c>
      <c r="D1502" s="190">
        <v>3932</v>
      </c>
      <c r="E1502" s="191">
        <v>3372</v>
      </c>
      <c r="F1502" s="191">
        <v>4685</v>
      </c>
      <c r="G1502" s="481">
        <v>172</v>
      </c>
      <c r="H1502" s="19"/>
      <c r="I1502" s="19"/>
      <c r="M1502" s="19"/>
    </row>
    <row r="1503" spans="1:13">
      <c r="A1503" s="479">
        <v>3972</v>
      </c>
      <c r="B1503" s="19" t="s">
        <v>912</v>
      </c>
      <c r="C1503" t="s">
        <v>159</v>
      </c>
      <c r="D1503" s="190">
        <v>3972</v>
      </c>
      <c r="E1503" s="191">
        <v>4905</v>
      </c>
      <c r="F1503" s="191">
        <v>5956</v>
      </c>
      <c r="G1503" s="481">
        <v>274</v>
      </c>
      <c r="H1503" s="19"/>
      <c r="I1503" s="19"/>
      <c r="M1503" s="19"/>
    </row>
    <row r="1504" spans="1:13">
      <c r="A1504" s="479">
        <v>1874</v>
      </c>
      <c r="B1504" s="19" t="s">
        <v>913</v>
      </c>
      <c r="C1504" t="s">
        <v>159</v>
      </c>
      <c r="D1504" s="190">
        <v>1874</v>
      </c>
      <c r="E1504" s="191">
        <v>8939</v>
      </c>
      <c r="F1504" s="191">
        <v>9532</v>
      </c>
      <c r="G1504" s="481">
        <v>275</v>
      </c>
      <c r="H1504" s="19"/>
      <c r="I1504" s="19"/>
      <c r="M1504" s="19"/>
    </row>
    <row r="1505" spans="1:13">
      <c r="A1505" s="479">
        <v>3937</v>
      </c>
      <c r="B1505" s="19" t="s">
        <v>914</v>
      </c>
      <c r="C1505" t="s">
        <v>159</v>
      </c>
      <c r="D1505" s="190">
        <v>3937</v>
      </c>
      <c r="E1505" s="191">
        <v>4568</v>
      </c>
      <c r="F1505" s="191">
        <v>4527</v>
      </c>
      <c r="G1505" s="481">
        <v>195</v>
      </c>
      <c r="H1505" s="19"/>
      <c r="I1505" s="19"/>
      <c r="M1505" s="19"/>
    </row>
    <row r="1506" spans="1:13">
      <c r="A1506" s="479">
        <v>3929</v>
      </c>
      <c r="B1506" s="19" t="s">
        <v>915</v>
      </c>
      <c r="C1506" t="s">
        <v>159</v>
      </c>
      <c r="D1506" s="190">
        <v>3929</v>
      </c>
      <c r="E1506" s="191">
        <v>6578</v>
      </c>
      <c r="F1506" s="191">
        <v>7480</v>
      </c>
      <c r="G1506" s="481">
        <v>258</v>
      </c>
      <c r="H1506" s="19"/>
      <c r="I1506" s="19"/>
      <c r="M1506" s="19"/>
    </row>
    <row r="1507" spans="1:13">
      <c r="A1507" s="479">
        <v>3925</v>
      </c>
      <c r="B1507" s="19" t="s">
        <v>916</v>
      </c>
      <c r="C1507" t="s">
        <v>159</v>
      </c>
      <c r="D1507" s="190">
        <v>3925</v>
      </c>
      <c r="E1507" s="191">
        <v>6302</v>
      </c>
      <c r="F1507" s="191">
        <v>4974</v>
      </c>
      <c r="G1507" s="481">
        <v>307</v>
      </c>
      <c r="H1507" s="19"/>
      <c r="I1507" s="19"/>
      <c r="M1507" s="19"/>
    </row>
    <row r="1508" spans="1:13">
      <c r="A1508" s="479">
        <v>3973</v>
      </c>
      <c r="B1508" s="19" t="s">
        <v>917</v>
      </c>
      <c r="C1508" t="s">
        <v>159</v>
      </c>
      <c r="D1508" s="190">
        <v>3973</v>
      </c>
      <c r="E1508" s="191">
        <v>5402</v>
      </c>
      <c r="F1508" s="191">
        <v>6130</v>
      </c>
      <c r="G1508" s="481">
        <v>247</v>
      </c>
      <c r="H1508" s="19"/>
      <c r="I1508" s="19"/>
      <c r="M1508" s="19"/>
    </row>
    <row r="1509" spans="1:13">
      <c r="A1509" s="479">
        <v>1902</v>
      </c>
      <c r="B1509" s="19" t="s">
        <v>918</v>
      </c>
      <c r="C1509" t="s">
        <v>159</v>
      </c>
      <c r="D1509" s="190">
        <v>1902</v>
      </c>
      <c r="E1509" s="191">
        <v>5328</v>
      </c>
      <c r="F1509" s="191">
        <v>4908</v>
      </c>
      <c r="G1509" s="481">
        <v>211</v>
      </c>
      <c r="H1509" s="19"/>
      <c r="I1509" s="19"/>
      <c r="M1509" s="19"/>
    </row>
    <row r="1510" spans="1:13">
      <c r="A1510" s="479">
        <v>1974</v>
      </c>
      <c r="B1510" s="19" t="s">
        <v>919</v>
      </c>
      <c r="C1510" t="s">
        <v>159</v>
      </c>
      <c r="D1510" s="190">
        <v>1974</v>
      </c>
      <c r="E1510" s="191">
        <v>5815</v>
      </c>
      <c r="F1510" s="191">
        <v>6212</v>
      </c>
      <c r="G1510" s="481">
        <v>218</v>
      </c>
      <c r="H1510" s="19"/>
      <c r="I1510" s="19"/>
      <c r="M1510" s="19"/>
    </row>
    <row r="1511" spans="1:13">
      <c r="A1511" s="479">
        <v>3989</v>
      </c>
      <c r="B1511" s="19" t="s">
        <v>920</v>
      </c>
      <c r="C1511" t="s">
        <v>159</v>
      </c>
      <c r="D1511" s="190">
        <v>3989</v>
      </c>
      <c r="E1511" s="191">
        <v>5400</v>
      </c>
      <c r="F1511" s="191">
        <v>6281</v>
      </c>
      <c r="G1511" s="481">
        <v>342</v>
      </c>
      <c r="H1511" s="19"/>
      <c r="I1511" s="19"/>
      <c r="M1511" s="19"/>
    </row>
    <row r="1512" spans="1:13">
      <c r="A1512" s="479">
        <v>3946</v>
      </c>
      <c r="B1512" s="19" t="s">
        <v>921</v>
      </c>
      <c r="C1512" t="s">
        <v>159</v>
      </c>
      <c r="D1512" s="190">
        <v>3946</v>
      </c>
      <c r="E1512" s="191">
        <v>4047</v>
      </c>
      <c r="F1512" s="191">
        <v>3593</v>
      </c>
      <c r="G1512" s="481">
        <v>192</v>
      </c>
      <c r="H1512" s="19"/>
      <c r="I1512" s="19"/>
      <c r="M1512" s="19"/>
    </row>
    <row r="1513" spans="1:13">
      <c r="A1513" s="479">
        <v>3922</v>
      </c>
      <c r="B1513" s="19" t="s">
        <v>922</v>
      </c>
      <c r="C1513" t="s">
        <v>159</v>
      </c>
      <c r="D1513" s="190">
        <v>3922</v>
      </c>
      <c r="E1513" s="191">
        <v>3998</v>
      </c>
      <c r="F1513" s="191">
        <v>3230</v>
      </c>
      <c r="G1513" s="481">
        <v>191</v>
      </c>
      <c r="H1513" s="19"/>
      <c r="I1513" s="19"/>
      <c r="M1513" s="19"/>
    </row>
    <row r="1514" spans="1:13">
      <c r="A1514" s="479">
        <v>1969</v>
      </c>
      <c r="B1514" s="19" t="s">
        <v>923</v>
      </c>
      <c r="C1514" t="s">
        <v>159</v>
      </c>
      <c r="D1514" s="190">
        <v>1969</v>
      </c>
      <c r="E1514" s="191">
        <v>5069</v>
      </c>
      <c r="F1514" s="191">
        <v>5866</v>
      </c>
      <c r="G1514" s="481">
        <v>175</v>
      </c>
      <c r="H1514" s="19"/>
      <c r="I1514" s="19"/>
      <c r="M1514" s="19"/>
    </row>
    <row r="1515" spans="1:13">
      <c r="A1515" s="479">
        <v>1933</v>
      </c>
      <c r="B1515" s="19" t="s">
        <v>924</v>
      </c>
      <c r="C1515" t="s">
        <v>159</v>
      </c>
      <c r="D1515" s="190">
        <v>1933</v>
      </c>
      <c r="E1515" s="191">
        <v>5239</v>
      </c>
      <c r="F1515" s="191">
        <v>5005</v>
      </c>
      <c r="G1515" s="481">
        <v>316</v>
      </c>
      <c r="H1515" s="19"/>
      <c r="I1515" s="19"/>
      <c r="M1515" s="19"/>
    </row>
    <row r="1516" spans="1:13">
      <c r="A1516" s="479">
        <v>3910</v>
      </c>
      <c r="B1516" s="19" t="s">
        <v>925</v>
      </c>
      <c r="C1516" t="s">
        <v>159</v>
      </c>
      <c r="D1516" s="190">
        <v>3910</v>
      </c>
      <c r="E1516" s="191">
        <v>5968</v>
      </c>
      <c r="F1516" s="191">
        <v>7671</v>
      </c>
      <c r="G1516" s="481">
        <v>173</v>
      </c>
      <c r="H1516" s="19"/>
      <c r="I1516" s="19"/>
      <c r="M1516" s="19"/>
    </row>
    <row r="1517" spans="1:13">
      <c r="A1517" s="479">
        <v>3982</v>
      </c>
      <c r="B1517" s="19" t="s">
        <v>926</v>
      </c>
      <c r="C1517" t="s">
        <v>159</v>
      </c>
      <c r="D1517" s="190">
        <v>3982</v>
      </c>
      <c r="E1517" s="191">
        <v>5327</v>
      </c>
      <c r="F1517" s="191">
        <v>4782</v>
      </c>
      <c r="G1517" s="481">
        <v>120</v>
      </c>
      <c r="H1517" s="19"/>
      <c r="I1517" s="19"/>
      <c r="M1517" s="19"/>
    </row>
    <row r="1518" spans="1:13">
      <c r="A1518" s="479">
        <v>1898</v>
      </c>
      <c r="B1518" s="19" t="s">
        <v>927</v>
      </c>
      <c r="C1518" t="s">
        <v>159</v>
      </c>
      <c r="D1518" s="190">
        <v>1898</v>
      </c>
      <c r="E1518" s="191">
        <v>6829</v>
      </c>
      <c r="F1518" s="191">
        <v>8062</v>
      </c>
      <c r="G1518" s="481">
        <v>298</v>
      </c>
      <c r="H1518" s="19"/>
      <c r="I1518" s="19"/>
      <c r="M1518" s="19"/>
    </row>
    <row r="1519" spans="1:13">
      <c r="A1519" s="479">
        <v>1905</v>
      </c>
      <c r="B1519" s="19" t="s">
        <v>928</v>
      </c>
      <c r="C1519" t="s">
        <v>159</v>
      </c>
      <c r="D1519" s="190">
        <v>1905</v>
      </c>
      <c r="E1519" s="191">
        <v>4823</v>
      </c>
      <c r="F1519" s="191">
        <v>5310</v>
      </c>
      <c r="G1519" s="481">
        <v>206</v>
      </c>
      <c r="H1519" s="19"/>
      <c r="I1519" s="19"/>
      <c r="M1519" s="19"/>
    </row>
    <row r="1520" spans="1:13">
      <c r="A1520" s="479">
        <v>3984</v>
      </c>
      <c r="B1520" s="19" t="s">
        <v>929</v>
      </c>
      <c r="C1520" t="s">
        <v>159</v>
      </c>
      <c r="D1520" s="190">
        <v>3984</v>
      </c>
      <c r="E1520" s="191">
        <v>4713</v>
      </c>
      <c r="F1520" s="191">
        <v>5119</v>
      </c>
      <c r="G1520" s="481">
        <v>201</v>
      </c>
      <c r="H1520" s="19"/>
      <c r="I1520" s="19"/>
      <c r="M1520" s="19"/>
    </row>
    <row r="1521" spans="1:13">
      <c r="A1521" s="479">
        <v>3912</v>
      </c>
      <c r="B1521" s="19" t="s">
        <v>930</v>
      </c>
      <c r="C1521" t="s">
        <v>159</v>
      </c>
      <c r="D1521" s="190">
        <v>3912</v>
      </c>
      <c r="E1521" s="191">
        <v>5648</v>
      </c>
      <c r="F1521" s="191">
        <v>5084</v>
      </c>
      <c r="G1521" s="481">
        <v>195</v>
      </c>
      <c r="H1521" s="19"/>
      <c r="I1521" s="19"/>
      <c r="M1521" s="19"/>
    </row>
    <row r="1522" spans="1:13">
      <c r="A1522" s="479">
        <v>1932</v>
      </c>
      <c r="B1522" s="19" t="s">
        <v>931</v>
      </c>
      <c r="C1522" t="s">
        <v>159</v>
      </c>
      <c r="D1522" s="190">
        <v>1932</v>
      </c>
      <c r="E1522" s="191">
        <v>4153</v>
      </c>
      <c r="F1522" s="191">
        <v>5293</v>
      </c>
      <c r="G1522" s="481">
        <v>285</v>
      </c>
      <c r="H1522" s="19"/>
      <c r="I1522" s="19"/>
      <c r="M1522" s="19"/>
    </row>
    <row r="1523" spans="1:13">
      <c r="A1523" s="479">
        <v>1969</v>
      </c>
      <c r="B1523" s="19" t="s">
        <v>932</v>
      </c>
      <c r="C1523" t="s">
        <v>159</v>
      </c>
      <c r="D1523" s="190">
        <v>1969</v>
      </c>
      <c r="E1523" s="191">
        <v>4150</v>
      </c>
      <c r="F1523" s="191">
        <v>5252</v>
      </c>
      <c r="G1523" s="481">
        <v>238</v>
      </c>
      <c r="H1523" s="19"/>
      <c r="I1523" s="19"/>
      <c r="M1523" s="19"/>
    </row>
    <row r="1524" spans="1:13">
      <c r="A1524" s="479">
        <v>1914</v>
      </c>
      <c r="B1524" s="19" t="s">
        <v>933</v>
      </c>
      <c r="C1524" t="s">
        <v>159</v>
      </c>
      <c r="D1524" s="190">
        <v>1914</v>
      </c>
      <c r="E1524" s="191">
        <v>4674</v>
      </c>
      <c r="F1524" s="191">
        <v>5032</v>
      </c>
      <c r="G1524" s="481">
        <v>238</v>
      </c>
      <c r="H1524" s="19"/>
      <c r="I1524" s="19"/>
      <c r="M1524" s="19"/>
    </row>
    <row r="1525" spans="1:13">
      <c r="A1525" s="479">
        <v>1903</v>
      </c>
      <c r="B1525" s="19" t="s">
        <v>934</v>
      </c>
      <c r="C1525" t="s">
        <v>159</v>
      </c>
      <c r="D1525" s="190">
        <v>1903</v>
      </c>
      <c r="E1525" s="191">
        <v>4727</v>
      </c>
      <c r="F1525" s="191">
        <v>4614</v>
      </c>
      <c r="G1525" s="481">
        <v>234</v>
      </c>
      <c r="H1525" s="19"/>
      <c r="I1525" s="19"/>
      <c r="M1525" s="19"/>
    </row>
    <row r="1526" spans="1:13">
      <c r="A1526" s="479">
        <v>1945</v>
      </c>
      <c r="B1526" s="19" t="s">
        <v>935</v>
      </c>
      <c r="C1526" t="s">
        <v>159</v>
      </c>
      <c r="D1526" s="190">
        <v>1945</v>
      </c>
      <c r="E1526" s="191">
        <v>2867</v>
      </c>
      <c r="F1526" s="191">
        <v>3575</v>
      </c>
      <c r="G1526" s="481">
        <v>277</v>
      </c>
      <c r="H1526" s="19"/>
      <c r="I1526" s="19"/>
      <c r="M1526" s="19"/>
    </row>
    <row r="1527" spans="1:13">
      <c r="A1527" s="479">
        <v>3951</v>
      </c>
      <c r="B1527" s="19" t="s">
        <v>936</v>
      </c>
      <c r="C1527" t="s">
        <v>159</v>
      </c>
      <c r="D1527" s="190">
        <v>3951</v>
      </c>
      <c r="E1527" s="191">
        <v>4106</v>
      </c>
      <c r="F1527" s="191">
        <v>3908</v>
      </c>
      <c r="G1527" s="481">
        <v>188</v>
      </c>
      <c r="H1527" s="19"/>
      <c r="I1527" s="19"/>
      <c r="M1527" s="19"/>
    </row>
    <row r="1528" spans="1:13">
      <c r="A1528" s="479">
        <v>1891</v>
      </c>
      <c r="B1528" s="19" t="s">
        <v>937</v>
      </c>
      <c r="C1528" t="s">
        <v>159</v>
      </c>
      <c r="D1528" s="190">
        <v>1891</v>
      </c>
      <c r="E1528" s="191">
        <v>5506</v>
      </c>
      <c r="F1528" s="191">
        <v>5957</v>
      </c>
      <c r="G1528" s="481">
        <v>222</v>
      </c>
      <c r="H1528" s="19"/>
      <c r="I1528" s="19"/>
      <c r="M1528" s="19"/>
    </row>
    <row r="1529" spans="1:13">
      <c r="A1529" s="479">
        <v>3935</v>
      </c>
      <c r="B1529" s="19" t="s">
        <v>938</v>
      </c>
      <c r="C1529" t="s">
        <v>159</v>
      </c>
      <c r="D1529" s="190">
        <v>3935</v>
      </c>
      <c r="E1529" s="191">
        <v>4554</v>
      </c>
      <c r="F1529" s="191">
        <v>4810</v>
      </c>
      <c r="G1529" s="481">
        <v>188</v>
      </c>
      <c r="H1529" s="19"/>
      <c r="I1529" s="19"/>
      <c r="M1529" s="19"/>
    </row>
    <row r="1530" spans="1:13">
      <c r="A1530" s="479">
        <v>3942</v>
      </c>
      <c r="B1530" s="19" t="s">
        <v>939</v>
      </c>
      <c r="C1530" t="s">
        <v>159</v>
      </c>
      <c r="D1530" s="190">
        <v>3942</v>
      </c>
      <c r="E1530" s="191">
        <v>4549</v>
      </c>
      <c r="F1530" s="191">
        <v>4858</v>
      </c>
      <c r="G1530" s="481">
        <v>249</v>
      </c>
      <c r="H1530" s="19"/>
      <c r="I1530" s="19"/>
      <c r="M1530" s="19"/>
    </row>
    <row r="1531" spans="1:13">
      <c r="A1531" s="479">
        <v>3983</v>
      </c>
      <c r="B1531" s="19" t="s">
        <v>940</v>
      </c>
      <c r="C1531" t="s">
        <v>159</v>
      </c>
      <c r="D1531" s="190">
        <v>3983</v>
      </c>
      <c r="E1531" s="191">
        <v>4946</v>
      </c>
      <c r="F1531" s="191">
        <v>5116</v>
      </c>
      <c r="G1531" s="481">
        <v>265</v>
      </c>
      <c r="H1531" s="19"/>
      <c r="I1531" s="19"/>
      <c r="M1531" s="19"/>
    </row>
    <row r="1532" spans="1:13">
      <c r="A1532" s="479">
        <v>3931</v>
      </c>
      <c r="B1532" s="19" t="s">
        <v>941</v>
      </c>
      <c r="C1532" t="s">
        <v>159</v>
      </c>
      <c r="D1532" s="190">
        <v>3931</v>
      </c>
      <c r="E1532" s="191">
        <v>4746</v>
      </c>
      <c r="F1532" s="191">
        <v>5904</v>
      </c>
      <c r="G1532" s="481">
        <v>238</v>
      </c>
      <c r="H1532" s="19"/>
      <c r="I1532" s="19"/>
      <c r="M1532" s="19"/>
    </row>
    <row r="1533" spans="1:13">
      <c r="A1533" s="479">
        <v>3988</v>
      </c>
      <c r="B1533" s="19" t="s">
        <v>942</v>
      </c>
      <c r="C1533" t="s">
        <v>159</v>
      </c>
      <c r="D1533" s="190">
        <v>3988</v>
      </c>
      <c r="E1533" s="191">
        <v>6248</v>
      </c>
      <c r="F1533" s="191">
        <v>6692</v>
      </c>
      <c r="G1533" s="481">
        <v>200</v>
      </c>
      <c r="H1533" s="19"/>
      <c r="I1533" s="19"/>
      <c r="M1533" s="19"/>
    </row>
    <row r="1534" spans="1:13">
      <c r="A1534" s="479">
        <v>3953</v>
      </c>
      <c r="B1534" s="19" t="s">
        <v>943</v>
      </c>
      <c r="C1534" t="s">
        <v>159</v>
      </c>
      <c r="D1534" s="190">
        <v>3953</v>
      </c>
      <c r="E1534" s="191">
        <v>4034</v>
      </c>
      <c r="F1534" s="191">
        <v>3939</v>
      </c>
      <c r="G1534" s="481">
        <v>148</v>
      </c>
      <c r="H1534" s="19"/>
      <c r="I1534" s="19"/>
      <c r="M1534" s="19"/>
    </row>
    <row r="1535" spans="1:13">
      <c r="A1535" s="479">
        <v>3938</v>
      </c>
      <c r="B1535" s="19" t="s">
        <v>944</v>
      </c>
      <c r="C1535" t="s">
        <v>159</v>
      </c>
      <c r="D1535" s="190">
        <v>3938</v>
      </c>
      <c r="E1535" s="191">
        <v>4592</v>
      </c>
      <c r="F1535" s="191">
        <v>3845</v>
      </c>
      <c r="G1535" s="481">
        <v>204</v>
      </c>
      <c r="H1535" s="19"/>
      <c r="I1535" s="19"/>
      <c r="M1535" s="19"/>
    </row>
    <row r="1536" spans="1:13">
      <c r="A1536" s="479">
        <v>1993</v>
      </c>
      <c r="B1536" s="19" t="s">
        <v>945</v>
      </c>
      <c r="C1536" t="s">
        <v>159</v>
      </c>
      <c r="D1536" s="190">
        <v>1993</v>
      </c>
      <c r="E1536" s="191">
        <v>6677</v>
      </c>
      <c r="F1536" s="191">
        <v>6611</v>
      </c>
      <c r="G1536" s="481">
        <v>238</v>
      </c>
      <c r="H1536" s="19"/>
      <c r="I1536" s="19"/>
      <c r="M1536" s="19"/>
    </row>
    <row r="1537" spans="1:13">
      <c r="A1537" s="479">
        <v>3918</v>
      </c>
      <c r="B1537" s="19" t="s">
        <v>946</v>
      </c>
      <c r="C1537" t="s">
        <v>159</v>
      </c>
      <c r="D1537" s="190">
        <v>3918</v>
      </c>
      <c r="E1537" s="191">
        <v>6035</v>
      </c>
      <c r="F1537" s="191">
        <v>6418</v>
      </c>
      <c r="G1537" s="481">
        <v>227</v>
      </c>
      <c r="H1537" s="19"/>
      <c r="I1537" s="19"/>
      <c r="M1537" s="19"/>
    </row>
    <row r="1538" spans="1:13">
      <c r="A1538" s="479">
        <v>1977</v>
      </c>
      <c r="B1538" s="19" t="s">
        <v>947</v>
      </c>
      <c r="C1538" t="s">
        <v>159</v>
      </c>
      <c r="D1538" s="190">
        <v>1977</v>
      </c>
      <c r="E1538" s="191">
        <v>8482</v>
      </c>
      <c r="F1538" s="191">
        <v>6846</v>
      </c>
      <c r="G1538" s="481">
        <v>238</v>
      </c>
      <c r="H1538" s="19"/>
      <c r="I1538" s="19"/>
      <c r="M1538" s="19"/>
    </row>
    <row r="1539" spans="1:13">
      <c r="A1539" s="479">
        <v>3933</v>
      </c>
      <c r="B1539" s="19" t="s">
        <v>948</v>
      </c>
      <c r="C1539" t="s">
        <v>159</v>
      </c>
      <c r="D1539" s="190">
        <v>3933</v>
      </c>
      <c r="E1539" s="191">
        <v>3817</v>
      </c>
      <c r="F1539" s="191">
        <v>2951</v>
      </c>
      <c r="G1539" s="481">
        <v>177</v>
      </c>
      <c r="H1539" s="19"/>
      <c r="I1539" s="19"/>
      <c r="M1539" s="19"/>
    </row>
    <row r="1540" spans="1:13">
      <c r="A1540" s="479">
        <v>3995</v>
      </c>
      <c r="B1540" s="19" t="s">
        <v>949</v>
      </c>
      <c r="C1540" t="s">
        <v>159</v>
      </c>
      <c r="D1540" s="190">
        <v>3995</v>
      </c>
      <c r="E1540" s="191">
        <v>4600</v>
      </c>
      <c r="F1540" s="191">
        <v>5290</v>
      </c>
      <c r="G1540" s="481">
        <v>238</v>
      </c>
      <c r="H1540" s="19"/>
      <c r="I1540" s="19"/>
      <c r="M1540" s="19"/>
    </row>
    <row r="1541" spans="1:13">
      <c r="A1541" s="479">
        <v>3987</v>
      </c>
      <c r="B1541" s="19" t="s">
        <v>950</v>
      </c>
      <c r="C1541" t="s">
        <v>159</v>
      </c>
      <c r="D1541" s="190">
        <v>3987</v>
      </c>
      <c r="E1541" s="191">
        <v>7599</v>
      </c>
      <c r="F1541" s="191">
        <v>7361</v>
      </c>
      <c r="G1541" s="481">
        <v>36</v>
      </c>
      <c r="H1541" s="19"/>
      <c r="I1541" s="19"/>
      <c r="M1541" s="19"/>
    </row>
    <row r="1542" spans="1:13">
      <c r="A1542" s="479">
        <v>3923</v>
      </c>
      <c r="B1542" s="19" t="s">
        <v>951</v>
      </c>
      <c r="C1542" t="s">
        <v>159</v>
      </c>
      <c r="D1542" s="190">
        <v>3923</v>
      </c>
      <c r="E1542" s="191">
        <v>4162</v>
      </c>
      <c r="F1542" s="191">
        <v>3757</v>
      </c>
      <c r="G1542" s="481">
        <v>140</v>
      </c>
      <c r="H1542" s="19"/>
      <c r="I1542" s="19"/>
      <c r="M1542" s="19"/>
    </row>
    <row r="1543" spans="1:13">
      <c r="A1543" s="479">
        <v>3992</v>
      </c>
      <c r="B1543" s="19" t="s">
        <v>952</v>
      </c>
      <c r="C1543" t="s">
        <v>159</v>
      </c>
      <c r="D1543" s="190">
        <v>3992</v>
      </c>
      <c r="E1543" s="191">
        <v>11251</v>
      </c>
      <c r="F1543" s="191">
        <v>4664</v>
      </c>
      <c r="G1543" s="481">
        <v>225</v>
      </c>
      <c r="H1543" s="19"/>
      <c r="I1543" s="19"/>
      <c r="M1543" s="19"/>
    </row>
    <row r="1544" spans="1:13">
      <c r="A1544" s="479">
        <v>3928</v>
      </c>
      <c r="B1544" s="19" t="s">
        <v>953</v>
      </c>
      <c r="C1544" t="s">
        <v>159</v>
      </c>
      <c r="D1544" s="190">
        <v>3928</v>
      </c>
      <c r="E1544" s="191">
        <v>6593</v>
      </c>
      <c r="F1544" s="191">
        <v>8420</v>
      </c>
      <c r="G1544" s="481">
        <v>268</v>
      </c>
      <c r="H1544" s="19"/>
      <c r="I1544" s="19"/>
      <c r="M1544" s="19"/>
    </row>
    <row r="1545" spans="1:13">
      <c r="A1545" s="479">
        <v>3943</v>
      </c>
      <c r="B1545" s="19" t="s">
        <v>954</v>
      </c>
      <c r="C1545" t="s">
        <v>159</v>
      </c>
      <c r="D1545" s="190">
        <v>3943</v>
      </c>
      <c r="E1545" s="191">
        <v>3599</v>
      </c>
      <c r="F1545" s="191">
        <v>3521</v>
      </c>
      <c r="G1545" s="481">
        <v>184</v>
      </c>
      <c r="H1545" s="19"/>
      <c r="I1545" s="19"/>
      <c r="M1545" s="19"/>
    </row>
    <row r="1546" spans="1:13">
      <c r="A1546" s="479">
        <v>3993</v>
      </c>
      <c r="B1546" s="19" t="s">
        <v>955</v>
      </c>
      <c r="C1546" t="s">
        <v>159</v>
      </c>
      <c r="D1546" s="190">
        <v>3993</v>
      </c>
      <c r="E1546" s="191">
        <v>6826</v>
      </c>
      <c r="F1546" s="191">
        <v>3979</v>
      </c>
      <c r="G1546" s="481">
        <v>170</v>
      </c>
      <c r="H1546" s="19"/>
      <c r="I1546" s="19"/>
      <c r="M1546" s="19"/>
    </row>
    <row r="1547" spans="1:13">
      <c r="A1547" s="479">
        <v>3944</v>
      </c>
      <c r="B1547" s="19" t="s">
        <v>956</v>
      </c>
      <c r="C1547" t="s">
        <v>159</v>
      </c>
      <c r="D1547" s="190">
        <v>3944</v>
      </c>
      <c r="E1547" s="191">
        <v>5127</v>
      </c>
      <c r="F1547" s="191">
        <v>4441</v>
      </c>
      <c r="G1547" s="481">
        <v>246</v>
      </c>
      <c r="H1547" s="19"/>
      <c r="I1547" s="19"/>
      <c r="M1547" s="19"/>
    </row>
    <row r="1548" spans="1:13">
      <c r="A1548" s="479">
        <v>3956</v>
      </c>
      <c r="B1548" s="19" t="s">
        <v>957</v>
      </c>
      <c r="C1548" t="s">
        <v>159</v>
      </c>
      <c r="D1548" s="190">
        <v>3956</v>
      </c>
      <c r="E1548" s="191">
        <v>4288</v>
      </c>
      <c r="F1548" s="191">
        <v>4852</v>
      </c>
      <c r="G1548" s="481">
        <v>238</v>
      </c>
      <c r="H1548" s="19"/>
      <c r="I1548" s="19"/>
      <c r="M1548" s="19"/>
    </row>
    <row r="1549" spans="1:13">
      <c r="A1549" s="479">
        <v>3997</v>
      </c>
      <c r="B1549" s="19" t="s">
        <v>958</v>
      </c>
      <c r="C1549" t="s">
        <v>159</v>
      </c>
      <c r="D1549" s="190">
        <v>3997</v>
      </c>
      <c r="E1549" s="191">
        <v>5446</v>
      </c>
      <c r="F1549" s="191">
        <v>5443</v>
      </c>
      <c r="G1549" s="481">
        <v>160</v>
      </c>
      <c r="H1549" s="19"/>
      <c r="I1549" s="19"/>
      <c r="M1549" s="19"/>
    </row>
    <row r="1550" spans="1:13">
      <c r="A1550" s="479">
        <v>1925</v>
      </c>
      <c r="B1550" s="19" t="s">
        <v>959</v>
      </c>
      <c r="C1550" t="s">
        <v>159</v>
      </c>
      <c r="D1550" s="190">
        <v>1925</v>
      </c>
      <c r="E1550" s="191">
        <v>4548</v>
      </c>
      <c r="F1550" s="191">
        <v>3461</v>
      </c>
      <c r="G1550" s="481">
        <v>113</v>
      </c>
      <c r="H1550" s="19"/>
      <c r="I1550" s="19"/>
      <c r="M1550" s="19"/>
    </row>
    <row r="1551" spans="1:13">
      <c r="A1551" s="479">
        <v>3905</v>
      </c>
      <c r="B1551" s="19" t="s">
        <v>960</v>
      </c>
      <c r="C1551" t="s">
        <v>159</v>
      </c>
      <c r="D1551" s="190">
        <v>3905</v>
      </c>
      <c r="E1551" s="191">
        <v>5809</v>
      </c>
      <c r="F1551" s="191">
        <v>9007</v>
      </c>
      <c r="G1551" s="481">
        <v>238</v>
      </c>
      <c r="H1551" s="19"/>
      <c r="I1551" s="19"/>
      <c r="M1551" s="19"/>
    </row>
    <row r="1552" spans="1:13">
      <c r="A1552" s="479">
        <v>3908</v>
      </c>
      <c r="B1552" s="19" t="s">
        <v>961</v>
      </c>
      <c r="C1552" t="s">
        <v>159</v>
      </c>
      <c r="D1552" s="190">
        <v>3908</v>
      </c>
      <c r="E1552" s="191">
        <v>4272</v>
      </c>
      <c r="F1552" s="191">
        <v>6745</v>
      </c>
      <c r="G1552" s="481">
        <v>172</v>
      </c>
      <c r="H1552" s="19"/>
      <c r="I1552" s="19"/>
      <c r="M1552" s="19"/>
    </row>
    <row r="1553" spans="1:13">
      <c r="A1553" s="479">
        <v>3939</v>
      </c>
      <c r="B1553" s="19" t="s">
        <v>962</v>
      </c>
      <c r="C1553" t="s">
        <v>159</v>
      </c>
      <c r="D1553" s="190">
        <v>3939</v>
      </c>
      <c r="E1553" s="191">
        <v>5003</v>
      </c>
      <c r="F1553" s="191">
        <v>4894</v>
      </c>
      <c r="G1553" s="481">
        <v>178</v>
      </c>
      <c r="H1553" s="19"/>
      <c r="I1553" s="19"/>
      <c r="M1553" s="19"/>
    </row>
    <row r="1554" spans="1:13">
      <c r="A1554" s="479">
        <v>3984</v>
      </c>
      <c r="B1554" s="19" t="s">
        <v>963</v>
      </c>
      <c r="C1554" t="s">
        <v>159</v>
      </c>
      <c r="D1554" s="190">
        <v>3984</v>
      </c>
      <c r="E1554" s="191">
        <v>4173</v>
      </c>
      <c r="F1554" s="191">
        <v>5393</v>
      </c>
      <c r="G1554" s="481">
        <v>257</v>
      </c>
      <c r="H1554" s="19"/>
      <c r="I1554" s="19"/>
      <c r="M1554" s="19"/>
    </row>
    <row r="1555" spans="1:13">
      <c r="A1555" s="479">
        <v>3917</v>
      </c>
      <c r="B1555" s="19" t="s">
        <v>964</v>
      </c>
      <c r="C1555" t="s">
        <v>159</v>
      </c>
      <c r="D1555" s="190">
        <v>3917</v>
      </c>
      <c r="E1555" s="191">
        <v>6425</v>
      </c>
      <c r="F1555" s="191">
        <v>5780</v>
      </c>
      <c r="G1555" s="481">
        <v>720</v>
      </c>
      <c r="H1555" s="19"/>
      <c r="I1555" s="19"/>
      <c r="M1555" s="19"/>
    </row>
    <row r="1556" spans="1:13">
      <c r="A1556" s="479">
        <v>3994</v>
      </c>
      <c r="B1556" s="19" t="s">
        <v>965</v>
      </c>
      <c r="C1556" t="s">
        <v>159</v>
      </c>
      <c r="D1556" s="190">
        <v>3994</v>
      </c>
      <c r="E1556" s="191">
        <v>4596</v>
      </c>
      <c r="F1556" s="191">
        <v>4695</v>
      </c>
      <c r="G1556" s="481">
        <v>233</v>
      </c>
      <c r="H1556" s="19"/>
      <c r="I1556" s="19"/>
      <c r="M1556" s="19"/>
    </row>
    <row r="1557" spans="1:13">
      <c r="A1557" s="479">
        <v>3907</v>
      </c>
      <c r="B1557" s="19" t="s">
        <v>966</v>
      </c>
      <c r="C1557" t="s">
        <v>159</v>
      </c>
      <c r="D1557" s="190">
        <v>3907</v>
      </c>
      <c r="E1557" s="191">
        <v>5901</v>
      </c>
      <c r="F1557" s="191">
        <v>2936</v>
      </c>
      <c r="G1557" s="481">
        <v>238</v>
      </c>
      <c r="H1557" s="19"/>
      <c r="I1557" s="19"/>
      <c r="M1557" s="19"/>
    </row>
    <row r="1558" spans="1:13">
      <c r="A1558" s="479">
        <v>3926</v>
      </c>
      <c r="B1558" s="19" t="s">
        <v>967</v>
      </c>
      <c r="C1558" t="s">
        <v>159</v>
      </c>
      <c r="D1558" s="190">
        <v>3926</v>
      </c>
      <c r="E1558" s="191">
        <v>6038</v>
      </c>
      <c r="F1558" s="191">
        <v>3631</v>
      </c>
      <c r="G1558" s="481">
        <v>135</v>
      </c>
      <c r="H1558" s="19"/>
      <c r="I1558" s="19"/>
      <c r="M1558" s="19"/>
    </row>
    <row r="1559" spans="1:13">
      <c r="A1559" s="479">
        <v>3919</v>
      </c>
      <c r="B1559" s="19" t="s">
        <v>968</v>
      </c>
      <c r="C1559" t="s">
        <v>159</v>
      </c>
      <c r="D1559" s="190">
        <v>3919</v>
      </c>
      <c r="E1559" s="191">
        <v>4580</v>
      </c>
      <c r="F1559" s="191">
        <v>4535</v>
      </c>
      <c r="G1559" s="481">
        <v>238</v>
      </c>
      <c r="H1559" s="19"/>
      <c r="I1559" s="19"/>
      <c r="M1559" s="19"/>
    </row>
    <row r="1560" spans="1:13">
      <c r="A1560" s="479">
        <v>3934</v>
      </c>
      <c r="B1560" s="19" t="s">
        <v>969</v>
      </c>
      <c r="C1560" t="s">
        <v>159</v>
      </c>
      <c r="D1560" s="190">
        <v>3934</v>
      </c>
      <c r="E1560" s="191">
        <v>4749</v>
      </c>
      <c r="F1560" s="191">
        <v>4931</v>
      </c>
      <c r="G1560" s="481">
        <v>240</v>
      </c>
      <c r="H1560" s="19"/>
      <c r="I1560" s="19"/>
      <c r="M1560" s="19"/>
    </row>
    <row r="1561" spans="1:13">
      <c r="A1561" s="479">
        <v>3916</v>
      </c>
      <c r="B1561" s="19" t="s">
        <v>970</v>
      </c>
      <c r="C1561" t="s">
        <v>159</v>
      </c>
      <c r="D1561" s="190">
        <v>3916</v>
      </c>
      <c r="E1561" s="191">
        <v>6290</v>
      </c>
      <c r="F1561" s="191">
        <v>4984</v>
      </c>
      <c r="G1561" s="481">
        <v>238</v>
      </c>
      <c r="H1561" s="19"/>
      <c r="I1561" s="19"/>
      <c r="M1561" s="19"/>
    </row>
    <row r="1562" spans="1:13">
      <c r="A1562" s="479">
        <v>3955</v>
      </c>
      <c r="B1562" s="19" t="s">
        <v>971</v>
      </c>
      <c r="C1562" t="s">
        <v>159</v>
      </c>
      <c r="D1562" s="190">
        <v>3955</v>
      </c>
      <c r="E1562" s="191">
        <v>3879</v>
      </c>
      <c r="F1562" s="191">
        <v>5822</v>
      </c>
      <c r="G1562" s="481">
        <v>208</v>
      </c>
      <c r="H1562" s="19"/>
      <c r="I1562" s="19"/>
      <c r="M1562" s="19"/>
    </row>
    <row r="1563" spans="1:13">
      <c r="A1563" s="479">
        <v>3932</v>
      </c>
      <c r="B1563" s="19" t="s">
        <v>972</v>
      </c>
      <c r="C1563" t="s">
        <v>159</v>
      </c>
      <c r="D1563" s="190">
        <v>3932</v>
      </c>
      <c r="E1563" s="191">
        <v>5370</v>
      </c>
      <c r="F1563" s="191">
        <v>4215</v>
      </c>
      <c r="G1563" s="481">
        <v>238</v>
      </c>
      <c r="H1563" s="19"/>
      <c r="I1563" s="19"/>
      <c r="M1563" s="19"/>
    </row>
    <row r="1564" spans="1:13">
      <c r="A1564" s="479">
        <v>3947</v>
      </c>
      <c r="B1564" s="19" t="s">
        <v>973</v>
      </c>
      <c r="C1564" t="s">
        <v>159</v>
      </c>
      <c r="D1564" s="190">
        <v>3947</v>
      </c>
      <c r="E1564" s="191">
        <v>3759</v>
      </c>
      <c r="F1564" s="191">
        <v>5142</v>
      </c>
      <c r="G1564" s="481">
        <v>238</v>
      </c>
      <c r="H1564" s="19"/>
      <c r="I1564" s="19"/>
      <c r="M1564" s="19"/>
    </row>
    <row r="1565" spans="1:13">
      <c r="A1565" s="479">
        <v>1929</v>
      </c>
      <c r="B1565" s="19" t="s">
        <v>974</v>
      </c>
      <c r="C1565" t="s">
        <v>159</v>
      </c>
      <c r="D1565" s="190">
        <v>1929</v>
      </c>
      <c r="E1565" s="191">
        <v>3541</v>
      </c>
      <c r="F1565" s="191">
        <v>3955</v>
      </c>
      <c r="G1565" s="481">
        <v>238</v>
      </c>
      <c r="H1565" s="19"/>
      <c r="I1565" s="19"/>
      <c r="M1565" s="19"/>
    </row>
    <row r="1566" spans="1:13">
      <c r="A1566" s="479">
        <v>1946</v>
      </c>
      <c r="B1566" s="19" t="s">
        <v>975</v>
      </c>
      <c r="C1566" t="s">
        <v>159</v>
      </c>
      <c r="D1566" s="190">
        <v>1946</v>
      </c>
      <c r="E1566" s="191">
        <v>2983</v>
      </c>
      <c r="F1566" s="191">
        <v>3315</v>
      </c>
      <c r="G1566" s="481">
        <v>238</v>
      </c>
      <c r="H1566" s="19"/>
      <c r="I1566" s="19"/>
      <c r="M1566" s="19"/>
    </row>
    <row r="1567" spans="1:13">
      <c r="A1567" s="479">
        <v>3996</v>
      </c>
      <c r="B1567" s="19" t="s">
        <v>976</v>
      </c>
      <c r="C1567" t="s">
        <v>159</v>
      </c>
      <c r="D1567" s="190">
        <v>3996</v>
      </c>
      <c r="E1567" s="191">
        <v>4070</v>
      </c>
      <c r="F1567" s="191">
        <v>5636</v>
      </c>
      <c r="G1567" s="481">
        <v>238</v>
      </c>
      <c r="H1567" s="19"/>
      <c r="I1567" s="19"/>
      <c r="M1567" s="19"/>
    </row>
    <row r="1568" spans="1:13">
      <c r="A1568" s="479">
        <v>3948</v>
      </c>
      <c r="B1568" s="19" t="s">
        <v>977</v>
      </c>
      <c r="C1568" t="s">
        <v>159</v>
      </c>
      <c r="D1568" s="190">
        <v>3948</v>
      </c>
      <c r="E1568" s="191">
        <v>4180</v>
      </c>
      <c r="F1568" s="191">
        <v>4036</v>
      </c>
      <c r="G1568" s="481">
        <v>238</v>
      </c>
      <c r="H1568" s="19"/>
      <c r="I1568" s="19"/>
      <c r="M1568" s="19"/>
    </row>
    <row r="1569" spans="1:13">
      <c r="A1569" s="479">
        <v>3953</v>
      </c>
      <c r="B1569" s="19" t="s">
        <v>978</v>
      </c>
      <c r="C1569" t="s">
        <v>159</v>
      </c>
      <c r="D1569" s="190">
        <v>3953</v>
      </c>
      <c r="E1569" s="191">
        <v>5003</v>
      </c>
      <c r="F1569" s="191">
        <v>5262</v>
      </c>
      <c r="G1569" s="481">
        <v>238</v>
      </c>
      <c r="H1569" s="19"/>
      <c r="I1569" s="19"/>
      <c r="M1569" s="19"/>
    </row>
    <row r="1570" spans="1:13">
      <c r="A1570" s="479">
        <v>3907</v>
      </c>
      <c r="B1570" s="19" t="s">
        <v>979</v>
      </c>
      <c r="C1570" t="s">
        <v>159</v>
      </c>
      <c r="D1570" s="190">
        <v>3907</v>
      </c>
      <c r="E1570" s="191">
        <v>6239</v>
      </c>
      <c r="F1570" s="191">
        <v>6143</v>
      </c>
      <c r="G1570" s="481">
        <v>238</v>
      </c>
      <c r="H1570" s="19"/>
      <c r="I1570" s="19"/>
      <c r="M1570" s="19"/>
    </row>
    <row r="1571" spans="1:13">
      <c r="A1571" s="479">
        <v>3983</v>
      </c>
      <c r="B1571" s="19" t="s">
        <v>980</v>
      </c>
      <c r="C1571" t="s">
        <v>159</v>
      </c>
      <c r="D1571" s="190">
        <v>3983</v>
      </c>
      <c r="E1571" s="191">
        <v>6632</v>
      </c>
      <c r="F1571" s="191">
        <v>4483</v>
      </c>
      <c r="G1571" s="485" t="s">
        <v>2470</v>
      </c>
      <c r="H1571" s="19"/>
      <c r="I1571" s="19"/>
      <c r="M1571" s="19"/>
    </row>
    <row r="1572" spans="1:13">
      <c r="A1572" s="479">
        <v>2800</v>
      </c>
      <c r="B1572" s="19" t="s">
        <v>981</v>
      </c>
      <c r="C1572" t="s">
        <v>2502</v>
      </c>
      <c r="D1572" s="190">
        <v>2800</v>
      </c>
      <c r="E1572" s="191">
        <v>4279</v>
      </c>
      <c r="F1572" s="191">
        <v>4738</v>
      </c>
      <c r="G1572" s="481">
        <v>195</v>
      </c>
      <c r="H1572" s="19"/>
      <c r="I1572" s="19"/>
      <c r="M1572" s="19"/>
    </row>
    <row r="1573" spans="1:13">
      <c r="A1573" s="479">
        <v>2863</v>
      </c>
      <c r="B1573" s="19" t="s">
        <v>982</v>
      </c>
      <c r="C1573" t="s">
        <v>2502</v>
      </c>
      <c r="D1573" s="190">
        <v>2863</v>
      </c>
      <c r="E1573" s="191">
        <v>4526</v>
      </c>
      <c r="F1573" s="191">
        <v>4247</v>
      </c>
      <c r="G1573" s="481">
        <v>180</v>
      </c>
      <c r="H1573" s="19"/>
      <c r="I1573" s="19"/>
      <c r="M1573" s="19"/>
    </row>
    <row r="1574" spans="1:13">
      <c r="A1574" s="479">
        <v>2900</v>
      </c>
      <c r="B1574" s="19" t="s">
        <v>983</v>
      </c>
      <c r="C1574" t="s">
        <v>2502</v>
      </c>
      <c r="D1574" s="190">
        <v>2900</v>
      </c>
      <c r="E1574" s="191">
        <v>4380</v>
      </c>
      <c r="F1574" s="191">
        <v>4283</v>
      </c>
      <c r="G1574" s="481">
        <v>188</v>
      </c>
      <c r="H1574" s="19"/>
      <c r="I1574" s="19"/>
      <c r="M1574" s="19"/>
    </row>
    <row r="1575" spans="1:13">
      <c r="A1575" s="479">
        <v>2830</v>
      </c>
      <c r="B1575" s="19" t="s">
        <v>984</v>
      </c>
      <c r="C1575" t="s">
        <v>2502</v>
      </c>
      <c r="D1575" s="190">
        <v>2830</v>
      </c>
      <c r="E1575" s="191">
        <v>4723</v>
      </c>
      <c r="F1575" s="191">
        <v>4580</v>
      </c>
      <c r="G1575" s="481">
        <v>172</v>
      </c>
      <c r="H1575" s="19"/>
      <c r="I1575" s="19"/>
      <c r="M1575" s="19"/>
    </row>
    <row r="1576" spans="1:13">
      <c r="A1576" s="479">
        <v>2822</v>
      </c>
      <c r="B1576" s="19" t="s">
        <v>985</v>
      </c>
      <c r="C1576" t="s">
        <v>2502</v>
      </c>
      <c r="D1576" s="190">
        <v>2822</v>
      </c>
      <c r="E1576" s="191">
        <v>4876</v>
      </c>
      <c r="F1576" s="191">
        <v>4724</v>
      </c>
      <c r="G1576" s="481">
        <v>182</v>
      </c>
      <c r="H1576" s="19"/>
      <c r="I1576" s="19"/>
      <c r="M1576" s="19"/>
    </row>
    <row r="1577" spans="1:13">
      <c r="A1577" s="479">
        <v>2824</v>
      </c>
      <c r="B1577" s="19" t="s">
        <v>986</v>
      </c>
      <c r="C1577" t="s">
        <v>2502</v>
      </c>
      <c r="D1577" s="190">
        <v>2824</v>
      </c>
      <c r="E1577" s="191">
        <v>4845</v>
      </c>
      <c r="F1577" s="191">
        <v>4168</v>
      </c>
      <c r="G1577" s="481">
        <v>183</v>
      </c>
      <c r="H1577" s="19"/>
      <c r="I1577" s="19"/>
      <c r="M1577" s="19"/>
    </row>
    <row r="1578" spans="1:13">
      <c r="A1578" s="479">
        <v>2852</v>
      </c>
      <c r="B1578" s="19" t="s">
        <v>987</v>
      </c>
      <c r="C1578" t="s">
        <v>2502</v>
      </c>
      <c r="D1578" s="190">
        <v>2852</v>
      </c>
      <c r="E1578" s="191">
        <v>4030</v>
      </c>
      <c r="F1578" s="191">
        <v>3998</v>
      </c>
      <c r="G1578" s="481">
        <v>195</v>
      </c>
      <c r="H1578" s="19"/>
      <c r="I1578" s="19"/>
      <c r="M1578" s="19"/>
    </row>
    <row r="1579" spans="1:13">
      <c r="A1579" s="479">
        <v>2350</v>
      </c>
      <c r="B1579" s="19" t="s">
        <v>988</v>
      </c>
      <c r="C1579" t="s">
        <v>2502</v>
      </c>
      <c r="D1579" s="190">
        <v>2350</v>
      </c>
      <c r="E1579" s="191">
        <v>4153</v>
      </c>
      <c r="F1579" s="191">
        <v>4883</v>
      </c>
      <c r="G1579" s="481">
        <v>145</v>
      </c>
      <c r="H1579" s="19"/>
      <c r="I1579" s="19"/>
      <c r="M1579" s="19"/>
    </row>
    <row r="1580" spans="1:13">
      <c r="A1580" s="479">
        <v>2950</v>
      </c>
      <c r="B1580" s="19" t="s">
        <v>989</v>
      </c>
      <c r="C1580" t="s">
        <v>2502</v>
      </c>
      <c r="D1580" s="190">
        <v>2950</v>
      </c>
      <c r="E1580" s="191">
        <v>4000</v>
      </c>
      <c r="F1580" s="191">
        <v>3546</v>
      </c>
      <c r="G1580" s="481">
        <v>178</v>
      </c>
      <c r="H1580" s="19"/>
      <c r="I1580" s="19"/>
      <c r="M1580" s="19"/>
    </row>
    <row r="1581" spans="1:13">
      <c r="A1581" s="479">
        <v>2340</v>
      </c>
      <c r="B1581" s="19" t="s">
        <v>990</v>
      </c>
      <c r="C1581" t="s">
        <v>2502</v>
      </c>
      <c r="D1581" s="190">
        <v>2340</v>
      </c>
      <c r="E1581" s="191">
        <v>6625</v>
      </c>
      <c r="F1581" s="191">
        <v>5541</v>
      </c>
      <c r="G1581" s="481">
        <v>164</v>
      </c>
      <c r="H1581" s="19"/>
      <c r="I1581" s="19"/>
      <c r="M1581" s="19"/>
    </row>
    <row r="1582" spans="1:13">
      <c r="A1582" s="479">
        <v>2942</v>
      </c>
      <c r="B1582" s="19" t="s">
        <v>991</v>
      </c>
      <c r="C1582" t="s">
        <v>2502</v>
      </c>
      <c r="D1582" s="190">
        <v>2942</v>
      </c>
      <c r="E1582" s="191">
        <v>4587</v>
      </c>
      <c r="F1582" s="191">
        <v>4318</v>
      </c>
      <c r="G1582" s="481">
        <v>183</v>
      </c>
      <c r="H1582" s="19"/>
      <c r="I1582" s="19"/>
      <c r="M1582" s="19"/>
    </row>
    <row r="1583" spans="1:13">
      <c r="A1583" s="479">
        <v>2902</v>
      </c>
      <c r="B1583" s="19" t="s">
        <v>992</v>
      </c>
      <c r="C1583" t="s">
        <v>2502</v>
      </c>
      <c r="D1583" s="190">
        <v>2902</v>
      </c>
      <c r="E1583" s="191">
        <v>4393</v>
      </c>
      <c r="F1583" s="191">
        <v>3718</v>
      </c>
      <c r="G1583" s="481">
        <v>200</v>
      </c>
      <c r="H1583" s="19"/>
      <c r="I1583" s="19"/>
      <c r="M1583" s="19"/>
    </row>
    <row r="1584" spans="1:13">
      <c r="A1584" s="479">
        <v>2345</v>
      </c>
      <c r="B1584" s="19" t="s">
        <v>993</v>
      </c>
      <c r="C1584" t="s">
        <v>2502</v>
      </c>
      <c r="D1584" s="190">
        <v>2345</v>
      </c>
      <c r="E1584" s="191">
        <v>5180</v>
      </c>
      <c r="F1584" s="191">
        <v>4165</v>
      </c>
      <c r="G1584" s="481">
        <v>197</v>
      </c>
      <c r="H1584" s="19"/>
      <c r="I1584" s="19"/>
      <c r="M1584" s="19"/>
    </row>
    <row r="1585" spans="1:13">
      <c r="A1585" s="479">
        <v>2802</v>
      </c>
      <c r="B1585" s="19" t="s">
        <v>994</v>
      </c>
      <c r="C1585" t="s">
        <v>2502</v>
      </c>
      <c r="D1585" s="190">
        <v>2802</v>
      </c>
      <c r="E1585" s="191">
        <v>4906</v>
      </c>
      <c r="F1585" s="191">
        <v>4493</v>
      </c>
      <c r="G1585" s="481">
        <v>203</v>
      </c>
      <c r="H1585" s="19"/>
      <c r="I1585" s="19"/>
      <c r="M1585" s="19"/>
    </row>
    <row r="1586" spans="1:13">
      <c r="A1586" s="479">
        <v>2882</v>
      </c>
      <c r="B1586" s="19" t="s">
        <v>995</v>
      </c>
      <c r="C1586" t="s">
        <v>2502</v>
      </c>
      <c r="D1586" s="190">
        <v>2882</v>
      </c>
      <c r="E1586" s="191">
        <v>4530</v>
      </c>
      <c r="F1586" s="191">
        <v>2927</v>
      </c>
      <c r="G1586" s="481">
        <v>103</v>
      </c>
      <c r="H1586" s="19"/>
      <c r="I1586" s="19"/>
      <c r="M1586" s="19"/>
    </row>
    <row r="1587" spans="1:13">
      <c r="A1587" s="479">
        <v>2336</v>
      </c>
      <c r="B1587" s="19" t="s">
        <v>996</v>
      </c>
      <c r="C1587" t="s">
        <v>2502</v>
      </c>
      <c r="D1587" s="190">
        <v>2336</v>
      </c>
      <c r="E1587" s="191">
        <v>5674</v>
      </c>
      <c r="F1587" s="191">
        <v>5216</v>
      </c>
      <c r="G1587" s="481">
        <v>166</v>
      </c>
      <c r="H1587" s="19"/>
      <c r="I1587" s="19"/>
      <c r="M1587" s="19"/>
    </row>
    <row r="1588" spans="1:13">
      <c r="A1588" s="479">
        <v>2930</v>
      </c>
      <c r="B1588" s="19" t="s">
        <v>997</v>
      </c>
      <c r="C1588" t="s">
        <v>2502</v>
      </c>
      <c r="D1588" s="190">
        <v>2930</v>
      </c>
      <c r="E1588" s="191">
        <v>2021</v>
      </c>
      <c r="F1588" s="191">
        <v>3037</v>
      </c>
      <c r="G1588" s="481">
        <v>151</v>
      </c>
      <c r="H1588" s="19"/>
      <c r="I1588" s="19"/>
      <c r="M1588" s="19"/>
    </row>
    <row r="1589" spans="1:13">
      <c r="A1589" s="479">
        <v>2926</v>
      </c>
      <c r="B1589" s="19" t="s">
        <v>998</v>
      </c>
      <c r="C1589" t="s">
        <v>2502</v>
      </c>
      <c r="D1589" s="190">
        <v>2926</v>
      </c>
      <c r="E1589" s="191">
        <v>3695</v>
      </c>
      <c r="F1589" s="191">
        <v>3603</v>
      </c>
      <c r="G1589" s="481">
        <v>144</v>
      </c>
      <c r="H1589" s="19"/>
      <c r="I1589" s="19"/>
      <c r="M1589" s="19"/>
    </row>
    <row r="1590" spans="1:13">
      <c r="A1590" s="479">
        <v>2944</v>
      </c>
      <c r="B1590" s="19" t="s">
        <v>999</v>
      </c>
      <c r="C1590" t="s">
        <v>2502</v>
      </c>
      <c r="D1590" s="190">
        <v>2944</v>
      </c>
      <c r="E1590" s="191">
        <v>4414</v>
      </c>
      <c r="F1590" s="191">
        <v>2813</v>
      </c>
      <c r="G1590" s="481">
        <v>180</v>
      </c>
      <c r="H1590" s="19"/>
      <c r="I1590" s="19"/>
      <c r="M1590" s="19"/>
    </row>
    <row r="1591" spans="1:13">
      <c r="A1591" s="479">
        <v>2905</v>
      </c>
      <c r="B1591" s="19" t="s">
        <v>1000</v>
      </c>
      <c r="C1591" t="s">
        <v>2502</v>
      </c>
      <c r="D1591" s="190">
        <v>2905</v>
      </c>
      <c r="E1591" s="191">
        <v>3368</v>
      </c>
      <c r="F1591" s="191">
        <v>3194</v>
      </c>
      <c r="G1591" s="481">
        <v>164</v>
      </c>
      <c r="H1591" s="19"/>
      <c r="I1591" s="19"/>
      <c r="M1591" s="19"/>
    </row>
    <row r="1592" spans="1:13">
      <c r="A1592" s="479">
        <v>2952</v>
      </c>
      <c r="B1592" s="19" t="s">
        <v>1001</v>
      </c>
      <c r="C1592" t="s">
        <v>2502</v>
      </c>
      <c r="D1592" s="190">
        <v>2952</v>
      </c>
      <c r="E1592" s="191">
        <v>4270</v>
      </c>
      <c r="F1592" s="191">
        <v>3242</v>
      </c>
      <c r="G1592" s="481">
        <v>166</v>
      </c>
      <c r="H1592" s="19"/>
      <c r="I1592" s="19"/>
      <c r="M1592" s="19"/>
    </row>
    <row r="1593" spans="1:13">
      <c r="A1593" s="479">
        <v>2856</v>
      </c>
      <c r="B1593" s="19" t="s">
        <v>1002</v>
      </c>
      <c r="C1593" t="s">
        <v>2502</v>
      </c>
      <c r="D1593" s="190">
        <v>2856</v>
      </c>
      <c r="E1593" s="191">
        <v>4821</v>
      </c>
      <c r="F1593" s="191">
        <v>4330</v>
      </c>
      <c r="G1593" s="481">
        <v>202</v>
      </c>
      <c r="H1593" s="19"/>
      <c r="I1593" s="19"/>
      <c r="M1593" s="19"/>
    </row>
    <row r="1594" spans="1:13">
      <c r="A1594" s="479">
        <v>2905</v>
      </c>
      <c r="B1594" s="19" t="s">
        <v>1003</v>
      </c>
      <c r="C1594" t="s">
        <v>2502</v>
      </c>
      <c r="D1594" s="190">
        <v>2905</v>
      </c>
      <c r="E1594" s="191">
        <v>3808</v>
      </c>
      <c r="F1594" s="191">
        <v>3381</v>
      </c>
      <c r="G1594" s="481">
        <v>185</v>
      </c>
      <c r="H1594" s="19"/>
      <c r="I1594" s="19"/>
      <c r="M1594" s="19"/>
    </row>
    <row r="1595" spans="1:13">
      <c r="A1595" s="479">
        <v>2932</v>
      </c>
      <c r="B1595" s="19" t="s">
        <v>1004</v>
      </c>
      <c r="C1595" t="s">
        <v>2502</v>
      </c>
      <c r="D1595" s="190">
        <v>2932</v>
      </c>
      <c r="E1595" s="191">
        <v>4183</v>
      </c>
      <c r="F1595" s="191">
        <v>4575</v>
      </c>
      <c r="G1595" s="481">
        <v>120</v>
      </c>
      <c r="H1595" s="19"/>
      <c r="I1595" s="19"/>
      <c r="M1595" s="19"/>
    </row>
    <row r="1596" spans="1:13">
      <c r="A1596" s="479">
        <v>2718</v>
      </c>
      <c r="B1596" s="19" t="s">
        <v>1005</v>
      </c>
      <c r="C1596" t="s">
        <v>2502</v>
      </c>
      <c r="D1596" s="190">
        <v>2718</v>
      </c>
      <c r="E1596" s="191">
        <v>4136</v>
      </c>
      <c r="F1596" s="191">
        <v>3433</v>
      </c>
      <c r="G1596" s="481">
        <v>199</v>
      </c>
      <c r="H1596" s="19"/>
      <c r="I1596" s="19"/>
      <c r="M1596" s="19"/>
    </row>
    <row r="1597" spans="1:13">
      <c r="A1597" s="479">
        <v>2944</v>
      </c>
      <c r="B1597" s="19" t="s">
        <v>1006</v>
      </c>
      <c r="C1597" t="s">
        <v>2502</v>
      </c>
      <c r="D1597" s="190">
        <v>2944</v>
      </c>
      <c r="E1597" s="191">
        <v>1633</v>
      </c>
      <c r="F1597" s="191">
        <v>2354</v>
      </c>
      <c r="G1597" s="481">
        <v>159</v>
      </c>
      <c r="H1597" s="19"/>
      <c r="I1597" s="19"/>
      <c r="M1597" s="19"/>
    </row>
    <row r="1598" spans="1:13">
      <c r="A1598" s="479">
        <v>2915</v>
      </c>
      <c r="B1598" s="19" t="s">
        <v>1007</v>
      </c>
      <c r="C1598" t="s">
        <v>2502</v>
      </c>
      <c r="D1598" s="190">
        <v>2915</v>
      </c>
      <c r="E1598" s="191">
        <v>1847</v>
      </c>
      <c r="F1598" s="191">
        <v>2632</v>
      </c>
      <c r="G1598" s="481">
        <v>161</v>
      </c>
      <c r="H1598" s="19"/>
      <c r="I1598" s="19"/>
      <c r="M1598" s="19"/>
    </row>
    <row r="1599" spans="1:13">
      <c r="A1599" s="479">
        <v>2842</v>
      </c>
      <c r="B1599" s="19" t="s">
        <v>1008</v>
      </c>
      <c r="C1599" t="s">
        <v>2502</v>
      </c>
      <c r="D1599" s="190">
        <v>2842</v>
      </c>
      <c r="E1599" s="191">
        <v>5525</v>
      </c>
      <c r="F1599" s="191">
        <v>4995</v>
      </c>
      <c r="G1599" s="481">
        <v>204</v>
      </c>
      <c r="H1599" s="19"/>
      <c r="I1599" s="19"/>
      <c r="M1599" s="19"/>
    </row>
    <row r="1600" spans="1:13">
      <c r="A1600" s="479">
        <v>2875</v>
      </c>
      <c r="B1600" s="19" t="s">
        <v>1009</v>
      </c>
      <c r="C1600" t="s">
        <v>2502</v>
      </c>
      <c r="D1600" s="190">
        <v>2875</v>
      </c>
      <c r="E1600" s="191">
        <v>4461</v>
      </c>
      <c r="F1600" s="191">
        <v>4719</v>
      </c>
      <c r="G1600" s="481">
        <v>152</v>
      </c>
      <c r="H1600" s="19"/>
      <c r="I1600" s="19"/>
      <c r="M1600" s="19"/>
    </row>
    <row r="1601" spans="1:13">
      <c r="A1601" s="479">
        <v>2943</v>
      </c>
      <c r="B1601" s="19" t="s">
        <v>1010</v>
      </c>
      <c r="C1601" t="s">
        <v>2502</v>
      </c>
      <c r="D1601" s="190">
        <v>2943</v>
      </c>
      <c r="E1601" s="191">
        <v>2404</v>
      </c>
      <c r="F1601" s="191">
        <v>3598</v>
      </c>
      <c r="G1601" s="481">
        <v>138</v>
      </c>
      <c r="H1601" s="19"/>
      <c r="I1601" s="19"/>
      <c r="M1601" s="19"/>
    </row>
    <row r="1602" spans="1:13">
      <c r="A1602" s="479">
        <v>2714</v>
      </c>
      <c r="B1602" s="19" t="s">
        <v>1011</v>
      </c>
      <c r="C1602" t="s">
        <v>2502</v>
      </c>
      <c r="D1602" s="190">
        <v>2714</v>
      </c>
      <c r="E1602" s="191">
        <v>4098</v>
      </c>
      <c r="F1602" s="191">
        <v>3489</v>
      </c>
      <c r="G1602" s="481">
        <v>170</v>
      </c>
      <c r="H1602" s="19"/>
      <c r="I1602" s="19"/>
      <c r="M1602" s="19"/>
    </row>
    <row r="1603" spans="1:13">
      <c r="A1603" s="479">
        <v>2338</v>
      </c>
      <c r="B1603" s="19" t="s">
        <v>1012</v>
      </c>
      <c r="C1603" t="s">
        <v>2502</v>
      </c>
      <c r="D1603" s="190">
        <v>2338</v>
      </c>
      <c r="E1603" s="191">
        <v>5065</v>
      </c>
      <c r="F1603" s="191">
        <v>4702</v>
      </c>
      <c r="G1603" s="481">
        <v>166</v>
      </c>
      <c r="H1603" s="19"/>
      <c r="I1603" s="19"/>
      <c r="M1603" s="19"/>
    </row>
    <row r="1604" spans="1:13">
      <c r="A1604" s="479">
        <v>2827</v>
      </c>
      <c r="B1604" s="19" t="s">
        <v>1013</v>
      </c>
      <c r="C1604" t="s">
        <v>2502</v>
      </c>
      <c r="D1604" s="190">
        <v>2827</v>
      </c>
      <c r="E1604" s="191">
        <v>5982</v>
      </c>
      <c r="F1604" s="191">
        <v>3868</v>
      </c>
      <c r="G1604" s="481">
        <v>161</v>
      </c>
      <c r="H1604" s="19"/>
      <c r="I1604" s="19"/>
      <c r="M1604" s="19"/>
    </row>
    <row r="1605" spans="1:13">
      <c r="A1605" s="479">
        <v>2843</v>
      </c>
      <c r="B1605" s="19" t="s">
        <v>1014</v>
      </c>
      <c r="C1605" t="s">
        <v>2502</v>
      </c>
      <c r="D1605" s="190">
        <v>2843</v>
      </c>
      <c r="E1605" s="191">
        <v>4802</v>
      </c>
      <c r="F1605" s="191">
        <v>4580</v>
      </c>
      <c r="G1605" s="481">
        <v>210</v>
      </c>
      <c r="H1605" s="19"/>
      <c r="I1605" s="19"/>
      <c r="M1605" s="19"/>
    </row>
    <row r="1606" spans="1:13">
      <c r="A1606" s="479">
        <v>2805</v>
      </c>
      <c r="B1606" s="19" t="s">
        <v>1015</v>
      </c>
      <c r="C1606" t="s">
        <v>2502</v>
      </c>
      <c r="D1606" s="190">
        <v>2805</v>
      </c>
      <c r="E1606" s="191">
        <v>3984</v>
      </c>
      <c r="F1606" s="191">
        <v>4206</v>
      </c>
      <c r="G1606" s="481">
        <v>168</v>
      </c>
      <c r="H1606" s="19"/>
      <c r="I1606" s="19"/>
      <c r="M1606" s="19"/>
    </row>
    <row r="1607" spans="1:13">
      <c r="A1607" s="479">
        <v>2825</v>
      </c>
      <c r="B1607" s="19" t="s">
        <v>1016</v>
      </c>
      <c r="C1607" t="s">
        <v>2502</v>
      </c>
      <c r="D1607" s="190">
        <v>2825</v>
      </c>
      <c r="E1607" s="191">
        <v>4863</v>
      </c>
      <c r="F1607" s="191">
        <v>4062</v>
      </c>
      <c r="G1607" s="481">
        <v>158</v>
      </c>
      <c r="H1607" s="19"/>
      <c r="I1607" s="19"/>
      <c r="M1607" s="19"/>
    </row>
    <row r="1608" spans="1:13">
      <c r="A1608" s="479">
        <v>2812</v>
      </c>
      <c r="B1608" s="19" t="s">
        <v>1017</v>
      </c>
      <c r="C1608" t="s">
        <v>2502</v>
      </c>
      <c r="D1608" s="190">
        <v>2812</v>
      </c>
      <c r="E1608" s="191">
        <v>1533</v>
      </c>
      <c r="F1608" s="191">
        <v>4561</v>
      </c>
      <c r="G1608" s="481">
        <v>183</v>
      </c>
      <c r="H1608" s="19"/>
      <c r="I1608" s="19"/>
      <c r="M1608" s="19"/>
    </row>
    <row r="1609" spans="1:13">
      <c r="A1609" s="479">
        <v>2826</v>
      </c>
      <c r="B1609" s="19" t="s">
        <v>1018</v>
      </c>
      <c r="C1609" t="s">
        <v>2502</v>
      </c>
      <c r="D1609" s="190">
        <v>2826</v>
      </c>
      <c r="E1609" s="191">
        <v>2418</v>
      </c>
      <c r="F1609" s="191">
        <v>3114</v>
      </c>
      <c r="G1609" s="481">
        <v>183</v>
      </c>
      <c r="H1609" s="19"/>
      <c r="I1609" s="19"/>
      <c r="M1609" s="19"/>
    </row>
    <row r="1610" spans="1:13">
      <c r="A1610" s="479">
        <v>2916</v>
      </c>
      <c r="B1610" s="19" t="s">
        <v>1019</v>
      </c>
      <c r="C1610" t="s">
        <v>2502</v>
      </c>
      <c r="D1610" s="190">
        <v>2916</v>
      </c>
      <c r="E1610" s="191">
        <v>2223</v>
      </c>
      <c r="F1610" s="191">
        <v>2587</v>
      </c>
      <c r="G1610" s="481">
        <v>218</v>
      </c>
      <c r="H1610" s="19"/>
      <c r="I1610" s="19"/>
      <c r="M1610" s="19"/>
    </row>
    <row r="1611" spans="1:13">
      <c r="A1611" s="479">
        <v>2807</v>
      </c>
      <c r="B1611" s="19" t="s">
        <v>1020</v>
      </c>
      <c r="C1611" t="s">
        <v>2502</v>
      </c>
      <c r="D1611" s="190">
        <v>2807</v>
      </c>
      <c r="E1611" s="191">
        <v>3424</v>
      </c>
      <c r="F1611" s="191">
        <v>4930</v>
      </c>
      <c r="G1611" s="481">
        <v>183</v>
      </c>
      <c r="H1611" s="19"/>
      <c r="I1611" s="19"/>
      <c r="M1611" s="19"/>
    </row>
    <row r="1612" spans="1:13">
      <c r="A1612" s="479">
        <v>2360</v>
      </c>
      <c r="B1612" s="19" t="s">
        <v>1021</v>
      </c>
      <c r="C1612" t="s">
        <v>2502</v>
      </c>
      <c r="D1612" s="190">
        <v>2360</v>
      </c>
      <c r="E1612" s="191">
        <v>4079</v>
      </c>
      <c r="F1612" s="191">
        <v>4972</v>
      </c>
      <c r="G1612" s="481">
        <v>204</v>
      </c>
      <c r="H1612" s="19"/>
      <c r="I1612" s="19"/>
      <c r="M1612" s="19"/>
    </row>
    <row r="1613" spans="1:13">
      <c r="A1613" s="479">
        <v>2922</v>
      </c>
      <c r="B1613" s="19" t="s">
        <v>1022</v>
      </c>
      <c r="C1613" t="s">
        <v>2502</v>
      </c>
      <c r="D1613" s="190">
        <v>2922</v>
      </c>
      <c r="E1613" s="191">
        <v>4063</v>
      </c>
      <c r="F1613" s="191">
        <v>3352</v>
      </c>
      <c r="G1613" s="481">
        <v>161</v>
      </c>
      <c r="H1613" s="19"/>
      <c r="I1613" s="19"/>
      <c r="M1613" s="19"/>
    </row>
    <row r="1614" spans="1:13">
      <c r="A1614" s="479">
        <v>2873</v>
      </c>
      <c r="B1614" s="19" t="s">
        <v>1023</v>
      </c>
      <c r="C1614" t="s">
        <v>2502</v>
      </c>
      <c r="D1614" s="190">
        <v>2873</v>
      </c>
      <c r="E1614" s="191">
        <v>4299</v>
      </c>
      <c r="F1614" s="191">
        <v>2902</v>
      </c>
      <c r="G1614" s="481">
        <v>183</v>
      </c>
      <c r="H1614" s="19"/>
      <c r="I1614" s="19"/>
      <c r="M1614" s="19"/>
    </row>
    <row r="1615" spans="1:13">
      <c r="A1615" s="479">
        <v>2803</v>
      </c>
      <c r="B1615" s="19" t="s">
        <v>1024</v>
      </c>
      <c r="C1615" t="s">
        <v>2502</v>
      </c>
      <c r="D1615" s="190">
        <v>2803</v>
      </c>
      <c r="E1615" s="191">
        <v>4556</v>
      </c>
      <c r="F1615" s="191">
        <v>3850</v>
      </c>
      <c r="G1615" s="481">
        <v>142</v>
      </c>
      <c r="H1615" s="19"/>
      <c r="I1615" s="19"/>
      <c r="M1615" s="19"/>
    </row>
    <row r="1616" spans="1:13">
      <c r="A1616" s="479">
        <v>2364</v>
      </c>
      <c r="B1616" s="19" t="s">
        <v>1025</v>
      </c>
      <c r="C1616" t="s">
        <v>2502</v>
      </c>
      <c r="D1616" s="190">
        <v>2364</v>
      </c>
      <c r="E1616" s="191">
        <v>4354</v>
      </c>
      <c r="F1616" s="191">
        <v>3223</v>
      </c>
      <c r="G1616" s="481">
        <v>144</v>
      </c>
      <c r="H1616" s="19"/>
      <c r="I1616" s="19"/>
      <c r="M1616" s="19"/>
    </row>
    <row r="1617" spans="1:13">
      <c r="A1617" s="479">
        <v>2933</v>
      </c>
      <c r="B1617" s="19" t="s">
        <v>1026</v>
      </c>
      <c r="C1617" t="s">
        <v>2502</v>
      </c>
      <c r="D1617" s="190">
        <v>2933</v>
      </c>
      <c r="E1617" s="191">
        <v>3248</v>
      </c>
      <c r="F1617" s="191">
        <v>3375</v>
      </c>
      <c r="G1617" s="481">
        <v>206</v>
      </c>
      <c r="H1617" s="19"/>
      <c r="I1617" s="19"/>
      <c r="M1617" s="19"/>
    </row>
    <row r="1618" spans="1:13">
      <c r="A1618" s="479">
        <v>2933</v>
      </c>
      <c r="B1618" s="19" t="s">
        <v>1027</v>
      </c>
      <c r="C1618" t="s">
        <v>2502</v>
      </c>
      <c r="D1618" s="190">
        <v>2933</v>
      </c>
      <c r="E1618" s="191">
        <v>3656</v>
      </c>
      <c r="F1618" s="191">
        <v>3435</v>
      </c>
      <c r="G1618" s="481">
        <v>183</v>
      </c>
      <c r="H1618" s="19"/>
      <c r="I1618" s="19"/>
      <c r="M1618" s="19"/>
    </row>
    <row r="1619" spans="1:13">
      <c r="A1619" s="479">
        <v>2363</v>
      </c>
      <c r="B1619" s="19" t="s">
        <v>1028</v>
      </c>
      <c r="C1619" t="s">
        <v>2502</v>
      </c>
      <c r="D1619" s="190">
        <v>2363</v>
      </c>
      <c r="E1619" s="191">
        <v>4501</v>
      </c>
      <c r="F1619" s="191">
        <v>4577</v>
      </c>
      <c r="G1619" s="481">
        <v>183</v>
      </c>
      <c r="H1619" s="19"/>
      <c r="I1619" s="19"/>
      <c r="M1619" s="19"/>
    </row>
    <row r="1620" spans="1:13">
      <c r="A1620" s="479">
        <v>2887</v>
      </c>
      <c r="B1620" s="19" t="s">
        <v>1029</v>
      </c>
      <c r="C1620" t="s">
        <v>2502</v>
      </c>
      <c r="D1620" s="190">
        <v>2887</v>
      </c>
      <c r="E1620" s="191">
        <v>4533</v>
      </c>
      <c r="F1620" s="191">
        <v>4102</v>
      </c>
      <c r="G1620" s="481">
        <v>183</v>
      </c>
      <c r="H1620" s="19"/>
      <c r="I1620" s="19"/>
      <c r="M1620" s="19"/>
    </row>
    <row r="1621" spans="1:13">
      <c r="A1621" s="479">
        <v>2813</v>
      </c>
      <c r="B1621" s="19" t="s">
        <v>1030</v>
      </c>
      <c r="C1621" t="s">
        <v>2502</v>
      </c>
      <c r="D1621" s="190">
        <v>2813</v>
      </c>
      <c r="E1621" s="191">
        <v>1977</v>
      </c>
      <c r="F1621" s="191">
        <v>4511</v>
      </c>
      <c r="G1621" s="481">
        <v>155</v>
      </c>
      <c r="H1621" s="19"/>
      <c r="I1621" s="19"/>
      <c r="M1621" s="19"/>
    </row>
    <row r="1622" spans="1:13">
      <c r="A1622" s="479">
        <v>2935</v>
      </c>
      <c r="B1622" s="19" t="s">
        <v>1031</v>
      </c>
      <c r="C1622" t="s">
        <v>2502</v>
      </c>
      <c r="D1622" s="190">
        <v>2935</v>
      </c>
      <c r="E1622" s="191">
        <v>2444</v>
      </c>
      <c r="F1622" s="191">
        <v>3276</v>
      </c>
      <c r="G1622" s="481">
        <v>183</v>
      </c>
      <c r="H1622" s="19"/>
      <c r="I1622" s="19"/>
      <c r="M1622" s="19"/>
    </row>
    <row r="1623" spans="1:13">
      <c r="A1623" s="479">
        <v>2814</v>
      </c>
      <c r="B1623" s="19" t="s">
        <v>1032</v>
      </c>
      <c r="C1623" t="s">
        <v>2502</v>
      </c>
      <c r="D1623" s="190">
        <v>2814</v>
      </c>
      <c r="E1623" s="191">
        <v>2713</v>
      </c>
      <c r="F1623" s="191">
        <v>4292</v>
      </c>
      <c r="G1623" s="481">
        <v>183</v>
      </c>
      <c r="H1623" s="19"/>
      <c r="I1623" s="19"/>
      <c r="M1623" s="19"/>
    </row>
    <row r="1624" spans="1:13">
      <c r="A1624" s="479">
        <v>2345</v>
      </c>
      <c r="B1624" s="19" t="s">
        <v>1033</v>
      </c>
      <c r="C1624" t="s">
        <v>2502</v>
      </c>
      <c r="D1624" s="190">
        <v>2345</v>
      </c>
      <c r="E1624" s="191">
        <v>5461</v>
      </c>
      <c r="F1624" s="191">
        <v>4386</v>
      </c>
      <c r="G1624" s="481">
        <v>240</v>
      </c>
      <c r="H1624" s="19"/>
      <c r="I1624" s="19"/>
      <c r="M1624" s="19"/>
    </row>
    <row r="1625" spans="1:13">
      <c r="A1625" s="479">
        <v>4123</v>
      </c>
      <c r="B1625" s="19" t="s">
        <v>1034</v>
      </c>
      <c r="C1625" t="s">
        <v>160</v>
      </c>
      <c r="D1625" s="190">
        <v>4123</v>
      </c>
      <c r="E1625" s="191">
        <v>9650</v>
      </c>
      <c r="F1625" s="191">
        <v>8018</v>
      </c>
      <c r="G1625" s="481">
        <v>281</v>
      </c>
      <c r="H1625" s="19"/>
      <c r="I1625" s="19"/>
      <c r="M1625" s="19"/>
    </row>
    <row r="1626" spans="1:13">
      <c r="A1626" s="479">
        <v>4153</v>
      </c>
      <c r="B1626" s="19" t="s">
        <v>1036</v>
      </c>
      <c r="C1626" t="s">
        <v>160</v>
      </c>
      <c r="D1626" s="190">
        <v>4153</v>
      </c>
      <c r="E1626" s="191">
        <v>8829</v>
      </c>
      <c r="F1626" s="191">
        <v>9098</v>
      </c>
      <c r="G1626" s="481">
        <v>272</v>
      </c>
      <c r="H1626" s="19"/>
      <c r="I1626" s="19"/>
      <c r="M1626" s="19"/>
    </row>
    <row r="1627" spans="1:13">
      <c r="A1627" s="479">
        <v>4132</v>
      </c>
      <c r="B1627" s="19" t="s">
        <v>1037</v>
      </c>
      <c r="C1627" t="s">
        <v>160</v>
      </c>
      <c r="D1627" s="190">
        <v>4132</v>
      </c>
      <c r="E1627" s="191">
        <v>9161</v>
      </c>
      <c r="F1627" s="191">
        <v>10340</v>
      </c>
      <c r="G1627" s="481">
        <v>276</v>
      </c>
      <c r="H1627" s="19"/>
      <c r="I1627" s="19"/>
      <c r="M1627" s="19"/>
    </row>
    <row r="1628" spans="1:13">
      <c r="A1628" s="479">
        <v>4133</v>
      </c>
      <c r="B1628" s="19" t="s">
        <v>1038</v>
      </c>
      <c r="C1628" t="s">
        <v>160</v>
      </c>
      <c r="D1628" s="190">
        <v>4133</v>
      </c>
      <c r="E1628" s="191">
        <v>7719</v>
      </c>
      <c r="F1628" s="191">
        <v>7572</v>
      </c>
      <c r="G1628" s="481">
        <v>264</v>
      </c>
      <c r="H1628" s="19"/>
      <c r="I1628" s="19"/>
      <c r="M1628" s="19"/>
    </row>
    <row r="1629" spans="1:13">
      <c r="A1629" s="479">
        <v>4102</v>
      </c>
      <c r="B1629" s="19" t="s">
        <v>1039</v>
      </c>
      <c r="C1629" t="s">
        <v>160</v>
      </c>
      <c r="D1629" s="190">
        <v>4102</v>
      </c>
      <c r="E1629" s="191">
        <v>11583</v>
      </c>
      <c r="F1629" s="191">
        <v>12304</v>
      </c>
      <c r="G1629" s="481">
        <v>300</v>
      </c>
      <c r="H1629" s="19"/>
      <c r="I1629" s="19"/>
      <c r="M1629" s="19"/>
    </row>
    <row r="1630" spans="1:13">
      <c r="A1630" s="479">
        <v>4410</v>
      </c>
      <c r="B1630" s="19" t="s">
        <v>1040</v>
      </c>
      <c r="C1630" t="s">
        <v>160</v>
      </c>
      <c r="D1630" s="190">
        <v>4410</v>
      </c>
      <c r="E1630" s="191">
        <v>8225</v>
      </c>
      <c r="F1630" s="191">
        <v>7456</v>
      </c>
      <c r="G1630" s="481">
        <v>264</v>
      </c>
      <c r="H1630" s="19"/>
      <c r="I1630" s="19"/>
      <c r="M1630" s="19"/>
    </row>
    <row r="1631" spans="1:13">
      <c r="A1631" s="479">
        <v>4142</v>
      </c>
      <c r="B1631" s="19" t="s">
        <v>1041</v>
      </c>
      <c r="C1631" t="s">
        <v>160</v>
      </c>
      <c r="D1631" s="190">
        <v>4142</v>
      </c>
      <c r="E1631" s="191">
        <v>9911</v>
      </c>
      <c r="F1631" s="191">
        <v>9696</v>
      </c>
      <c r="G1631" s="481">
        <v>265</v>
      </c>
      <c r="H1631" s="19"/>
      <c r="I1631" s="19"/>
      <c r="M1631" s="19"/>
    </row>
    <row r="1632" spans="1:13">
      <c r="A1632" s="479">
        <v>4104</v>
      </c>
      <c r="B1632" s="19" t="s">
        <v>1042</v>
      </c>
      <c r="C1632" t="s">
        <v>160</v>
      </c>
      <c r="D1632" s="190">
        <v>4104</v>
      </c>
      <c r="E1632" s="191">
        <v>10043</v>
      </c>
      <c r="F1632" s="191">
        <v>9979</v>
      </c>
      <c r="G1632" s="481">
        <v>283</v>
      </c>
      <c r="H1632" s="19"/>
      <c r="I1632" s="19"/>
      <c r="M1632" s="19"/>
    </row>
    <row r="1633" spans="1:13">
      <c r="A1633" s="479">
        <v>4127</v>
      </c>
      <c r="B1633" s="19" t="s">
        <v>1043</v>
      </c>
      <c r="C1633" t="s">
        <v>160</v>
      </c>
      <c r="D1633" s="190">
        <v>4127</v>
      </c>
      <c r="E1633" s="191">
        <v>10656</v>
      </c>
      <c r="F1633" s="191">
        <v>9565</v>
      </c>
      <c r="G1633" s="481">
        <v>274</v>
      </c>
      <c r="H1633" s="19"/>
      <c r="I1633" s="19"/>
      <c r="M1633" s="19"/>
    </row>
    <row r="1634" spans="1:13">
      <c r="A1634" s="479">
        <v>4147</v>
      </c>
      <c r="B1634" s="19" t="s">
        <v>1044</v>
      </c>
      <c r="C1634" t="s">
        <v>160</v>
      </c>
      <c r="D1634" s="190">
        <v>4147</v>
      </c>
      <c r="E1634" s="191">
        <v>8637</v>
      </c>
      <c r="F1634" s="191">
        <v>9228</v>
      </c>
      <c r="G1634" s="481">
        <v>261</v>
      </c>
      <c r="H1634" s="19"/>
      <c r="I1634" s="19"/>
      <c r="M1634" s="19"/>
    </row>
    <row r="1635" spans="1:13">
      <c r="A1635" s="479">
        <v>4106</v>
      </c>
      <c r="B1635" s="19" t="s">
        <v>1045</v>
      </c>
      <c r="C1635" t="s">
        <v>160</v>
      </c>
      <c r="D1635" s="190">
        <v>4106</v>
      </c>
      <c r="E1635" s="191">
        <v>9380</v>
      </c>
      <c r="F1635" s="191">
        <v>9413</v>
      </c>
      <c r="G1635" s="481">
        <v>272</v>
      </c>
      <c r="H1635" s="19"/>
      <c r="I1635" s="19"/>
      <c r="M1635" s="19"/>
    </row>
    <row r="1636" spans="1:13">
      <c r="A1636" s="479">
        <v>4144</v>
      </c>
      <c r="B1636" s="19" t="s">
        <v>1046</v>
      </c>
      <c r="C1636" t="s">
        <v>160</v>
      </c>
      <c r="D1636" s="190">
        <v>4144</v>
      </c>
      <c r="E1636" s="191">
        <v>8680</v>
      </c>
      <c r="F1636" s="191">
        <v>10194</v>
      </c>
      <c r="G1636" s="481">
        <v>285</v>
      </c>
      <c r="H1636" s="19"/>
      <c r="I1636" s="19"/>
      <c r="M1636" s="19"/>
    </row>
    <row r="1637" spans="1:13">
      <c r="A1637" s="479">
        <v>4450</v>
      </c>
      <c r="B1637" s="19" t="s">
        <v>1047</v>
      </c>
      <c r="C1637" t="s">
        <v>160</v>
      </c>
      <c r="D1637" s="190">
        <v>4450</v>
      </c>
      <c r="E1637" s="191">
        <v>8731</v>
      </c>
      <c r="F1637" s="191">
        <v>8102</v>
      </c>
      <c r="G1637" s="481">
        <v>252</v>
      </c>
      <c r="H1637" s="19"/>
      <c r="I1637" s="19"/>
      <c r="M1637" s="19"/>
    </row>
    <row r="1638" spans="1:13">
      <c r="A1638" s="479">
        <v>4103</v>
      </c>
      <c r="B1638" s="19" t="s">
        <v>1048</v>
      </c>
      <c r="C1638" t="s">
        <v>160</v>
      </c>
      <c r="D1638" s="190">
        <v>4103</v>
      </c>
      <c r="E1638" s="191">
        <v>11755</v>
      </c>
      <c r="F1638" s="191">
        <v>10748</v>
      </c>
      <c r="G1638" s="481">
        <v>280</v>
      </c>
      <c r="H1638" s="19"/>
      <c r="I1638" s="19"/>
      <c r="M1638" s="19"/>
    </row>
    <row r="1639" spans="1:13">
      <c r="A1639" s="479">
        <v>4402</v>
      </c>
      <c r="B1639" s="19" t="s">
        <v>1049</v>
      </c>
      <c r="C1639" t="s">
        <v>160</v>
      </c>
      <c r="D1639" s="190">
        <v>4402</v>
      </c>
      <c r="E1639" s="191">
        <v>7856</v>
      </c>
      <c r="F1639" s="191">
        <v>8332</v>
      </c>
      <c r="G1639" s="481">
        <v>263</v>
      </c>
      <c r="H1639" s="19"/>
      <c r="I1639" s="19"/>
      <c r="M1639" s="19"/>
    </row>
    <row r="1640" spans="1:13">
      <c r="A1640" s="479">
        <v>4460</v>
      </c>
      <c r="B1640" s="19" t="s">
        <v>1050</v>
      </c>
      <c r="C1640" t="s">
        <v>160</v>
      </c>
      <c r="D1640" s="190">
        <v>4460</v>
      </c>
      <c r="E1640" s="191">
        <v>7481</v>
      </c>
      <c r="F1640" s="191">
        <v>6190</v>
      </c>
      <c r="G1640" s="481">
        <v>232</v>
      </c>
      <c r="H1640" s="19"/>
      <c r="I1640" s="19"/>
      <c r="M1640" s="19"/>
    </row>
    <row r="1641" spans="1:13">
      <c r="A1641" s="479">
        <v>4242</v>
      </c>
      <c r="B1641" s="19" t="s">
        <v>1051</v>
      </c>
      <c r="C1641" t="s">
        <v>160</v>
      </c>
      <c r="D1641" s="190">
        <v>4242</v>
      </c>
      <c r="E1641" s="191">
        <v>6745</v>
      </c>
      <c r="F1641" s="191">
        <v>7565</v>
      </c>
      <c r="G1641" s="481">
        <v>242</v>
      </c>
      <c r="H1641" s="19"/>
      <c r="I1641" s="19"/>
      <c r="M1641" s="19"/>
    </row>
    <row r="1642" spans="1:13">
      <c r="A1642" s="479">
        <v>4107</v>
      </c>
      <c r="B1642" s="19" t="s">
        <v>1052</v>
      </c>
      <c r="C1642" t="s">
        <v>160</v>
      </c>
      <c r="D1642" s="190">
        <v>4107</v>
      </c>
      <c r="E1642" s="191">
        <v>9196</v>
      </c>
      <c r="F1642" s="191">
        <v>8299</v>
      </c>
      <c r="G1642" s="481">
        <v>257</v>
      </c>
      <c r="H1642" s="19"/>
      <c r="I1642" s="19"/>
      <c r="M1642" s="19"/>
    </row>
    <row r="1643" spans="1:13">
      <c r="A1643" s="479">
        <v>4415</v>
      </c>
      <c r="B1643" s="19" t="s">
        <v>1053</v>
      </c>
      <c r="C1643" t="s">
        <v>160</v>
      </c>
      <c r="D1643" s="190">
        <v>4415</v>
      </c>
      <c r="E1643" s="191">
        <v>7478</v>
      </c>
      <c r="F1643" s="191">
        <v>6693</v>
      </c>
      <c r="G1643" s="481">
        <v>260</v>
      </c>
      <c r="H1643" s="19"/>
      <c r="I1643" s="19"/>
      <c r="M1643" s="19"/>
    </row>
    <row r="1644" spans="1:13">
      <c r="A1644" s="479">
        <v>4414</v>
      </c>
      <c r="B1644" s="19" t="s">
        <v>1054</v>
      </c>
      <c r="C1644" t="s">
        <v>160</v>
      </c>
      <c r="D1644" s="190">
        <v>4414</v>
      </c>
      <c r="E1644" s="191">
        <v>8120</v>
      </c>
      <c r="F1644" s="191">
        <v>7897</v>
      </c>
      <c r="G1644" s="481">
        <v>256</v>
      </c>
      <c r="H1644" s="19"/>
      <c r="I1644" s="19"/>
      <c r="M1644" s="19"/>
    </row>
    <row r="1645" spans="1:13">
      <c r="A1645" s="479">
        <v>4416</v>
      </c>
      <c r="B1645" s="19" t="s">
        <v>1055</v>
      </c>
      <c r="C1645" t="s">
        <v>160</v>
      </c>
      <c r="D1645" s="190">
        <v>4416</v>
      </c>
      <c r="E1645" s="191">
        <v>7873</v>
      </c>
      <c r="F1645" s="191">
        <v>6280</v>
      </c>
      <c r="G1645" s="481">
        <v>222</v>
      </c>
      <c r="H1645" s="19"/>
      <c r="I1645" s="19"/>
      <c r="M1645" s="19"/>
    </row>
    <row r="1646" spans="1:13">
      <c r="A1646" s="479">
        <v>4105</v>
      </c>
      <c r="B1646" s="19" t="s">
        <v>1056</v>
      </c>
      <c r="C1646" t="s">
        <v>160</v>
      </c>
      <c r="D1646" s="190">
        <v>4105</v>
      </c>
      <c r="E1646" s="191">
        <v>10527</v>
      </c>
      <c r="F1646" s="191">
        <v>8389</v>
      </c>
      <c r="G1646" s="481">
        <v>254</v>
      </c>
      <c r="H1646" s="19"/>
      <c r="I1646" s="19"/>
      <c r="M1646" s="19"/>
    </row>
    <row r="1647" spans="1:13">
      <c r="A1647" s="479">
        <v>4455</v>
      </c>
      <c r="B1647" s="19" t="s">
        <v>1057</v>
      </c>
      <c r="C1647" t="s">
        <v>160</v>
      </c>
      <c r="D1647" s="190">
        <v>4455</v>
      </c>
      <c r="E1647" s="191">
        <v>6590</v>
      </c>
      <c r="F1647" s="191">
        <v>6890</v>
      </c>
      <c r="G1647" s="481">
        <v>239</v>
      </c>
      <c r="H1647" s="19"/>
      <c r="I1647" s="19"/>
      <c r="M1647" s="19"/>
    </row>
    <row r="1648" spans="1:13">
      <c r="A1648" s="479">
        <v>4434</v>
      </c>
      <c r="B1648" s="19" t="s">
        <v>1058</v>
      </c>
      <c r="C1648" t="s">
        <v>160</v>
      </c>
      <c r="D1648" s="190">
        <v>4434</v>
      </c>
      <c r="E1648" s="191">
        <v>6193</v>
      </c>
      <c r="F1648" s="191">
        <v>5925</v>
      </c>
      <c r="G1648" s="481">
        <v>214</v>
      </c>
      <c r="H1648" s="19"/>
      <c r="I1648" s="19"/>
      <c r="M1648" s="19"/>
    </row>
    <row r="1649" spans="1:13">
      <c r="A1649" s="479">
        <v>4436</v>
      </c>
      <c r="B1649" s="19" t="s">
        <v>1059</v>
      </c>
      <c r="C1649" t="s">
        <v>160</v>
      </c>
      <c r="D1649" s="190">
        <v>4436</v>
      </c>
      <c r="E1649" s="191">
        <v>5712</v>
      </c>
      <c r="F1649" s="191">
        <v>6130</v>
      </c>
      <c r="G1649" s="481">
        <v>195</v>
      </c>
      <c r="H1649" s="19"/>
      <c r="I1649" s="19"/>
      <c r="M1649" s="19"/>
    </row>
    <row r="1650" spans="1:13">
      <c r="A1650" s="479">
        <v>4148</v>
      </c>
      <c r="B1650" s="19" t="s">
        <v>1060</v>
      </c>
      <c r="C1650" t="s">
        <v>160</v>
      </c>
      <c r="D1650" s="190">
        <v>4148</v>
      </c>
      <c r="E1650" s="191">
        <v>9957</v>
      </c>
      <c r="F1650" s="191">
        <v>9412</v>
      </c>
      <c r="G1650" s="481">
        <v>258</v>
      </c>
      <c r="H1650" s="19"/>
      <c r="I1650" s="19"/>
      <c r="M1650" s="19"/>
    </row>
    <row r="1651" spans="1:13">
      <c r="A1651" s="479">
        <v>4222</v>
      </c>
      <c r="B1651" s="19" t="s">
        <v>1061</v>
      </c>
      <c r="C1651" t="s">
        <v>160</v>
      </c>
      <c r="D1651" s="190">
        <v>4222</v>
      </c>
      <c r="E1651" s="191">
        <v>7158</v>
      </c>
      <c r="F1651" s="191">
        <v>5729</v>
      </c>
      <c r="G1651" s="481">
        <v>217</v>
      </c>
      <c r="H1651" s="19"/>
      <c r="I1651" s="19"/>
      <c r="M1651" s="19"/>
    </row>
    <row r="1652" spans="1:13">
      <c r="A1652" s="479">
        <v>4466</v>
      </c>
      <c r="B1652" s="19" t="s">
        <v>1062</v>
      </c>
      <c r="C1652" t="s">
        <v>160</v>
      </c>
      <c r="D1652" s="190">
        <v>4466</v>
      </c>
      <c r="E1652" s="191">
        <v>6881</v>
      </c>
      <c r="F1652" s="191">
        <v>6205</v>
      </c>
      <c r="G1652" s="481">
        <v>221</v>
      </c>
      <c r="H1652" s="19"/>
      <c r="I1652" s="19"/>
      <c r="M1652" s="19"/>
    </row>
    <row r="1653" spans="1:13">
      <c r="A1653" s="479">
        <v>4452</v>
      </c>
      <c r="B1653" s="19" t="s">
        <v>1063</v>
      </c>
      <c r="C1653" t="s">
        <v>160</v>
      </c>
      <c r="D1653" s="190">
        <v>4452</v>
      </c>
      <c r="E1653" s="191">
        <v>7379</v>
      </c>
      <c r="F1653" s="191">
        <v>6628</v>
      </c>
      <c r="G1653" s="481">
        <v>237</v>
      </c>
      <c r="H1653" s="19"/>
      <c r="I1653" s="19"/>
      <c r="M1653" s="19"/>
    </row>
    <row r="1654" spans="1:13">
      <c r="A1654" s="479">
        <v>4225</v>
      </c>
      <c r="B1654" s="19" t="s">
        <v>1064</v>
      </c>
      <c r="C1654" t="s">
        <v>160</v>
      </c>
      <c r="D1654" s="190">
        <v>4225</v>
      </c>
      <c r="E1654" s="191">
        <v>6701</v>
      </c>
      <c r="F1654" s="191">
        <v>7145</v>
      </c>
      <c r="G1654" s="481">
        <v>221</v>
      </c>
      <c r="H1654" s="19"/>
      <c r="I1654" s="19"/>
      <c r="M1654" s="19"/>
    </row>
    <row r="1655" spans="1:13">
      <c r="A1655" s="479">
        <v>4203</v>
      </c>
      <c r="B1655" s="19" t="s">
        <v>1065</v>
      </c>
      <c r="C1655" t="s">
        <v>160</v>
      </c>
      <c r="D1655" s="190">
        <v>4203</v>
      </c>
      <c r="E1655" s="191">
        <v>7400</v>
      </c>
      <c r="F1655" s="191">
        <v>7771</v>
      </c>
      <c r="G1655" s="481">
        <v>229</v>
      </c>
      <c r="H1655" s="19"/>
      <c r="I1655" s="19"/>
      <c r="M1655" s="19"/>
    </row>
    <row r="1656" spans="1:13">
      <c r="A1656" s="479">
        <v>4435</v>
      </c>
      <c r="B1656" s="19" t="s">
        <v>1066</v>
      </c>
      <c r="C1656" t="s">
        <v>160</v>
      </c>
      <c r="D1656" s="190">
        <v>4435</v>
      </c>
      <c r="E1656" s="191">
        <v>5633</v>
      </c>
      <c r="F1656" s="191">
        <v>6714</v>
      </c>
      <c r="G1656" s="481">
        <v>205</v>
      </c>
      <c r="H1656" s="19"/>
      <c r="I1656" s="19"/>
      <c r="M1656" s="19"/>
    </row>
    <row r="1657" spans="1:13">
      <c r="A1657" s="479">
        <v>4457</v>
      </c>
      <c r="B1657" s="19" t="s">
        <v>1067</v>
      </c>
      <c r="C1657" t="s">
        <v>160</v>
      </c>
      <c r="D1657" s="190">
        <v>4457</v>
      </c>
      <c r="E1657" s="191">
        <v>5908</v>
      </c>
      <c r="F1657" s="191">
        <v>6220</v>
      </c>
      <c r="G1657" s="481">
        <v>231</v>
      </c>
      <c r="H1657" s="19"/>
      <c r="I1657" s="19"/>
      <c r="M1657" s="19"/>
    </row>
    <row r="1658" spans="1:13">
      <c r="A1658" s="479">
        <v>4225</v>
      </c>
      <c r="B1658" s="19" t="s">
        <v>1068</v>
      </c>
      <c r="C1658" t="s">
        <v>160</v>
      </c>
      <c r="D1658" s="190">
        <v>4225</v>
      </c>
      <c r="E1658" s="191">
        <v>6407</v>
      </c>
      <c r="F1658" s="191">
        <v>6238</v>
      </c>
      <c r="G1658" s="481">
        <v>245</v>
      </c>
      <c r="H1658" s="19"/>
      <c r="I1658" s="19"/>
      <c r="M1658" s="19"/>
    </row>
    <row r="1659" spans="1:13">
      <c r="A1659" s="479">
        <v>4422</v>
      </c>
      <c r="B1659" s="19" t="s">
        <v>1069</v>
      </c>
      <c r="C1659" t="s">
        <v>160</v>
      </c>
      <c r="D1659" s="190">
        <v>4422</v>
      </c>
      <c r="E1659" s="191">
        <v>7142</v>
      </c>
      <c r="F1659" s="191">
        <v>6899</v>
      </c>
      <c r="G1659" s="481">
        <v>266</v>
      </c>
      <c r="H1659" s="19"/>
      <c r="I1659" s="19"/>
      <c r="M1659" s="19"/>
    </row>
    <row r="1660" spans="1:13">
      <c r="A1660" s="479">
        <v>4418</v>
      </c>
      <c r="B1660" s="19" t="s">
        <v>1070</v>
      </c>
      <c r="C1660" t="s">
        <v>160</v>
      </c>
      <c r="D1660" s="190">
        <v>4418</v>
      </c>
      <c r="E1660" s="191">
        <v>4507</v>
      </c>
      <c r="F1660" s="191">
        <v>6305</v>
      </c>
      <c r="G1660" s="481">
        <v>206</v>
      </c>
      <c r="H1660" s="19"/>
      <c r="I1660" s="19"/>
      <c r="M1660" s="19"/>
    </row>
    <row r="1661" spans="1:13">
      <c r="A1661" s="479">
        <v>4417</v>
      </c>
      <c r="B1661" s="19" t="s">
        <v>1071</v>
      </c>
      <c r="C1661" t="s">
        <v>160</v>
      </c>
      <c r="D1661" s="190">
        <v>4417</v>
      </c>
      <c r="E1661" s="191">
        <v>8306</v>
      </c>
      <c r="F1661" s="191">
        <v>7572</v>
      </c>
      <c r="G1661" s="481">
        <v>218</v>
      </c>
      <c r="H1661" s="19"/>
      <c r="I1661" s="19"/>
      <c r="M1661" s="19"/>
    </row>
    <row r="1662" spans="1:13">
      <c r="A1662" s="479">
        <v>4202</v>
      </c>
      <c r="B1662" s="19" t="s">
        <v>1072</v>
      </c>
      <c r="C1662" t="s">
        <v>160</v>
      </c>
      <c r="D1662" s="190">
        <v>4202</v>
      </c>
      <c r="E1662" s="191">
        <v>8911</v>
      </c>
      <c r="F1662" s="191">
        <v>8320</v>
      </c>
      <c r="G1662" s="481">
        <v>248</v>
      </c>
      <c r="H1662" s="19"/>
      <c r="I1662" s="19"/>
      <c r="M1662" s="19"/>
    </row>
    <row r="1663" spans="1:13">
      <c r="A1663" s="479">
        <v>4419</v>
      </c>
      <c r="B1663" s="19" t="s">
        <v>1073</v>
      </c>
      <c r="C1663" t="s">
        <v>160</v>
      </c>
      <c r="D1663" s="190">
        <v>4419</v>
      </c>
      <c r="E1663" s="191">
        <v>7245</v>
      </c>
      <c r="F1663" s="191">
        <v>7057</v>
      </c>
      <c r="G1663" s="481">
        <v>236</v>
      </c>
      <c r="H1663" s="19"/>
      <c r="I1663" s="19"/>
      <c r="M1663" s="19"/>
    </row>
    <row r="1664" spans="1:13">
      <c r="A1664" s="479">
        <v>4246</v>
      </c>
      <c r="B1664" s="19" t="s">
        <v>1074</v>
      </c>
      <c r="C1664" t="s">
        <v>160</v>
      </c>
      <c r="D1664" s="190">
        <v>4246</v>
      </c>
      <c r="E1664" s="191">
        <v>6316</v>
      </c>
      <c r="F1664" s="191">
        <v>6195</v>
      </c>
      <c r="G1664" s="481">
        <v>207</v>
      </c>
      <c r="H1664" s="19"/>
      <c r="I1664" s="19"/>
      <c r="M1664" s="19"/>
    </row>
    <row r="1665" spans="1:14">
      <c r="A1665" s="479">
        <v>4441</v>
      </c>
      <c r="B1665" s="19" t="s">
        <v>1075</v>
      </c>
      <c r="C1665" t="s">
        <v>160</v>
      </c>
      <c r="D1665" s="190">
        <v>4441</v>
      </c>
      <c r="E1665" s="191">
        <v>6539</v>
      </c>
      <c r="F1665" s="191">
        <v>6991</v>
      </c>
      <c r="G1665" s="481">
        <v>240</v>
      </c>
      <c r="H1665" s="19"/>
      <c r="I1665" s="19"/>
      <c r="M1665" s="19"/>
    </row>
    <row r="1666" spans="1:14">
      <c r="A1666" s="479">
        <v>4124</v>
      </c>
      <c r="B1666" s="19" t="s">
        <v>1076</v>
      </c>
      <c r="C1666" t="s">
        <v>160</v>
      </c>
      <c r="D1666" s="190">
        <v>4124</v>
      </c>
      <c r="E1666" s="191">
        <v>10306</v>
      </c>
      <c r="F1666" s="191">
        <v>8814</v>
      </c>
      <c r="G1666" s="481">
        <v>259</v>
      </c>
      <c r="H1666" s="19"/>
      <c r="I1666" s="19"/>
      <c r="M1666" s="19"/>
    </row>
    <row r="1667" spans="1:14">
      <c r="A1667" s="479">
        <v>4448</v>
      </c>
      <c r="B1667" s="19" t="s">
        <v>1077</v>
      </c>
      <c r="C1667" t="s">
        <v>160</v>
      </c>
      <c r="D1667" s="190">
        <v>4448</v>
      </c>
      <c r="E1667" s="191">
        <v>5114</v>
      </c>
      <c r="F1667" s="191">
        <v>6160</v>
      </c>
      <c r="G1667" s="481">
        <v>176</v>
      </c>
      <c r="H1667" s="19"/>
      <c r="I1667" s="19"/>
      <c r="M1667" s="19"/>
    </row>
    <row r="1668" spans="1:14">
      <c r="A1668" s="479">
        <v>4411</v>
      </c>
      <c r="B1668" s="19" t="s">
        <v>1078</v>
      </c>
      <c r="C1668" t="s">
        <v>160</v>
      </c>
      <c r="D1668" s="190">
        <v>4411</v>
      </c>
      <c r="E1668" s="191">
        <v>7320</v>
      </c>
      <c r="F1668" s="191">
        <v>8523</v>
      </c>
      <c r="G1668" s="481">
        <v>225</v>
      </c>
      <c r="H1668" s="19"/>
      <c r="I1668" s="19"/>
      <c r="M1668" s="19"/>
    </row>
    <row r="1669" spans="1:14">
      <c r="A1669" s="479">
        <v>4254</v>
      </c>
      <c r="B1669" s="19" t="s">
        <v>1079</v>
      </c>
      <c r="C1669" t="s">
        <v>160</v>
      </c>
      <c r="D1669" s="190">
        <v>4254</v>
      </c>
      <c r="E1669" s="191">
        <v>5495</v>
      </c>
      <c r="F1669" s="191">
        <v>5752</v>
      </c>
      <c r="G1669" s="481">
        <v>191</v>
      </c>
      <c r="H1669" s="19"/>
      <c r="I1669" s="19"/>
      <c r="M1669" s="19"/>
    </row>
    <row r="1670" spans="1:14">
      <c r="A1670" s="479">
        <v>4437</v>
      </c>
      <c r="B1670" s="19" t="s">
        <v>1080</v>
      </c>
      <c r="C1670" t="s">
        <v>160</v>
      </c>
      <c r="D1670" s="190">
        <v>4437</v>
      </c>
      <c r="E1670" s="191">
        <v>5025</v>
      </c>
      <c r="F1670" s="191">
        <v>4941</v>
      </c>
      <c r="G1670" s="481">
        <v>201</v>
      </c>
      <c r="H1670" s="19"/>
      <c r="I1670" s="19"/>
      <c r="M1670" s="19"/>
    </row>
    <row r="1671" spans="1:14">
      <c r="A1671" s="479">
        <v>4463</v>
      </c>
      <c r="B1671" s="19" t="s">
        <v>1081</v>
      </c>
      <c r="C1671" t="s">
        <v>160</v>
      </c>
      <c r="D1671" s="190">
        <v>4463</v>
      </c>
      <c r="E1671" s="191">
        <v>6025</v>
      </c>
      <c r="F1671" s="191">
        <v>5714</v>
      </c>
      <c r="G1671" s="481">
        <v>234</v>
      </c>
      <c r="H1671" s="19"/>
      <c r="I1671" s="19"/>
      <c r="M1671" s="19"/>
    </row>
    <row r="1672" spans="1:14">
      <c r="A1672" s="479">
        <v>4304</v>
      </c>
      <c r="B1672" s="19" t="s">
        <v>1082</v>
      </c>
      <c r="C1672" t="s">
        <v>160</v>
      </c>
      <c r="D1672" s="190">
        <v>4304</v>
      </c>
      <c r="E1672" s="191">
        <v>7204</v>
      </c>
      <c r="F1672" s="191">
        <v>6785</v>
      </c>
      <c r="G1672" s="481">
        <v>220</v>
      </c>
      <c r="H1672" s="19"/>
      <c r="I1672" s="19"/>
      <c r="M1672" s="19"/>
    </row>
    <row r="1673" spans="1:14">
      <c r="A1673" s="479">
        <v>4302</v>
      </c>
      <c r="B1673" s="19" t="s">
        <v>1083</v>
      </c>
      <c r="C1673" t="s">
        <v>160</v>
      </c>
      <c r="D1673" s="190">
        <v>4302</v>
      </c>
      <c r="E1673" s="191">
        <v>7681</v>
      </c>
      <c r="F1673" s="191">
        <v>7767</v>
      </c>
      <c r="G1673" s="481">
        <v>261</v>
      </c>
      <c r="H1673" s="19"/>
      <c r="I1673" s="19"/>
      <c r="M1673" s="19"/>
    </row>
    <row r="1674" spans="1:14">
      <c r="A1674" s="479">
        <v>4438</v>
      </c>
      <c r="B1674" s="19" t="s">
        <v>1084</v>
      </c>
      <c r="C1674" t="s">
        <v>160</v>
      </c>
      <c r="D1674" s="190">
        <v>4438</v>
      </c>
      <c r="E1674" s="191">
        <v>4591</v>
      </c>
      <c r="F1674" s="191">
        <v>3942</v>
      </c>
      <c r="G1674" s="481">
        <v>214</v>
      </c>
      <c r="H1674" s="19"/>
      <c r="I1674" s="19"/>
      <c r="M1674" s="19"/>
    </row>
    <row r="1675" spans="1:14">
      <c r="A1675" s="479">
        <v>4464</v>
      </c>
      <c r="B1675" s="19" t="s">
        <v>1085</v>
      </c>
      <c r="C1675" t="s">
        <v>160</v>
      </c>
      <c r="D1675" s="190">
        <v>4464</v>
      </c>
      <c r="E1675" s="191">
        <v>7710</v>
      </c>
      <c r="F1675" s="191">
        <v>7144</v>
      </c>
      <c r="G1675" s="481">
        <v>231</v>
      </c>
      <c r="H1675" s="19"/>
      <c r="I1675" s="19"/>
      <c r="M1675" s="19"/>
    </row>
    <row r="1676" spans="1:14">
      <c r="A1676" s="479">
        <v>4456</v>
      </c>
      <c r="B1676" s="19" t="s">
        <v>1086</v>
      </c>
      <c r="C1676" t="s">
        <v>160</v>
      </c>
      <c r="D1676" s="190">
        <v>4456</v>
      </c>
      <c r="E1676" s="191">
        <v>5095</v>
      </c>
      <c r="F1676" s="191">
        <v>5478</v>
      </c>
      <c r="G1676" s="481">
        <v>195</v>
      </c>
      <c r="H1676" s="19"/>
      <c r="I1676" s="19"/>
      <c r="M1676" s="19"/>
    </row>
    <row r="1677" spans="1:14">
      <c r="A1677" s="479">
        <v>4492</v>
      </c>
      <c r="B1677" s="19" t="s">
        <v>1087</v>
      </c>
      <c r="C1677" t="s">
        <v>160</v>
      </c>
      <c r="D1677" s="190">
        <v>4492</v>
      </c>
      <c r="E1677" s="191">
        <v>6868</v>
      </c>
      <c r="F1677" s="191">
        <v>5254</v>
      </c>
      <c r="G1677" s="481">
        <v>214</v>
      </c>
      <c r="H1677" s="19"/>
      <c r="I1677" s="19"/>
      <c r="M1677" s="19"/>
    </row>
    <row r="1678" spans="1:14">
      <c r="A1678" s="479">
        <v>4461</v>
      </c>
      <c r="B1678" s="19" t="s">
        <v>1088</v>
      </c>
      <c r="C1678" t="s">
        <v>160</v>
      </c>
      <c r="D1678" s="190">
        <v>4461</v>
      </c>
      <c r="E1678" s="191">
        <v>7122</v>
      </c>
      <c r="F1678" s="191">
        <v>7066</v>
      </c>
      <c r="G1678" s="481">
        <v>252</v>
      </c>
      <c r="H1678" s="19"/>
      <c r="I1678" s="19"/>
      <c r="M1678" s="19"/>
      <c r="N1678" s="19"/>
    </row>
    <row r="1679" spans="1:14">
      <c r="A1679" s="479">
        <v>4467</v>
      </c>
      <c r="B1679" s="19" t="s">
        <v>1089</v>
      </c>
      <c r="C1679" t="s">
        <v>160</v>
      </c>
      <c r="D1679" s="190">
        <v>4467</v>
      </c>
      <c r="E1679" s="191">
        <v>6694</v>
      </c>
      <c r="F1679" s="191">
        <v>5044</v>
      </c>
      <c r="G1679" s="481">
        <v>230</v>
      </c>
      <c r="H1679" s="19"/>
      <c r="I1679" s="19"/>
      <c r="M1679" s="19"/>
      <c r="N1679" s="19"/>
    </row>
    <row r="1680" spans="1:14">
      <c r="A1680" s="479">
        <v>4207</v>
      </c>
      <c r="B1680" s="19" t="s">
        <v>1090</v>
      </c>
      <c r="C1680" t="s">
        <v>160</v>
      </c>
      <c r="D1680" s="190">
        <v>4207</v>
      </c>
      <c r="E1680" s="191">
        <v>6102</v>
      </c>
      <c r="F1680" s="191">
        <v>5489</v>
      </c>
      <c r="G1680" s="481">
        <v>141</v>
      </c>
      <c r="H1680" s="19"/>
      <c r="I1680" s="19"/>
      <c r="M1680" s="19"/>
      <c r="N1680" s="19"/>
    </row>
    <row r="1681" spans="1:14">
      <c r="A1681" s="479">
        <v>4497</v>
      </c>
      <c r="B1681" s="19" t="s">
        <v>1091</v>
      </c>
      <c r="C1681" t="s">
        <v>160</v>
      </c>
      <c r="D1681" s="190">
        <v>4497</v>
      </c>
      <c r="E1681" s="191">
        <v>5041</v>
      </c>
      <c r="F1681" s="191">
        <v>5493</v>
      </c>
      <c r="G1681" s="481">
        <v>120</v>
      </c>
      <c r="H1681" s="19"/>
      <c r="I1681" s="19"/>
      <c r="M1681" s="19"/>
      <c r="N1681" s="19"/>
    </row>
    <row r="1682" spans="1:14">
      <c r="A1682" s="479">
        <v>4433</v>
      </c>
      <c r="B1682" s="19" t="s">
        <v>1092</v>
      </c>
      <c r="C1682" t="s">
        <v>160</v>
      </c>
      <c r="D1682" s="190">
        <v>4433</v>
      </c>
      <c r="E1682" s="191">
        <v>8057</v>
      </c>
      <c r="F1682" s="191">
        <v>7695</v>
      </c>
      <c r="G1682" s="481">
        <v>205</v>
      </c>
      <c r="H1682" s="19"/>
      <c r="I1682" s="19"/>
      <c r="M1682" s="19"/>
      <c r="N1682" s="19"/>
    </row>
    <row r="1683" spans="1:14">
      <c r="A1683" s="479">
        <v>4442</v>
      </c>
      <c r="B1683" s="19" t="s">
        <v>1093</v>
      </c>
      <c r="C1683" t="s">
        <v>160</v>
      </c>
      <c r="D1683" s="190">
        <v>4442</v>
      </c>
      <c r="E1683" s="191">
        <v>7221</v>
      </c>
      <c r="F1683" s="191">
        <v>6663</v>
      </c>
      <c r="G1683" s="481">
        <v>254</v>
      </c>
      <c r="H1683" s="19"/>
      <c r="I1683" s="19"/>
      <c r="M1683" s="19"/>
      <c r="N1683" s="19"/>
    </row>
    <row r="1684" spans="1:14">
      <c r="A1684" s="479">
        <v>4243</v>
      </c>
      <c r="B1684" s="19" t="s">
        <v>1094</v>
      </c>
      <c r="C1684" t="s">
        <v>160</v>
      </c>
      <c r="D1684" s="190">
        <v>4243</v>
      </c>
      <c r="E1684" s="191">
        <v>3849</v>
      </c>
      <c r="F1684" s="191">
        <v>6612</v>
      </c>
      <c r="G1684" s="481">
        <v>178</v>
      </c>
      <c r="H1684" s="19"/>
      <c r="I1684" s="19"/>
      <c r="M1684" s="19"/>
      <c r="N1684" s="19"/>
    </row>
    <row r="1685" spans="1:14">
      <c r="A1685" s="479">
        <v>4493</v>
      </c>
      <c r="B1685" s="19" t="s">
        <v>1095</v>
      </c>
      <c r="C1685" t="s">
        <v>160</v>
      </c>
      <c r="D1685" s="190">
        <v>4493</v>
      </c>
      <c r="E1685" s="191">
        <v>6475</v>
      </c>
      <c r="F1685" s="191">
        <v>5968</v>
      </c>
      <c r="G1685" s="481">
        <v>194</v>
      </c>
      <c r="H1685" s="19"/>
      <c r="I1685" s="19"/>
      <c r="M1685" s="19"/>
      <c r="N1685" s="19"/>
    </row>
    <row r="1686" spans="1:14">
      <c r="A1686" s="479">
        <v>4446</v>
      </c>
      <c r="B1686" s="19" t="s">
        <v>1096</v>
      </c>
      <c r="C1686" t="s">
        <v>160</v>
      </c>
      <c r="D1686" s="190">
        <v>4446</v>
      </c>
      <c r="E1686" s="191">
        <v>4665</v>
      </c>
      <c r="F1686" s="191">
        <v>6233</v>
      </c>
      <c r="G1686" s="481">
        <v>221</v>
      </c>
      <c r="H1686" s="19"/>
      <c r="I1686" s="19"/>
      <c r="M1686" s="19"/>
      <c r="N1686" s="19"/>
    </row>
    <row r="1687" spans="1:14">
      <c r="A1687" s="479">
        <v>4223</v>
      </c>
      <c r="B1687" s="19" t="s">
        <v>1097</v>
      </c>
      <c r="C1687" t="s">
        <v>160</v>
      </c>
      <c r="D1687" s="190">
        <v>4223</v>
      </c>
      <c r="E1687" s="191">
        <v>7506</v>
      </c>
      <c r="F1687" s="191">
        <v>7149</v>
      </c>
      <c r="G1687" s="481">
        <v>196</v>
      </c>
      <c r="H1687" s="19"/>
      <c r="I1687" s="19"/>
      <c r="M1687" s="19"/>
      <c r="N1687" s="19"/>
    </row>
    <row r="1688" spans="1:14">
      <c r="A1688" s="479">
        <v>4431</v>
      </c>
      <c r="B1688" s="19" t="s">
        <v>1098</v>
      </c>
      <c r="C1688" t="s">
        <v>160</v>
      </c>
      <c r="D1688" s="190">
        <v>4431</v>
      </c>
      <c r="E1688" s="191">
        <v>5430</v>
      </c>
      <c r="F1688" s="191">
        <v>5924</v>
      </c>
      <c r="G1688" s="481">
        <v>204</v>
      </c>
      <c r="H1688" s="19"/>
      <c r="I1688" s="19"/>
      <c r="M1688" s="19"/>
      <c r="N1688" s="19"/>
    </row>
    <row r="1689" spans="1:14">
      <c r="A1689" s="479">
        <v>4451</v>
      </c>
      <c r="B1689" s="19" t="s">
        <v>1099</v>
      </c>
      <c r="C1689" t="s">
        <v>160</v>
      </c>
      <c r="D1689" s="190">
        <v>4451</v>
      </c>
      <c r="E1689" s="191">
        <v>7289</v>
      </c>
      <c r="F1689" s="191">
        <v>5297</v>
      </c>
      <c r="G1689" s="481">
        <v>263</v>
      </c>
      <c r="H1689" s="19"/>
      <c r="I1689" s="19"/>
      <c r="M1689" s="19"/>
      <c r="N1689" s="19"/>
    </row>
    <row r="1690" spans="1:14">
      <c r="A1690" s="479">
        <v>4462</v>
      </c>
      <c r="B1690" s="19" t="s">
        <v>1100</v>
      </c>
      <c r="C1690" t="s">
        <v>160</v>
      </c>
      <c r="D1690" s="190">
        <v>4462</v>
      </c>
      <c r="E1690" s="191">
        <v>7100</v>
      </c>
      <c r="F1690" s="191">
        <v>6557</v>
      </c>
      <c r="G1690" s="481">
        <v>182</v>
      </c>
      <c r="H1690" s="19"/>
      <c r="I1690" s="19"/>
      <c r="M1690" s="19"/>
      <c r="N1690" s="19"/>
    </row>
    <row r="1691" spans="1:14">
      <c r="A1691" s="479">
        <v>4469</v>
      </c>
      <c r="B1691" s="19" t="s">
        <v>1101</v>
      </c>
      <c r="C1691" t="s">
        <v>160</v>
      </c>
      <c r="D1691" s="190">
        <v>4469</v>
      </c>
      <c r="E1691" s="191">
        <v>6711</v>
      </c>
      <c r="F1691" s="191">
        <v>6489</v>
      </c>
      <c r="G1691" s="481">
        <v>216</v>
      </c>
      <c r="H1691" s="19"/>
      <c r="I1691" s="19"/>
      <c r="M1691" s="19"/>
      <c r="N1691" s="19"/>
    </row>
    <row r="1692" spans="1:14">
      <c r="A1692" s="479">
        <v>4424</v>
      </c>
      <c r="B1692" s="19" t="s">
        <v>1102</v>
      </c>
      <c r="C1692" t="s">
        <v>160</v>
      </c>
      <c r="D1692" s="190">
        <v>4424</v>
      </c>
      <c r="E1692" s="191">
        <v>6632</v>
      </c>
      <c r="F1692" s="191">
        <v>7056</v>
      </c>
      <c r="G1692" s="481">
        <v>233</v>
      </c>
      <c r="H1692" s="19"/>
      <c r="I1692" s="19"/>
      <c r="M1692" s="19"/>
      <c r="N1692" s="19"/>
    </row>
    <row r="1693" spans="1:14">
      <c r="A1693" s="479">
        <v>4458</v>
      </c>
      <c r="B1693" s="19" t="s">
        <v>1103</v>
      </c>
      <c r="C1693" t="s">
        <v>160</v>
      </c>
      <c r="D1693" s="190">
        <v>4458</v>
      </c>
      <c r="E1693" s="191">
        <v>4998</v>
      </c>
      <c r="F1693" s="191">
        <v>5403</v>
      </c>
      <c r="G1693" s="481">
        <v>225</v>
      </c>
      <c r="H1693" s="19"/>
      <c r="I1693" s="19"/>
      <c r="M1693" s="19"/>
      <c r="N1693" s="19"/>
    </row>
    <row r="1694" spans="1:14">
      <c r="A1694" s="479">
        <v>4447</v>
      </c>
      <c r="B1694" s="19" t="s">
        <v>1104</v>
      </c>
      <c r="C1694" t="s">
        <v>160</v>
      </c>
      <c r="D1694" s="190">
        <v>4447</v>
      </c>
      <c r="E1694" s="191">
        <v>5904</v>
      </c>
      <c r="F1694" s="191">
        <v>6003</v>
      </c>
      <c r="G1694" s="481">
        <v>260</v>
      </c>
      <c r="H1694" s="19"/>
      <c r="I1694" s="19"/>
      <c r="M1694" s="19"/>
      <c r="N1694" s="19"/>
    </row>
    <row r="1695" spans="1:14">
      <c r="A1695" s="479">
        <v>4432</v>
      </c>
      <c r="B1695" s="19" t="s">
        <v>1105</v>
      </c>
      <c r="C1695" t="s">
        <v>160</v>
      </c>
      <c r="D1695" s="190">
        <v>4432</v>
      </c>
      <c r="E1695" s="191">
        <v>6191</v>
      </c>
      <c r="F1695" s="191">
        <v>5869</v>
      </c>
      <c r="G1695" s="481">
        <v>263</v>
      </c>
      <c r="H1695" s="19"/>
      <c r="I1695" s="19"/>
      <c r="M1695" s="19"/>
      <c r="N1695" s="19"/>
    </row>
    <row r="1696" spans="1:14">
      <c r="A1696" s="479">
        <v>4495</v>
      </c>
      <c r="B1696" s="19" t="s">
        <v>1106</v>
      </c>
      <c r="C1696" t="s">
        <v>160</v>
      </c>
      <c r="D1696" s="190">
        <v>4495</v>
      </c>
      <c r="E1696" s="191">
        <v>5838</v>
      </c>
      <c r="F1696" s="191">
        <v>6217</v>
      </c>
      <c r="G1696" s="481">
        <v>174</v>
      </c>
      <c r="H1696" s="19"/>
      <c r="I1696" s="19"/>
      <c r="M1696" s="19"/>
      <c r="N1696" s="19"/>
    </row>
    <row r="1697" spans="1:14">
      <c r="A1697" s="479">
        <v>4494</v>
      </c>
      <c r="B1697" s="19" t="s">
        <v>1107</v>
      </c>
      <c r="C1697" t="s">
        <v>160</v>
      </c>
      <c r="D1697" s="190">
        <v>4494</v>
      </c>
      <c r="E1697" s="191">
        <v>6355</v>
      </c>
      <c r="F1697" s="191">
        <v>7229</v>
      </c>
      <c r="G1697" s="481">
        <v>215</v>
      </c>
      <c r="H1697" s="19"/>
      <c r="I1697" s="19"/>
      <c r="M1697" s="19"/>
      <c r="N1697" s="19"/>
    </row>
    <row r="1698" spans="1:14">
      <c r="A1698" s="479">
        <v>4443</v>
      </c>
      <c r="B1698" s="19" t="s">
        <v>1108</v>
      </c>
      <c r="C1698" t="s">
        <v>160</v>
      </c>
      <c r="D1698" s="190">
        <v>4443</v>
      </c>
      <c r="E1698" s="191">
        <v>6592</v>
      </c>
      <c r="F1698" s="191">
        <v>6030</v>
      </c>
      <c r="G1698" s="481">
        <v>243</v>
      </c>
      <c r="H1698" s="19"/>
      <c r="I1698" s="19"/>
      <c r="M1698" s="19"/>
      <c r="N1698" s="19"/>
    </row>
    <row r="1699" spans="1:14">
      <c r="A1699" s="479">
        <v>4224</v>
      </c>
      <c r="B1699" s="19" t="s">
        <v>1109</v>
      </c>
      <c r="C1699" t="s">
        <v>160</v>
      </c>
      <c r="D1699" s="190">
        <v>4224</v>
      </c>
      <c r="E1699" s="191">
        <v>8067</v>
      </c>
      <c r="F1699" s="191">
        <v>8336</v>
      </c>
      <c r="G1699" s="481">
        <v>194</v>
      </c>
      <c r="H1699" s="19"/>
      <c r="I1699" s="19"/>
      <c r="M1699" s="19"/>
      <c r="N1699" s="19"/>
    </row>
    <row r="1700" spans="1:14">
      <c r="A1700" s="479">
        <v>4425</v>
      </c>
      <c r="B1700" s="19" t="s">
        <v>1110</v>
      </c>
      <c r="C1700" t="s">
        <v>160</v>
      </c>
      <c r="D1700" s="190">
        <v>4425</v>
      </c>
      <c r="E1700" s="191">
        <v>6044</v>
      </c>
      <c r="F1700" s="191">
        <v>5678</v>
      </c>
      <c r="G1700" s="481">
        <v>180</v>
      </c>
      <c r="H1700" s="19"/>
      <c r="I1700" s="19"/>
      <c r="M1700" s="19"/>
      <c r="N1700" s="19"/>
    </row>
    <row r="1701" spans="1:14">
      <c r="A1701" s="479">
        <v>4444</v>
      </c>
      <c r="B1701" s="19" t="s">
        <v>1111</v>
      </c>
      <c r="C1701" t="s">
        <v>160</v>
      </c>
      <c r="D1701" s="190">
        <v>4444</v>
      </c>
      <c r="E1701" s="191">
        <v>6599</v>
      </c>
      <c r="F1701" s="191">
        <v>6233</v>
      </c>
      <c r="G1701" s="481">
        <v>202</v>
      </c>
      <c r="H1701" s="19"/>
      <c r="I1701" s="19"/>
      <c r="M1701" s="19"/>
      <c r="N1701" s="19"/>
    </row>
    <row r="1702" spans="1:14">
      <c r="A1702" s="479">
        <v>4426</v>
      </c>
      <c r="B1702" s="19" t="s">
        <v>1112</v>
      </c>
      <c r="C1702" t="s">
        <v>160</v>
      </c>
      <c r="D1702" s="190">
        <v>4426</v>
      </c>
      <c r="E1702" s="191">
        <v>4591</v>
      </c>
      <c r="F1702" s="191">
        <v>5877</v>
      </c>
      <c r="G1702" s="481">
        <v>199</v>
      </c>
      <c r="H1702" s="19"/>
      <c r="I1702" s="19"/>
      <c r="M1702" s="19"/>
      <c r="N1702" s="19"/>
    </row>
    <row r="1703" spans="1:14">
      <c r="A1703" s="479">
        <v>4423</v>
      </c>
      <c r="B1703" s="19" t="s">
        <v>1113</v>
      </c>
      <c r="C1703" t="s">
        <v>160</v>
      </c>
      <c r="D1703" s="190">
        <v>4423</v>
      </c>
      <c r="E1703" s="191">
        <v>7989</v>
      </c>
      <c r="F1703" s="191">
        <v>5039</v>
      </c>
      <c r="G1703" s="481">
        <v>226</v>
      </c>
      <c r="H1703" s="19"/>
      <c r="I1703" s="19"/>
      <c r="M1703" s="19"/>
      <c r="N1703" s="19"/>
    </row>
    <row r="1704" spans="1:14">
      <c r="A1704" s="479">
        <v>4445</v>
      </c>
      <c r="B1704" s="19" t="s">
        <v>1114</v>
      </c>
      <c r="C1704" t="s">
        <v>160</v>
      </c>
      <c r="D1704" s="190">
        <v>4445</v>
      </c>
      <c r="E1704" s="191">
        <v>6202</v>
      </c>
      <c r="F1704" s="191">
        <v>5926</v>
      </c>
      <c r="G1704" s="481">
        <v>252</v>
      </c>
      <c r="H1704" s="19"/>
      <c r="I1704" s="19"/>
      <c r="M1704" s="19"/>
      <c r="N1704" s="19"/>
    </row>
    <row r="1705" spans="1:14">
      <c r="A1705" s="479">
        <v>2814</v>
      </c>
      <c r="B1705" s="19" t="s">
        <v>1115</v>
      </c>
      <c r="C1705" t="s">
        <v>160</v>
      </c>
      <c r="D1705" s="190">
        <v>2814</v>
      </c>
      <c r="E1705" s="191">
        <v>3635</v>
      </c>
      <c r="F1705" s="191">
        <v>4649</v>
      </c>
      <c r="G1705" s="481">
        <v>148</v>
      </c>
      <c r="H1705" s="19"/>
      <c r="I1705" s="19"/>
      <c r="M1705" s="19"/>
      <c r="N1705" s="19"/>
    </row>
    <row r="1706" spans="1:14">
      <c r="A1706" s="479">
        <v>4117</v>
      </c>
      <c r="B1706" s="19" t="s">
        <v>1116</v>
      </c>
      <c r="C1706" t="s">
        <v>160</v>
      </c>
      <c r="D1706" s="190">
        <v>4117</v>
      </c>
      <c r="E1706" s="191">
        <v>6378</v>
      </c>
      <c r="F1706" s="191">
        <v>5888</v>
      </c>
      <c r="G1706" s="481">
        <v>222</v>
      </c>
      <c r="H1706" s="19"/>
      <c r="I1706" s="19"/>
      <c r="M1706" s="19"/>
      <c r="N1706" s="19"/>
    </row>
    <row r="1707" spans="1:14">
      <c r="A1707" s="479">
        <v>4453</v>
      </c>
      <c r="B1707" s="19" t="s">
        <v>1117</v>
      </c>
      <c r="C1707" t="s">
        <v>160</v>
      </c>
      <c r="D1707" s="190">
        <v>4453</v>
      </c>
      <c r="E1707" s="191">
        <v>7648</v>
      </c>
      <c r="F1707" s="191">
        <v>5283</v>
      </c>
      <c r="G1707" s="481">
        <v>263</v>
      </c>
      <c r="H1707" s="19"/>
      <c r="I1707" s="19"/>
      <c r="M1707" s="19"/>
      <c r="N1707" s="19"/>
    </row>
    <row r="1708" spans="1:14">
      <c r="A1708" s="479">
        <v>4465</v>
      </c>
      <c r="B1708" s="19" t="s">
        <v>1118</v>
      </c>
      <c r="C1708" t="s">
        <v>160</v>
      </c>
      <c r="D1708" s="190">
        <v>4465</v>
      </c>
      <c r="E1708" s="191">
        <v>6627</v>
      </c>
      <c r="F1708" s="191">
        <v>5990</v>
      </c>
      <c r="G1708" s="481">
        <v>263</v>
      </c>
      <c r="H1708" s="19"/>
      <c r="I1708" s="19"/>
      <c r="M1708" s="19"/>
      <c r="N1708" s="19"/>
    </row>
    <row r="1709" spans="1:14">
      <c r="A1709" s="479">
        <v>4426</v>
      </c>
      <c r="B1709" s="19" t="s">
        <v>1119</v>
      </c>
      <c r="C1709" t="s">
        <v>160</v>
      </c>
      <c r="D1709" s="190">
        <v>4426</v>
      </c>
      <c r="E1709" s="191">
        <v>5654</v>
      </c>
      <c r="F1709" s="191">
        <v>5819</v>
      </c>
      <c r="G1709" s="481">
        <v>169</v>
      </c>
      <c r="H1709" s="19"/>
      <c r="I1709" s="19"/>
      <c r="M1709" s="19"/>
      <c r="N1709" s="19"/>
    </row>
    <row r="1710" spans="1:14">
      <c r="A1710" s="479">
        <v>4496</v>
      </c>
      <c r="B1710" s="19" t="s">
        <v>1120</v>
      </c>
      <c r="C1710" t="s">
        <v>160</v>
      </c>
      <c r="D1710" s="190">
        <v>4496</v>
      </c>
      <c r="E1710" s="191">
        <v>5662</v>
      </c>
      <c r="F1710" s="191">
        <v>5956</v>
      </c>
      <c r="G1710" s="481">
        <v>185</v>
      </c>
      <c r="H1710" s="19"/>
      <c r="I1710" s="19"/>
      <c r="M1710" s="19"/>
      <c r="N1710" s="19"/>
    </row>
    <row r="1711" spans="1:14">
      <c r="A1711" s="479">
        <v>4051</v>
      </c>
      <c r="B1711" s="19" t="s">
        <v>1121</v>
      </c>
      <c r="C1711" t="s">
        <v>144</v>
      </c>
      <c r="D1711" s="190">
        <v>4051</v>
      </c>
      <c r="E1711" s="191">
        <v>10716</v>
      </c>
      <c r="F1711" s="191">
        <v>9452</v>
      </c>
      <c r="G1711" s="481">
        <v>305</v>
      </c>
      <c r="H1711" s="19"/>
      <c r="I1711" s="19"/>
      <c r="M1711" s="19"/>
      <c r="N1711" s="19"/>
    </row>
    <row r="1712" spans="1:14">
      <c r="A1712" s="479">
        <v>4125</v>
      </c>
      <c r="B1712" s="19" t="s">
        <v>1122</v>
      </c>
      <c r="C1712" t="s">
        <v>144</v>
      </c>
      <c r="D1712" s="190">
        <v>4125</v>
      </c>
      <c r="E1712" s="191">
        <v>10367</v>
      </c>
      <c r="F1712" s="191">
        <v>11137</v>
      </c>
      <c r="G1712" s="481">
        <v>281</v>
      </c>
      <c r="H1712" s="19"/>
      <c r="I1712" s="19"/>
      <c r="M1712" s="19"/>
      <c r="N1712" s="19"/>
    </row>
    <row r="1713" spans="1:14">
      <c r="A1713" s="479">
        <v>4126</v>
      </c>
      <c r="B1713" s="19" t="s">
        <v>1123</v>
      </c>
      <c r="C1713" t="s">
        <v>144</v>
      </c>
      <c r="D1713" s="190">
        <v>4126</v>
      </c>
      <c r="E1713" s="191">
        <v>10228</v>
      </c>
      <c r="F1713" s="191">
        <v>9789</v>
      </c>
      <c r="G1713" s="481">
        <v>303</v>
      </c>
      <c r="H1713" s="19"/>
      <c r="I1713" s="19"/>
      <c r="M1713" s="19"/>
      <c r="N1713" s="19"/>
    </row>
    <row r="1714" spans="1:14">
      <c r="A1714" s="479">
        <v>1700</v>
      </c>
      <c r="B1714" s="19" t="s">
        <v>168</v>
      </c>
      <c r="C1714" t="s">
        <v>152</v>
      </c>
      <c r="D1714" s="190">
        <v>1700</v>
      </c>
      <c r="E1714" s="191">
        <v>6953</v>
      </c>
      <c r="F1714" s="191">
        <v>8110</v>
      </c>
      <c r="G1714" s="481">
        <v>259</v>
      </c>
      <c r="H1714" s="19"/>
      <c r="I1714" s="19"/>
      <c r="M1714" s="19"/>
      <c r="N1714" s="19"/>
    </row>
    <row r="1715" spans="1:14">
      <c r="A1715" s="479">
        <v>1630</v>
      </c>
      <c r="B1715" s="19" t="s">
        <v>1124</v>
      </c>
      <c r="C1715" t="s">
        <v>152</v>
      </c>
      <c r="D1715" s="190">
        <v>1630</v>
      </c>
      <c r="E1715" s="191">
        <v>6452</v>
      </c>
      <c r="F1715" s="191">
        <v>7189</v>
      </c>
      <c r="G1715" s="481">
        <v>250</v>
      </c>
      <c r="H1715" s="19"/>
      <c r="I1715" s="19"/>
      <c r="M1715" s="19"/>
      <c r="N1715" s="19"/>
    </row>
    <row r="1716" spans="1:14">
      <c r="A1716" s="479">
        <v>1752</v>
      </c>
      <c r="B1716" s="19" t="s">
        <v>1125</v>
      </c>
      <c r="C1716" t="s">
        <v>152</v>
      </c>
      <c r="D1716" s="190">
        <v>1752</v>
      </c>
      <c r="E1716" s="191">
        <v>7667</v>
      </c>
      <c r="F1716" s="191">
        <v>7351</v>
      </c>
      <c r="G1716" s="481">
        <v>251</v>
      </c>
      <c r="H1716" s="19"/>
      <c r="I1716" s="19"/>
      <c r="M1716" s="19"/>
      <c r="N1716" s="19"/>
    </row>
    <row r="1717" spans="1:14">
      <c r="A1717" s="479">
        <v>1470</v>
      </c>
      <c r="B1717" s="19" t="s">
        <v>1126</v>
      </c>
      <c r="C1717" t="s">
        <v>152</v>
      </c>
      <c r="D1717" s="190">
        <v>1470</v>
      </c>
      <c r="E1717" s="191">
        <v>6339</v>
      </c>
      <c r="F1717" s="191">
        <v>7216</v>
      </c>
      <c r="G1717" s="481">
        <v>248</v>
      </c>
      <c r="H1717" s="19"/>
      <c r="I1717" s="19"/>
      <c r="M1717" s="19"/>
      <c r="N1717" s="19"/>
    </row>
    <row r="1718" spans="1:14">
      <c r="A1718" s="479">
        <v>3280</v>
      </c>
      <c r="B1718" s="19" t="s">
        <v>1127</v>
      </c>
      <c r="C1718" t="s">
        <v>152</v>
      </c>
      <c r="D1718" s="190">
        <v>3280</v>
      </c>
      <c r="E1718" s="191">
        <v>8609</v>
      </c>
      <c r="F1718" s="191">
        <v>8440</v>
      </c>
      <c r="G1718" s="481">
        <v>251</v>
      </c>
      <c r="H1718" s="19"/>
      <c r="I1718" s="19"/>
      <c r="M1718" s="19"/>
      <c r="N1718" s="19"/>
    </row>
    <row r="1719" spans="1:14">
      <c r="A1719" s="479">
        <v>1723</v>
      </c>
      <c r="B1719" s="19" t="s">
        <v>1128</v>
      </c>
      <c r="C1719" t="s">
        <v>152</v>
      </c>
      <c r="D1719" s="190">
        <v>1723</v>
      </c>
      <c r="E1719" s="191">
        <v>6949</v>
      </c>
      <c r="F1719" s="191">
        <v>7003</v>
      </c>
      <c r="G1719" s="481">
        <v>274</v>
      </c>
      <c r="H1719" s="19"/>
      <c r="I1719" s="19"/>
      <c r="M1719" s="19"/>
      <c r="N1719" s="19"/>
    </row>
    <row r="1720" spans="1:14">
      <c r="A1720" s="479">
        <v>3186</v>
      </c>
      <c r="B1720" s="19" t="s">
        <v>1129</v>
      </c>
      <c r="C1720" t="s">
        <v>152</v>
      </c>
      <c r="D1720" s="190">
        <v>3186</v>
      </c>
      <c r="E1720" s="191">
        <v>6274</v>
      </c>
      <c r="F1720" s="191">
        <v>6377</v>
      </c>
      <c r="G1720" s="481">
        <v>234</v>
      </c>
      <c r="H1720" s="19"/>
      <c r="I1720" s="19"/>
      <c r="M1720" s="19"/>
      <c r="N1720" s="19"/>
    </row>
    <row r="1721" spans="1:14">
      <c r="A1721" s="479">
        <v>1690</v>
      </c>
      <c r="B1721" s="19" t="s">
        <v>1130</v>
      </c>
      <c r="C1721" t="s">
        <v>152</v>
      </c>
      <c r="D1721" s="190">
        <v>1690</v>
      </c>
      <c r="E1721" s="191">
        <v>5806</v>
      </c>
      <c r="F1721" s="191">
        <v>5991</v>
      </c>
      <c r="G1721" s="481">
        <v>231</v>
      </c>
      <c r="H1721" s="19"/>
      <c r="I1721" s="19"/>
      <c r="M1721" s="19"/>
      <c r="N1721" s="19"/>
    </row>
    <row r="1722" spans="1:14">
      <c r="A1722" s="479">
        <v>1618</v>
      </c>
      <c r="B1722" s="19" t="s">
        <v>1131</v>
      </c>
      <c r="C1722" t="s">
        <v>152</v>
      </c>
      <c r="D1722" s="190">
        <v>1618</v>
      </c>
      <c r="E1722" s="191">
        <v>7346</v>
      </c>
      <c r="F1722" s="191">
        <v>7583</v>
      </c>
      <c r="G1722" s="481">
        <v>281</v>
      </c>
      <c r="H1722" s="19"/>
      <c r="I1722" s="19"/>
      <c r="M1722" s="19"/>
      <c r="N1722" s="19"/>
    </row>
    <row r="1723" spans="1:14">
      <c r="A1723" s="479">
        <v>3175</v>
      </c>
      <c r="B1723" s="19" t="s">
        <v>1132</v>
      </c>
      <c r="C1723" t="s">
        <v>152</v>
      </c>
      <c r="D1723" s="190">
        <v>3175</v>
      </c>
      <c r="E1723" s="191">
        <v>6369</v>
      </c>
      <c r="F1723" s="191">
        <v>6251</v>
      </c>
      <c r="G1723" s="481">
        <v>230</v>
      </c>
      <c r="H1723" s="19"/>
      <c r="I1723" s="19"/>
      <c r="M1723" s="19"/>
      <c r="N1723" s="19"/>
    </row>
    <row r="1724" spans="1:14">
      <c r="A1724" s="479">
        <v>1773</v>
      </c>
      <c r="B1724" s="19" t="s">
        <v>1133</v>
      </c>
      <c r="C1724" t="s">
        <v>152</v>
      </c>
      <c r="D1724" s="190">
        <v>1773</v>
      </c>
      <c r="E1724" s="191">
        <v>6170</v>
      </c>
      <c r="F1724" s="191">
        <v>6194</v>
      </c>
      <c r="G1724" s="481">
        <v>226</v>
      </c>
      <c r="H1724" s="19"/>
      <c r="I1724" s="19"/>
      <c r="M1724" s="19"/>
      <c r="N1724" s="19"/>
    </row>
    <row r="1725" spans="1:14">
      <c r="A1725" s="479">
        <v>1784</v>
      </c>
      <c r="B1725" s="19" t="s">
        <v>1134</v>
      </c>
      <c r="C1725" t="s">
        <v>152</v>
      </c>
      <c r="D1725" s="190">
        <v>1784</v>
      </c>
      <c r="E1725" s="191">
        <v>5249</v>
      </c>
      <c r="F1725" s="191">
        <v>6215</v>
      </c>
      <c r="G1725" s="481">
        <v>242</v>
      </c>
      <c r="H1725" s="19"/>
      <c r="I1725" s="19"/>
      <c r="M1725" s="19"/>
      <c r="N1725" s="19"/>
    </row>
    <row r="1726" spans="1:14">
      <c r="A1726" s="479">
        <v>1680</v>
      </c>
      <c r="B1726" s="19" t="s">
        <v>1135</v>
      </c>
      <c r="C1726" t="s">
        <v>152</v>
      </c>
      <c r="D1726" s="190">
        <v>1680</v>
      </c>
      <c r="E1726" s="191">
        <v>6461</v>
      </c>
      <c r="F1726" s="191">
        <v>6282</v>
      </c>
      <c r="G1726" s="481">
        <v>249</v>
      </c>
      <c r="H1726" s="19"/>
      <c r="I1726" s="19"/>
      <c r="M1726" s="19"/>
      <c r="N1726" s="19"/>
    </row>
    <row r="1727" spans="1:14">
      <c r="A1727" s="479">
        <v>3210</v>
      </c>
      <c r="B1727" s="19" t="s">
        <v>1136</v>
      </c>
      <c r="C1727" t="s">
        <v>152</v>
      </c>
      <c r="D1727" s="190">
        <v>3210</v>
      </c>
      <c r="E1727" s="191">
        <v>7301</v>
      </c>
      <c r="F1727" s="191">
        <v>6431</v>
      </c>
      <c r="G1727" s="481">
        <v>233</v>
      </c>
      <c r="H1727" s="19"/>
      <c r="I1727" s="19"/>
      <c r="M1727" s="19"/>
      <c r="N1727" s="19"/>
    </row>
    <row r="1728" spans="1:14">
      <c r="A1728" s="479">
        <v>3215</v>
      </c>
      <c r="B1728" s="19" t="s">
        <v>1137</v>
      </c>
      <c r="C1728" t="s">
        <v>152</v>
      </c>
      <c r="D1728" s="190">
        <v>3215</v>
      </c>
      <c r="E1728" s="191">
        <v>5394</v>
      </c>
      <c r="F1728" s="191">
        <v>6469</v>
      </c>
      <c r="G1728" s="481">
        <v>229</v>
      </c>
      <c r="H1728" s="19"/>
      <c r="I1728" s="19"/>
      <c r="M1728" s="19"/>
      <c r="N1728" s="19"/>
    </row>
    <row r="1729" spans="1:14">
      <c r="A1729" s="479">
        <v>3185</v>
      </c>
      <c r="B1729" s="19" t="s">
        <v>1138</v>
      </c>
      <c r="C1729" t="s">
        <v>152</v>
      </c>
      <c r="D1729" s="190">
        <v>3185</v>
      </c>
      <c r="E1729" s="191">
        <v>5302</v>
      </c>
      <c r="F1729" s="191">
        <v>5894</v>
      </c>
      <c r="G1729" s="481">
        <v>210</v>
      </c>
      <c r="H1729" s="19"/>
      <c r="I1729" s="19"/>
      <c r="M1729" s="19"/>
      <c r="N1729" s="19"/>
    </row>
    <row r="1730" spans="1:14">
      <c r="A1730" s="479">
        <v>1763</v>
      </c>
      <c r="B1730" s="19" t="s">
        <v>1139</v>
      </c>
      <c r="C1730" t="s">
        <v>152</v>
      </c>
      <c r="D1730" s="190">
        <v>1763</v>
      </c>
      <c r="E1730" s="191">
        <v>6542</v>
      </c>
      <c r="F1730" s="191">
        <v>7439</v>
      </c>
      <c r="G1730" s="481">
        <v>259</v>
      </c>
      <c r="H1730" s="19"/>
      <c r="I1730" s="19"/>
      <c r="M1730" s="19"/>
      <c r="N1730" s="19"/>
    </row>
    <row r="1731" spans="1:14">
      <c r="A1731" s="479">
        <v>1716</v>
      </c>
      <c r="B1731" s="19" t="s">
        <v>1140</v>
      </c>
      <c r="C1731" t="s">
        <v>152</v>
      </c>
      <c r="D1731" s="190">
        <v>1716</v>
      </c>
      <c r="E1731" s="191">
        <v>5459</v>
      </c>
      <c r="F1731" s="191">
        <v>5456</v>
      </c>
      <c r="G1731" s="481">
        <v>185</v>
      </c>
      <c r="H1731" s="19"/>
      <c r="I1731" s="19"/>
      <c r="M1731" s="19"/>
      <c r="N1731" s="19"/>
    </row>
    <row r="1732" spans="1:14">
      <c r="A1732" s="479">
        <v>1786</v>
      </c>
      <c r="B1732" s="19" t="s">
        <v>1141</v>
      </c>
      <c r="C1732" t="s">
        <v>152</v>
      </c>
      <c r="D1732" s="190">
        <v>1786</v>
      </c>
      <c r="E1732" s="191">
        <v>7683</v>
      </c>
      <c r="F1732" s="191">
        <v>7727</v>
      </c>
      <c r="G1732" s="481">
        <v>265</v>
      </c>
      <c r="H1732" s="19"/>
      <c r="I1732" s="19"/>
      <c r="M1732" s="19"/>
      <c r="N1732" s="19"/>
    </row>
    <row r="1733" spans="1:14">
      <c r="A1733" s="479">
        <v>3178</v>
      </c>
      <c r="B1733" s="19" t="s">
        <v>1142</v>
      </c>
      <c r="C1733" t="s">
        <v>152</v>
      </c>
      <c r="D1733" s="190">
        <v>3178</v>
      </c>
      <c r="E1733" s="191">
        <v>5261</v>
      </c>
      <c r="F1733" s="191">
        <v>6899</v>
      </c>
      <c r="G1733" s="481">
        <v>205</v>
      </c>
      <c r="H1733" s="19"/>
      <c r="I1733" s="19"/>
      <c r="M1733" s="19"/>
      <c r="N1733" s="19"/>
    </row>
    <row r="1734" spans="1:14">
      <c r="A1734" s="479">
        <v>1616</v>
      </c>
      <c r="B1734" s="19" t="s">
        <v>1143</v>
      </c>
      <c r="C1734" t="s">
        <v>152</v>
      </c>
      <c r="D1734" s="190">
        <v>1616</v>
      </c>
      <c r="E1734" s="191">
        <v>7733</v>
      </c>
      <c r="F1734" s="191">
        <v>7857</v>
      </c>
      <c r="G1734" s="481">
        <v>229</v>
      </c>
      <c r="H1734" s="19"/>
      <c r="I1734" s="19"/>
      <c r="M1734" s="19"/>
      <c r="N1734" s="19"/>
    </row>
    <row r="1735" spans="1:14">
      <c r="A1735" s="479">
        <v>1712</v>
      </c>
      <c r="B1735" s="19" t="s">
        <v>1144</v>
      </c>
      <c r="C1735" t="s">
        <v>152</v>
      </c>
      <c r="D1735" s="190">
        <v>1712</v>
      </c>
      <c r="E1735" s="191">
        <v>7034</v>
      </c>
      <c r="F1735" s="191">
        <v>7021</v>
      </c>
      <c r="G1735" s="481">
        <v>229</v>
      </c>
      <c r="H1735" s="19"/>
      <c r="I1735" s="19"/>
      <c r="M1735" s="19"/>
      <c r="N1735" s="19"/>
    </row>
    <row r="1736" spans="1:14">
      <c r="A1736" s="479">
        <v>1782</v>
      </c>
      <c r="B1736" s="19" t="s">
        <v>1145</v>
      </c>
      <c r="C1736" t="s">
        <v>152</v>
      </c>
      <c r="D1736" s="190">
        <v>1782</v>
      </c>
      <c r="E1736" s="191">
        <v>6105</v>
      </c>
      <c r="F1736" s="191">
        <v>6323</v>
      </c>
      <c r="G1736" s="481">
        <v>228</v>
      </c>
      <c r="H1736" s="19"/>
      <c r="I1736" s="19"/>
      <c r="M1736" s="19"/>
      <c r="N1736" s="19"/>
    </row>
    <row r="1737" spans="1:14">
      <c r="A1737" s="479">
        <v>1762</v>
      </c>
      <c r="B1737" s="19" t="s">
        <v>1146</v>
      </c>
      <c r="C1737" t="s">
        <v>152</v>
      </c>
      <c r="D1737" s="190">
        <v>1762</v>
      </c>
      <c r="E1737" s="191">
        <v>6806</v>
      </c>
      <c r="F1737" s="191">
        <v>6959</v>
      </c>
      <c r="G1737" s="481">
        <v>224</v>
      </c>
      <c r="H1737" s="19"/>
      <c r="I1737" s="19"/>
      <c r="M1737" s="19"/>
      <c r="N1737" s="19"/>
    </row>
    <row r="1738" spans="1:14">
      <c r="A1738" s="479">
        <v>1724</v>
      </c>
      <c r="B1738" s="19" t="s">
        <v>1147</v>
      </c>
      <c r="C1738" t="s">
        <v>152</v>
      </c>
      <c r="D1738" s="190">
        <v>1724</v>
      </c>
      <c r="E1738" s="191">
        <v>5795</v>
      </c>
      <c r="F1738" s="191">
        <v>6607</v>
      </c>
      <c r="G1738" s="481">
        <v>217</v>
      </c>
      <c r="H1738" s="19"/>
      <c r="I1738" s="19"/>
      <c r="M1738" s="19"/>
      <c r="N1738" s="19"/>
    </row>
    <row r="1739" spans="1:14">
      <c r="A1739" s="479">
        <v>1670</v>
      </c>
      <c r="B1739" s="19" t="s">
        <v>1148</v>
      </c>
      <c r="C1739" t="s">
        <v>152</v>
      </c>
      <c r="D1739" s="190">
        <v>1670</v>
      </c>
      <c r="E1739" s="191">
        <v>6286</v>
      </c>
      <c r="F1739" s="191">
        <v>6186</v>
      </c>
      <c r="G1739" s="481">
        <v>253</v>
      </c>
      <c r="H1739" s="19"/>
      <c r="I1739" s="19"/>
      <c r="M1739" s="19"/>
      <c r="N1739" s="19"/>
    </row>
    <row r="1740" spans="1:14">
      <c r="A1740" s="479">
        <v>1636</v>
      </c>
      <c r="B1740" s="19" t="s">
        <v>1149</v>
      </c>
      <c r="C1740" t="s">
        <v>152</v>
      </c>
      <c r="D1740" s="190">
        <v>1636</v>
      </c>
      <c r="E1740" s="191">
        <v>6337</v>
      </c>
      <c r="F1740" s="191">
        <v>6131</v>
      </c>
      <c r="G1740" s="481">
        <v>260</v>
      </c>
      <c r="H1740" s="19"/>
      <c r="I1740" s="19"/>
      <c r="M1740" s="19"/>
      <c r="N1740" s="19"/>
    </row>
    <row r="1741" spans="1:14">
      <c r="A1741" s="479">
        <v>1632</v>
      </c>
      <c r="B1741" s="19" t="s">
        <v>1150</v>
      </c>
      <c r="C1741" t="s">
        <v>152</v>
      </c>
      <c r="D1741" s="190">
        <v>1632</v>
      </c>
      <c r="E1741" s="191">
        <v>6949</v>
      </c>
      <c r="F1741" s="191">
        <v>7748</v>
      </c>
      <c r="G1741" s="481">
        <v>260</v>
      </c>
      <c r="H1741" s="19"/>
      <c r="I1741" s="19"/>
      <c r="M1741" s="19"/>
      <c r="N1741" s="19"/>
    </row>
    <row r="1742" spans="1:14">
      <c r="A1742" s="479">
        <v>1740</v>
      </c>
      <c r="B1742" s="19" t="s">
        <v>1151</v>
      </c>
      <c r="C1742" t="s">
        <v>152</v>
      </c>
      <c r="D1742" s="190">
        <v>1740</v>
      </c>
      <c r="E1742" s="191">
        <v>6919</v>
      </c>
      <c r="F1742" s="191">
        <v>7114</v>
      </c>
      <c r="G1742" s="481">
        <v>228</v>
      </c>
      <c r="H1742" s="19"/>
      <c r="I1742" s="19"/>
      <c r="M1742" s="19"/>
      <c r="N1742" s="19"/>
    </row>
    <row r="1743" spans="1:14">
      <c r="A1743" s="479">
        <v>1720</v>
      </c>
      <c r="B1743" s="19" t="s">
        <v>1152</v>
      </c>
      <c r="C1743" t="s">
        <v>152</v>
      </c>
      <c r="D1743" s="190">
        <v>1720</v>
      </c>
      <c r="E1743" s="191">
        <v>7864</v>
      </c>
      <c r="F1743" s="191">
        <v>7033</v>
      </c>
      <c r="G1743" s="481">
        <v>255</v>
      </c>
      <c r="H1743" s="19"/>
      <c r="I1743" s="19"/>
      <c r="M1743" s="19"/>
      <c r="N1743" s="19"/>
    </row>
    <row r="1744" spans="1:14">
      <c r="A1744" s="479">
        <v>1775</v>
      </c>
      <c r="B1744" s="19" t="s">
        <v>1153</v>
      </c>
      <c r="C1744" t="s">
        <v>152</v>
      </c>
      <c r="D1744" s="190">
        <v>1775</v>
      </c>
      <c r="E1744" s="191">
        <v>6082</v>
      </c>
      <c r="F1744" s="191">
        <v>5837</v>
      </c>
      <c r="G1744" s="481">
        <v>234</v>
      </c>
      <c r="H1744" s="19"/>
      <c r="I1744" s="19"/>
      <c r="M1744" s="19"/>
      <c r="N1744" s="19"/>
    </row>
    <row r="1745" spans="1:14">
      <c r="A1745" s="479">
        <v>1730</v>
      </c>
      <c r="B1745" s="19" t="s">
        <v>1154</v>
      </c>
      <c r="C1745" t="s">
        <v>152</v>
      </c>
      <c r="D1745" s="190">
        <v>1730</v>
      </c>
      <c r="E1745" s="191">
        <v>6697</v>
      </c>
      <c r="F1745" s="191">
        <v>6484</v>
      </c>
      <c r="G1745" s="481">
        <v>238</v>
      </c>
      <c r="H1745" s="19"/>
      <c r="I1745" s="19"/>
      <c r="M1745" s="19"/>
      <c r="N1745" s="19"/>
    </row>
    <row r="1746" spans="1:14">
      <c r="A1746" s="479">
        <v>1637</v>
      </c>
      <c r="B1746" s="19" t="s">
        <v>1155</v>
      </c>
      <c r="C1746" t="s">
        <v>152</v>
      </c>
      <c r="D1746" s="190">
        <v>1637</v>
      </c>
      <c r="E1746" s="191">
        <v>5680</v>
      </c>
      <c r="F1746" s="191">
        <v>7445</v>
      </c>
      <c r="G1746" s="481">
        <v>240</v>
      </c>
      <c r="H1746" s="19"/>
      <c r="I1746" s="19"/>
      <c r="M1746" s="19"/>
      <c r="N1746" s="19"/>
    </row>
    <row r="1747" spans="1:14">
      <c r="A1747" s="479">
        <v>3182</v>
      </c>
      <c r="B1747" s="19" t="s">
        <v>1156</v>
      </c>
      <c r="C1747" t="s">
        <v>152</v>
      </c>
      <c r="D1747" s="190">
        <v>3182</v>
      </c>
      <c r="E1747" s="191">
        <v>7010</v>
      </c>
      <c r="F1747" s="191">
        <v>5478</v>
      </c>
      <c r="G1747" s="481">
        <v>218</v>
      </c>
      <c r="H1747" s="19"/>
      <c r="I1747" s="19"/>
      <c r="M1747" s="19"/>
      <c r="N1747" s="19"/>
    </row>
    <row r="1748" spans="1:14">
      <c r="A1748" s="479">
        <v>1628</v>
      </c>
      <c r="B1748" s="19" t="s">
        <v>1157</v>
      </c>
      <c r="C1748" t="s">
        <v>152</v>
      </c>
      <c r="D1748" s="190">
        <v>1628</v>
      </c>
      <c r="E1748" s="191">
        <v>6796</v>
      </c>
      <c r="F1748" s="191">
        <v>6855</v>
      </c>
      <c r="G1748" s="481">
        <v>250</v>
      </c>
      <c r="H1748" s="19"/>
      <c r="I1748" s="19"/>
      <c r="M1748" s="19"/>
      <c r="N1748" s="19"/>
    </row>
    <row r="1749" spans="1:14">
      <c r="A1749" s="479">
        <v>1687</v>
      </c>
      <c r="B1749" s="19" t="s">
        <v>1158</v>
      </c>
      <c r="C1749" t="s">
        <v>152</v>
      </c>
      <c r="D1749" s="190">
        <v>1687</v>
      </c>
      <c r="E1749" s="191">
        <v>5901</v>
      </c>
      <c r="F1749" s="191">
        <v>6020</v>
      </c>
      <c r="G1749" s="481">
        <v>293</v>
      </c>
      <c r="H1749" s="19"/>
      <c r="I1749" s="19"/>
      <c r="M1749" s="19"/>
      <c r="N1749" s="19"/>
    </row>
    <row r="1750" spans="1:14">
      <c r="A1750" s="479">
        <v>1468</v>
      </c>
      <c r="B1750" s="19" t="s">
        <v>1159</v>
      </c>
      <c r="C1750" t="s">
        <v>152</v>
      </c>
      <c r="D1750" s="190">
        <v>1468</v>
      </c>
      <c r="E1750" s="191">
        <v>7628</v>
      </c>
      <c r="F1750" s="191">
        <v>7344</v>
      </c>
      <c r="G1750" s="481">
        <v>262</v>
      </c>
      <c r="H1750" s="19"/>
      <c r="I1750" s="19"/>
      <c r="M1750" s="19"/>
      <c r="N1750" s="19"/>
    </row>
    <row r="1751" spans="1:14">
      <c r="A1751" s="479">
        <v>1663</v>
      </c>
      <c r="B1751" s="19" t="s">
        <v>1160</v>
      </c>
      <c r="C1751" t="s">
        <v>152</v>
      </c>
      <c r="D1751" s="190">
        <v>1663</v>
      </c>
      <c r="E1751" s="191">
        <v>5949</v>
      </c>
      <c r="F1751" s="191">
        <v>6341</v>
      </c>
      <c r="G1751" s="481">
        <v>250</v>
      </c>
      <c r="H1751" s="19"/>
      <c r="I1751" s="19"/>
      <c r="M1751" s="19"/>
      <c r="N1751" s="19"/>
    </row>
    <row r="1752" spans="1:14">
      <c r="A1752" s="479">
        <v>1678</v>
      </c>
      <c r="B1752" s="19" t="s">
        <v>1161</v>
      </c>
      <c r="C1752" t="s">
        <v>152</v>
      </c>
      <c r="D1752" s="190">
        <v>1678</v>
      </c>
      <c r="E1752" s="191">
        <v>6170</v>
      </c>
      <c r="F1752" s="191">
        <v>6272</v>
      </c>
      <c r="G1752" s="481">
        <v>235</v>
      </c>
      <c r="H1752" s="19"/>
      <c r="I1752" s="19"/>
      <c r="M1752" s="19"/>
      <c r="N1752" s="19"/>
    </row>
    <row r="1753" spans="1:14">
      <c r="A1753" s="479">
        <v>1713</v>
      </c>
      <c r="B1753" s="19" t="s">
        <v>1162</v>
      </c>
      <c r="C1753" t="s">
        <v>152</v>
      </c>
      <c r="D1753" s="190">
        <v>1713</v>
      </c>
      <c r="E1753" s="191">
        <v>5765</v>
      </c>
      <c r="F1753" s="191">
        <v>6489</v>
      </c>
      <c r="G1753" s="481">
        <v>194</v>
      </c>
      <c r="H1753" s="19"/>
      <c r="I1753" s="19"/>
      <c r="M1753" s="19"/>
      <c r="N1753" s="19"/>
    </row>
    <row r="1754" spans="1:14">
      <c r="A1754" s="479">
        <v>1715</v>
      </c>
      <c r="B1754" s="19" t="s">
        <v>1163</v>
      </c>
      <c r="C1754" t="s">
        <v>152</v>
      </c>
      <c r="D1754" s="190">
        <v>1715</v>
      </c>
      <c r="E1754" s="191">
        <v>6710</v>
      </c>
      <c r="F1754" s="191">
        <v>6125</v>
      </c>
      <c r="G1754" s="481">
        <v>210</v>
      </c>
      <c r="H1754" s="19"/>
      <c r="I1754" s="19"/>
      <c r="M1754" s="19"/>
      <c r="N1754" s="19"/>
    </row>
    <row r="1755" spans="1:14">
      <c r="A1755" s="479">
        <v>1721</v>
      </c>
      <c r="B1755" s="19" t="s">
        <v>1164</v>
      </c>
      <c r="C1755" t="s">
        <v>152</v>
      </c>
      <c r="D1755" s="190">
        <v>1721</v>
      </c>
      <c r="E1755" s="191">
        <v>5684</v>
      </c>
      <c r="F1755" s="191">
        <v>5927</v>
      </c>
      <c r="G1755" s="481">
        <v>218</v>
      </c>
      <c r="H1755" s="19"/>
      <c r="I1755" s="19"/>
      <c r="M1755" s="19"/>
      <c r="N1755" s="19"/>
    </row>
    <row r="1756" spans="1:14">
      <c r="A1756" s="479">
        <v>1721</v>
      </c>
      <c r="B1756" s="19" t="s">
        <v>1165</v>
      </c>
      <c r="C1756" t="s">
        <v>152</v>
      </c>
      <c r="D1756" s="190">
        <v>1721</v>
      </c>
      <c r="E1756" s="191">
        <v>6359</v>
      </c>
      <c r="F1756" s="191">
        <v>5946</v>
      </c>
      <c r="G1756" s="481">
        <v>218</v>
      </c>
      <c r="H1756" s="19"/>
      <c r="I1756" s="19"/>
      <c r="M1756" s="19"/>
      <c r="N1756" s="19"/>
    </row>
    <row r="1757" spans="1:14">
      <c r="A1757" s="479">
        <v>1772</v>
      </c>
      <c r="B1757" s="19" t="s">
        <v>1166</v>
      </c>
      <c r="C1757" t="s">
        <v>152</v>
      </c>
      <c r="D1757" s="190">
        <v>1772</v>
      </c>
      <c r="E1757" s="191">
        <v>5616</v>
      </c>
      <c r="F1757" s="191">
        <v>5771</v>
      </c>
      <c r="G1757" s="481">
        <v>280</v>
      </c>
      <c r="H1757" s="19"/>
      <c r="I1757" s="19"/>
      <c r="M1757" s="19"/>
      <c r="N1757" s="19"/>
    </row>
    <row r="1758" spans="1:14">
      <c r="A1758" s="479">
        <v>1633</v>
      </c>
      <c r="B1758" s="19" t="s">
        <v>1167</v>
      </c>
      <c r="C1758" t="s">
        <v>152</v>
      </c>
      <c r="D1758" s="190">
        <v>1633</v>
      </c>
      <c r="E1758" s="191">
        <v>6902</v>
      </c>
      <c r="F1758" s="191">
        <v>6890</v>
      </c>
      <c r="G1758" s="481">
        <v>241</v>
      </c>
      <c r="H1758" s="19"/>
      <c r="I1758" s="19"/>
      <c r="M1758" s="19"/>
      <c r="N1758" s="19"/>
    </row>
    <row r="1759" spans="1:14">
      <c r="A1759" s="479">
        <v>1754</v>
      </c>
      <c r="B1759" s="19" t="s">
        <v>1168</v>
      </c>
      <c r="C1759" t="s">
        <v>152</v>
      </c>
      <c r="D1759" s="190">
        <v>1754</v>
      </c>
      <c r="E1759" s="191">
        <v>7046</v>
      </c>
      <c r="F1759" s="191">
        <v>7200</v>
      </c>
      <c r="G1759" s="481">
        <v>227</v>
      </c>
      <c r="H1759" s="19"/>
      <c r="I1759" s="19"/>
      <c r="M1759" s="19"/>
      <c r="N1759" s="19"/>
    </row>
    <row r="1760" spans="1:14">
      <c r="A1760" s="479">
        <v>1690</v>
      </c>
      <c r="B1760" s="19" t="s">
        <v>1169</v>
      </c>
      <c r="C1760" t="s">
        <v>152</v>
      </c>
      <c r="D1760" s="190">
        <v>1690</v>
      </c>
      <c r="E1760" s="191">
        <v>6069</v>
      </c>
      <c r="F1760" s="191">
        <v>6476</v>
      </c>
      <c r="G1760" s="481">
        <v>226</v>
      </c>
      <c r="H1760" s="19"/>
      <c r="I1760" s="19"/>
      <c r="M1760" s="19"/>
      <c r="N1760" s="19"/>
    </row>
    <row r="1761" spans="1:14">
      <c r="A1761" s="479">
        <v>1566</v>
      </c>
      <c r="B1761" s="19" t="s">
        <v>1170</v>
      </c>
      <c r="C1761" t="s">
        <v>152</v>
      </c>
      <c r="D1761" s="190">
        <v>1566</v>
      </c>
      <c r="E1761" s="191">
        <v>6000</v>
      </c>
      <c r="F1761" s="191">
        <v>5853</v>
      </c>
      <c r="G1761" s="481">
        <v>222</v>
      </c>
      <c r="H1761" s="19"/>
      <c r="I1761" s="19"/>
      <c r="M1761" s="19"/>
      <c r="N1761" s="19"/>
    </row>
    <row r="1762" spans="1:14">
      <c r="A1762" s="479">
        <v>1482</v>
      </c>
      <c r="B1762" s="19" t="s">
        <v>1171</v>
      </c>
      <c r="C1762" t="s">
        <v>152</v>
      </c>
      <c r="D1762" s="190">
        <v>1482</v>
      </c>
      <c r="E1762" s="191">
        <v>6655</v>
      </c>
      <c r="F1762" s="191">
        <v>6354</v>
      </c>
      <c r="G1762" s="481">
        <v>242</v>
      </c>
      <c r="H1762" s="19"/>
      <c r="I1762" s="19"/>
      <c r="M1762" s="19"/>
      <c r="N1762" s="19"/>
    </row>
    <row r="1763" spans="1:14">
      <c r="A1763" s="479">
        <v>1634</v>
      </c>
      <c r="B1763" s="19" t="s">
        <v>1172</v>
      </c>
      <c r="C1763" t="s">
        <v>152</v>
      </c>
      <c r="D1763" s="190">
        <v>1634</v>
      </c>
      <c r="E1763" s="191">
        <v>5620</v>
      </c>
      <c r="F1763" s="191">
        <v>5998</v>
      </c>
      <c r="G1763" s="481">
        <v>169</v>
      </c>
      <c r="H1763" s="19"/>
      <c r="I1763" s="19"/>
      <c r="M1763" s="19"/>
      <c r="N1763" s="19"/>
    </row>
    <row r="1764" spans="1:14">
      <c r="A1764" s="479">
        <v>1735</v>
      </c>
      <c r="B1764" s="19" t="s">
        <v>1173</v>
      </c>
      <c r="C1764" t="s">
        <v>152</v>
      </c>
      <c r="D1764" s="190">
        <v>1735</v>
      </c>
      <c r="E1764" s="191">
        <v>5583</v>
      </c>
      <c r="F1764" s="191">
        <v>6427</v>
      </c>
      <c r="G1764" s="481">
        <v>236</v>
      </c>
      <c r="H1764" s="19"/>
      <c r="I1764" s="19"/>
      <c r="M1764" s="19"/>
      <c r="N1764" s="19"/>
    </row>
    <row r="1765" spans="1:14">
      <c r="A1765" s="479">
        <v>1660</v>
      </c>
      <c r="B1765" s="19" t="s">
        <v>1174</v>
      </c>
      <c r="C1765" t="s">
        <v>152</v>
      </c>
      <c r="D1765" s="190">
        <v>1660</v>
      </c>
      <c r="E1765" s="191">
        <v>5177</v>
      </c>
      <c r="F1765" s="191">
        <v>4969</v>
      </c>
      <c r="G1765" s="481">
        <v>221</v>
      </c>
      <c r="H1765" s="19"/>
      <c r="I1765" s="19"/>
      <c r="M1765" s="19"/>
      <c r="N1765" s="19"/>
    </row>
    <row r="1766" spans="1:14">
      <c r="A1766" s="479">
        <v>1753</v>
      </c>
      <c r="B1766" s="19" t="s">
        <v>1175</v>
      </c>
      <c r="C1766" t="s">
        <v>152</v>
      </c>
      <c r="D1766" s="190">
        <v>1753</v>
      </c>
      <c r="E1766" s="191">
        <v>7669</v>
      </c>
      <c r="F1766" s="191">
        <v>6980</v>
      </c>
      <c r="G1766" s="481">
        <v>255</v>
      </c>
      <c r="H1766" s="19"/>
      <c r="I1766" s="19"/>
      <c r="M1766" s="19"/>
      <c r="N1766" s="19"/>
    </row>
    <row r="1767" spans="1:14">
      <c r="A1767" s="479">
        <v>1673</v>
      </c>
      <c r="B1767" s="19" t="s">
        <v>1176</v>
      </c>
      <c r="C1767" t="s">
        <v>152</v>
      </c>
      <c r="D1767" s="190">
        <v>1673</v>
      </c>
      <c r="E1767" s="191">
        <v>6432</v>
      </c>
      <c r="F1767" s="191">
        <v>6283</v>
      </c>
      <c r="G1767" s="481">
        <v>261</v>
      </c>
      <c r="H1767" s="19"/>
      <c r="I1767" s="19"/>
      <c r="M1767" s="19"/>
      <c r="N1767" s="19"/>
    </row>
    <row r="1768" spans="1:14">
      <c r="A1768" s="479">
        <v>1741</v>
      </c>
      <c r="B1768" s="19" t="s">
        <v>1177</v>
      </c>
      <c r="C1768" t="s">
        <v>152</v>
      </c>
      <c r="D1768" s="190">
        <v>1741</v>
      </c>
      <c r="E1768" s="191">
        <v>5339</v>
      </c>
      <c r="F1768" s="191">
        <v>7011</v>
      </c>
      <c r="G1768" s="481">
        <v>225</v>
      </c>
      <c r="H1768" s="19"/>
      <c r="I1768" s="19"/>
      <c r="M1768" s="19"/>
      <c r="N1768" s="19"/>
    </row>
    <row r="1769" spans="1:14">
      <c r="A1769" s="479">
        <v>1615</v>
      </c>
      <c r="B1769" s="19" t="s">
        <v>1178</v>
      </c>
      <c r="C1769" t="s">
        <v>152</v>
      </c>
      <c r="D1769" s="190">
        <v>1615</v>
      </c>
      <c r="E1769" s="191">
        <v>7350</v>
      </c>
      <c r="F1769" s="191">
        <v>7602</v>
      </c>
      <c r="G1769" s="481">
        <v>250</v>
      </c>
      <c r="H1769" s="19"/>
      <c r="I1769" s="19"/>
      <c r="M1769" s="19"/>
      <c r="N1769" s="19"/>
    </row>
    <row r="1770" spans="1:14">
      <c r="A1770" s="479">
        <v>1733</v>
      </c>
      <c r="B1770" s="19" t="s">
        <v>1179</v>
      </c>
      <c r="C1770" t="s">
        <v>152</v>
      </c>
      <c r="D1770" s="190">
        <v>1733</v>
      </c>
      <c r="E1770" s="191">
        <v>6743</v>
      </c>
      <c r="F1770" s="191">
        <v>6089</v>
      </c>
      <c r="G1770" s="481">
        <v>191</v>
      </c>
      <c r="H1770" s="19"/>
      <c r="I1770" s="19"/>
      <c r="M1770" s="19"/>
      <c r="N1770" s="19"/>
    </row>
    <row r="1771" spans="1:14">
      <c r="A1771" s="479">
        <v>1483</v>
      </c>
      <c r="B1771" s="19" t="s">
        <v>1180</v>
      </c>
      <c r="C1771" t="s">
        <v>152</v>
      </c>
      <c r="D1771" s="190">
        <v>1483</v>
      </c>
      <c r="E1771" s="191">
        <v>5932</v>
      </c>
      <c r="F1771" s="191">
        <v>6081</v>
      </c>
      <c r="G1771" s="481">
        <v>290</v>
      </c>
      <c r="H1771" s="19"/>
      <c r="I1771" s="19"/>
      <c r="M1771" s="19"/>
      <c r="N1771" s="19"/>
    </row>
    <row r="1772" spans="1:14">
      <c r="A1772" s="479">
        <v>1623</v>
      </c>
      <c r="B1772" s="19" t="s">
        <v>1181</v>
      </c>
      <c r="C1772" t="s">
        <v>152</v>
      </c>
      <c r="D1772" s="190">
        <v>1623</v>
      </c>
      <c r="E1772" s="191">
        <v>6738</v>
      </c>
      <c r="F1772" s="191">
        <v>6566</v>
      </c>
      <c r="G1772" s="481">
        <v>250</v>
      </c>
      <c r="H1772" s="19"/>
      <c r="I1772" s="19"/>
      <c r="M1772" s="19"/>
      <c r="N1772" s="19"/>
    </row>
    <row r="1773" spans="1:14">
      <c r="A1773" s="479">
        <v>1785</v>
      </c>
      <c r="B1773" s="19" t="s">
        <v>1182</v>
      </c>
      <c r="C1773" t="s">
        <v>152</v>
      </c>
      <c r="D1773" s="190">
        <v>1785</v>
      </c>
      <c r="E1773" s="191">
        <v>6998</v>
      </c>
      <c r="F1773" s="191">
        <v>7396</v>
      </c>
      <c r="G1773" s="481">
        <v>231</v>
      </c>
      <c r="H1773" s="19"/>
      <c r="I1773" s="19"/>
      <c r="M1773" s="19"/>
      <c r="N1773" s="19"/>
    </row>
    <row r="1774" spans="1:14">
      <c r="A1774" s="479">
        <v>1625</v>
      </c>
      <c r="B1774" s="19" t="s">
        <v>1183</v>
      </c>
      <c r="C1774" t="s">
        <v>152</v>
      </c>
      <c r="D1774" s="190">
        <v>1625</v>
      </c>
      <c r="E1774" s="191">
        <v>6126</v>
      </c>
      <c r="F1774" s="191">
        <v>5765</v>
      </c>
      <c r="G1774" s="481">
        <v>245</v>
      </c>
      <c r="H1774" s="19"/>
      <c r="I1774" s="19"/>
      <c r="M1774" s="19"/>
      <c r="N1774" s="19"/>
    </row>
    <row r="1775" spans="1:14">
      <c r="A1775" s="479">
        <v>1666</v>
      </c>
      <c r="B1775" s="19" t="s">
        <v>1184</v>
      </c>
      <c r="C1775" t="s">
        <v>152</v>
      </c>
      <c r="D1775" s="190">
        <v>1666</v>
      </c>
      <c r="E1775" s="191">
        <v>6237</v>
      </c>
      <c r="F1775" s="191">
        <v>6028</v>
      </c>
      <c r="G1775" s="481">
        <v>260</v>
      </c>
      <c r="H1775" s="19"/>
      <c r="I1775" s="19"/>
      <c r="M1775" s="19"/>
      <c r="N1775" s="19"/>
    </row>
    <row r="1776" spans="1:14">
      <c r="A1776" s="479">
        <v>1694</v>
      </c>
      <c r="B1776" s="19" t="s">
        <v>1185</v>
      </c>
      <c r="C1776" t="s">
        <v>152</v>
      </c>
      <c r="D1776" s="190">
        <v>1694</v>
      </c>
      <c r="E1776" s="191">
        <v>7120</v>
      </c>
      <c r="F1776" s="191">
        <v>6004</v>
      </c>
      <c r="G1776" s="481">
        <v>218</v>
      </c>
      <c r="H1776" s="19"/>
      <c r="I1776" s="19"/>
      <c r="M1776" s="19"/>
      <c r="N1776" s="19"/>
    </row>
    <row r="1777" spans="1:14">
      <c r="A1777" s="479">
        <v>1714</v>
      </c>
      <c r="B1777" s="19" t="s">
        <v>1186</v>
      </c>
      <c r="C1777" t="s">
        <v>152</v>
      </c>
      <c r="D1777" s="190">
        <v>1714</v>
      </c>
      <c r="E1777" s="191">
        <v>4687</v>
      </c>
      <c r="F1777" s="191">
        <v>5718</v>
      </c>
      <c r="G1777" s="481">
        <v>188</v>
      </c>
      <c r="H1777" s="19"/>
      <c r="I1777" s="19"/>
      <c r="M1777" s="19"/>
      <c r="N1777" s="19"/>
    </row>
    <row r="1778" spans="1:14">
      <c r="A1778" s="479">
        <v>1734</v>
      </c>
      <c r="B1778" s="19" t="s">
        <v>1187</v>
      </c>
      <c r="C1778" t="s">
        <v>152</v>
      </c>
      <c r="D1778" s="190">
        <v>1734</v>
      </c>
      <c r="E1778" s="191">
        <v>6671</v>
      </c>
      <c r="F1778" s="191">
        <v>5709</v>
      </c>
      <c r="G1778" s="481">
        <v>226</v>
      </c>
      <c r="H1778" s="19"/>
      <c r="I1778" s="19"/>
      <c r="M1778" s="19"/>
      <c r="N1778" s="19"/>
    </row>
    <row r="1779" spans="1:14">
      <c r="A1779" s="479">
        <v>1717</v>
      </c>
      <c r="B1779" s="19" t="s">
        <v>1188</v>
      </c>
      <c r="C1779" t="s">
        <v>152</v>
      </c>
      <c r="D1779" s="190">
        <v>1717</v>
      </c>
      <c r="E1779" s="191">
        <v>6640</v>
      </c>
      <c r="F1779" s="191">
        <v>6330</v>
      </c>
      <c r="G1779" s="481">
        <v>205</v>
      </c>
      <c r="H1779" s="19"/>
      <c r="I1779" s="19"/>
      <c r="M1779" s="19"/>
      <c r="N1779" s="19"/>
    </row>
    <row r="1780" spans="1:14">
      <c r="A1780" s="479">
        <v>1690</v>
      </c>
      <c r="B1780" s="19" t="s">
        <v>1189</v>
      </c>
      <c r="C1780" t="s">
        <v>152</v>
      </c>
      <c r="D1780" s="190">
        <v>1690</v>
      </c>
      <c r="E1780" s="191">
        <v>6351</v>
      </c>
      <c r="F1780" s="191">
        <v>6087</v>
      </c>
      <c r="G1780" s="481">
        <v>198</v>
      </c>
      <c r="H1780" s="19"/>
      <c r="I1780" s="19"/>
      <c r="M1780" s="19"/>
      <c r="N1780" s="19"/>
    </row>
    <row r="1781" spans="1:14">
      <c r="A1781" s="479">
        <v>1661</v>
      </c>
      <c r="B1781" s="19" t="s">
        <v>1190</v>
      </c>
      <c r="C1781" t="s">
        <v>152</v>
      </c>
      <c r="D1781" s="190">
        <v>1661</v>
      </c>
      <c r="E1781" s="191">
        <v>6610</v>
      </c>
      <c r="F1781" s="191">
        <v>6710</v>
      </c>
      <c r="G1781" s="481">
        <v>244</v>
      </c>
      <c r="H1781" s="19"/>
      <c r="I1781" s="19"/>
      <c r="M1781" s="19"/>
      <c r="N1781" s="19"/>
    </row>
    <row r="1782" spans="1:14">
      <c r="A1782" s="479">
        <v>1699</v>
      </c>
      <c r="B1782" s="19" t="s">
        <v>1191</v>
      </c>
      <c r="C1782" t="s">
        <v>152</v>
      </c>
      <c r="D1782" s="190">
        <v>1699</v>
      </c>
      <c r="E1782" s="191">
        <v>6320</v>
      </c>
      <c r="F1782" s="191">
        <v>6344</v>
      </c>
      <c r="G1782" s="481">
        <v>220</v>
      </c>
      <c r="H1782" s="19"/>
      <c r="I1782" s="19"/>
      <c r="M1782" s="19"/>
      <c r="N1782" s="19"/>
    </row>
    <row r="1783" spans="1:14">
      <c r="A1783" s="479">
        <v>3216</v>
      </c>
      <c r="B1783" s="19" t="s">
        <v>1192</v>
      </c>
      <c r="C1783" t="s">
        <v>152</v>
      </c>
      <c r="D1783" s="190">
        <v>3216</v>
      </c>
      <c r="E1783" s="191">
        <v>6660</v>
      </c>
      <c r="F1783" s="191">
        <v>6543</v>
      </c>
      <c r="G1783" s="481">
        <v>250</v>
      </c>
      <c r="H1783" s="19"/>
      <c r="I1783" s="19"/>
      <c r="M1783" s="19"/>
      <c r="N1783" s="19"/>
    </row>
    <row r="1784" spans="1:14">
      <c r="A1784" s="479">
        <v>1624</v>
      </c>
      <c r="B1784" s="19" t="s">
        <v>1193</v>
      </c>
      <c r="C1784" t="s">
        <v>152</v>
      </c>
      <c r="D1784" s="190">
        <v>1624</v>
      </c>
      <c r="E1784" s="191">
        <v>6470</v>
      </c>
      <c r="F1784" s="191">
        <v>6085</v>
      </c>
      <c r="G1784" s="481">
        <v>255</v>
      </c>
      <c r="H1784" s="19"/>
      <c r="I1784" s="19"/>
      <c r="M1784" s="19"/>
      <c r="N1784" s="19"/>
    </row>
    <row r="1785" spans="1:14">
      <c r="A1785" s="479">
        <v>1475</v>
      </c>
      <c r="B1785" s="19" t="s">
        <v>1194</v>
      </c>
      <c r="C1785" t="s">
        <v>152</v>
      </c>
      <c r="D1785" s="190">
        <v>1475</v>
      </c>
      <c r="E1785" s="191">
        <v>6397</v>
      </c>
      <c r="F1785" s="191">
        <v>6728</v>
      </c>
      <c r="G1785" s="481">
        <v>223</v>
      </c>
      <c r="H1785" s="19"/>
      <c r="I1785" s="19"/>
      <c r="M1785" s="19"/>
      <c r="N1785" s="19"/>
    </row>
    <row r="1786" spans="1:14">
      <c r="A1786" s="479">
        <v>1782</v>
      </c>
      <c r="B1786" s="19" t="s">
        <v>1195</v>
      </c>
      <c r="C1786" t="s">
        <v>152</v>
      </c>
      <c r="D1786" s="190">
        <v>1782</v>
      </c>
      <c r="E1786" s="191">
        <v>6734</v>
      </c>
      <c r="F1786" s="191">
        <v>6574</v>
      </c>
      <c r="G1786" s="481">
        <v>248</v>
      </c>
      <c r="H1786" s="19"/>
      <c r="I1786" s="19"/>
      <c r="M1786" s="19"/>
      <c r="N1786" s="19"/>
    </row>
    <row r="1787" spans="1:14">
      <c r="A1787" s="479">
        <v>1731</v>
      </c>
      <c r="B1787" s="19" t="s">
        <v>1196</v>
      </c>
      <c r="C1787" t="s">
        <v>152</v>
      </c>
      <c r="D1787" s="190">
        <v>1731</v>
      </c>
      <c r="E1787" s="191">
        <v>6299</v>
      </c>
      <c r="F1787" s="191">
        <v>6722</v>
      </c>
      <c r="G1787" s="481">
        <v>190</v>
      </c>
      <c r="H1787" s="19"/>
      <c r="I1787" s="19"/>
      <c r="M1787" s="19"/>
      <c r="N1787" s="19"/>
    </row>
    <row r="1788" spans="1:14">
      <c r="A1788" s="479">
        <v>1746</v>
      </c>
      <c r="B1788" s="19" t="s">
        <v>1197</v>
      </c>
      <c r="C1788" t="s">
        <v>152</v>
      </c>
      <c r="D1788" s="190">
        <v>1746</v>
      </c>
      <c r="E1788" s="191">
        <v>6117</v>
      </c>
      <c r="F1788" s="191">
        <v>6274</v>
      </c>
      <c r="G1788" s="481">
        <v>202</v>
      </c>
      <c r="H1788" s="19"/>
      <c r="I1788" s="19"/>
      <c r="M1788" s="19"/>
      <c r="N1788" s="19"/>
    </row>
    <row r="1789" spans="1:14">
      <c r="A1789" s="479">
        <v>1568</v>
      </c>
      <c r="B1789" s="19" t="s">
        <v>1198</v>
      </c>
      <c r="C1789" t="s">
        <v>152</v>
      </c>
      <c r="D1789" s="190">
        <v>1568</v>
      </c>
      <c r="E1789" s="191">
        <v>5999</v>
      </c>
      <c r="F1789" s="191">
        <v>7853</v>
      </c>
      <c r="G1789" s="481">
        <v>200</v>
      </c>
      <c r="H1789" s="19"/>
      <c r="I1789" s="19"/>
      <c r="M1789" s="19"/>
      <c r="N1789" s="19"/>
    </row>
    <row r="1790" spans="1:14">
      <c r="A1790" s="479">
        <v>1642</v>
      </c>
      <c r="B1790" s="19" t="s">
        <v>1199</v>
      </c>
      <c r="C1790" t="s">
        <v>152</v>
      </c>
      <c r="D1790" s="190">
        <v>1642</v>
      </c>
      <c r="E1790" s="191">
        <v>6351</v>
      </c>
      <c r="F1790" s="191">
        <v>7770</v>
      </c>
      <c r="G1790" s="481">
        <v>227</v>
      </c>
      <c r="H1790" s="19"/>
      <c r="I1790" s="19"/>
      <c r="M1790" s="19"/>
      <c r="N1790" s="19"/>
    </row>
    <row r="1791" spans="1:14">
      <c r="A1791" s="479">
        <v>1718</v>
      </c>
      <c r="B1791" s="19" t="s">
        <v>1200</v>
      </c>
      <c r="C1791" t="s">
        <v>152</v>
      </c>
      <c r="D1791" s="190">
        <v>1718</v>
      </c>
      <c r="E1791" s="191">
        <v>5811</v>
      </c>
      <c r="F1791" s="191">
        <v>5424</v>
      </c>
      <c r="G1791" s="481">
        <v>210</v>
      </c>
      <c r="H1791" s="19"/>
      <c r="I1791" s="19"/>
      <c r="M1791" s="19"/>
      <c r="N1791" s="19"/>
    </row>
    <row r="1792" spans="1:14">
      <c r="A1792" s="479">
        <v>1684</v>
      </c>
      <c r="B1792" s="19" t="s">
        <v>1201</v>
      </c>
      <c r="C1792" t="s">
        <v>152</v>
      </c>
      <c r="D1792" s="190">
        <v>1684</v>
      </c>
      <c r="E1792" s="191">
        <v>6216</v>
      </c>
      <c r="F1792" s="191">
        <v>6601</v>
      </c>
      <c r="G1792" s="481">
        <v>208</v>
      </c>
      <c r="H1792" s="19"/>
      <c r="I1792" s="19"/>
      <c r="M1792" s="19"/>
      <c r="N1792" s="19"/>
    </row>
    <row r="1793" spans="1:14">
      <c r="A1793" s="479">
        <v>1617</v>
      </c>
      <c r="B1793" s="19" t="s">
        <v>1202</v>
      </c>
      <c r="C1793" t="s">
        <v>152</v>
      </c>
      <c r="D1793" s="190">
        <v>1617</v>
      </c>
      <c r="E1793" s="191">
        <v>7262</v>
      </c>
      <c r="F1793" s="191">
        <v>7521</v>
      </c>
      <c r="G1793" s="481">
        <v>257</v>
      </c>
      <c r="H1793" s="19"/>
      <c r="I1793" s="19"/>
      <c r="M1793" s="19"/>
      <c r="N1793" s="19"/>
    </row>
    <row r="1794" spans="1:14">
      <c r="A1794" s="479">
        <v>1627</v>
      </c>
      <c r="B1794" s="19" t="s">
        <v>1203</v>
      </c>
      <c r="C1794" t="s">
        <v>152</v>
      </c>
      <c r="D1794" s="190">
        <v>1627</v>
      </c>
      <c r="E1794" s="191">
        <v>6667</v>
      </c>
      <c r="F1794" s="191">
        <v>7812</v>
      </c>
      <c r="G1794" s="481">
        <v>238</v>
      </c>
      <c r="H1794" s="19"/>
      <c r="I1794" s="19"/>
      <c r="M1794" s="19"/>
      <c r="N1794" s="19"/>
    </row>
    <row r="1795" spans="1:14">
      <c r="A1795" s="479">
        <v>1544</v>
      </c>
      <c r="B1795" s="19" t="s">
        <v>1204</v>
      </c>
      <c r="C1795" t="s">
        <v>152</v>
      </c>
      <c r="D1795" s="190">
        <v>1544</v>
      </c>
      <c r="E1795" s="191">
        <v>6090</v>
      </c>
      <c r="F1795" s="191">
        <v>7531</v>
      </c>
      <c r="G1795" s="481">
        <v>199</v>
      </c>
      <c r="H1795" s="19"/>
      <c r="I1795" s="19"/>
      <c r="M1795" s="19"/>
      <c r="N1795" s="19"/>
    </row>
    <row r="1796" spans="1:14">
      <c r="A1796" s="479">
        <v>1737</v>
      </c>
      <c r="B1796" s="19" t="s">
        <v>1205</v>
      </c>
      <c r="C1796" t="s">
        <v>152</v>
      </c>
      <c r="D1796" s="190">
        <v>1737</v>
      </c>
      <c r="E1796" s="191">
        <v>4393</v>
      </c>
      <c r="F1796" s="191">
        <v>4075</v>
      </c>
      <c r="G1796" s="481">
        <v>204</v>
      </c>
      <c r="H1796" s="19"/>
      <c r="I1796" s="19"/>
      <c r="M1796" s="19"/>
      <c r="N1796" s="19"/>
    </row>
    <row r="1797" spans="1:14">
      <c r="A1797" s="479">
        <v>1532</v>
      </c>
      <c r="B1797" s="19" t="s">
        <v>1206</v>
      </c>
      <c r="C1797" t="s">
        <v>152</v>
      </c>
      <c r="D1797" s="190">
        <v>1532</v>
      </c>
      <c r="E1797" s="191">
        <v>6245</v>
      </c>
      <c r="F1797" s="191">
        <v>6991</v>
      </c>
      <c r="G1797" s="481">
        <v>261</v>
      </c>
      <c r="H1797" s="19"/>
      <c r="I1797" s="19"/>
      <c r="M1797" s="19"/>
      <c r="N1797" s="19"/>
    </row>
    <row r="1798" spans="1:14">
      <c r="A1798" s="479">
        <v>1609</v>
      </c>
      <c r="B1798" s="19" t="s">
        <v>1207</v>
      </c>
      <c r="C1798" t="s">
        <v>152</v>
      </c>
      <c r="D1798" s="190">
        <v>1609</v>
      </c>
      <c r="E1798" s="191">
        <v>6512</v>
      </c>
      <c r="F1798" s="191">
        <v>6119</v>
      </c>
      <c r="G1798" s="481">
        <v>210</v>
      </c>
      <c r="H1798" s="19"/>
      <c r="I1798" s="19"/>
      <c r="M1798" s="19"/>
      <c r="N1798" s="19"/>
    </row>
    <row r="1799" spans="1:14">
      <c r="A1799" s="479">
        <v>1691</v>
      </c>
      <c r="B1799" s="19" t="s">
        <v>1208</v>
      </c>
      <c r="C1799" t="s">
        <v>152</v>
      </c>
      <c r="D1799" s="190">
        <v>1691</v>
      </c>
      <c r="E1799" s="191">
        <v>6327</v>
      </c>
      <c r="F1799" s="191">
        <v>5835</v>
      </c>
      <c r="G1799" s="481">
        <v>260</v>
      </c>
      <c r="H1799" s="19"/>
      <c r="I1799" s="19"/>
      <c r="M1799" s="19"/>
      <c r="N1799" s="19"/>
    </row>
    <row r="1800" spans="1:14">
      <c r="A1800" s="479">
        <v>1736</v>
      </c>
      <c r="B1800" s="19" t="s">
        <v>1209</v>
      </c>
      <c r="C1800" t="s">
        <v>152</v>
      </c>
      <c r="D1800" s="190">
        <v>1736</v>
      </c>
      <c r="E1800" s="191">
        <v>5622</v>
      </c>
      <c r="F1800" s="191">
        <v>5686</v>
      </c>
      <c r="G1800" s="481">
        <v>250</v>
      </c>
      <c r="H1800" s="19"/>
      <c r="I1800" s="19"/>
      <c r="M1800" s="19"/>
      <c r="N1800" s="19"/>
    </row>
    <row r="1801" spans="1:14">
      <c r="A1801" s="479">
        <v>3286</v>
      </c>
      <c r="B1801" s="19" t="s">
        <v>1210</v>
      </c>
      <c r="C1801" t="s">
        <v>152</v>
      </c>
      <c r="D1801" s="190">
        <v>3286</v>
      </c>
      <c r="E1801" s="191">
        <v>7889</v>
      </c>
      <c r="F1801" s="191">
        <v>10403</v>
      </c>
      <c r="G1801" s="481">
        <v>269</v>
      </c>
      <c r="H1801" s="19"/>
      <c r="I1801" s="19"/>
      <c r="M1801" s="19"/>
      <c r="N1801" s="19"/>
    </row>
    <row r="1802" spans="1:14">
      <c r="A1802" s="479">
        <v>1785</v>
      </c>
      <c r="B1802" s="19" t="s">
        <v>1211</v>
      </c>
      <c r="C1802" t="s">
        <v>152</v>
      </c>
      <c r="D1802" s="190">
        <v>1785</v>
      </c>
      <c r="E1802" s="191">
        <v>6752</v>
      </c>
      <c r="F1802" s="191">
        <v>6483</v>
      </c>
      <c r="G1802" s="481">
        <v>228</v>
      </c>
      <c r="H1802" s="19"/>
      <c r="I1802" s="19"/>
      <c r="M1802" s="19"/>
      <c r="N1802" s="19"/>
    </row>
    <row r="1803" spans="1:14">
      <c r="A1803" s="479">
        <v>1749</v>
      </c>
      <c r="B1803" s="19" t="s">
        <v>1212</v>
      </c>
      <c r="C1803" t="s">
        <v>152</v>
      </c>
      <c r="D1803" s="190">
        <v>1749</v>
      </c>
      <c r="E1803" s="191">
        <v>5194</v>
      </c>
      <c r="F1803" s="191">
        <v>6634</v>
      </c>
      <c r="G1803" s="481">
        <v>222</v>
      </c>
      <c r="H1803" s="19"/>
      <c r="I1803" s="19"/>
      <c r="M1803" s="19"/>
      <c r="N1803" s="19"/>
    </row>
    <row r="1804" spans="1:14">
      <c r="A1804" s="479">
        <v>1732</v>
      </c>
      <c r="B1804" s="19" t="s">
        <v>1213</v>
      </c>
      <c r="C1804" t="s">
        <v>152</v>
      </c>
      <c r="D1804" s="190">
        <v>1732</v>
      </c>
      <c r="E1804" s="191">
        <v>6084</v>
      </c>
      <c r="F1804" s="191">
        <v>6120</v>
      </c>
      <c r="G1804" s="481">
        <v>192</v>
      </c>
      <c r="H1804" s="19"/>
      <c r="I1804" s="19"/>
      <c r="M1804" s="19"/>
      <c r="N1804" s="19"/>
    </row>
    <row r="1805" spans="1:14">
      <c r="A1805" s="479">
        <v>1647</v>
      </c>
      <c r="B1805" s="19" t="s">
        <v>1214</v>
      </c>
      <c r="C1805" t="s">
        <v>152</v>
      </c>
      <c r="D1805" s="190">
        <v>1647</v>
      </c>
      <c r="E1805" s="191">
        <v>5374</v>
      </c>
      <c r="F1805" s="191">
        <v>6362</v>
      </c>
      <c r="G1805" s="481">
        <v>204</v>
      </c>
      <c r="H1805" s="19"/>
      <c r="I1805" s="19"/>
      <c r="M1805" s="19"/>
      <c r="N1805" s="19"/>
    </row>
    <row r="1806" spans="1:14">
      <c r="A1806" s="479">
        <v>1614</v>
      </c>
      <c r="B1806" s="19" t="s">
        <v>1215</v>
      </c>
      <c r="C1806" t="s">
        <v>152</v>
      </c>
      <c r="D1806" s="190">
        <v>1614</v>
      </c>
      <c r="E1806" s="191">
        <v>7729</v>
      </c>
      <c r="F1806" s="191">
        <v>7401</v>
      </c>
      <c r="G1806" s="481">
        <v>143</v>
      </c>
      <c r="H1806" s="19"/>
      <c r="I1806" s="19"/>
      <c r="M1806" s="19"/>
      <c r="N1806" s="19"/>
    </row>
    <row r="1807" spans="1:14">
      <c r="A1807" s="479">
        <v>1744</v>
      </c>
      <c r="B1807" s="19" t="s">
        <v>1216</v>
      </c>
      <c r="C1807" t="s">
        <v>152</v>
      </c>
      <c r="D1807" s="190">
        <v>1744</v>
      </c>
      <c r="E1807" s="191">
        <v>5805</v>
      </c>
      <c r="F1807" s="191">
        <v>6095</v>
      </c>
      <c r="G1807" s="481">
        <v>192</v>
      </c>
      <c r="H1807" s="19"/>
      <c r="I1807" s="19"/>
      <c r="M1807" s="19"/>
      <c r="N1807" s="19"/>
    </row>
    <row r="1808" spans="1:14">
      <c r="A1808" s="479">
        <v>1666</v>
      </c>
      <c r="B1808" s="19" t="s">
        <v>1217</v>
      </c>
      <c r="C1808" t="s">
        <v>152</v>
      </c>
      <c r="D1808" s="190">
        <v>1666</v>
      </c>
      <c r="E1808" s="191">
        <v>7088</v>
      </c>
      <c r="F1808" s="191">
        <v>5507</v>
      </c>
      <c r="G1808" s="481">
        <v>193</v>
      </c>
      <c r="H1808" s="19"/>
      <c r="I1808" s="19"/>
      <c r="M1808" s="19"/>
      <c r="N1808" s="19"/>
    </row>
    <row r="1809" spans="1:14">
      <c r="A1809" s="479">
        <v>1553</v>
      </c>
      <c r="B1809" s="19" t="s">
        <v>1218</v>
      </c>
      <c r="C1809" t="s">
        <v>152</v>
      </c>
      <c r="D1809" s="190">
        <v>1553</v>
      </c>
      <c r="E1809" s="191">
        <v>7201</v>
      </c>
      <c r="F1809" s="191">
        <v>5690</v>
      </c>
      <c r="G1809" s="481">
        <v>244</v>
      </c>
      <c r="H1809" s="19"/>
      <c r="I1809" s="19"/>
      <c r="M1809" s="19"/>
      <c r="N1809" s="19"/>
    </row>
    <row r="1810" spans="1:14">
      <c r="A1810" s="479">
        <v>1646</v>
      </c>
      <c r="B1810" s="19" t="s">
        <v>1219</v>
      </c>
      <c r="C1810" t="s">
        <v>152</v>
      </c>
      <c r="D1810" s="190">
        <v>1646</v>
      </c>
      <c r="E1810" s="191">
        <v>6719</v>
      </c>
      <c r="F1810" s="191">
        <v>7335</v>
      </c>
      <c r="G1810" s="481">
        <v>245</v>
      </c>
      <c r="H1810" s="19"/>
      <c r="I1810" s="19"/>
      <c r="M1810" s="19"/>
      <c r="N1810" s="19"/>
    </row>
    <row r="1811" spans="1:14">
      <c r="A1811" s="479">
        <v>1742</v>
      </c>
      <c r="B1811" s="19" t="s">
        <v>1220</v>
      </c>
      <c r="C1811" t="s">
        <v>152</v>
      </c>
      <c r="D1811" s="190">
        <v>1742</v>
      </c>
      <c r="E1811" s="191">
        <v>5836</v>
      </c>
      <c r="F1811" s="191">
        <v>5797</v>
      </c>
      <c r="G1811" s="481">
        <v>208</v>
      </c>
      <c r="H1811" s="19"/>
      <c r="I1811" s="19"/>
      <c r="M1811" s="19"/>
      <c r="N1811" s="19"/>
    </row>
    <row r="1812" spans="1:14">
      <c r="A1812" s="479">
        <v>1681</v>
      </c>
      <c r="B1812" s="19" t="s">
        <v>1221</v>
      </c>
      <c r="C1812" t="s">
        <v>152</v>
      </c>
      <c r="D1812" s="190">
        <v>1681</v>
      </c>
      <c r="E1812" s="191">
        <v>5943</v>
      </c>
      <c r="F1812" s="191">
        <v>6635</v>
      </c>
      <c r="G1812" s="481">
        <v>217</v>
      </c>
      <c r="H1812" s="19"/>
      <c r="I1812" s="19"/>
      <c r="M1812" s="19"/>
      <c r="N1812" s="19"/>
    </row>
    <row r="1813" spans="1:14">
      <c r="A1813" s="479">
        <v>1772</v>
      </c>
      <c r="B1813" s="19" t="s">
        <v>1222</v>
      </c>
      <c r="C1813" t="s">
        <v>152</v>
      </c>
      <c r="D1813" s="190">
        <v>1772</v>
      </c>
      <c r="E1813" s="191">
        <v>5958</v>
      </c>
      <c r="F1813" s="191">
        <v>5938</v>
      </c>
      <c r="G1813" s="481">
        <v>245</v>
      </c>
      <c r="H1813" s="19"/>
      <c r="I1813" s="19"/>
      <c r="M1813" s="19"/>
      <c r="N1813" s="19"/>
    </row>
    <row r="1814" spans="1:14">
      <c r="A1814" s="479">
        <v>1528</v>
      </c>
      <c r="B1814" s="19" t="s">
        <v>1223</v>
      </c>
      <c r="C1814" t="s">
        <v>152</v>
      </c>
      <c r="D1814" s="190">
        <v>1528</v>
      </c>
      <c r="E1814" s="191">
        <v>6764</v>
      </c>
      <c r="F1814" s="191">
        <v>6225</v>
      </c>
      <c r="G1814" s="481">
        <v>272</v>
      </c>
      <c r="H1814" s="19"/>
      <c r="I1814" s="19"/>
      <c r="M1814" s="19"/>
      <c r="N1814" s="19"/>
    </row>
    <row r="1815" spans="1:14">
      <c r="A1815" s="479">
        <v>1754</v>
      </c>
      <c r="B1815" s="19" t="s">
        <v>1224</v>
      </c>
      <c r="C1815" t="s">
        <v>152</v>
      </c>
      <c r="D1815" s="190">
        <v>1754</v>
      </c>
      <c r="E1815" s="191">
        <v>6103</v>
      </c>
      <c r="F1815" s="191">
        <v>7034</v>
      </c>
      <c r="G1815" s="481">
        <v>193</v>
      </c>
      <c r="H1815" s="19"/>
      <c r="I1815" s="19"/>
      <c r="M1815" s="19"/>
      <c r="N1815" s="19"/>
    </row>
    <row r="1816" spans="1:14">
      <c r="A1816" s="479">
        <v>3285</v>
      </c>
      <c r="B1816" s="19" t="s">
        <v>1225</v>
      </c>
      <c r="C1816" t="s">
        <v>152</v>
      </c>
      <c r="D1816" s="190">
        <v>3285</v>
      </c>
      <c r="E1816" s="191">
        <v>7213</v>
      </c>
      <c r="F1816" s="191">
        <v>6895</v>
      </c>
      <c r="G1816" s="481">
        <v>80</v>
      </c>
      <c r="H1816" s="19"/>
      <c r="I1816" s="19"/>
      <c r="M1816" s="19"/>
      <c r="N1816" s="19"/>
    </row>
    <row r="1817" spans="1:14">
      <c r="A1817" s="479">
        <v>1656</v>
      </c>
      <c r="B1817" s="19" t="s">
        <v>1226</v>
      </c>
      <c r="C1817" t="s">
        <v>152</v>
      </c>
      <c r="D1817" s="190">
        <v>1656</v>
      </c>
      <c r="E1817" s="191">
        <v>5401</v>
      </c>
      <c r="F1817" s="191">
        <v>5005</v>
      </c>
      <c r="G1817" s="481">
        <v>189</v>
      </c>
      <c r="H1817" s="19"/>
      <c r="I1817" s="19"/>
      <c r="M1817" s="19"/>
      <c r="N1817" s="19"/>
    </row>
    <row r="1818" spans="1:14">
      <c r="A1818" s="479">
        <v>1719</v>
      </c>
      <c r="B1818" s="19" t="s">
        <v>1227</v>
      </c>
      <c r="C1818" t="s">
        <v>152</v>
      </c>
      <c r="D1818" s="190">
        <v>1719</v>
      </c>
      <c r="E1818" s="191">
        <v>5585</v>
      </c>
      <c r="F1818" s="191">
        <v>6030</v>
      </c>
      <c r="G1818" s="481">
        <v>143</v>
      </c>
      <c r="H1818" s="19"/>
      <c r="I1818" s="19"/>
      <c r="M1818" s="19"/>
      <c r="N1818" s="19"/>
    </row>
    <row r="1819" spans="1:14">
      <c r="A1819" s="479">
        <v>3213</v>
      </c>
      <c r="B1819" s="19" t="s">
        <v>1228</v>
      </c>
      <c r="C1819" t="s">
        <v>152</v>
      </c>
      <c r="D1819" s="190">
        <v>3213</v>
      </c>
      <c r="E1819" s="191">
        <v>5622</v>
      </c>
      <c r="F1819" s="191">
        <v>5953</v>
      </c>
      <c r="G1819" s="481">
        <v>181</v>
      </c>
      <c r="H1819" s="19"/>
      <c r="I1819" s="19"/>
      <c r="M1819" s="19"/>
      <c r="N1819" s="19"/>
    </row>
    <row r="1820" spans="1:14">
      <c r="A1820" s="479">
        <v>1648</v>
      </c>
      <c r="B1820" s="19" t="s">
        <v>1229</v>
      </c>
      <c r="C1820" t="s">
        <v>152</v>
      </c>
      <c r="D1820" s="190">
        <v>1648</v>
      </c>
      <c r="E1820" s="191">
        <v>5990</v>
      </c>
      <c r="F1820" s="191">
        <v>6332</v>
      </c>
      <c r="G1820" s="481">
        <v>251</v>
      </c>
      <c r="H1820" s="19"/>
      <c r="I1820" s="19"/>
      <c r="M1820" s="19"/>
      <c r="N1820" s="19"/>
    </row>
    <row r="1821" spans="1:14">
      <c r="A1821" s="479">
        <v>1649</v>
      </c>
      <c r="B1821" s="19" t="s">
        <v>1230</v>
      </c>
      <c r="C1821" t="s">
        <v>152</v>
      </c>
      <c r="D1821" s="190">
        <v>1649</v>
      </c>
      <c r="E1821" s="191">
        <v>6113</v>
      </c>
      <c r="F1821" s="191">
        <v>6011</v>
      </c>
      <c r="G1821" s="481">
        <v>210</v>
      </c>
      <c r="H1821" s="19"/>
      <c r="I1821" s="19"/>
      <c r="M1821" s="19"/>
      <c r="N1821" s="19"/>
    </row>
    <row r="1822" spans="1:14">
      <c r="A1822" s="479">
        <v>1638</v>
      </c>
      <c r="B1822" s="19" t="s">
        <v>1231</v>
      </c>
      <c r="C1822" t="s">
        <v>152</v>
      </c>
      <c r="D1822" s="190">
        <v>1638</v>
      </c>
      <c r="E1822" s="191">
        <v>7251</v>
      </c>
      <c r="F1822" s="191">
        <v>7176</v>
      </c>
      <c r="G1822" s="481">
        <v>300</v>
      </c>
      <c r="H1822" s="19"/>
      <c r="I1822" s="19"/>
      <c r="M1822" s="19"/>
      <c r="N1822" s="19"/>
    </row>
    <row r="1823" spans="1:14">
      <c r="A1823" s="479">
        <v>3280</v>
      </c>
      <c r="B1823" s="19" t="s">
        <v>1232</v>
      </c>
      <c r="C1823" t="s">
        <v>152</v>
      </c>
      <c r="D1823" s="190">
        <v>3280</v>
      </c>
      <c r="E1823" s="191">
        <v>7985</v>
      </c>
      <c r="F1823" s="191">
        <v>7954</v>
      </c>
      <c r="G1823" s="481">
        <v>246</v>
      </c>
      <c r="H1823" s="19"/>
      <c r="I1823" s="19"/>
      <c r="M1823" s="19"/>
      <c r="N1823" s="19"/>
    </row>
    <row r="1824" spans="1:14">
      <c r="A1824" s="479">
        <v>1652</v>
      </c>
      <c r="B1824" s="19" t="s">
        <v>1233</v>
      </c>
      <c r="C1824" t="s">
        <v>152</v>
      </c>
      <c r="D1824" s="190">
        <v>1652</v>
      </c>
      <c r="E1824" s="191">
        <v>6166</v>
      </c>
      <c r="F1824" s="191">
        <v>7195</v>
      </c>
      <c r="G1824" s="481">
        <v>280</v>
      </c>
      <c r="H1824" s="19"/>
      <c r="I1824" s="19"/>
      <c r="M1824" s="19"/>
      <c r="N1824" s="19"/>
    </row>
    <row r="1825" spans="1:14">
      <c r="A1825" s="479">
        <v>1692</v>
      </c>
      <c r="B1825" s="19" t="s">
        <v>1234</v>
      </c>
      <c r="C1825" t="s">
        <v>152</v>
      </c>
      <c r="D1825" s="190">
        <v>1692</v>
      </c>
      <c r="E1825" s="191">
        <v>6263</v>
      </c>
      <c r="F1825" s="191">
        <v>6027</v>
      </c>
      <c r="G1825" s="481">
        <v>245</v>
      </c>
      <c r="H1825" s="19"/>
      <c r="I1825" s="19"/>
      <c r="M1825" s="19"/>
      <c r="N1825" s="19"/>
    </row>
    <row r="1826" spans="1:14">
      <c r="A1826" s="479">
        <v>3284</v>
      </c>
      <c r="B1826" s="19" t="s">
        <v>1235</v>
      </c>
      <c r="C1826" t="s">
        <v>152</v>
      </c>
      <c r="D1826" s="190">
        <v>3284</v>
      </c>
      <c r="E1826" s="191">
        <v>6788</v>
      </c>
      <c r="F1826" s="191">
        <v>6226</v>
      </c>
      <c r="G1826" s="481">
        <v>234</v>
      </c>
      <c r="H1826" s="19"/>
      <c r="I1826" s="19"/>
      <c r="M1826" s="19"/>
      <c r="N1826" s="19"/>
    </row>
    <row r="1827" spans="1:14">
      <c r="A1827" s="479">
        <v>1473</v>
      </c>
      <c r="B1827" s="19" t="s">
        <v>1236</v>
      </c>
      <c r="C1827" t="s">
        <v>152</v>
      </c>
      <c r="D1827" s="190">
        <v>1473</v>
      </c>
      <c r="E1827" s="191">
        <v>6625</v>
      </c>
      <c r="F1827" s="191">
        <v>6863</v>
      </c>
      <c r="G1827" s="481">
        <v>240</v>
      </c>
      <c r="H1827" s="19"/>
      <c r="I1827" s="19"/>
      <c r="M1827" s="19"/>
      <c r="N1827" s="19"/>
    </row>
    <row r="1828" spans="1:14">
      <c r="A1828" s="479">
        <v>3211</v>
      </c>
      <c r="B1828" s="19" t="s">
        <v>1237</v>
      </c>
      <c r="C1828" t="s">
        <v>152</v>
      </c>
      <c r="D1828" s="190">
        <v>3211</v>
      </c>
      <c r="E1828" s="191">
        <v>6245</v>
      </c>
      <c r="F1828" s="191">
        <v>5978</v>
      </c>
      <c r="G1828" s="481">
        <v>245</v>
      </c>
      <c r="H1828" s="19"/>
      <c r="I1828" s="19"/>
      <c r="M1828" s="19"/>
      <c r="N1828" s="19"/>
    </row>
    <row r="1829" spans="1:14">
      <c r="A1829" s="479">
        <v>1565</v>
      </c>
      <c r="B1829" s="19" t="s">
        <v>1238</v>
      </c>
      <c r="C1829" t="s">
        <v>152</v>
      </c>
      <c r="D1829" s="190">
        <v>1565</v>
      </c>
      <c r="E1829" s="191">
        <v>6029</v>
      </c>
      <c r="F1829" s="191">
        <v>5668</v>
      </c>
      <c r="G1829" s="481">
        <v>225</v>
      </c>
      <c r="H1829" s="19"/>
      <c r="I1829" s="19"/>
      <c r="M1829" s="19"/>
      <c r="N1829" s="19"/>
    </row>
    <row r="1830" spans="1:14">
      <c r="A1830" s="479">
        <v>1485</v>
      </c>
      <c r="B1830" s="19" t="s">
        <v>1239</v>
      </c>
      <c r="C1830" t="s">
        <v>152</v>
      </c>
      <c r="D1830" s="190">
        <v>1485</v>
      </c>
      <c r="E1830" s="191">
        <v>6102</v>
      </c>
      <c r="F1830" s="191">
        <v>5079</v>
      </c>
      <c r="G1830" s="481">
        <v>245</v>
      </c>
      <c r="H1830" s="19"/>
      <c r="I1830" s="19"/>
      <c r="M1830" s="19"/>
      <c r="N1830" s="19"/>
    </row>
    <row r="1831" spans="1:14">
      <c r="A1831" s="479">
        <v>1727</v>
      </c>
      <c r="B1831" s="19" t="s">
        <v>1240</v>
      </c>
      <c r="C1831" t="s">
        <v>152</v>
      </c>
      <c r="D1831" s="190">
        <v>1727</v>
      </c>
      <c r="E1831" s="191">
        <v>6195</v>
      </c>
      <c r="F1831" s="191">
        <v>5864</v>
      </c>
      <c r="G1831" s="481">
        <v>176</v>
      </c>
      <c r="H1831" s="19"/>
      <c r="I1831" s="19"/>
      <c r="M1831" s="19"/>
      <c r="N1831" s="19"/>
    </row>
    <row r="1832" spans="1:14">
      <c r="A1832" s="479">
        <v>1533</v>
      </c>
      <c r="B1832" s="19" t="s">
        <v>1241</v>
      </c>
      <c r="C1832" t="s">
        <v>152</v>
      </c>
      <c r="D1832" s="190">
        <v>1533</v>
      </c>
      <c r="E1832" s="191">
        <v>6233</v>
      </c>
      <c r="F1832" s="191">
        <v>5221</v>
      </c>
      <c r="G1832" s="481">
        <v>284</v>
      </c>
      <c r="H1832" s="19"/>
      <c r="I1832" s="19"/>
      <c r="M1832" s="19"/>
      <c r="N1832" s="19"/>
    </row>
    <row r="1833" spans="1:14">
      <c r="A1833" s="479">
        <v>1529</v>
      </c>
      <c r="B1833" s="19" t="s">
        <v>1242</v>
      </c>
      <c r="C1833" t="s">
        <v>152</v>
      </c>
      <c r="D1833" s="190">
        <v>1529</v>
      </c>
      <c r="E1833" s="191">
        <v>5770</v>
      </c>
      <c r="F1833" s="191">
        <v>5399</v>
      </c>
      <c r="G1833" s="481">
        <v>241</v>
      </c>
      <c r="H1833" s="19"/>
      <c r="I1833" s="19"/>
      <c r="M1833" s="19"/>
      <c r="N1833" s="19"/>
    </row>
    <row r="1834" spans="1:14">
      <c r="A1834" s="479">
        <v>1674</v>
      </c>
      <c r="B1834" s="19" t="s">
        <v>1243</v>
      </c>
      <c r="C1834" t="s">
        <v>152</v>
      </c>
      <c r="D1834" s="190">
        <v>1674</v>
      </c>
      <c r="E1834" s="191">
        <v>6452</v>
      </c>
      <c r="F1834" s="191">
        <v>7653</v>
      </c>
      <c r="G1834" s="481">
        <v>245</v>
      </c>
      <c r="H1834" s="19"/>
      <c r="I1834" s="19"/>
      <c r="M1834" s="19"/>
      <c r="N1834" s="19"/>
    </row>
    <row r="1835" spans="1:14">
      <c r="A1835" s="479">
        <v>1669</v>
      </c>
      <c r="B1835" s="19" t="s">
        <v>1244</v>
      </c>
      <c r="C1835" t="s">
        <v>152</v>
      </c>
      <c r="D1835" s="190">
        <v>1669</v>
      </c>
      <c r="E1835" s="191">
        <v>6447</v>
      </c>
      <c r="F1835" s="191">
        <v>4248</v>
      </c>
      <c r="G1835" s="481">
        <v>245</v>
      </c>
      <c r="H1835" s="19"/>
      <c r="I1835" s="19"/>
      <c r="M1835" s="19"/>
      <c r="N1835" s="19"/>
    </row>
    <row r="1836" spans="1:14">
      <c r="A1836" s="479">
        <v>1673</v>
      </c>
      <c r="B1836" s="19" t="s">
        <v>1245</v>
      </c>
      <c r="C1836" t="s">
        <v>152</v>
      </c>
      <c r="D1836" s="190">
        <v>1673</v>
      </c>
      <c r="E1836" s="191">
        <v>5379</v>
      </c>
      <c r="F1836" s="191">
        <v>6511</v>
      </c>
      <c r="G1836" s="481">
        <v>245</v>
      </c>
      <c r="H1836" s="19"/>
      <c r="I1836" s="19"/>
      <c r="M1836" s="19"/>
      <c r="N1836" s="19"/>
    </row>
    <row r="1837" spans="1:14">
      <c r="A1837" s="479">
        <v>1653</v>
      </c>
      <c r="B1837" s="19" t="s">
        <v>1246</v>
      </c>
      <c r="C1837" t="s">
        <v>152</v>
      </c>
      <c r="D1837" s="190">
        <v>1653</v>
      </c>
      <c r="E1837" s="191">
        <v>6032</v>
      </c>
      <c r="F1837" s="191">
        <v>6643</v>
      </c>
      <c r="G1837" s="481">
        <v>245</v>
      </c>
      <c r="H1837" s="19"/>
      <c r="I1837" s="19"/>
      <c r="M1837" s="19"/>
      <c r="N1837" s="19"/>
    </row>
    <row r="1838" spans="1:14">
      <c r="A1838" s="479">
        <v>1541</v>
      </c>
      <c r="B1838" s="19" t="s">
        <v>1247</v>
      </c>
      <c r="C1838" t="s">
        <v>152</v>
      </c>
      <c r="D1838" s="190">
        <v>1541</v>
      </c>
      <c r="E1838" s="191">
        <v>6081</v>
      </c>
      <c r="F1838" s="191">
        <v>7757</v>
      </c>
      <c r="G1838" s="481">
        <v>253</v>
      </c>
      <c r="H1838" s="19"/>
      <c r="I1838" s="19"/>
      <c r="M1838" s="19"/>
      <c r="N1838" s="19"/>
    </row>
    <row r="1839" spans="1:14">
      <c r="A1839" s="479">
        <v>3215</v>
      </c>
      <c r="B1839" s="19" t="s">
        <v>1248</v>
      </c>
      <c r="C1839" t="s">
        <v>152</v>
      </c>
      <c r="D1839" s="190">
        <v>3215</v>
      </c>
      <c r="E1839" s="191">
        <v>6331</v>
      </c>
      <c r="F1839" s="191">
        <v>6002</v>
      </c>
      <c r="G1839" s="481">
        <v>233</v>
      </c>
      <c r="H1839" s="19"/>
      <c r="I1839" s="19"/>
      <c r="M1839" s="19"/>
      <c r="N1839" s="19"/>
    </row>
    <row r="1840" spans="1:14">
      <c r="A1840" s="479">
        <v>1673</v>
      </c>
      <c r="B1840" s="19" t="s">
        <v>1249</v>
      </c>
      <c r="C1840" t="s">
        <v>152</v>
      </c>
      <c r="D1840" s="190">
        <v>1673</v>
      </c>
      <c r="E1840" s="191">
        <v>6957</v>
      </c>
      <c r="F1840" s="191">
        <v>6716</v>
      </c>
      <c r="G1840" s="481">
        <v>245</v>
      </c>
      <c r="H1840" s="19"/>
      <c r="I1840" s="19"/>
      <c r="M1840" s="19"/>
      <c r="N1840" s="19"/>
    </row>
    <row r="1841" spans="1:14">
      <c r="A1841" s="479">
        <v>1653</v>
      </c>
      <c r="B1841" s="19" t="s">
        <v>1250</v>
      </c>
      <c r="C1841" t="s">
        <v>152</v>
      </c>
      <c r="D1841" s="190">
        <v>1653</v>
      </c>
      <c r="E1841" s="191">
        <v>6223</v>
      </c>
      <c r="F1841" s="191">
        <v>6410</v>
      </c>
      <c r="G1841" s="481">
        <v>245</v>
      </c>
      <c r="H1841" s="19"/>
      <c r="I1841" s="19"/>
      <c r="M1841" s="19"/>
      <c r="N1841" s="19"/>
    </row>
    <row r="1842" spans="1:14">
      <c r="A1842" s="479">
        <v>1724</v>
      </c>
      <c r="B1842" s="19" t="s">
        <v>1251</v>
      </c>
      <c r="C1842" t="s">
        <v>152</v>
      </c>
      <c r="D1842" s="190">
        <v>1724</v>
      </c>
      <c r="E1842" s="191">
        <v>5903</v>
      </c>
      <c r="F1842" s="191">
        <v>6415</v>
      </c>
      <c r="G1842" s="481">
        <v>245</v>
      </c>
      <c r="H1842" s="19"/>
      <c r="I1842" s="19"/>
      <c r="M1842" s="19"/>
      <c r="N1842" s="19"/>
    </row>
    <row r="1843" spans="1:14">
      <c r="A1843" s="479">
        <v>1608</v>
      </c>
      <c r="B1843" s="19" t="s">
        <v>1252</v>
      </c>
      <c r="C1843" t="s">
        <v>152</v>
      </c>
      <c r="D1843" s="190">
        <v>1608</v>
      </c>
      <c r="E1843" s="191">
        <v>6650</v>
      </c>
      <c r="F1843" s="191">
        <v>6495</v>
      </c>
      <c r="G1843" s="481">
        <v>110</v>
      </c>
      <c r="H1843" s="19"/>
      <c r="I1843" s="19"/>
      <c r="M1843" s="19"/>
      <c r="N1843" s="19"/>
    </row>
    <row r="1844" spans="1:14">
      <c r="A1844" s="479">
        <v>1686</v>
      </c>
      <c r="B1844" s="19" t="s">
        <v>1253</v>
      </c>
      <c r="C1844" t="s">
        <v>152</v>
      </c>
      <c r="D1844" s="190">
        <v>1686</v>
      </c>
      <c r="E1844" s="191">
        <v>6191</v>
      </c>
      <c r="F1844" s="191">
        <v>5752</v>
      </c>
      <c r="G1844" s="481">
        <v>245</v>
      </c>
      <c r="H1844" s="19"/>
      <c r="I1844" s="19"/>
      <c r="M1844" s="19"/>
      <c r="N1844" s="19"/>
    </row>
    <row r="1845" spans="1:14">
      <c r="A1845" s="479">
        <v>3280</v>
      </c>
      <c r="B1845" s="19" t="s">
        <v>1254</v>
      </c>
      <c r="C1845" t="s">
        <v>152</v>
      </c>
      <c r="D1845" s="190">
        <v>3280</v>
      </c>
      <c r="E1845" s="191">
        <v>7286</v>
      </c>
      <c r="F1845" s="191">
        <v>8260</v>
      </c>
      <c r="G1845" s="481">
        <v>241</v>
      </c>
      <c r="H1845" s="19"/>
      <c r="I1845" s="19"/>
      <c r="M1845" s="19"/>
      <c r="N1845" s="19"/>
    </row>
    <row r="1846" spans="1:14">
      <c r="A1846" s="479">
        <v>1724</v>
      </c>
      <c r="B1846" s="19" t="s">
        <v>1255</v>
      </c>
      <c r="C1846" t="s">
        <v>152</v>
      </c>
      <c r="D1846" s="190">
        <v>1724</v>
      </c>
      <c r="E1846" s="191">
        <v>6329</v>
      </c>
      <c r="F1846" s="191">
        <v>6107</v>
      </c>
      <c r="G1846" s="481">
        <v>244</v>
      </c>
      <c r="H1846" s="19"/>
      <c r="I1846" s="19"/>
      <c r="M1846" s="19"/>
      <c r="N1846" s="19"/>
    </row>
    <row r="1847" spans="1:14">
      <c r="A1847" s="479">
        <v>1723</v>
      </c>
      <c r="B1847" s="19" t="s">
        <v>1256</v>
      </c>
      <c r="C1847" t="s">
        <v>152</v>
      </c>
      <c r="D1847" s="190">
        <v>1723</v>
      </c>
      <c r="E1847" s="191">
        <v>6965</v>
      </c>
      <c r="F1847" s="191">
        <v>6838</v>
      </c>
      <c r="G1847" s="481">
        <v>245</v>
      </c>
      <c r="H1847" s="19"/>
      <c r="I1847" s="19"/>
      <c r="M1847" s="19"/>
      <c r="N1847" s="19"/>
    </row>
    <row r="1848" spans="1:14">
      <c r="A1848" s="479">
        <v>1723</v>
      </c>
      <c r="B1848" s="19" t="s">
        <v>1257</v>
      </c>
      <c r="C1848" t="s">
        <v>152</v>
      </c>
      <c r="D1848" s="190">
        <v>1723</v>
      </c>
      <c r="E1848" s="191">
        <v>6435</v>
      </c>
      <c r="F1848" s="191">
        <v>6621</v>
      </c>
      <c r="G1848" s="481">
        <v>245</v>
      </c>
      <c r="H1848" s="19"/>
      <c r="I1848" s="19"/>
      <c r="M1848" s="19"/>
      <c r="N1848" s="19"/>
    </row>
    <row r="1849" spans="1:14">
      <c r="A1849" s="479">
        <v>1410</v>
      </c>
      <c r="B1849" s="19" t="s">
        <v>1258</v>
      </c>
      <c r="C1849" t="s">
        <v>152</v>
      </c>
      <c r="D1849" s="190">
        <v>1410</v>
      </c>
      <c r="E1849" s="191">
        <v>5481</v>
      </c>
      <c r="F1849" s="191">
        <v>5504</v>
      </c>
      <c r="G1849" s="481">
        <v>208</v>
      </c>
      <c r="H1849" s="19"/>
      <c r="I1849" s="19"/>
      <c r="M1849" s="19"/>
      <c r="N1849" s="19"/>
    </row>
    <row r="1850" spans="1:14">
      <c r="A1850" s="479">
        <v>3238</v>
      </c>
      <c r="B1850" s="19" t="s">
        <v>1259</v>
      </c>
      <c r="C1850" t="s">
        <v>152</v>
      </c>
      <c r="D1850" s="190">
        <v>3238</v>
      </c>
      <c r="E1850" s="191">
        <v>5995</v>
      </c>
      <c r="F1850" s="191">
        <v>6361</v>
      </c>
      <c r="G1850" s="481" t="s">
        <v>2471</v>
      </c>
      <c r="H1850" s="19"/>
      <c r="I1850" s="19"/>
      <c r="M1850" s="19"/>
      <c r="N1850" s="19"/>
    </row>
    <row r="1851" spans="1:14">
      <c r="A1851" s="479">
        <v>8757</v>
      </c>
      <c r="B1851" s="19" t="s">
        <v>1260</v>
      </c>
      <c r="C1851" t="s">
        <v>149</v>
      </c>
      <c r="D1851" s="190">
        <v>8757</v>
      </c>
      <c r="E1851" s="192">
        <v>6849</v>
      </c>
      <c r="F1851" s="192">
        <v>6194</v>
      </c>
      <c r="G1851" s="481">
        <v>221</v>
      </c>
      <c r="H1851" s="19"/>
      <c r="I1851" s="19"/>
      <c r="M1851" s="19"/>
      <c r="N1851" s="19"/>
    </row>
    <row r="1852" spans="1:14">
      <c r="A1852" s="479">
        <v>8750</v>
      </c>
      <c r="B1852" s="19" t="s">
        <v>180</v>
      </c>
      <c r="C1852" t="s">
        <v>149</v>
      </c>
      <c r="D1852" s="190">
        <v>8750</v>
      </c>
      <c r="E1852" s="192">
        <v>5114</v>
      </c>
      <c r="F1852" s="192">
        <v>4673</v>
      </c>
      <c r="G1852" s="481">
        <v>212</v>
      </c>
      <c r="H1852" s="19"/>
      <c r="I1852" s="19"/>
      <c r="M1852" s="19"/>
      <c r="N1852" s="19"/>
    </row>
    <row r="1853" spans="1:14">
      <c r="A1853" s="479">
        <v>8762</v>
      </c>
      <c r="B1853" s="19" t="s">
        <v>1261</v>
      </c>
      <c r="C1853" t="s">
        <v>149</v>
      </c>
      <c r="D1853" s="190">
        <v>8762</v>
      </c>
      <c r="E1853" s="192">
        <v>6012</v>
      </c>
      <c r="F1853" s="192">
        <v>4361</v>
      </c>
      <c r="G1853" s="481">
        <v>190</v>
      </c>
      <c r="H1853" s="19"/>
      <c r="I1853" s="19"/>
      <c r="M1853" s="19"/>
      <c r="N1853" s="19"/>
    </row>
    <row r="1854" spans="1:14">
      <c r="A1854" s="479">
        <v>6000</v>
      </c>
      <c r="B1854" s="19" t="s">
        <v>165</v>
      </c>
      <c r="C1854" t="s">
        <v>140</v>
      </c>
      <c r="D1854" s="190">
        <v>6000</v>
      </c>
      <c r="E1854" s="192">
        <v>10621</v>
      </c>
      <c r="F1854" s="192">
        <v>9528</v>
      </c>
      <c r="G1854" s="481">
        <v>311</v>
      </c>
      <c r="H1854" s="19"/>
      <c r="I1854" s="19"/>
      <c r="M1854" s="19"/>
      <c r="N1854" s="19"/>
    </row>
    <row r="1855" spans="1:14">
      <c r="A1855" s="479">
        <v>6032</v>
      </c>
      <c r="B1855" s="19" t="s">
        <v>1262</v>
      </c>
      <c r="C1855" t="s">
        <v>140</v>
      </c>
      <c r="D1855" s="190">
        <v>6032</v>
      </c>
      <c r="E1855" s="192">
        <v>8036</v>
      </c>
      <c r="F1855" s="192">
        <v>8564</v>
      </c>
      <c r="G1855" s="481">
        <v>260</v>
      </c>
      <c r="H1855" s="19"/>
      <c r="I1855" s="19"/>
      <c r="M1855" s="19"/>
      <c r="N1855" s="19"/>
    </row>
    <row r="1856" spans="1:14">
      <c r="A1856" s="479">
        <v>6010</v>
      </c>
      <c r="B1856" s="19" t="s">
        <v>1263</v>
      </c>
      <c r="C1856" t="s">
        <v>140</v>
      </c>
      <c r="D1856" s="190">
        <v>6010</v>
      </c>
      <c r="E1856" s="192">
        <v>9594</v>
      </c>
      <c r="F1856" s="192">
        <v>10360</v>
      </c>
      <c r="G1856" s="481">
        <v>277</v>
      </c>
      <c r="H1856" s="19"/>
      <c r="I1856" s="19"/>
      <c r="M1856" s="19"/>
      <c r="N1856" s="19"/>
    </row>
    <row r="1857" spans="1:14">
      <c r="A1857" s="479">
        <v>6048</v>
      </c>
      <c r="B1857" s="19" t="s">
        <v>1264</v>
      </c>
      <c r="C1857" t="s">
        <v>140</v>
      </c>
      <c r="D1857" s="190">
        <v>6048</v>
      </c>
      <c r="E1857" s="192">
        <v>10917</v>
      </c>
      <c r="F1857" s="192">
        <v>12679</v>
      </c>
      <c r="G1857" s="481">
        <v>306</v>
      </c>
      <c r="H1857" s="19"/>
      <c r="I1857" s="19"/>
      <c r="M1857" s="19"/>
      <c r="N1857" s="19"/>
    </row>
    <row r="1858" spans="1:14">
      <c r="A1858" s="479">
        <v>6030</v>
      </c>
      <c r="B1858" s="19" t="s">
        <v>1265</v>
      </c>
      <c r="C1858" t="s">
        <v>140</v>
      </c>
      <c r="D1858" s="190">
        <v>6030</v>
      </c>
      <c r="E1858" s="192">
        <v>9020</v>
      </c>
      <c r="F1858" s="192">
        <v>9214</v>
      </c>
      <c r="G1858" s="481">
        <v>251</v>
      </c>
      <c r="H1858" s="19"/>
      <c r="I1858" s="19"/>
      <c r="M1858" s="19"/>
      <c r="N1858" s="19"/>
    </row>
    <row r="1859" spans="1:14">
      <c r="A1859" s="479">
        <v>6210</v>
      </c>
      <c r="B1859" s="19" t="s">
        <v>1266</v>
      </c>
      <c r="C1859" t="s">
        <v>140</v>
      </c>
      <c r="D1859" s="190">
        <v>6210</v>
      </c>
      <c r="E1859" s="192">
        <v>7697</v>
      </c>
      <c r="F1859" s="192">
        <v>7265</v>
      </c>
      <c r="G1859" s="481">
        <v>259</v>
      </c>
      <c r="H1859" s="19"/>
      <c r="I1859" s="19"/>
      <c r="M1859" s="19"/>
      <c r="N1859" s="19"/>
    </row>
    <row r="1860" spans="1:14">
      <c r="A1860" s="479">
        <v>6280</v>
      </c>
      <c r="B1860" s="19" t="s">
        <v>1267</v>
      </c>
      <c r="C1860" t="s">
        <v>140</v>
      </c>
      <c r="D1860" s="190">
        <v>6280</v>
      </c>
      <c r="E1860" s="192">
        <v>7505</v>
      </c>
      <c r="F1860" s="192">
        <v>7611</v>
      </c>
      <c r="G1860" s="481">
        <v>234</v>
      </c>
      <c r="H1860" s="19"/>
      <c r="I1860" s="19"/>
      <c r="M1860" s="19"/>
      <c r="N1860" s="19"/>
    </row>
    <row r="1861" spans="1:14">
      <c r="A1861" s="479">
        <v>6130</v>
      </c>
      <c r="B1861" s="19" t="s">
        <v>1268</v>
      </c>
      <c r="C1861" t="s">
        <v>140</v>
      </c>
      <c r="D1861" s="190">
        <v>6130</v>
      </c>
      <c r="E1861" s="192">
        <v>7643</v>
      </c>
      <c r="F1861" s="192">
        <v>6015</v>
      </c>
      <c r="G1861" s="481">
        <v>229</v>
      </c>
      <c r="H1861" s="19"/>
      <c r="I1861" s="19"/>
      <c r="M1861" s="19"/>
      <c r="N1861" s="19"/>
    </row>
    <row r="1862" spans="1:14">
      <c r="A1862" s="479">
        <v>6023</v>
      </c>
      <c r="B1862" s="19" t="s">
        <v>1269</v>
      </c>
      <c r="C1862" t="s">
        <v>140</v>
      </c>
      <c r="D1862" s="190">
        <v>6023</v>
      </c>
      <c r="E1862" s="192">
        <v>8541</v>
      </c>
      <c r="F1862" s="192">
        <v>9049</v>
      </c>
      <c r="G1862" s="481">
        <v>240</v>
      </c>
      <c r="H1862" s="19"/>
      <c r="I1862" s="19"/>
      <c r="M1862" s="19"/>
      <c r="N1862" s="19"/>
    </row>
    <row r="1863" spans="1:14">
      <c r="A1863" s="479">
        <v>6102</v>
      </c>
      <c r="B1863" s="19" t="s">
        <v>1270</v>
      </c>
      <c r="C1863" t="s">
        <v>140</v>
      </c>
      <c r="D1863" s="190">
        <v>6102</v>
      </c>
      <c r="E1863" s="192">
        <v>7837</v>
      </c>
      <c r="F1863" s="192">
        <v>8568</v>
      </c>
      <c r="G1863" s="481">
        <v>246</v>
      </c>
      <c r="H1863" s="19"/>
      <c r="I1863" s="19"/>
      <c r="M1863" s="19"/>
      <c r="N1863" s="19"/>
    </row>
    <row r="1864" spans="1:14">
      <c r="A1864" s="479">
        <v>6045</v>
      </c>
      <c r="B1864" s="19" t="s">
        <v>1271</v>
      </c>
      <c r="C1864" t="s">
        <v>140</v>
      </c>
      <c r="D1864" s="190">
        <v>6045</v>
      </c>
      <c r="E1864" s="192">
        <v>12058</v>
      </c>
      <c r="F1864" s="192">
        <v>13768</v>
      </c>
      <c r="G1864" s="481">
        <v>296</v>
      </c>
      <c r="H1864" s="19"/>
      <c r="I1864" s="19"/>
      <c r="M1864" s="19"/>
      <c r="N1864" s="19"/>
    </row>
    <row r="1865" spans="1:14">
      <c r="A1865" s="479">
        <v>6206</v>
      </c>
      <c r="B1865" s="19" t="s">
        <v>1272</v>
      </c>
      <c r="C1865" t="s">
        <v>140</v>
      </c>
      <c r="D1865" s="190">
        <v>6206</v>
      </c>
      <c r="E1865" s="192">
        <v>6503</v>
      </c>
      <c r="F1865" s="192">
        <v>7484</v>
      </c>
      <c r="G1865" s="481">
        <v>244</v>
      </c>
      <c r="H1865" s="19"/>
      <c r="I1865" s="19"/>
      <c r="M1865" s="19"/>
      <c r="N1865" s="19"/>
    </row>
    <row r="1866" spans="1:14">
      <c r="A1866" s="479">
        <v>6260</v>
      </c>
      <c r="B1866" s="19" t="s">
        <v>1273</v>
      </c>
      <c r="C1866" t="s">
        <v>140</v>
      </c>
      <c r="D1866" s="190">
        <v>6260</v>
      </c>
      <c r="E1866" s="192">
        <v>7121</v>
      </c>
      <c r="F1866" s="192">
        <v>6229</v>
      </c>
      <c r="G1866" s="481">
        <v>213</v>
      </c>
      <c r="H1866" s="19"/>
      <c r="I1866" s="19"/>
      <c r="M1866" s="19"/>
      <c r="N1866" s="19"/>
    </row>
    <row r="1867" spans="1:14">
      <c r="A1867" s="479">
        <v>6017</v>
      </c>
      <c r="B1867" s="19" t="s">
        <v>1274</v>
      </c>
      <c r="C1867" t="s">
        <v>140</v>
      </c>
      <c r="D1867" s="190">
        <v>6017</v>
      </c>
      <c r="E1867" s="192">
        <v>7100</v>
      </c>
      <c r="F1867" s="192">
        <v>6951</v>
      </c>
      <c r="G1867" s="481">
        <v>223</v>
      </c>
      <c r="H1867" s="19"/>
      <c r="I1867" s="19"/>
      <c r="M1867" s="19"/>
      <c r="N1867" s="19"/>
    </row>
    <row r="1868" spans="1:14">
      <c r="A1868" s="479">
        <v>6215</v>
      </c>
      <c r="B1868" s="19" t="s">
        <v>1275</v>
      </c>
      <c r="C1868" t="s">
        <v>140</v>
      </c>
      <c r="D1868" s="190">
        <v>6215</v>
      </c>
      <c r="E1868" s="192">
        <v>8111</v>
      </c>
      <c r="F1868" s="192">
        <v>7784</v>
      </c>
      <c r="G1868" s="481">
        <v>216</v>
      </c>
      <c r="H1868" s="19"/>
      <c r="I1868" s="19"/>
      <c r="M1868" s="19"/>
      <c r="N1868" s="19"/>
    </row>
    <row r="1869" spans="1:14">
      <c r="A1869" s="479">
        <v>6033</v>
      </c>
      <c r="B1869" s="19" t="s">
        <v>1276</v>
      </c>
      <c r="C1869" t="s">
        <v>140</v>
      </c>
      <c r="D1869" s="190">
        <v>6033</v>
      </c>
      <c r="E1869" s="192">
        <v>8672</v>
      </c>
      <c r="F1869" s="192">
        <v>8613</v>
      </c>
      <c r="G1869" s="481">
        <v>247</v>
      </c>
      <c r="H1869" s="19"/>
      <c r="I1869" s="19"/>
      <c r="M1869" s="19"/>
      <c r="N1869" s="19"/>
    </row>
    <row r="1870" spans="1:14">
      <c r="A1870" s="479">
        <v>6252</v>
      </c>
      <c r="B1870" s="19" t="s">
        <v>1277</v>
      </c>
      <c r="C1870" t="s">
        <v>140</v>
      </c>
      <c r="D1870" s="190">
        <v>6252</v>
      </c>
      <c r="E1870" s="192">
        <v>7372</v>
      </c>
      <c r="F1870" s="192">
        <v>6572</v>
      </c>
      <c r="G1870" s="481">
        <v>211</v>
      </c>
      <c r="H1870" s="19"/>
      <c r="I1870" s="19"/>
      <c r="M1870" s="19"/>
      <c r="N1870" s="19"/>
    </row>
    <row r="1871" spans="1:14">
      <c r="A1871" s="479">
        <v>6043</v>
      </c>
      <c r="B1871" s="19" t="s">
        <v>1278</v>
      </c>
      <c r="C1871" t="s">
        <v>140</v>
      </c>
      <c r="D1871" s="190">
        <v>6043</v>
      </c>
      <c r="E1871" s="192">
        <v>8977</v>
      </c>
      <c r="F1871" s="192">
        <v>10054</v>
      </c>
      <c r="G1871" s="481">
        <v>257</v>
      </c>
      <c r="H1871" s="19"/>
      <c r="I1871" s="19"/>
      <c r="M1871" s="19"/>
      <c r="N1871" s="19"/>
    </row>
    <row r="1872" spans="1:14">
      <c r="A1872" s="479">
        <v>6285</v>
      </c>
      <c r="B1872" s="19" t="s">
        <v>1279</v>
      </c>
      <c r="C1872" t="s">
        <v>140</v>
      </c>
      <c r="D1872" s="190">
        <v>6285</v>
      </c>
      <c r="E1872" s="192">
        <v>7116</v>
      </c>
      <c r="F1872" s="192">
        <v>7868</v>
      </c>
      <c r="G1872" s="481">
        <v>236</v>
      </c>
      <c r="H1872" s="19"/>
      <c r="I1872" s="19"/>
      <c r="M1872" s="19"/>
      <c r="N1872" s="19"/>
    </row>
    <row r="1873" spans="1:14">
      <c r="A1873" s="479">
        <v>6037</v>
      </c>
      <c r="B1873" s="19" t="s">
        <v>1280</v>
      </c>
      <c r="C1873" t="s">
        <v>140</v>
      </c>
      <c r="D1873" s="190">
        <v>6037</v>
      </c>
      <c r="E1873" s="192">
        <v>8704</v>
      </c>
      <c r="F1873" s="192">
        <v>7862</v>
      </c>
      <c r="G1873" s="481">
        <v>270</v>
      </c>
      <c r="H1873" s="19"/>
      <c r="I1873" s="19"/>
      <c r="M1873" s="19"/>
      <c r="N1873" s="19"/>
    </row>
    <row r="1874" spans="1:14">
      <c r="A1874" s="479">
        <v>6208</v>
      </c>
      <c r="B1874" s="19" t="s">
        <v>1281</v>
      </c>
      <c r="C1874" t="s">
        <v>140</v>
      </c>
      <c r="D1874" s="190">
        <v>6208</v>
      </c>
      <c r="E1874" s="192">
        <v>8535</v>
      </c>
      <c r="F1874" s="192">
        <v>8371</v>
      </c>
      <c r="G1874" s="481">
        <v>253</v>
      </c>
      <c r="H1874" s="19"/>
      <c r="I1874" s="19"/>
      <c r="M1874" s="19"/>
      <c r="N1874" s="19"/>
    </row>
    <row r="1875" spans="1:14">
      <c r="A1875" s="479">
        <v>6234</v>
      </c>
      <c r="B1875" s="19" t="s">
        <v>1282</v>
      </c>
      <c r="C1875" t="s">
        <v>140</v>
      </c>
      <c r="D1875" s="190">
        <v>6234</v>
      </c>
      <c r="E1875" s="192">
        <v>7428</v>
      </c>
      <c r="F1875" s="192">
        <v>6773</v>
      </c>
      <c r="G1875" s="481">
        <v>229</v>
      </c>
      <c r="H1875" s="19"/>
      <c r="I1875" s="19"/>
      <c r="M1875" s="19"/>
      <c r="N1875" s="19"/>
    </row>
    <row r="1876" spans="1:14">
      <c r="A1876" s="479">
        <v>6353</v>
      </c>
      <c r="B1876" s="19" t="s">
        <v>1283</v>
      </c>
      <c r="C1876" t="s">
        <v>140</v>
      </c>
      <c r="D1876" s="190">
        <v>6353</v>
      </c>
      <c r="E1876" s="192">
        <v>12382</v>
      </c>
      <c r="F1876" s="192">
        <v>12952</v>
      </c>
      <c r="G1876" s="481">
        <v>325</v>
      </c>
      <c r="H1876" s="19"/>
      <c r="I1876" s="19"/>
      <c r="M1876" s="19"/>
      <c r="N1876" s="19"/>
    </row>
    <row r="1877" spans="1:14">
      <c r="A1877" s="479">
        <v>6247</v>
      </c>
      <c r="B1877" s="19" t="s">
        <v>1284</v>
      </c>
      <c r="C1877" t="s">
        <v>140</v>
      </c>
      <c r="D1877" s="190">
        <v>6247</v>
      </c>
      <c r="E1877" s="192">
        <v>6630</v>
      </c>
      <c r="F1877" s="192">
        <v>6432</v>
      </c>
      <c r="G1877" s="481">
        <v>215</v>
      </c>
      <c r="H1877" s="19"/>
      <c r="I1877" s="19"/>
      <c r="M1877" s="19"/>
      <c r="N1877" s="19"/>
    </row>
    <row r="1878" spans="1:14">
      <c r="A1878" s="479">
        <v>6110</v>
      </c>
      <c r="B1878" s="19" t="s">
        <v>1285</v>
      </c>
      <c r="C1878" t="s">
        <v>140</v>
      </c>
      <c r="D1878" s="190">
        <v>6110</v>
      </c>
      <c r="E1878" s="192">
        <v>5934</v>
      </c>
      <c r="F1878" s="192">
        <v>6316</v>
      </c>
      <c r="G1878" s="481">
        <v>206</v>
      </c>
      <c r="H1878" s="19"/>
      <c r="I1878" s="19"/>
      <c r="M1878" s="19"/>
      <c r="N1878" s="19"/>
    </row>
    <row r="1879" spans="1:14">
      <c r="A1879" s="479">
        <v>6182</v>
      </c>
      <c r="B1879" s="19" t="s">
        <v>1286</v>
      </c>
      <c r="C1879" t="s">
        <v>140</v>
      </c>
      <c r="D1879" s="190">
        <v>6182</v>
      </c>
      <c r="E1879" s="192">
        <v>5070</v>
      </c>
      <c r="F1879" s="192">
        <v>5230</v>
      </c>
      <c r="G1879" s="481">
        <v>179</v>
      </c>
      <c r="H1879" s="19"/>
      <c r="I1879" s="19"/>
      <c r="M1879" s="19"/>
      <c r="N1879" s="19"/>
    </row>
    <row r="1880" spans="1:14">
      <c r="A1880" s="479">
        <v>6170</v>
      </c>
      <c r="B1880" s="19" t="s">
        <v>1287</v>
      </c>
      <c r="C1880" t="s">
        <v>140</v>
      </c>
      <c r="D1880" s="190">
        <v>6170</v>
      </c>
      <c r="E1880" s="192">
        <v>6055</v>
      </c>
      <c r="F1880" s="192">
        <v>7143</v>
      </c>
      <c r="G1880" s="481">
        <v>212</v>
      </c>
      <c r="H1880" s="19"/>
      <c r="I1880" s="19"/>
      <c r="M1880" s="19"/>
      <c r="N1880" s="19"/>
    </row>
    <row r="1881" spans="1:14">
      <c r="A1881" s="479">
        <v>6204</v>
      </c>
      <c r="B1881" s="19" t="s">
        <v>1288</v>
      </c>
      <c r="C1881" t="s">
        <v>140</v>
      </c>
      <c r="D1881" s="190">
        <v>6204</v>
      </c>
      <c r="E1881" s="192">
        <v>7675</v>
      </c>
      <c r="F1881" s="192">
        <v>9704</v>
      </c>
      <c r="G1881" s="481">
        <v>238</v>
      </c>
      <c r="H1881" s="19"/>
      <c r="I1881" s="19"/>
      <c r="M1881" s="19"/>
      <c r="N1881" s="19"/>
    </row>
    <row r="1882" spans="1:14">
      <c r="A1882" s="479">
        <v>6207</v>
      </c>
      <c r="B1882" s="19" t="s">
        <v>1289</v>
      </c>
      <c r="C1882" t="s">
        <v>140</v>
      </c>
      <c r="D1882" s="190">
        <v>6207</v>
      </c>
      <c r="E1882" s="192">
        <v>8038</v>
      </c>
      <c r="F1882" s="192">
        <v>9182</v>
      </c>
      <c r="G1882" s="481">
        <v>229</v>
      </c>
      <c r="H1882" s="19"/>
      <c r="I1882" s="19"/>
      <c r="M1882" s="19"/>
      <c r="N1882" s="19"/>
    </row>
    <row r="1883" spans="1:14">
      <c r="A1883" s="479">
        <v>6274</v>
      </c>
      <c r="B1883" s="19" t="s">
        <v>1290</v>
      </c>
      <c r="C1883" t="s">
        <v>140</v>
      </c>
      <c r="D1883" s="190">
        <v>6274</v>
      </c>
      <c r="E1883" s="192">
        <v>7748</v>
      </c>
      <c r="F1883" s="192">
        <v>7729</v>
      </c>
      <c r="G1883" s="481">
        <v>236</v>
      </c>
      <c r="H1883" s="19"/>
      <c r="I1883" s="19"/>
      <c r="M1883" s="19"/>
      <c r="N1883" s="19"/>
    </row>
    <row r="1884" spans="1:14">
      <c r="A1884" s="479">
        <v>6162</v>
      </c>
      <c r="B1884" s="19" t="s">
        <v>1291</v>
      </c>
      <c r="C1884" t="s">
        <v>140</v>
      </c>
      <c r="D1884" s="190">
        <v>6162</v>
      </c>
      <c r="E1884" s="192">
        <v>5668</v>
      </c>
      <c r="F1884" s="192">
        <v>6236</v>
      </c>
      <c r="G1884" s="481">
        <v>172</v>
      </c>
      <c r="H1884" s="19"/>
      <c r="I1884" s="19"/>
      <c r="M1884" s="19"/>
      <c r="N1884" s="19"/>
    </row>
    <row r="1885" spans="1:14">
      <c r="A1885" s="479">
        <v>6016</v>
      </c>
      <c r="B1885" s="19" t="s">
        <v>1292</v>
      </c>
      <c r="C1885" t="s">
        <v>140</v>
      </c>
      <c r="D1885" s="190">
        <v>6016</v>
      </c>
      <c r="E1885" s="192">
        <v>7708</v>
      </c>
      <c r="F1885" s="192">
        <v>7470</v>
      </c>
      <c r="G1885" s="481">
        <v>233</v>
      </c>
      <c r="H1885" s="19"/>
      <c r="I1885" s="19"/>
      <c r="M1885" s="19"/>
      <c r="N1885" s="19"/>
    </row>
    <row r="1886" spans="1:14">
      <c r="A1886" s="479">
        <v>6022</v>
      </c>
      <c r="B1886" s="19" t="s">
        <v>1293</v>
      </c>
      <c r="C1886" t="s">
        <v>140</v>
      </c>
      <c r="D1886" s="190">
        <v>6022</v>
      </c>
      <c r="E1886" s="192">
        <v>6995</v>
      </c>
      <c r="F1886" s="192">
        <v>7880</v>
      </c>
      <c r="G1886" s="481">
        <v>227</v>
      </c>
      <c r="H1886" s="19"/>
      <c r="I1886" s="19"/>
      <c r="M1886" s="19"/>
      <c r="N1886" s="19"/>
    </row>
    <row r="1887" spans="1:14">
      <c r="A1887" s="479">
        <v>6221</v>
      </c>
      <c r="B1887" s="19" t="s">
        <v>1294</v>
      </c>
      <c r="C1887" t="s">
        <v>140</v>
      </c>
      <c r="D1887" s="190">
        <v>6221</v>
      </c>
      <c r="E1887" s="192">
        <v>8147</v>
      </c>
      <c r="F1887" s="192">
        <v>6820</v>
      </c>
      <c r="G1887" s="481">
        <v>191</v>
      </c>
      <c r="H1887" s="19"/>
      <c r="I1887" s="19"/>
      <c r="M1887" s="19"/>
      <c r="N1887" s="19"/>
    </row>
    <row r="1888" spans="1:14">
      <c r="A1888" s="479">
        <v>6232</v>
      </c>
      <c r="B1888" s="19" t="s">
        <v>1295</v>
      </c>
      <c r="C1888" t="s">
        <v>140</v>
      </c>
      <c r="D1888" s="190">
        <v>6232</v>
      </c>
      <c r="E1888" s="192">
        <v>6987</v>
      </c>
      <c r="F1888" s="192">
        <v>7737</v>
      </c>
      <c r="G1888" s="481">
        <v>231</v>
      </c>
      <c r="H1888" s="19"/>
      <c r="I1888" s="19"/>
      <c r="M1888" s="19"/>
      <c r="N1888" s="19"/>
    </row>
    <row r="1889" spans="1:14">
      <c r="A1889" s="479">
        <v>6122</v>
      </c>
      <c r="B1889" s="19" t="s">
        <v>1296</v>
      </c>
      <c r="C1889" t="s">
        <v>140</v>
      </c>
      <c r="D1889" s="190">
        <v>6122</v>
      </c>
      <c r="E1889" s="192">
        <v>5870</v>
      </c>
      <c r="F1889" s="192">
        <v>6568</v>
      </c>
      <c r="G1889" s="481">
        <v>173</v>
      </c>
      <c r="H1889" s="19"/>
      <c r="I1889" s="19"/>
      <c r="M1889" s="19"/>
      <c r="N1889" s="19"/>
    </row>
    <row r="1890" spans="1:14">
      <c r="A1890" s="479">
        <v>6214</v>
      </c>
      <c r="B1890" s="19" t="s">
        <v>1297</v>
      </c>
      <c r="C1890" t="s">
        <v>140</v>
      </c>
      <c r="D1890" s="190">
        <v>6214</v>
      </c>
      <c r="E1890" s="192">
        <v>9079</v>
      </c>
      <c r="F1890" s="192">
        <v>7856</v>
      </c>
      <c r="G1890" s="481">
        <v>244</v>
      </c>
      <c r="H1890" s="19"/>
      <c r="I1890" s="19"/>
      <c r="M1890" s="19"/>
      <c r="N1890" s="19"/>
    </row>
    <row r="1891" spans="1:14">
      <c r="A1891" s="479">
        <v>6275</v>
      </c>
      <c r="B1891" s="19" t="s">
        <v>1298</v>
      </c>
      <c r="C1891" t="s">
        <v>140</v>
      </c>
      <c r="D1891" s="190">
        <v>6275</v>
      </c>
      <c r="E1891" s="192">
        <v>7511</v>
      </c>
      <c r="F1891" s="192">
        <v>7707</v>
      </c>
      <c r="G1891" s="481">
        <v>230</v>
      </c>
      <c r="H1891" s="19"/>
      <c r="I1891" s="19"/>
      <c r="M1891" s="19"/>
      <c r="N1891" s="19"/>
    </row>
    <row r="1892" spans="1:14">
      <c r="A1892" s="479">
        <v>6026</v>
      </c>
      <c r="B1892" s="19" t="s">
        <v>1299</v>
      </c>
      <c r="C1892" t="s">
        <v>140</v>
      </c>
      <c r="D1892" s="190">
        <v>6026</v>
      </c>
      <c r="E1892" s="192">
        <v>8641</v>
      </c>
      <c r="F1892" s="192">
        <v>9412</v>
      </c>
      <c r="G1892" s="481">
        <v>238</v>
      </c>
      <c r="H1892" s="19"/>
      <c r="I1892" s="19"/>
      <c r="M1892" s="19"/>
      <c r="N1892" s="19"/>
    </row>
    <row r="1893" spans="1:14">
      <c r="A1893" s="479">
        <v>6218</v>
      </c>
      <c r="B1893" s="19" t="s">
        <v>1300</v>
      </c>
      <c r="C1893" t="s">
        <v>140</v>
      </c>
      <c r="D1893" s="190">
        <v>6218</v>
      </c>
      <c r="E1893" s="192">
        <v>7250</v>
      </c>
      <c r="F1893" s="192">
        <v>6994</v>
      </c>
      <c r="G1893" s="481">
        <v>218</v>
      </c>
      <c r="H1893" s="19"/>
      <c r="I1893" s="19"/>
      <c r="M1893" s="19"/>
      <c r="N1893" s="19"/>
    </row>
    <row r="1894" spans="1:14">
      <c r="A1894" s="479">
        <v>6264</v>
      </c>
      <c r="B1894" s="19" t="s">
        <v>1301</v>
      </c>
      <c r="C1894" t="s">
        <v>140</v>
      </c>
      <c r="D1894" s="190">
        <v>6264</v>
      </c>
      <c r="E1894" s="192">
        <v>6897</v>
      </c>
      <c r="F1894" s="192">
        <v>6310</v>
      </c>
      <c r="G1894" s="481">
        <v>211</v>
      </c>
      <c r="H1894" s="19"/>
      <c r="I1894" s="19"/>
      <c r="M1894" s="19"/>
      <c r="N1894" s="19"/>
    </row>
    <row r="1895" spans="1:14">
      <c r="A1895" s="479">
        <v>6244</v>
      </c>
      <c r="B1895" s="19" t="s">
        <v>1302</v>
      </c>
      <c r="C1895" t="s">
        <v>140</v>
      </c>
      <c r="D1895" s="190">
        <v>6244</v>
      </c>
      <c r="E1895" s="192">
        <v>6880</v>
      </c>
      <c r="F1895" s="192">
        <v>6386</v>
      </c>
      <c r="G1895" s="481">
        <v>219</v>
      </c>
      <c r="H1895" s="19"/>
      <c r="I1895" s="19"/>
      <c r="M1895" s="19"/>
      <c r="N1895" s="19"/>
    </row>
    <row r="1896" spans="1:14">
      <c r="A1896" s="479">
        <v>6034</v>
      </c>
      <c r="B1896" s="19" t="s">
        <v>1303</v>
      </c>
      <c r="C1896" t="s">
        <v>140</v>
      </c>
      <c r="D1896" s="190">
        <v>6034</v>
      </c>
      <c r="E1896" s="192">
        <v>7845</v>
      </c>
      <c r="F1896" s="192">
        <v>6738</v>
      </c>
      <c r="G1896" s="481">
        <v>275</v>
      </c>
      <c r="H1896" s="19"/>
      <c r="I1896" s="19"/>
      <c r="M1896" s="19"/>
      <c r="N1896" s="19"/>
    </row>
    <row r="1897" spans="1:14">
      <c r="A1897" s="479">
        <v>6276</v>
      </c>
      <c r="B1897" s="19" t="s">
        <v>1304</v>
      </c>
      <c r="C1897" t="s">
        <v>140</v>
      </c>
      <c r="D1897" s="190">
        <v>6276</v>
      </c>
      <c r="E1897" s="192">
        <v>7651</v>
      </c>
      <c r="F1897" s="192">
        <v>7099</v>
      </c>
      <c r="G1897" s="481">
        <v>195</v>
      </c>
      <c r="H1897" s="19"/>
      <c r="I1897" s="19"/>
      <c r="M1897" s="19"/>
      <c r="N1897" s="19"/>
    </row>
    <row r="1898" spans="1:14">
      <c r="A1898" s="479">
        <v>6233</v>
      </c>
      <c r="B1898" s="19" t="s">
        <v>1305</v>
      </c>
      <c r="C1898" t="s">
        <v>140</v>
      </c>
      <c r="D1898" s="190">
        <v>6233</v>
      </c>
      <c r="E1898" s="192">
        <v>7252</v>
      </c>
      <c r="F1898" s="192">
        <v>6387</v>
      </c>
      <c r="G1898" s="481">
        <v>239</v>
      </c>
      <c r="H1898" s="19"/>
      <c r="I1898" s="19"/>
      <c r="M1898" s="19"/>
      <c r="N1898" s="19"/>
    </row>
    <row r="1899" spans="1:14">
      <c r="A1899" s="479">
        <v>6044</v>
      </c>
      <c r="B1899" s="19" t="s">
        <v>1306</v>
      </c>
      <c r="C1899" t="s">
        <v>140</v>
      </c>
      <c r="D1899" s="190">
        <v>6044</v>
      </c>
      <c r="E1899" s="192">
        <v>9908</v>
      </c>
      <c r="F1899" s="192">
        <v>10871</v>
      </c>
      <c r="G1899" s="481">
        <v>251</v>
      </c>
      <c r="H1899" s="19"/>
      <c r="I1899" s="19"/>
      <c r="M1899" s="19"/>
      <c r="N1899" s="19"/>
    </row>
    <row r="1900" spans="1:14">
      <c r="A1900" s="479">
        <v>6024</v>
      </c>
      <c r="B1900" s="19" t="s">
        <v>1307</v>
      </c>
      <c r="C1900" t="s">
        <v>140</v>
      </c>
      <c r="D1900" s="190">
        <v>6024</v>
      </c>
      <c r="E1900" s="192">
        <v>7314</v>
      </c>
      <c r="F1900" s="192">
        <v>9815</v>
      </c>
      <c r="G1900" s="481">
        <v>251</v>
      </c>
      <c r="H1900" s="19"/>
      <c r="I1900" s="19"/>
      <c r="M1900" s="19"/>
      <c r="N1900" s="19"/>
    </row>
    <row r="1901" spans="1:14">
      <c r="A1901" s="479">
        <v>6212</v>
      </c>
      <c r="B1901" s="19" t="s">
        <v>1308</v>
      </c>
      <c r="C1901" t="s">
        <v>140</v>
      </c>
      <c r="D1901" s="190">
        <v>6212</v>
      </c>
      <c r="E1901" s="192">
        <v>7013</v>
      </c>
      <c r="F1901" s="192">
        <v>8070</v>
      </c>
      <c r="G1901" s="481">
        <v>248</v>
      </c>
      <c r="H1901" s="19"/>
      <c r="I1901" s="19"/>
      <c r="M1901" s="19"/>
      <c r="N1901" s="19"/>
    </row>
    <row r="1902" spans="1:14">
      <c r="A1902" s="479">
        <v>6242</v>
      </c>
      <c r="B1902" s="19" t="s">
        <v>1309</v>
      </c>
      <c r="C1902" t="s">
        <v>140</v>
      </c>
      <c r="D1902" s="190">
        <v>6242</v>
      </c>
      <c r="E1902" s="192">
        <v>7023</v>
      </c>
      <c r="F1902" s="192">
        <v>7347</v>
      </c>
      <c r="G1902" s="481">
        <v>246</v>
      </c>
      <c r="H1902" s="19"/>
      <c r="I1902" s="19"/>
      <c r="M1902" s="19"/>
      <c r="N1902" s="19"/>
    </row>
    <row r="1903" spans="1:14">
      <c r="A1903" s="479">
        <v>6113</v>
      </c>
      <c r="B1903" s="19" t="s">
        <v>1310</v>
      </c>
      <c r="C1903" t="s">
        <v>140</v>
      </c>
      <c r="D1903" s="190">
        <v>6113</v>
      </c>
      <c r="E1903" s="192">
        <v>6895</v>
      </c>
      <c r="F1903" s="192">
        <v>6316</v>
      </c>
      <c r="G1903" s="481">
        <v>236</v>
      </c>
      <c r="H1903" s="19"/>
      <c r="I1903" s="19"/>
      <c r="M1903" s="19"/>
      <c r="N1903" s="19"/>
    </row>
    <row r="1904" spans="1:14">
      <c r="A1904" s="479">
        <v>6144</v>
      </c>
      <c r="B1904" s="19" t="s">
        <v>1311</v>
      </c>
      <c r="C1904" t="s">
        <v>140</v>
      </c>
      <c r="D1904" s="190">
        <v>6144</v>
      </c>
      <c r="E1904" s="192">
        <v>6026</v>
      </c>
      <c r="F1904" s="192">
        <v>4754</v>
      </c>
      <c r="G1904" s="481">
        <v>198</v>
      </c>
      <c r="H1904" s="19"/>
      <c r="I1904" s="19"/>
      <c r="M1904" s="19"/>
      <c r="N1904" s="19"/>
    </row>
    <row r="1905" spans="1:14">
      <c r="A1905" s="479">
        <v>6173</v>
      </c>
      <c r="B1905" s="19" t="s">
        <v>1312</v>
      </c>
      <c r="C1905" t="s">
        <v>140</v>
      </c>
      <c r="D1905" s="190">
        <v>6173</v>
      </c>
      <c r="E1905" s="192">
        <v>7003</v>
      </c>
      <c r="F1905" s="192">
        <v>7256</v>
      </c>
      <c r="G1905" s="481">
        <v>200</v>
      </c>
      <c r="H1905" s="19"/>
      <c r="I1905" s="19"/>
      <c r="M1905" s="19"/>
      <c r="N1905" s="19"/>
    </row>
    <row r="1906" spans="1:14">
      <c r="A1906" s="479">
        <v>6133</v>
      </c>
      <c r="B1906" s="19" t="s">
        <v>1313</v>
      </c>
      <c r="C1906" t="s">
        <v>140</v>
      </c>
      <c r="D1906" s="190">
        <v>6133</v>
      </c>
      <c r="E1906" s="192">
        <v>7509</v>
      </c>
      <c r="F1906" s="192">
        <v>3868</v>
      </c>
      <c r="G1906" s="481">
        <v>158</v>
      </c>
      <c r="H1906" s="19"/>
      <c r="I1906" s="19"/>
      <c r="M1906" s="19"/>
      <c r="N1906" s="19"/>
    </row>
    <row r="1907" spans="1:14">
      <c r="A1907" s="479">
        <v>6027</v>
      </c>
      <c r="B1907" s="19" t="s">
        <v>1314</v>
      </c>
      <c r="C1907" t="s">
        <v>140</v>
      </c>
      <c r="D1907" s="190">
        <v>6027</v>
      </c>
      <c r="E1907" s="192">
        <v>7823</v>
      </c>
      <c r="F1907" s="192">
        <v>7501</v>
      </c>
      <c r="G1907" s="481">
        <v>212</v>
      </c>
      <c r="H1907" s="19"/>
      <c r="I1907" s="19"/>
      <c r="M1907" s="19"/>
      <c r="N1907" s="19"/>
    </row>
    <row r="1908" spans="1:14">
      <c r="A1908" s="479">
        <v>6166</v>
      </c>
      <c r="B1908" s="19" t="s">
        <v>1315</v>
      </c>
      <c r="C1908" t="s">
        <v>140</v>
      </c>
      <c r="D1908" s="190">
        <v>6166</v>
      </c>
      <c r="E1908" s="192">
        <v>5456</v>
      </c>
      <c r="F1908" s="192">
        <v>6167</v>
      </c>
      <c r="G1908" s="481">
        <v>178</v>
      </c>
      <c r="H1908" s="19"/>
      <c r="I1908" s="19"/>
      <c r="M1908" s="19"/>
      <c r="N1908" s="19"/>
    </row>
    <row r="1909" spans="1:14">
      <c r="A1909" s="479">
        <v>6103</v>
      </c>
      <c r="B1909" s="19" t="s">
        <v>1316</v>
      </c>
      <c r="C1909" t="s">
        <v>140</v>
      </c>
      <c r="D1909" s="190">
        <v>6103</v>
      </c>
      <c r="E1909" s="192">
        <v>7634</v>
      </c>
      <c r="F1909" s="192">
        <v>8515</v>
      </c>
      <c r="G1909" s="481">
        <v>193</v>
      </c>
      <c r="H1909" s="19"/>
      <c r="I1909" s="19"/>
      <c r="M1909" s="19"/>
      <c r="N1909" s="19"/>
    </row>
    <row r="1910" spans="1:14">
      <c r="A1910" s="479">
        <v>6205</v>
      </c>
      <c r="B1910" s="19" t="s">
        <v>1317</v>
      </c>
      <c r="C1910" t="s">
        <v>140</v>
      </c>
      <c r="D1910" s="190">
        <v>6205</v>
      </c>
      <c r="E1910" s="192">
        <v>11058</v>
      </c>
      <c r="F1910" s="192">
        <v>12028</v>
      </c>
      <c r="G1910" s="481">
        <v>284</v>
      </c>
      <c r="H1910" s="19"/>
      <c r="I1910" s="19"/>
      <c r="M1910" s="19"/>
      <c r="N1910" s="19"/>
    </row>
    <row r="1911" spans="1:14">
      <c r="A1911" s="479">
        <v>6246</v>
      </c>
      <c r="B1911" s="19" t="s">
        <v>1318</v>
      </c>
      <c r="C1911" t="s">
        <v>140</v>
      </c>
      <c r="D1911" s="190">
        <v>6246</v>
      </c>
      <c r="E1911" s="192">
        <v>7180</v>
      </c>
      <c r="F1911" s="192">
        <v>6210</v>
      </c>
      <c r="G1911" s="481">
        <v>202</v>
      </c>
      <c r="H1911" s="19"/>
      <c r="I1911" s="19"/>
      <c r="M1911" s="19"/>
      <c r="N1911" s="19"/>
    </row>
    <row r="1912" spans="1:14">
      <c r="A1912" s="479">
        <v>4806</v>
      </c>
      <c r="B1912" s="19" t="s">
        <v>1319</v>
      </c>
      <c r="C1912" t="s">
        <v>140</v>
      </c>
      <c r="D1912" s="190">
        <v>4806</v>
      </c>
      <c r="E1912" s="192">
        <v>7368</v>
      </c>
      <c r="F1912" s="192">
        <v>6565</v>
      </c>
      <c r="G1912" s="481">
        <v>225</v>
      </c>
      <c r="H1912" s="19"/>
      <c r="I1912" s="19"/>
      <c r="M1912" s="19"/>
      <c r="N1912" s="19"/>
    </row>
    <row r="1913" spans="1:14">
      <c r="A1913" s="479">
        <v>6036</v>
      </c>
      <c r="B1913" s="19" t="s">
        <v>1320</v>
      </c>
      <c r="C1913" t="s">
        <v>140</v>
      </c>
      <c r="D1913" s="190">
        <v>6036</v>
      </c>
      <c r="E1913" s="192">
        <v>8244</v>
      </c>
      <c r="F1913" s="192">
        <v>8600</v>
      </c>
      <c r="G1913" s="481">
        <v>245</v>
      </c>
      <c r="H1913" s="19"/>
      <c r="I1913" s="19"/>
      <c r="M1913" s="19"/>
      <c r="N1913" s="19"/>
    </row>
    <row r="1914" spans="1:14">
      <c r="A1914" s="479">
        <v>6216</v>
      </c>
      <c r="B1914" s="19" t="s">
        <v>1321</v>
      </c>
      <c r="C1914" t="s">
        <v>140</v>
      </c>
      <c r="D1914" s="190">
        <v>6216</v>
      </c>
      <c r="E1914" s="192">
        <v>7477</v>
      </c>
      <c r="F1914" s="192">
        <v>7249</v>
      </c>
      <c r="G1914" s="481">
        <v>246</v>
      </c>
      <c r="H1914" s="19"/>
      <c r="I1914" s="19"/>
      <c r="M1914" s="19"/>
      <c r="N1914" s="19"/>
    </row>
    <row r="1915" spans="1:14">
      <c r="A1915" s="479">
        <v>6243</v>
      </c>
      <c r="B1915" s="19" t="s">
        <v>1322</v>
      </c>
      <c r="C1915" t="s">
        <v>140</v>
      </c>
      <c r="D1915" s="190">
        <v>6243</v>
      </c>
      <c r="E1915" s="192">
        <v>7820</v>
      </c>
      <c r="F1915" s="192">
        <v>5943</v>
      </c>
      <c r="G1915" s="481">
        <v>225</v>
      </c>
      <c r="H1915" s="19"/>
      <c r="I1915" s="19"/>
      <c r="M1915" s="19"/>
      <c r="N1915" s="19"/>
    </row>
    <row r="1916" spans="1:14">
      <c r="A1916" s="479">
        <v>6354</v>
      </c>
      <c r="B1916" s="19" t="s">
        <v>1323</v>
      </c>
      <c r="C1916" t="s">
        <v>140</v>
      </c>
      <c r="D1916" s="190">
        <v>6354</v>
      </c>
      <c r="E1916" s="192">
        <v>11898</v>
      </c>
      <c r="F1916" s="192">
        <v>10559</v>
      </c>
      <c r="G1916" s="481">
        <v>248</v>
      </c>
      <c r="H1916" s="19"/>
      <c r="I1916" s="19"/>
      <c r="M1916" s="19"/>
      <c r="N1916" s="19"/>
    </row>
    <row r="1917" spans="1:14">
      <c r="A1917" s="479">
        <v>6344</v>
      </c>
      <c r="B1917" s="19" t="s">
        <v>1324</v>
      </c>
      <c r="C1917" t="s">
        <v>140</v>
      </c>
      <c r="D1917" s="190">
        <v>6344</v>
      </c>
      <c r="E1917" s="192">
        <v>9894</v>
      </c>
      <c r="F1917" s="192">
        <v>12200</v>
      </c>
      <c r="G1917" s="481">
        <v>307</v>
      </c>
      <c r="H1917" s="19"/>
      <c r="I1917" s="19"/>
      <c r="M1917" s="19"/>
      <c r="N1917" s="19"/>
    </row>
    <row r="1918" spans="1:14">
      <c r="A1918" s="479">
        <v>6038</v>
      </c>
      <c r="B1918" s="19" t="s">
        <v>1325</v>
      </c>
      <c r="C1918" t="s">
        <v>140</v>
      </c>
      <c r="D1918" s="190">
        <v>6038</v>
      </c>
      <c r="E1918" s="192">
        <v>8454</v>
      </c>
      <c r="F1918" s="192">
        <v>9184</v>
      </c>
      <c r="G1918" s="481">
        <v>276</v>
      </c>
      <c r="H1918" s="19"/>
      <c r="I1918" s="19"/>
      <c r="M1918" s="19"/>
      <c r="N1918" s="19"/>
    </row>
    <row r="1919" spans="1:14">
      <c r="A1919" s="479">
        <v>6156</v>
      </c>
      <c r="B1919" s="19" t="s">
        <v>1326</v>
      </c>
      <c r="C1919" t="s">
        <v>140</v>
      </c>
      <c r="D1919" s="190">
        <v>6156</v>
      </c>
      <c r="E1919" s="192">
        <v>6407</v>
      </c>
      <c r="F1919" s="192">
        <v>2646</v>
      </c>
      <c r="G1919" s="481">
        <v>166</v>
      </c>
      <c r="H1919" s="19"/>
      <c r="I1919" s="19"/>
      <c r="M1919" s="19"/>
      <c r="N1919" s="19"/>
    </row>
    <row r="1920" spans="1:14">
      <c r="A1920" s="479">
        <v>6287</v>
      </c>
      <c r="B1920" s="19" t="s">
        <v>1327</v>
      </c>
      <c r="C1920" t="s">
        <v>140</v>
      </c>
      <c r="D1920" s="190">
        <v>6287</v>
      </c>
      <c r="E1920" s="192">
        <v>7039</v>
      </c>
      <c r="F1920" s="192">
        <v>8910</v>
      </c>
      <c r="G1920" s="481">
        <v>231</v>
      </c>
      <c r="H1920" s="19"/>
      <c r="I1920" s="19"/>
      <c r="M1920" s="19"/>
      <c r="N1920" s="19"/>
    </row>
    <row r="1921" spans="1:14">
      <c r="A1921" s="479">
        <v>6142</v>
      </c>
      <c r="B1921" s="19" t="s">
        <v>1328</v>
      </c>
      <c r="C1921" t="s">
        <v>140</v>
      </c>
      <c r="D1921" s="190">
        <v>6142</v>
      </c>
      <c r="E1921" s="192">
        <v>6657</v>
      </c>
      <c r="F1921" s="192">
        <v>6203</v>
      </c>
      <c r="G1921" s="481">
        <v>176</v>
      </c>
      <c r="H1921" s="19"/>
      <c r="I1921" s="19"/>
      <c r="M1921" s="19"/>
      <c r="N1921" s="19"/>
    </row>
    <row r="1922" spans="1:14">
      <c r="A1922" s="479">
        <v>6404</v>
      </c>
      <c r="B1922" s="19" t="s">
        <v>1329</v>
      </c>
      <c r="C1922" t="s">
        <v>140</v>
      </c>
      <c r="D1922" s="190">
        <v>6404</v>
      </c>
      <c r="E1922" s="192">
        <v>10421</v>
      </c>
      <c r="F1922" s="192">
        <v>11382</v>
      </c>
      <c r="G1922" s="481">
        <v>326</v>
      </c>
      <c r="H1922" s="19"/>
      <c r="I1922" s="19"/>
      <c r="M1922" s="19"/>
      <c r="N1922" s="19"/>
    </row>
    <row r="1923" spans="1:14">
      <c r="A1923" s="479">
        <v>6288</v>
      </c>
      <c r="B1923" s="19" t="s">
        <v>1330</v>
      </c>
      <c r="C1923" t="s">
        <v>140</v>
      </c>
      <c r="D1923" s="190">
        <v>6288</v>
      </c>
      <c r="E1923" s="192">
        <v>6039</v>
      </c>
      <c r="F1923" s="192">
        <v>7749</v>
      </c>
      <c r="G1923" s="481">
        <v>220</v>
      </c>
      <c r="H1923" s="19"/>
      <c r="I1923" s="19"/>
      <c r="M1923" s="19"/>
      <c r="N1923" s="19"/>
    </row>
    <row r="1924" spans="1:14">
      <c r="A1924" s="479">
        <v>6147</v>
      </c>
      <c r="B1924" s="19" t="s">
        <v>1331</v>
      </c>
      <c r="C1924" t="s">
        <v>140</v>
      </c>
      <c r="D1924" s="190">
        <v>6147</v>
      </c>
      <c r="E1924" s="192">
        <v>6189</v>
      </c>
      <c r="F1924" s="192">
        <v>7800</v>
      </c>
      <c r="G1924" s="481">
        <v>190</v>
      </c>
      <c r="H1924" s="19"/>
      <c r="I1924" s="19"/>
      <c r="M1924" s="19"/>
      <c r="N1924" s="19"/>
    </row>
    <row r="1925" spans="1:14">
      <c r="A1925" s="479">
        <v>6294</v>
      </c>
      <c r="B1925" s="19" t="s">
        <v>1332</v>
      </c>
      <c r="C1925" t="s">
        <v>140</v>
      </c>
      <c r="D1925" s="190">
        <v>6294</v>
      </c>
      <c r="E1925" s="192">
        <v>6641</v>
      </c>
      <c r="F1925" s="192">
        <v>6056</v>
      </c>
      <c r="G1925" s="481">
        <v>218</v>
      </c>
      <c r="H1925" s="19"/>
      <c r="I1925" s="19"/>
      <c r="M1925" s="19"/>
      <c r="N1925" s="19"/>
    </row>
    <row r="1926" spans="1:14">
      <c r="A1926" s="479">
        <v>6153</v>
      </c>
      <c r="B1926" s="19" t="s">
        <v>1333</v>
      </c>
      <c r="C1926" t="s">
        <v>140</v>
      </c>
      <c r="D1926" s="190">
        <v>6153</v>
      </c>
      <c r="E1926" s="192">
        <v>5775</v>
      </c>
      <c r="F1926" s="192">
        <v>4514</v>
      </c>
      <c r="G1926" s="481">
        <v>175</v>
      </c>
      <c r="H1926" s="19"/>
      <c r="I1926" s="19"/>
      <c r="M1926" s="19"/>
      <c r="N1926" s="19"/>
    </row>
    <row r="1927" spans="1:14">
      <c r="A1927" s="479">
        <v>6231</v>
      </c>
      <c r="B1927" s="19" t="s">
        <v>1334</v>
      </c>
      <c r="C1927" t="s">
        <v>140</v>
      </c>
      <c r="D1927" s="190">
        <v>6231</v>
      </c>
      <c r="E1927" s="192">
        <v>7227</v>
      </c>
      <c r="F1927" s="192">
        <v>6656</v>
      </c>
      <c r="G1927" s="481">
        <v>228</v>
      </c>
      <c r="H1927" s="19"/>
      <c r="I1927" s="19"/>
      <c r="M1927" s="19"/>
      <c r="N1927" s="19"/>
    </row>
    <row r="1928" spans="1:14">
      <c r="A1928" s="479">
        <v>6146</v>
      </c>
      <c r="B1928" s="19" t="s">
        <v>1335</v>
      </c>
      <c r="C1928" t="s">
        <v>140</v>
      </c>
      <c r="D1928" s="190">
        <v>6146</v>
      </c>
      <c r="E1928" s="192">
        <v>6787</v>
      </c>
      <c r="F1928" s="192">
        <v>8142</v>
      </c>
      <c r="G1928" s="481">
        <v>224</v>
      </c>
      <c r="H1928" s="19"/>
      <c r="I1928" s="19"/>
      <c r="M1928" s="19"/>
      <c r="N1928" s="19"/>
    </row>
    <row r="1929" spans="1:14">
      <c r="A1929" s="479">
        <v>6112</v>
      </c>
      <c r="B1929" s="19" t="s">
        <v>1336</v>
      </c>
      <c r="C1929" t="s">
        <v>140</v>
      </c>
      <c r="D1929" s="190">
        <v>6112</v>
      </c>
      <c r="E1929" s="192">
        <v>5552</v>
      </c>
      <c r="F1929" s="192">
        <v>5291</v>
      </c>
      <c r="G1929" s="481">
        <v>230</v>
      </c>
      <c r="H1929" s="19"/>
      <c r="I1929" s="19"/>
      <c r="M1929" s="19"/>
      <c r="N1929" s="19"/>
    </row>
    <row r="1930" spans="1:14">
      <c r="A1930" s="479">
        <v>6145</v>
      </c>
      <c r="B1930" s="19" t="s">
        <v>1337</v>
      </c>
      <c r="C1930" t="s">
        <v>140</v>
      </c>
      <c r="D1930" s="190">
        <v>6145</v>
      </c>
      <c r="E1930" s="192">
        <v>6324</v>
      </c>
      <c r="F1930" s="192">
        <v>5547</v>
      </c>
      <c r="G1930" s="481">
        <v>224</v>
      </c>
      <c r="H1930" s="19"/>
      <c r="I1930" s="19"/>
      <c r="M1930" s="19"/>
      <c r="N1930" s="19"/>
    </row>
    <row r="1931" spans="1:14">
      <c r="A1931" s="479">
        <v>6265</v>
      </c>
      <c r="B1931" s="19" t="s">
        <v>1338</v>
      </c>
      <c r="C1931" t="s">
        <v>140</v>
      </c>
      <c r="D1931" s="190">
        <v>6265</v>
      </c>
      <c r="E1931" s="192">
        <v>6794</v>
      </c>
      <c r="F1931" s="192">
        <v>5497</v>
      </c>
      <c r="G1931" s="481">
        <v>300</v>
      </c>
      <c r="H1931" s="19"/>
      <c r="I1931" s="19"/>
      <c r="M1931" s="19"/>
      <c r="N1931" s="19"/>
    </row>
    <row r="1932" spans="1:14">
      <c r="A1932" s="479">
        <v>6113</v>
      </c>
      <c r="B1932" s="19" t="s">
        <v>1339</v>
      </c>
      <c r="C1932" t="s">
        <v>140</v>
      </c>
      <c r="D1932" s="190">
        <v>6113</v>
      </c>
      <c r="E1932" s="192">
        <v>5472</v>
      </c>
      <c r="F1932" s="192">
        <v>6809</v>
      </c>
      <c r="G1932" s="481">
        <v>139</v>
      </c>
      <c r="H1932" s="19"/>
      <c r="I1932" s="19"/>
      <c r="M1932" s="19"/>
      <c r="N1932" s="19"/>
    </row>
    <row r="1933" spans="1:14">
      <c r="A1933" s="479">
        <v>6248</v>
      </c>
      <c r="B1933" s="19" t="s">
        <v>1340</v>
      </c>
      <c r="C1933" t="s">
        <v>140</v>
      </c>
      <c r="D1933" s="190">
        <v>6248</v>
      </c>
      <c r="E1933" s="192">
        <v>7114</v>
      </c>
      <c r="F1933" s="192">
        <v>6323</v>
      </c>
      <c r="G1933" s="481">
        <v>233</v>
      </c>
      <c r="H1933" s="19"/>
      <c r="I1933" s="19"/>
      <c r="M1933" s="19"/>
      <c r="N1933" s="19"/>
    </row>
    <row r="1934" spans="1:14">
      <c r="A1934" s="479">
        <v>6286</v>
      </c>
      <c r="B1934" s="19" t="s">
        <v>1341</v>
      </c>
      <c r="C1934" t="s">
        <v>140</v>
      </c>
      <c r="D1934" s="190">
        <v>6286</v>
      </c>
      <c r="E1934" s="192">
        <v>7464</v>
      </c>
      <c r="F1934" s="192">
        <v>8070</v>
      </c>
      <c r="G1934" s="481">
        <v>216</v>
      </c>
      <c r="H1934" s="19"/>
      <c r="I1934" s="19"/>
      <c r="M1934" s="19"/>
      <c r="N1934" s="19"/>
    </row>
    <row r="1935" spans="1:14">
      <c r="A1935" s="479">
        <v>6038</v>
      </c>
      <c r="B1935" s="19" t="s">
        <v>1342</v>
      </c>
      <c r="C1935" t="s">
        <v>140</v>
      </c>
      <c r="D1935" s="190">
        <v>6038</v>
      </c>
      <c r="E1935" s="192">
        <v>10464</v>
      </c>
      <c r="F1935" s="192">
        <v>9041</v>
      </c>
      <c r="G1935" s="481">
        <v>262</v>
      </c>
      <c r="H1935" s="19"/>
      <c r="I1935" s="19"/>
      <c r="M1935" s="19"/>
      <c r="N1935" s="19"/>
    </row>
    <row r="1936" spans="1:14">
      <c r="A1936" s="479">
        <v>6245</v>
      </c>
      <c r="B1936" s="19" t="s">
        <v>1343</v>
      </c>
      <c r="C1936" t="s">
        <v>140</v>
      </c>
      <c r="D1936" s="190">
        <v>6245</v>
      </c>
      <c r="E1936" s="192">
        <v>7078</v>
      </c>
      <c r="F1936" s="192">
        <v>6226</v>
      </c>
      <c r="G1936" s="481">
        <v>249</v>
      </c>
      <c r="H1936" s="19"/>
      <c r="I1936" s="19"/>
      <c r="M1936" s="19"/>
      <c r="N1936" s="19"/>
    </row>
    <row r="1937" spans="1:14">
      <c r="A1937" s="434">
        <v>2300</v>
      </c>
      <c r="B1937" s="19" t="s">
        <v>1344</v>
      </c>
      <c r="C1937" t="s">
        <v>153</v>
      </c>
      <c r="D1937">
        <v>2300</v>
      </c>
      <c r="E1937" s="192">
        <v>4255</v>
      </c>
      <c r="F1937" s="192">
        <v>5006</v>
      </c>
      <c r="G1937" s="481">
        <v>192</v>
      </c>
      <c r="H1937" s="19"/>
      <c r="I1937" s="19"/>
      <c r="M1937" s="19"/>
      <c r="N1937" s="19"/>
    </row>
    <row r="1938" spans="1:14">
      <c r="A1938" s="434">
        <v>2000</v>
      </c>
      <c r="B1938" s="19" t="s">
        <v>1345</v>
      </c>
      <c r="C1938" t="s">
        <v>153</v>
      </c>
      <c r="D1938">
        <v>2000</v>
      </c>
      <c r="E1938" s="192">
        <v>7798</v>
      </c>
      <c r="F1938" s="192">
        <v>7029</v>
      </c>
      <c r="G1938" s="481">
        <v>269</v>
      </c>
      <c r="H1938" s="19"/>
      <c r="I1938" s="19"/>
      <c r="M1938" s="19"/>
      <c r="N1938" s="19"/>
    </row>
    <row r="1939" spans="1:14">
      <c r="A1939" s="434">
        <v>2065</v>
      </c>
      <c r="B1939" s="19" t="s">
        <v>1346</v>
      </c>
      <c r="C1939" t="s">
        <v>153</v>
      </c>
      <c r="D1939">
        <v>2065</v>
      </c>
      <c r="E1939" s="192">
        <v>5632</v>
      </c>
      <c r="F1939" s="192">
        <v>5800</v>
      </c>
      <c r="G1939" s="481">
        <v>206</v>
      </c>
      <c r="H1939" s="19"/>
      <c r="I1939" s="19"/>
      <c r="M1939" s="19"/>
      <c r="N1939" s="19"/>
    </row>
    <row r="1940" spans="1:14">
      <c r="A1940" s="434">
        <v>2108</v>
      </c>
      <c r="B1940" s="19" t="s">
        <v>1347</v>
      </c>
      <c r="C1940" t="s">
        <v>153</v>
      </c>
      <c r="D1940">
        <v>2108</v>
      </c>
      <c r="E1940" s="192">
        <v>4494</v>
      </c>
      <c r="F1940" s="192">
        <v>4336</v>
      </c>
      <c r="G1940" s="481">
        <v>176</v>
      </c>
      <c r="H1940" s="19"/>
      <c r="I1940" s="19"/>
      <c r="M1940" s="19"/>
      <c r="N1940" s="19"/>
    </row>
    <row r="1941" spans="1:14">
      <c r="A1941" s="434">
        <v>2400</v>
      </c>
      <c r="B1941" s="19" t="s">
        <v>1348</v>
      </c>
      <c r="C1941" t="s">
        <v>153</v>
      </c>
      <c r="D1941">
        <v>2400</v>
      </c>
      <c r="E1941" s="192">
        <v>3224</v>
      </c>
      <c r="F1941" s="192">
        <v>4526</v>
      </c>
      <c r="G1941" s="481">
        <v>172</v>
      </c>
      <c r="H1941" s="19"/>
      <c r="I1941" s="19"/>
      <c r="M1941" s="19"/>
      <c r="N1941" s="19"/>
    </row>
    <row r="1942" spans="1:14">
      <c r="A1942" s="434">
        <v>2012</v>
      </c>
      <c r="B1942" s="19" t="s">
        <v>1349</v>
      </c>
      <c r="C1942" t="s">
        <v>153</v>
      </c>
      <c r="D1942">
        <v>2012</v>
      </c>
      <c r="E1942" s="192">
        <v>7196</v>
      </c>
      <c r="F1942" s="192">
        <v>7508</v>
      </c>
      <c r="G1942" s="481">
        <v>272</v>
      </c>
      <c r="H1942" s="19"/>
      <c r="I1942" s="19"/>
      <c r="M1942" s="19"/>
      <c r="N1942" s="19"/>
    </row>
    <row r="1943" spans="1:14">
      <c r="A1943" s="434">
        <v>2024</v>
      </c>
      <c r="B1943" s="19" t="s">
        <v>1350</v>
      </c>
      <c r="C1943" t="s">
        <v>153</v>
      </c>
      <c r="D1943">
        <v>2024</v>
      </c>
      <c r="E1943" s="192">
        <v>6758</v>
      </c>
      <c r="F1943" s="192">
        <v>7219</v>
      </c>
      <c r="G1943" s="481">
        <v>229</v>
      </c>
      <c r="H1943" s="19"/>
      <c r="I1943" s="19"/>
      <c r="M1943" s="19"/>
      <c r="N1943" s="19"/>
    </row>
    <row r="1944" spans="1:14">
      <c r="A1944" s="434">
        <v>2017</v>
      </c>
      <c r="B1944" s="19" t="s">
        <v>1351</v>
      </c>
      <c r="C1944" t="s">
        <v>153</v>
      </c>
      <c r="D1944">
        <v>2017</v>
      </c>
      <c r="E1944" s="192">
        <v>6577</v>
      </c>
      <c r="F1944" s="192">
        <v>7207</v>
      </c>
      <c r="G1944" s="481">
        <v>250</v>
      </c>
      <c r="H1944" s="19"/>
      <c r="I1944" s="19"/>
      <c r="M1944" s="19"/>
      <c r="N1944" s="19"/>
    </row>
    <row r="1945" spans="1:14">
      <c r="A1945" s="434">
        <v>2034</v>
      </c>
      <c r="B1945" s="19" t="s">
        <v>1352</v>
      </c>
      <c r="C1945" t="s">
        <v>153</v>
      </c>
      <c r="D1945">
        <v>2034</v>
      </c>
      <c r="E1945" s="192">
        <v>6986</v>
      </c>
      <c r="F1945" s="192">
        <v>6715</v>
      </c>
      <c r="G1945" s="481">
        <v>239</v>
      </c>
      <c r="H1945" s="19"/>
      <c r="I1945" s="19"/>
      <c r="M1945" s="19"/>
      <c r="N1945" s="19"/>
    </row>
    <row r="1946" spans="1:14">
      <c r="A1946" s="434">
        <v>2074</v>
      </c>
      <c r="B1946" s="19" t="s">
        <v>1353</v>
      </c>
      <c r="C1946" t="s">
        <v>153</v>
      </c>
      <c r="D1946">
        <v>2074</v>
      </c>
      <c r="E1946" s="192">
        <v>7437</v>
      </c>
      <c r="F1946" s="192">
        <v>7015</v>
      </c>
      <c r="G1946" s="481">
        <v>275</v>
      </c>
      <c r="H1946" s="19"/>
      <c r="I1946" s="19"/>
      <c r="M1946" s="19"/>
      <c r="N1946" s="19"/>
    </row>
    <row r="1947" spans="1:14">
      <c r="A1947" s="434">
        <v>2019</v>
      </c>
      <c r="B1947" s="19" t="s">
        <v>1354</v>
      </c>
      <c r="C1947" t="s">
        <v>153</v>
      </c>
      <c r="D1947">
        <v>2019</v>
      </c>
      <c r="E1947" s="192">
        <v>6500</v>
      </c>
      <c r="F1947" s="192">
        <v>6567</v>
      </c>
      <c r="G1947" s="481">
        <v>248</v>
      </c>
      <c r="H1947" s="19"/>
      <c r="I1947" s="19"/>
      <c r="M1947" s="19"/>
      <c r="N1947" s="19"/>
    </row>
    <row r="1948" spans="1:14">
      <c r="A1948" s="434">
        <v>2035</v>
      </c>
      <c r="B1948" s="19" t="s">
        <v>1355</v>
      </c>
      <c r="C1948" t="s">
        <v>153</v>
      </c>
      <c r="D1948">
        <v>2035</v>
      </c>
      <c r="E1948" s="192">
        <v>8179</v>
      </c>
      <c r="F1948" s="192">
        <v>7933</v>
      </c>
      <c r="G1948" s="481">
        <v>239</v>
      </c>
      <c r="H1948" s="19"/>
      <c r="I1948" s="19"/>
      <c r="M1948" s="19"/>
      <c r="N1948" s="19"/>
    </row>
    <row r="1949" spans="1:14">
      <c r="A1949" s="434">
        <v>2525</v>
      </c>
      <c r="B1949" s="19" t="s">
        <v>1356</v>
      </c>
      <c r="C1949" t="s">
        <v>153</v>
      </c>
      <c r="D1949">
        <v>2525</v>
      </c>
      <c r="E1949" s="192">
        <v>6901</v>
      </c>
      <c r="F1949" s="192">
        <v>6434</v>
      </c>
      <c r="G1949" s="481">
        <v>229</v>
      </c>
      <c r="H1949" s="19"/>
      <c r="I1949" s="19"/>
      <c r="M1949" s="19"/>
      <c r="N1949" s="19"/>
    </row>
    <row r="1950" spans="1:14">
      <c r="A1950" s="434">
        <v>2072</v>
      </c>
      <c r="B1950" s="19" t="s">
        <v>1357</v>
      </c>
      <c r="C1950" t="s">
        <v>153</v>
      </c>
      <c r="D1950">
        <v>2072</v>
      </c>
      <c r="E1950" s="192">
        <v>6570</v>
      </c>
      <c r="F1950" s="192">
        <v>7324</v>
      </c>
      <c r="G1950" s="481">
        <v>238</v>
      </c>
      <c r="H1950" s="19"/>
      <c r="I1950" s="19"/>
      <c r="M1950" s="19"/>
      <c r="N1950" s="19"/>
    </row>
    <row r="1951" spans="1:14">
      <c r="A1951" s="434">
        <v>2068</v>
      </c>
      <c r="B1951" s="19" t="s">
        <v>1358</v>
      </c>
      <c r="C1951" t="s">
        <v>153</v>
      </c>
      <c r="D1951">
        <v>2068</v>
      </c>
      <c r="E1951" s="192">
        <v>7473</v>
      </c>
      <c r="F1951" s="192">
        <v>7525</v>
      </c>
      <c r="G1951" s="481">
        <v>240</v>
      </c>
      <c r="H1951" s="19"/>
      <c r="I1951" s="19"/>
      <c r="M1951" s="19"/>
      <c r="N1951" s="19"/>
    </row>
    <row r="1952" spans="1:14">
      <c r="A1952" s="434">
        <v>2088</v>
      </c>
      <c r="B1952" s="19" t="s">
        <v>1359</v>
      </c>
      <c r="C1952" t="s">
        <v>153</v>
      </c>
      <c r="D1952">
        <v>2088</v>
      </c>
      <c r="E1952" s="192">
        <v>5727</v>
      </c>
      <c r="F1952" s="192">
        <v>5888</v>
      </c>
      <c r="G1952" s="481">
        <v>257</v>
      </c>
      <c r="H1952" s="19"/>
      <c r="I1952" s="19"/>
      <c r="M1952" s="19"/>
      <c r="N1952" s="19"/>
    </row>
    <row r="1953" spans="1:14">
      <c r="A1953" s="434">
        <v>2087</v>
      </c>
      <c r="B1953" s="19" t="s">
        <v>1360</v>
      </c>
      <c r="C1953" t="s">
        <v>153</v>
      </c>
      <c r="D1953">
        <v>2087</v>
      </c>
      <c r="E1953" s="192">
        <v>5989</v>
      </c>
      <c r="F1953" s="192">
        <v>5709</v>
      </c>
      <c r="G1953" s="481">
        <v>214</v>
      </c>
      <c r="H1953" s="19"/>
      <c r="I1953" s="19"/>
      <c r="M1953" s="19"/>
      <c r="N1953" s="19"/>
    </row>
    <row r="1954" spans="1:14">
      <c r="A1954" s="434">
        <v>2316</v>
      </c>
      <c r="B1954" s="19" t="s">
        <v>1361</v>
      </c>
      <c r="C1954" t="s">
        <v>153</v>
      </c>
      <c r="D1954">
        <v>2316</v>
      </c>
      <c r="E1954" s="192">
        <v>4075</v>
      </c>
      <c r="F1954" s="192">
        <v>4208</v>
      </c>
      <c r="G1954" s="481">
        <v>149</v>
      </c>
      <c r="H1954" s="19"/>
      <c r="I1954" s="19"/>
      <c r="M1954" s="19"/>
      <c r="N1954" s="19"/>
    </row>
    <row r="1955" spans="1:14">
      <c r="A1955" s="434">
        <v>2019</v>
      </c>
      <c r="B1955" s="19" t="s">
        <v>1362</v>
      </c>
      <c r="C1955" t="s">
        <v>153</v>
      </c>
      <c r="D1955">
        <v>2019</v>
      </c>
      <c r="E1955" s="192">
        <v>5791</v>
      </c>
      <c r="F1955" s="192">
        <v>6977</v>
      </c>
      <c r="G1955" s="481">
        <v>136</v>
      </c>
      <c r="H1955" s="19"/>
      <c r="I1955" s="19"/>
      <c r="M1955" s="19"/>
      <c r="N1955" s="19"/>
    </row>
    <row r="1956" spans="1:14">
      <c r="A1956" s="434">
        <v>2416</v>
      </c>
      <c r="B1956" s="19" t="s">
        <v>1363</v>
      </c>
      <c r="C1956" t="s">
        <v>153</v>
      </c>
      <c r="D1956">
        <v>2416</v>
      </c>
      <c r="E1956" s="192">
        <v>3428</v>
      </c>
      <c r="F1956" s="192">
        <v>4074</v>
      </c>
      <c r="G1956" s="481">
        <v>148</v>
      </c>
      <c r="H1956" s="19"/>
      <c r="I1956" s="19"/>
      <c r="M1956" s="19"/>
      <c r="N1956" s="19"/>
    </row>
    <row r="1957" spans="1:14">
      <c r="A1957" s="434">
        <v>2314</v>
      </c>
      <c r="B1957" s="19" t="s">
        <v>1364</v>
      </c>
      <c r="C1957" t="s">
        <v>153</v>
      </c>
      <c r="D1957">
        <v>2314</v>
      </c>
      <c r="E1957" s="192">
        <v>4111</v>
      </c>
      <c r="F1957" s="192">
        <v>4726</v>
      </c>
      <c r="G1957" s="481">
        <v>143</v>
      </c>
      <c r="H1957" s="19"/>
      <c r="I1957" s="19"/>
      <c r="M1957" s="19"/>
      <c r="N1957" s="19"/>
    </row>
    <row r="1958" spans="1:14">
      <c r="A1958" s="434">
        <v>2523</v>
      </c>
      <c r="B1958" s="19" t="s">
        <v>1365</v>
      </c>
      <c r="C1958" t="s">
        <v>153</v>
      </c>
      <c r="D1958">
        <v>2523</v>
      </c>
      <c r="E1958" s="192">
        <v>5595</v>
      </c>
      <c r="F1958" s="192">
        <v>5491</v>
      </c>
      <c r="G1958" s="481">
        <v>204</v>
      </c>
      <c r="H1958" s="19"/>
      <c r="I1958" s="19"/>
      <c r="M1958" s="19"/>
      <c r="N1958" s="19"/>
    </row>
    <row r="1959" spans="1:14">
      <c r="A1959" s="434">
        <v>2126</v>
      </c>
      <c r="B1959" s="19" t="s">
        <v>1366</v>
      </c>
      <c r="C1959" t="s">
        <v>153</v>
      </c>
      <c r="D1959">
        <v>2126</v>
      </c>
      <c r="E1959" s="192">
        <v>4177</v>
      </c>
      <c r="F1959" s="192">
        <v>3591</v>
      </c>
      <c r="G1959" s="481">
        <v>144</v>
      </c>
      <c r="H1959" s="19"/>
      <c r="I1959" s="19"/>
      <c r="M1959" s="19"/>
      <c r="N1959" s="19"/>
    </row>
    <row r="1960" spans="1:14">
      <c r="A1960" s="434">
        <v>2406</v>
      </c>
      <c r="B1960" s="19" t="s">
        <v>1367</v>
      </c>
      <c r="C1960" t="s">
        <v>153</v>
      </c>
      <c r="D1960">
        <v>2406</v>
      </c>
      <c r="E1960" s="192">
        <v>4693</v>
      </c>
      <c r="F1960" s="192">
        <v>6353</v>
      </c>
      <c r="G1960" s="481">
        <v>137</v>
      </c>
      <c r="H1960" s="19"/>
      <c r="I1960" s="19"/>
      <c r="M1960" s="19"/>
      <c r="N1960" s="19"/>
    </row>
    <row r="1961" spans="1:14">
      <c r="A1961" s="434">
        <v>2042</v>
      </c>
      <c r="B1961" s="19" t="s">
        <v>1368</v>
      </c>
      <c r="C1961" t="s">
        <v>153</v>
      </c>
      <c r="D1961">
        <v>2042</v>
      </c>
      <c r="E1961" s="192">
        <v>6954</v>
      </c>
      <c r="F1961" s="192">
        <v>6699</v>
      </c>
      <c r="G1961" s="481">
        <v>197</v>
      </c>
      <c r="H1961" s="19"/>
      <c r="I1961" s="19"/>
      <c r="M1961" s="19"/>
      <c r="N1961" s="19"/>
    </row>
    <row r="1962" spans="1:14">
      <c r="A1962" s="434">
        <v>2405</v>
      </c>
      <c r="B1962" s="19" t="s">
        <v>1369</v>
      </c>
      <c r="C1962" t="s">
        <v>153</v>
      </c>
      <c r="D1962">
        <v>2405</v>
      </c>
      <c r="E1962" s="192">
        <v>4186</v>
      </c>
      <c r="F1962" s="192">
        <v>5034</v>
      </c>
      <c r="G1962" s="481">
        <v>220</v>
      </c>
      <c r="H1962" s="19"/>
      <c r="I1962" s="19"/>
      <c r="M1962" s="19"/>
      <c r="N1962" s="19"/>
    </row>
    <row r="1963" spans="1:14">
      <c r="A1963" s="434">
        <v>2414</v>
      </c>
      <c r="B1963" s="19" t="s">
        <v>1370</v>
      </c>
      <c r="C1963" t="s">
        <v>153</v>
      </c>
      <c r="D1963">
        <v>2414</v>
      </c>
      <c r="E1963" s="192">
        <v>3681</v>
      </c>
      <c r="F1963" s="192">
        <v>4050</v>
      </c>
      <c r="G1963" s="481">
        <v>154</v>
      </c>
      <c r="H1963" s="19"/>
      <c r="I1963" s="19"/>
      <c r="M1963" s="19"/>
      <c r="N1963" s="19"/>
    </row>
    <row r="1964" spans="1:14">
      <c r="A1964" s="434">
        <v>2037</v>
      </c>
      <c r="B1964" s="19" t="s">
        <v>1371</v>
      </c>
      <c r="C1964" t="s">
        <v>153</v>
      </c>
      <c r="D1964">
        <v>2037</v>
      </c>
      <c r="E1964" s="192">
        <v>4468</v>
      </c>
      <c r="F1964" s="192">
        <v>5103</v>
      </c>
      <c r="G1964" s="481">
        <v>220</v>
      </c>
      <c r="H1964" s="19"/>
      <c r="I1964" s="19"/>
      <c r="M1964" s="19"/>
      <c r="N1964" s="19"/>
    </row>
    <row r="1965" spans="1:14">
      <c r="A1965" s="434">
        <v>2318</v>
      </c>
      <c r="B1965" s="19" t="s">
        <v>1372</v>
      </c>
      <c r="C1965" t="s">
        <v>153</v>
      </c>
      <c r="D1965">
        <v>2318</v>
      </c>
      <c r="E1965" s="192">
        <v>6244</v>
      </c>
      <c r="F1965" s="192">
        <v>5792</v>
      </c>
      <c r="G1965" s="481">
        <v>220</v>
      </c>
      <c r="H1965" s="19"/>
      <c r="I1965" s="19"/>
      <c r="M1965" s="19"/>
      <c r="N1965" s="19"/>
    </row>
    <row r="1966" spans="1:14">
      <c r="A1966" s="434">
        <v>2325</v>
      </c>
      <c r="B1966" s="19" t="s">
        <v>1373</v>
      </c>
      <c r="C1966" t="s">
        <v>153</v>
      </c>
      <c r="D1966">
        <v>2325</v>
      </c>
      <c r="E1966" s="192">
        <v>5359</v>
      </c>
      <c r="F1966" s="192">
        <v>4645</v>
      </c>
      <c r="G1966" s="481">
        <v>220</v>
      </c>
      <c r="H1966" s="19"/>
      <c r="I1966" s="19"/>
      <c r="M1966" s="19"/>
      <c r="N1966" s="19"/>
    </row>
    <row r="1967" spans="1:14">
      <c r="A1967" s="434">
        <v>6422</v>
      </c>
      <c r="B1967" s="19" t="s">
        <v>1374</v>
      </c>
      <c r="C1967" t="s">
        <v>153</v>
      </c>
      <c r="D1967">
        <v>6422</v>
      </c>
      <c r="E1967" s="192">
        <v>3939</v>
      </c>
      <c r="F1967" s="192">
        <v>4802</v>
      </c>
      <c r="G1967" s="481">
        <v>220</v>
      </c>
      <c r="H1967" s="19"/>
      <c r="I1967" s="19"/>
      <c r="M1967" s="19"/>
      <c r="N1967" s="19"/>
    </row>
    <row r="1968" spans="1:14">
      <c r="A1968" s="434">
        <v>8200</v>
      </c>
      <c r="B1968" s="19" t="s">
        <v>175</v>
      </c>
      <c r="C1968" t="s">
        <v>146</v>
      </c>
      <c r="D1968">
        <v>8200</v>
      </c>
      <c r="E1968" s="192">
        <v>7064</v>
      </c>
      <c r="F1968" s="192">
        <v>6918</v>
      </c>
      <c r="G1968" s="481">
        <v>235</v>
      </c>
      <c r="H1968" s="19"/>
      <c r="I1968" s="19"/>
      <c r="M1968" s="19"/>
      <c r="N1968" s="19"/>
    </row>
    <row r="1969" spans="1:14">
      <c r="A1969" s="434">
        <v>8212</v>
      </c>
      <c r="B1969" s="19" t="s">
        <v>1375</v>
      </c>
      <c r="C1969" t="s">
        <v>146</v>
      </c>
      <c r="D1969">
        <v>8212</v>
      </c>
      <c r="E1969" s="192">
        <v>7204</v>
      </c>
      <c r="F1969" s="192">
        <v>6312</v>
      </c>
      <c r="G1969" s="481">
        <v>241</v>
      </c>
      <c r="H1969" s="19"/>
      <c r="I1969" s="19"/>
      <c r="M1969" s="19"/>
      <c r="N1969" s="19"/>
    </row>
    <row r="1970" spans="1:14">
      <c r="A1970" s="434">
        <v>8240</v>
      </c>
      <c r="B1970" s="19" t="s">
        <v>1376</v>
      </c>
      <c r="C1970" t="s">
        <v>146</v>
      </c>
      <c r="D1970">
        <v>8240</v>
      </c>
      <c r="E1970" s="192">
        <v>6083</v>
      </c>
      <c r="F1970" s="192">
        <v>5509</v>
      </c>
      <c r="G1970" s="481">
        <v>219</v>
      </c>
      <c r="H1970" s="19"/>
      <c r="I1970" s="19"/>
      <c r="M1970" s="19"/>
      <c r="N1970" s="19"/>
    </row>
    <row r="1971" spans="1:14">
      <c r="A1971" s="434">
        <v>8222</v>
      </c>
      <c r="B1971" s="19" t="s">
        <v>1377</v>
      </c>
      <c r="C1971" t="s">
        <v>146</v>
      </c>
      <c r="D1971">
        <v>8222</v>
      </c>
      <c r="E1971" s="192">
        <v>6478</v>
      </c>
      <c r="F1971" s="192">
        <v>6480</v>
      </c>
      <c r="G1971" s="481">
        <v>244</v>
      </c>
      <c r="H1971" s="19"/>
      <c r="I1971" s="19"/>
      <c r="M1971" s="19"/>
      <c r="N1971" s="19"/>
    </row>
    <row r="1972" spans="1:14">
      <c r="A1972" s="434">
        <v>8260</v>
      </c>
      <c r="B1972" s="19" t="s">
        <v>1378</v>
      </c>
      <c r="C1972" t="s">
        <v>146</v>
      </c>
      <c r="D1972">
        <v>8260</v>
      </c>
      <c r="E1972" s="192">
        <v>7229</v>
      </c>
      <c r="F1972" s="192">
        <v>6525</v>
      </c>
      <c r="G1972" s="481">
        <v>230</v>
      </c>
      <c r="H1972" s="19"/>
      <c r="I1972" s="19"/>
      <c r="M1972" s="19"/>
      <c r="N1972" s="19"/>
    </row>
    <row r="1973" spans="1:14">
      <c r="A1973" s="434">
        <v>8213</v>
      </c>
      <c r="B1973" s="19" t="s">
        <v>1379</v>
      </c>
      <c r="C1973" t="s">
        <v>146</v>
      </c>
      <c r="D1973">
        <v>8213</v>
      </c>
      <c r="E1973" s="192">
        <v>6321</v>
      </c>
      <c r="F1973" s="192">
        <v>5592</v>
      </c>
      <c r="G1973" s="481">
        <v>213</v>
      </c>
      <c r="H1973" s="19"/>
      <c r="I1973" s="19"/>
      <c r="M1973" s="19"/>
      <c r="N1973" s="19"/>
    </row>
    <row r="1974" spans="1:14">
      <c r="A1974" s="434">
        <v>8215</v>
      </c>
      <c r="B1974" s="19" t="s">
        <v>1380</v>
      </c>
      <c r="C1974" t="s">
        <v>146</v>
      </c>
      <c r="D1974">
        <v>8215</v>
      </c>
      <c r="E1974" s="192">
        <v>5475</v>
      </c>
      <c r="F1974" s="192">
        <v>5307</v>
      </c>
      <c r="G1974" s="481">
        <v>201</v>
      </c>
      <c r="H1974" s="19"/>
      <c r="I1974" s="19"/>
      <c r="M1974" s="19"/>
      <c r="N1974" s="19"/>
    </row>
    <row r="1975" spans="1:14">
      <c r="A1975" s="434">
        <v>8217</v>
      </c>
      <c r="B1975" s="19" t="s">
        <v>1381</v>
      </c>
      <c r="C1975" t="s">
        <v>146</v>
      </c>
      <c r="D1975">
        <v>8217</v>
      </c>
      <c r="E1975" s="192">
        <v>6309</v>
      </c>
      <c r="F1975" s="192">
        <v>5937</v>
      </c>
      <c r="G1975" s="481">
        <v>183</v>
      </c>
      <c r="H1975" s="19"/>
      <c r="I1975" s="19"/>
      <c r="M1975" s="19"/>
      <c r="N1975" s="19"/>
    </row>
    <row r="1976" spans="1:14">
      <c r="A1976" s="434">
        <v>8226</v>
      </c>
      <c r="B1976" s="19" t="s">
        <v>1382</v>
      </c>
      <c r="C1976" t="s">
        <v>146</v>
      </c>
      <c r="D1976">
        <v>8226</v>
      </c>
      <c r="E1976" s="192">
        <v>4323</v>
      </c>
      <c r="F1976" s="192">
        <v>5253</v>
      </c>
      <c r="G1976" s="481">
        <v>203</v>
      </c>
      <c r="H1976" s="19"/>
      <c r="I1976" s="19"/>
      <c r="M1976" s="19"/>
      <c r="N1976" s="19"/>
    </row>
    <row r="1977" spans="1:14">
      <c r="A1977" s="434">
        <v>8262</v>
      </c>
      <c r="B1977" s="19" t="s">
        <v>1383</v>
      </c>
      <c r="C1977" t="s">
        <v>146</v>
      </c>
      <c r="D1977">
        <v>8262</v>
      </c>
      <c r="E1977" s="192">
        <v>6646</v>
      </c>
      <c r="F1977" s="192">
        <v>5832</v>
      </c>
      <c r="G1977" s="481">
        <v>176</v>
      </c>
      <c r="H1977" s="19"/>
      <c r="I1977" s="19"/>
      <c r="M1977" s="19"/>
      <c r="N1977" s="19"/>
    </row>
    <row r="1978" spans="1:14">
      <c r="A1978" s="434">
        <v>8224</v>
      </c>
      <c r="B1978" s="19" t="s">
        <v>1384</v>
      </c>
      <c r="C1978" t="s">
        <v>146</v>
      </c>
      <c r="D1978">
        <v>8224</v>
      </c>
      <c r="E1978" s="192">
        <v>6386</v>
      </c>
      <c r="F1978" s="192">
        <v>6141</v>
      </c>
      <c r="G1978" s="481">
        <v>228</v>
      </c>
      <c r="H1978" s="19"/>
      <c r="I1978" s="19"/>
      <c r="M1978" s="19"/>
      <c r="N1978" s="19"/>
    </row>
    <row r="1979" spans="1:14">
      <c r="A1979" s="434">
        <v>8234</v>
      </c>
      <c r="B1979" s="19" t="s">
        <v>1385</v>
      </c>
      <c r="C1979" t="s">
        <v>146</v>
      </c>
      <c r="D1979">
        <v>8234</v>
      </c>
      <c r="E1979" s="192">
        <v>7171</v>
      </c>
      <c r="F1979" s="192">
        <v>7932</v>
      </c>
      <c r="G1979" s="481">
        <v>238</v>
      </c>
      <c r="H1979" s="19"/>
      <c r="I1979" s="19"/>
      <c r="M1979" s="19"/>
      <c r="N1979" s="19"/>
    </row>
    <row r="1980" spans="1:14">
      <c r="A1980" s="434">
        <v>8235</v>
      </c>
      <c r="B1980" s="19" t="s">
        <v>1386</v>
      </c>
      <c r="C1980" t="s">
        <v>146</v>
      </c>
      <c r="D1980">
        <v>8235</v>
      </c>
      <c r="E1980" s="192">
        <v>6739</v>
      </c>
      <c r="F1980" s="192">
        <v>6034</v>
      </c>
      <c r="G1980" s="481">
        <v>193</v>
      </c>
      <c r="H1980" s="19"/>
      <c r="I1980" s="19"/>
      <c r="M1980" s="19"/>
      <c r="N1980" s="19"/>
    </row>
    <row r="1981" spans="1:14">
      <c r="A1981" s="434">
        <v>8454</v>
      </c>
      <c r="B1981" s="19" t="s">
        <v>1387</v>
      </c>
      <c r="C1981" t="s">
        <v>146</v>
      </c>
      <c r="D1981">
        <v>8454</v>
      </c>
      <c r="E1981" s="192">
        <v>8125</v>
      </c>
      <c r="F1981" s="192">
        <v>7416</v>
      </c>
      <c r="G1981" s="481">
        <v>219</v>
      </c>
      <c r="H1981" s="19"/>
      <c r="I1981" s="19"/>
      <c r="M1981" s="19"/>
      <c r="N1981" s="19"/>
    </row>
    <row r="1982" spans="1:14">
      <c r="A1982" s="434">
        <v>8214</v>
      </c>
      <c r="B1982" s="19" t="s">
        <v>1388</v>
      </c>
      <c r="C1982" t="s">
        <v>146</v>
      </c>
      <c r="D1982">
        <v>8214</v>
      </c>
      <c r="E1982" s="192">
        <v>5969</v>
      </c>
      <c r="F1982" s="192">
        <v>4614</v>
      </c>
      <c r="G1982" s="481">
        <v>239</v>
      </c>
      <c r="H1982" s="19"/>
      <c r="I1982" s="19"/>
      <c r="M1982" s="19"/>
      <c r="N1982" s="19"/>
    </row>
    <row r="1983" spans="1:14">
      <c r="A1983" s="434">
        <v>8225</v>
      </c>
      <c r="B1983" s="19" t="s">
        <v>1389</v>
      </c>
      <c r="C1983" t="s">
        <v>146</v>
      </c>
      <c r="D1983">
        <v>8225</v>
      </c>
      <c r="E1983" s="192">
        <v>5819</v>
      </c>
      <c r="F1983" s="192">
        <v>5369</v>
      </c>
      <c r="G1983" s="481">
        <v>205</v>
      </c>
      <c r="H1983" s="19"/>
      <c r="I1983" s="19"/>
      <c r="M1983" s="19"/>
      <c r="N1983" s="19"/>
    </row>
    <row r="1984" spans="1:14">
      <c r="A1984" s="434">
        <v>8232</v>
      </c>
      <c r="B1984" s="19" t="s">
        <v>1390</v>
      </c>
      <c r="C1984" t="s">
        <v>146</v>
      </c>
      <c r="D1984">
        <v>8232</v>
      </c>
      <c r="E1984" s="192">
        <v>7655</v>
      </c>
      <c r="F1984" s="192">
        <v>6079</v>
      </c>
      <c r="G1984" s="481">
        <v>220</v>
      </c>
      <c r="H1984" s="19"/>
      <c r="I1984" s="19"/>
      <c r="M1984" s="19"/>
      <c r="N1984" s="19"/>
    </row>
    <row r="1985" spans="1:14">
      <c r="A1985" s="434">
        <v>8235</v>
      </c>
      <c r="B1985" s="19" t="s">
        <v>1391</v>
      </c>
      <c r="C1985" t="s">
        <v>146</v>
      </c>
      <c r="D1985">
        <v>8235</v>
      </c>
      <c r="E1985" s="192">
        <v>6703</v>
      </c>
      <c r="F1985" s="192">
        <v>7262</v>
      </c>
      <c r="G1985" s="481">
        <v>189</v>
      </c>
      <c r="H1985" s="19"/>
      <c r="I1985" s="19"/>
      <c r="M1985" s="19"/>
      <c r="N1985" s="19"/>
    </row>
    <row r="1986" spans="1:14">
      <c r="A1986" s="434">
        <v>8248</v>
      </c>
      <c r="B1986" s="19" t="s">
        <v>1392</v>
      </c>
      <c r="C1986" t="s">
        <v>146</v>
      </c>
      <c r="D1986">
        <v>8248</v>
      </c>
      <c r="E1986" s="192">
        <v>6109</v>
      </c>
      <c r="F1986" s="192">
        <v>6714</v>
      </c>
      <c r="G1986" s="481">
        <v>248</v>
      </c>
      <c r="H1986" s="19"/>
      <c r="I1986" s="19"/>
      <c r="M1986" s="19"/>
      <c r="N1986" s="19"/>
    </row>
    <row r="1987" spans="1:14">
      <c r="A1987" s="434">
        <v>8214</v>
      </c>
      <c r="B1987" s="19" t="s">
        <v>1393</v>
      </c>
      <c r="C1987" t="s">
        <v>146</v>
      </c>
      <c r="D1987">
        <v>8214</v>
      </c>
      <c r="E1987" s="192">
        <v>6251</v>
      </c>
      <c r="F1987" s="192">
        <v>5259</v>
      </c>
      <c r="G1987" s="481">
        <v>171</v>
      </c>
      <c r="H1987" s="19"/>
      <c r="I1987" s="19"/>
      <c r="M1987" s="19"/>
      <c r="N1987" s="19"/>
    </row>
    <row r="1988" spans="1:14">
      <c r="A1988" s="434">
        <v>8219</v>
      </c>
      <c r="B1988" s="19" t="s">
        <v>1394</v>
      </c>
      <c r="C1988" t="s">
        <v>146</v>
      </c>
      <c r="D1988">
        <v>8219</v>
      </c>
      <c r="E1988" s="192">
        <v>5933</v>
      </c>
      <c r="F1988" s="192">
        <v>4821</v>
      </c>
      <c r="G1988" s="481">
        <v>145</v>
      </c>
      <c r="H1988" s="19"/>
      <c r="I1988" s="19"/>
      <c r="M1988" s="19"/>
      <c r="N1988" s="19"/>
    </row>
    <row r="1989" spans="1:14">
      <c r="A1989" s="434">
        <v>8253</v>
      </c>
      <c r="B1989" s="19" t="s">
        <v>1395</v>
      </c>
      <c r="C1989" t="s">
        <v>146</v>
      </c>
      <c r="D1989">
        <v>8253</v>
      </c>
      <c r="E1989" s="192">
        <v>6333</v>
      </c>
      <c r="F1989" s="192">
        <v>5603</v>
      </c>
      <c r="G1989" s="481">
        <v>250</v>
      </c>
      <c r="H1989" s="19"/>
      <c r="I1989" s="19"/>
      <c r="M1989" s="19"/>
      <c r="N1989" s="19"/>
    </row>
    <row r="1990" spans="1:14">
      <c r="A1990" s="434">
        <v>8216</v>
      </c>
      <c r="B1990" s="19" t="s">
        <v>1396</v>
      </c>
      <c r="C1990" t="s">
        <v>146</v>
      </c>
      <c r="D1990">
        <v>8216</v>
      </c>
      <c r="E1990" s="192">
        <v>5710</v>
      </c>
      <c r="F1990" s="192">
        <v>4730</v>
      </c>
      <c r="G1990" s="481">
        <v>230</v>
      </c>
      <c r="H1990" s="19"/>
      <c r="I1990" s="19"/>
      <c r="M1990" s="19"/>
      <c r="N1990" s="19"/>
    </row>
    <row r="1991" spans="1:14">
      <c r="A1991" s="434">
        <v>8218</v>
      </c>
      <c r="B1991" s="19" t="s">
        <v>1397</v>
      </c>
      <c r="C1991" t="s">
        <v>146</v>
      </c>
      <c r="D1991">
        <v>8218</v>
      </c>
      <c r="E1991" s="192">
        <v>6971</v>
      </c>
      <c r="F1991" s="192">
        <v>8021</v>
      </c>
      <c r="G1991" s="481">
        <v>228</v>
      </c>
      <c r="H1991" s="19"/>
      <c r="I1991" s="19"/>
      <c r="M1991" s="19"/>
      <c r="N1991" s="19"/>
    </row>
    <row r="1992" spans="1:14">
      <c r="A1992" s="434">
        <v>8236</v>
      </c>
      <c r="B1992" s="19" t="s">
        <v>1398</v>
      </c>
      <c r="C1992" t="s">
        <v>146</v>
      </c>
      <c r="D1992">
        <v>8236</v>
      </c>
      <c r="E1992" s="192">
        <v>7416</v>
      </c>
      <c r="F1992" s="192">
        <v>5182</v>
      </c>
      <c r="G1992" s="481">
        <v>124</v>
      </c>
      <c r="H1992" s="19"/>
      <c r="I1992" s="19"/>
      <c r="M1992" s="19"/>
      <c r="N1992" s="19"/>
    </row>
    <row r="1993" spans="1:14">
      <c r="A1993" s="434">
        <v>8238</v>
      </c>
      <c r="B1993" s="19" t="s">
        <v>1399</v>
      </c>
      <c r="C1993" t="s">
        <v>146</v>
      </c>
      <c r="D1993">
        <v>8238</v>
      </c>
      <c r="E1993" s="192">
        <v>7250</v>
      </c>
      <c r="F1993" s="192">
        <v>6356</v>
      </c>
      <c r="G1993" s="481">
        <v>203</v>
      </c>
      <c r="H1993" s="19"/>
      <c r="I1993" s="19"/>
      <c r="M1993" s="19"/>
      <c r="N1993" s="19"/>
    </row>
    <row r="1994" spans="1:14">
      <c r="A1994" s="434">
        <v>8807</v>
      </c>
      <c r="B1994" s="19" t="s">
        <v>1400</v>
      </c>
      <c r="C1994" t="s">
        <v>156</v>
      </c>
      <c r="D1994">
        <v>8807</v>
      </c>
      <c r="E1994" s="192">
        <v>14533</v>
      </c>
      <c r="F1994" s="192">
        <v>14671</v>
      </c>
      <c r="G1994" s="481">
        <v>333</v>
      </c>
      <c r="H1994" s="19"/>
      <c r="I1994" s="19"/>
      <c r="M1994" s="19"/>
      <c r="N1994" s="19"/>
    </row>
    <row r="1995" spans="1:14">
      <c r="A1995" s="434">
        <v>8840</v>
      </c>
      <c r="B1995" s="19" t="s">
        <v>1401</v>
      </c>
      <c r="C1995" t="s">
        <v>156</v>
      </c>
      <c r="D1995">
        <v>8840</v>
      </c>
      <c r="E1995" s="192">
        <v>9278</v>
      </c>
      <c r="F1995" s="192">
        <v>10368</v>
      </c>
      <c r="G1995" s="481">
        <v>261</v>
      </c>
      <c r="H1995" s="19"/>
      <c r="I1995" s="19"/>
      <c r="M1995" s="19"/>
      <c r="N1995" s="19"/>
    </row>
    <row r="1996" spans="1:14">
      <c r="A1996" s="434">
        <v>6430</v>
      </c>
      <c r="B1996" s="19" t="s">
        <v>178</v>
      </c>
      <c r="C1996" t="s">
        <v>156</v>
      </c>
      <c r="D1996">
        <v>6430</v>
      </c>
      <c r="E1996" s="192">
        <v>9777</v>
      </c>
      <c r="F1996" s="192">
        <v>9592</v>
      </c>
      <c r="G1996" s="481">
        <v>242</v>
      </c>
      <c r="H1996" s="19"/>
      <c r="I1996" s="19"/>
      <c r="M1996" s="19"/>
      <c r="N1996" s="19"/>
    </row>
    <row r="1997" spans="1:14">
      <c r="A1997" s="434">
        <v>6403</v>
      </c>
      <c r="B1997" s="19" t="s">
        <v>1402</v>
      </c>
      <c r="C1997" t="s">
        <v>156</v>
      </c>
      <c r="D1997">
        <v>6403</v>
      </c>
      <c r="E1997" s="192">
        <v>12767</v>
      </c>
      <c r="F1997" s="192">
        <v>13736</v>
      </c>
      <c r="G1997" s="481">
        <v>292</v>
      </c>
      <c r="H1997" s="19"/>
      <c r="I1997" s="19"/>
      <c r="M1997" s="19"/>
      <c r="N1997" s="19"/>
    </row>
    <row r="1998" spans="1:14">
      <c r="A1998" s="434">
        <v>6415</v>
      </c>
      <c r="B1998" s="19" t="s">
        <v>1403</v>
      </c>
      <c r="C1998" t="s">
        <v>156</v>
      </c>
      <c r="D1998">
        <v>6415</v>
      </c>
      <c r="E1998" s="192">
        <v>9720</v>
      </c>
      <c r="F1998" s="192">
        <v>10021</v>
      </c>
      <c r="G1998" s="481">
        <v>265</v>
      </c>
      <c r="H1998" s="19"/>
      <c r="I1998" s="19"/>
      <c r="M1998" s="19"/>
      <c r="N1998" s="19"/>
    </row>
    <row r="1999" spans="1:14">
      <c r="A1999" s="434">
        <v>8862</v>
      </c>
      <c r="B1999" s="19" t="s">
        <v>1404</v>
      </c>
      <c r="C1999" t="s">
        <v>156</v>
      </c>
      <c r="D1999">
        <v>8862</v>
      </c>
      <c r="E1999" s="192">
        <v>9232</v>
      </c>
      <c r="F1999" s="192">
        <v>8602</v>
      </c>
      <c r="G1999" s="481">
        <v>261</v>
      </c>
      <c r="H1999" s="19"/>
      <c r="I1999" s="19"/>
      <c r="M1999" s="19"/>
      <c r="N1999" s="19"/>
    </row>
    <row r="2000" spans="1:14">
      <c r="A2000" s="434">
        <v>6440</v>
      </c>
      <c r="B2000" s="19" t="s">
        <v>1405</v>
      </c>
      <c r="C2000" t="s">
        <v>156</v>
      </c>
      <c r="D2000">
        <v>6440</v>
      </c>
      <c r="E2000" s="192">
        <v>10594</v>
      </c>
      <c r="F2000" s="192">
        <v>10824</v>
      </c>
      <c r="G2000" s="481">
        <v>290</v>
      </c>
      <c r="H2000" s="19"/>
      <c r="I2000" s="19"/>
      <c r="M2000" s="19"/>
      <c r="N2000" s="19"/>
    </row>
    <row r="2001" spans="1:14">
      <c r="A2001" s="434">
        <v>8853</v>
      </c>
      <c r="B2001" s="19" t="s">
        <v>1406</v>
      </c>
      <c r="C2001" t="s">
        <v>156</v>
      </c>
      <c r="D2001">
        <v>8853</v>
      </c>
      <c r="E2001" s="192">
        <v>12401</v>
      </c>
      <c r="F2001" s="192">
        <v>11693</v>
      </c>
      <c r="G2001" s="481">
        <v>306</v>
      </c>
      <c r="H2001" s="19"/>
      <c r="I2001" s="19"/>
      <c r="M2001" s="19"/>
      <c r="N2001" s="19"/>
    </row>
    <row r="2002" spans="1:14">
      <c r="A2002" s="434">
        <v>8832</v>
      </c>
      <c r="B2002" s="19" t="s">
        <v>1407</v>
      </c>
      <c r="C2002" t="s">
        <v>156</v>
      </c>
      <c r="D2002">
        <v>8832</v>
      </c>
      <c r="E2002" s="192">
        <v>16956</v>
      </c>
      <c r="F2002" s="192">
        <v>18923</v>
      </c>
      <c r="G2002" s="481">
        <v>354</v>
      </c>
      <c r="H2002" s="19"/>
      <c r="I2002" s="19"/>
      <c r="M2002" s="19"/>
      <c r="N2002" s="19"/>
    </row>
    <row r="2003" spans="1:14">
      <c r="A2003" s="434">
        <v>8852</v>
      </c>
      <c r="B2003" s="19" t="s">
        <v>1408</v>
      </c>
      <c r="C2003" t="s">
        <v>156</v>
      </c>
      <c r="D2003">
        <v>8852</v>
      </c>
      <c r="E2003" s="192">
        <v>11799</v>
      </c>
      <c r="F2003" s="192">
        <v>12167</v>
      </c>
      <c r="G2003" s="481">
        <v>295</v>
      </c>
      <c r="H2003" s="19"/>
      <c r="I2003" s="19"/>
      <c r="M2003" s="19"/>
      <c r="N2003" s="19"/>
    </row>
    <row r="2004" spans="1:14">
      <c r="A2004" s="434">
        <v>8835</v>
      </c>
      <c r="B2004" s="19" t="s">
        <v>1409</v>
      </c>
      <c r="C2004" t="s">
        <v>156</v>
      </c>
      <c r="D2004">
        <v>8835</v>
      </c>
      <c r="E2004" s="192">
        <v>14707</v>
      </c>
      <c r="F2004" s="192">
        <v>15543</v>
      </c>
      <c r="G2004" s="481">
        <v>311</v>
      </c>
      <c r="H2004" s="19"/>
      <c r="I2004" s="19"/>
      <c r="M2004" s="19"/>
      <c r="N2004" s="19"/>
    </row>
    <row r="2005" spans="1:14">
      <c r="A2005" s="434">
        <v>8854</v>
      </c>
      <c r="B2005" s="19" t="s">
        <v>1410</v>
      </c>
      <c r="C2005" t="s">
        <v>156</v>
      </c>
      <c r="D2005">
        <v>8854</v>
      </c>
      <c r="E2005" s="192">
        <v>9285</v>
      </c>
      <c r="F2005" s="192">
        <v>10396</v>
      </c>
      <c r="G2005" s="481">
        <v>293</v>
      </c>
      <c r="H2005" s="19"/>
      <c r="I2005" s="19"/>
      <c r="M2005" s="19"/>
      <c r="N2005" s="19"/>
    </row>
    <row r="2006" spans="1:14">
      <c r="A2006" s="434">
        <v>8855</v>
      </c>
      <c r="B2006" s="19" t="s">
        <v>1411</v>
      </c>
      <c r="C2006" t="s">
        <v>156</v>
      </c>
      <c r="D2006">
        <v>8855</v>
      </c>
      <c r="E2006" s="192">
        <v>9345</v>
      </c>
      <c r="F2006" s="192">
        <v>10834</v>
      </c>
      <c r="G2006" s="481">
        <v>291</v>
      </c>
      <c r="H2006" s="19"/>
      <c r="I2006" s="19"/>
      <c r="M2006" s="19"/>
      <c r="N2006" s="19"/>
    </row>
    <row r="2007" spans="1:14">
      <c r="A2007" s="434">
        <v>6436</v>
      </c>
      <c r="B2007" s="19" t="s">
        <v>1412</v>
      </c>
      <c r="C2007" t="s">
        <v>156</v>
      </c>
      <c r="D2007">
        <v>6436</v>
      </c>
      <c r="E2007" s="192">
        <v>8379</v>
      </c>
      <c r="F2007" s="192">
        <v>8873</v>
      </c>
      <c r="G2007" s="481">
        <v>266</v>
      </c>
      <c r="H2007" s="19"/>
      <c r="I2007" s="19"/>
      <c r="M2007" s="19"/>
      <c r="N2007" s="19"/>
    </row>
    <row r="2008" spans="1:14">
      <c r="A2008" s="434">
        <v>6422</v>
      </c>
      <c r="B2008" s="19" t="s">
        <v>1413</v>
      </c>
      <c r="C2008" t="s">
        <v>156</v>
      </c>
      <c r="D2008">
        <v>6422</v>
      </c>
      <c r="E2008" s="192">
        <v>11661</v>
      </c>
      <c r="F2008" s="192">
        <v>5590</v>
      </c>
      <c r="G2008" s="481">
        <v>178</v>
      </c>
      <c r="H2008" s="19"/>
      <c r="I2008" s="19"/>
      <c r="M2008" s="19"/>
      <c r="N2008" s="19"/>
    </row>
    <row r="2009" spans="1:14">
      <c r="A2009" s="434">
        <v>8856</v>
      </c>
      <c r="B2009" s="19" t="s">
        <v>1414</v>
      </c>
      <c r="C2009" t="s">
        <v>156</v>
      </c>
      <c r="D2009">
        <v>8856</v>
      </c>
      <c r="E2009" s="192">
        <v>8524</v>
      </c>
      <c r="F2009" s="192">
        <v>10614</v>
      </c>
      <c r="G2009" s="481">
        <v>254</v>
      </c>
      <c r="H2009" s="19"/>
      <c r="I2009" s="19"/>
      <c r="M2009" s="19"/>
      <c r="N2009" s="19"/>
    </row>
    <row r="2010" spans="1:14">
      <c r="A2010" s="434">
        <v>8842</v>
      </c>
      <c r="B2010" s="19" t="s">
        <v>1415</v>
      </c>
      <c r="C2010" t="s">
        <v>156</v>
      </c>
      <c r="D2010">
        <v>8842</v>
      </c>
      <c r="E2010" s="192">
        <v>7882</v>
      </c>
      <c r="F2010" s="192">
        <v>10007</v>
      </c>
      <c r="G2010" s="481">
        <v>264</v>
      </c>
      <c r="H2010" s="19"/>
      <c r="I2010" s="19"/>
      <c r="M2010" s="19"/>
      <c r="N2010" s="19"/>
    </row>
    <row r="2011" spans="1:14">
      <c r="A2011" s="434">
        <v>6418</v>
      </c>
      <c r="B2011" s="19" t="s">
        <v>1416</v>
      </c>
      <c r="C2011" t="s">
        <v>156</v>
      </c>
      <c r="D2011">
        <v>6418</v>
      </c>
      <c r="E2011" s="192">
        <v>8170</v>
      </c>
      <c r="F2011" s="192">
        <v>7441</v>
      </c>
      <c r="G2011" s="481">
        <v>241</v>
      </c>
      <c r="H2011" s="19"/>
      <c r="I2011" s="19"/>
      <c r="M2011" s="19"/>
      <c r="N2011" s="19"/>
    </row>
    <row r="2012" spans="1:14">
      <c r="A2012" s="434">
        <v>6442</v>
      </c>
      <c r="B2012" s="19" t="s">
        <v>1417</v>
      </c>
      <c r="C2012" t="s">
        <v>156</v>
      </c>
      <c r="D2012">
        <v>6442</v>
      </c>
      <c r="E2012" s="192">
        <v>8166</v>
      </c>
      <c r="F2012" s="192">
        <v>6837</v>
      </c>
      <c r="G2012" s="481">
        <v>233</v>
      </c>
      <c r="H2012" s="19"/>
      <c r="I2012" s="19"/>
      <c r="M2012" s="19"/>
      <c r="N2012" s="19"/>
    </row>
    <row r="2013" spans="1:14">
      <c r="A2013" s="434">
        <v>6417</v>
      </c>
      <c r="B2013" s="19" t="s">
        <v>1418</v>
      </c>
      <c r="C2013" t="s">
        <v>156</v>
      </c>
      <c r="D2013">
        <v>6417</v>
      </c>
      <c r="E2013" s="192">
        <v>9582</v>
      </c>
      <c r="F2013" s="192">
        <v>9308</v>
      </c>
      <c r="G2013" s="481">
        <v>274</v>
      </c>
      <c r="H2013" s="19"/>
      <c r="I2013" s="19"/>
      <c r="M2013" s="19"/>
      <c r="N2013" s="19"/>
    </row>
    <row r="2014" spans="1:14">
      <c r="A2014" s="434">
        <v>6443</v>
      </c>
      <c r="B2014" s="19" t="s">
        <v>1419</v>
      </c>
      <c r="C2014" t="s">
        <v>156</v>
      </c>
      <c r="D2014">
        <v>6443</v>
      </c>
      <c r="E2014" s="192">
        <v>9711</v>
      </c>
      <c r="F2014" s="192">
        <v>9584</v>
      </c>
      <c r="G2014" s="481">
        <v>206</v>
      </c>
      <c r="H2014" s="19"/>
      <c r="I2014" s="19"/>
      <c r="M2014" s="19"/>
      <c r="N2014" s="19"/>
    </row>
    <row r="2015" spans="1:14">
      <c r="A2015" s="434">
        <v>6424</v>
      </c>
      <c r="B2015" s="19" t="s">
        <v>1420</v>
      </c>
      <c r="C2015" t="s">
        <v>156</v>
      </c>
      <c r="D2015">
        <v>6424</v>
      </c>
      <c r="E2015" s="192">
        <v>9964</v>
      </c>
      <c r="F2015" s="192">
        <v>9543</v>
      </c>
      <c r="G2015" s="481">
        <v>242</v>
      </c>
      <c r="H2015" s="19"/>
      <c r="I2015" s="19"/>
      <c r="M2015" s="19"/>
      <c r="N2015" s="19"/>
    </row>
    <row r="2016" spans="1:14">
      <c r="A2016" s="434">
        <v>8857</v>
      </c>
      <c r="B2016" s="19" t="s">
        <v>1421</v>
      </c>
      <c r="C2016" t="s">
        <v>156</v>
      </c>
      <c r="D2016">
        <v>8857</v>
      </c>
      <c r="E2016" s="192">
        <v>10065</v>
      </c>
      <c r="F2016" s="192">
        <v>13283</v>
      </c>
      <c r="G2016" s="481">
        <v>229</v>
      </c>
      <c r="H2016" s="19"/>
      <c r="I2016" s="19"/>
      <c r="M2016" s="19"/>
      <c r="N2016" s="19"/>
    </row>
    <row r="2017" spans="1:14">
      <c r="A2017" s="434">
        <v>6416</v>
      </c>
      <c r="B2017" s="19" t="s">
        <v>1422</v>
      </c>
      <c r="C2017" t="s">
        <v>156</v>
      </c>
      <c r="D2017">
        <v>6416</v>
      </c>
      <c r="E2017" s="192">
        <v>8392</v>
      </c>
      <c r="F2017" s="192">
        <v>5466</v>
      </c>
      <c r="G2017" s="481">
        <v>257</v>
      </c>
      <c r="H2017" s="19"/>
      <c r="I2017" s="19"/>
      <c r="M2017" s="19"/>
      <c r="N2017" s="19"/>
    </row>
    <row r="2018" spans="1:14">
      <c r="A2018" s="434">
        <v>8843</v>
      </c>
      <c r="B2018" s="19" t="s">
        <v>1423</v>
      </c>
      <c r="C2018" t="s">
        <v>156</v>
      </c>
      <c r="D2018">
        <v>8843</v>
      </c>
      <c r="E2018" s="192">
        <v>13736</v>
      </c>
      <c r="F2018" s="192">
        <v>11029</v>
      </c>
      <c r="G2018" s="481">
        <v>239</v>
      </c>
      <c r="H2018" s="19"/>
      <c r="I2018" s="19"/>
      <c r="M2018" s="19"/>
      <c r="N2018" s="19"/>
    </row>
    <row r="2019" spans="1:14">
      <c r="A2019" s="434">
        <v>6434</v>
      </c>
      <c r="B2019" s="19" t="s">
        <v>1424</v>
      </c>
      <c r="C2019" t="s">
        <v>156</v>
      </c>
      <c r="D2019">
        <v>6434</v>
      </c>
      <c r="E2019" s="192">
        <v>6839</v>
      </c>
      <c r="F2019" s="192">
        <v>7317</v>
      </c>
      <c r="G2019" s="481">
        <v>303</v>
      </c>
      <c r="H2019" s="19"/>
      <c r="I2019" s="19"/>
      <c r="M2019" s="19"/>
      <c r="N2019" s="19"/>
    </row>
    <row r="2020" spans="1:14">
      <c r="A2020" s="434">
        <v>8849</v>
      </c>
      <c r="B2020" s="19" t="s">
        <v>1425</v>
      </c>
      <c r="C2020" t="s">
        <v>156</v>
      </c>
      <c r="D2020">
        <v>8849</v>
      </c>
      <c r="E2020" s="192">
        <v>12129</v>
      </c>
      <c r="F2020" s="192">
        <v>4895</v>
      </c>
      <c r="G2020" s="481">
        <v>162</v>
      </c>
      <c r="H2020" s="19"/>
      <c r="I2020" s="19"/>
      <c r="M2020" s="19"/>
      <c r="N2020" s="19"/>
    </row>
    <row r="2021" spans="1:14">
      <c r="A2021" s="434">
        <v>8858</v>
      </c>
      <c r="B2021" s="19" t="s">
        <v>1426</v>
      </c>
      <c r="C2021" t="s">
        <v>156</v>
      </c>
      <c r="D2021">
        <v>8858</v>
      </c>
      <c r="E2021" s="192">
        <v>9446</v>
      </c>
      <c r="F2021" s="192">
        <v>9414</v>
      </c>
      <c r="G2021" s="481">
        <v>298</v>
      </c>
      <c r="H2021" s="19"/>
      <c r="I2021" s="19"/>
      <c r="M2021" s="19"/>
      <c r="N2021" s="19"/>
    </row>
    <row r="2022" spans="1:14">
      <c r="A2022" s="434">
        <v>6452</v>
      </c>
      <c r="B2022" s="19" t="s">
        <v>1427</v>
      </c>
      <c r="C2022" t="s">
        <v>156</v>
      </c>
      <c r="D2022">
        <v>6452</v>
      </c>
      <c r="E2022" s="192">
        <v>8867</v>
      </c>
      <c r="F2022" s="192">
        <v>4000</v>
      </c>
      <c r="G2022" s="481">
        <v>278</v>
      </c>
      <c r="H2022" s="19"/>
      <c r="I2022" s="19"/>
      <c r="M2022" s="19"/>
      <c r="N2022" s="19"/>
    </row>
    <row r="2023" spans="1:14">
      <c r="A2023" s="479">
        <v>6452</v>
      </c>
      <c r="B2023" s="19" t="s">
        <v>1428</v>
      </c>
      <c r="C2023" t="s">
        <v>156</v>
      </c>
      <c r="D2023" s="190">
        <v>6452</v>
      </c>
      <c r="E2023" s="192">
        <v>9562</v>
      </c>
      <c r="F2023" s="192">
        <v>8348</v>
      </c>
      <c r="G2023" s="481">
        <v>278</v>
      </c>
      <c r="H2023" s="19"/>
      <c r="I2023" s="19"/>
      <c r="M2023" s="19"/>
      <c r="N2023" s="19"/>
    </row>
    <row r="2024" spans="1:14">
      <c r="A2024" s="479">
        <v>6900</v>
      </c>
      <c r="B2024" s="19" t="s">
        <v>1429</v>
      </c>
      <c r="C2024" t="s">
        <v>141</v>
      </c>
      <c r="D2024" s="190">
        <v>6900</v>
      </c>
      <c r="E2024" s="192">
        <v>9142</v>
      </c>
      <c r="F2024" s="192">
        <v>7685</v>
      </c>
      <c r="G2024" s="481">
        <v>277</v>
      </c>
      <c r="H2024" s="19"/>
      <c r="I2024" s="19"/>
      <c r="M2024" s="19"/>
      <c r="N2024" s="19"/>
    </row>
    <row r="2025" spans="1:14">
      <c r="A2025" s="479">
        <v>6500</v>
      </c>
      <c r="B2025" s="19" t="s">
        <v>1430</v>
      </c>
      <c r="C2025" t="s">
        <v>141</v>
      </c>
      <c r="D2025" s="190">
        <v>6500</v>
      </c>
      <c r="E2025" s="192">
        <v>6095</v>
      </c>
      <c r="F2025" s="192">
        <v>5541</v>
      </c>
      <c r="G2025" s="481">
        <v>219</v>
      </c>
      <c r="H2025" s="19"/>
      <c r="I2025" s="19"/>
      <c r="M2025" s="19"/>
      <c r="N2025" s="19"/>
    </row>
    <row r="2026" spans="1:14">
      <c r="A2026" s="479">
        <v>6600</v>
      </c>
      <c r="B2026" s="19" t="s">
        <v>1431</v>
      </c>
      <c r="C2026" t="s">
        <v>141</v>
      </c>
      <c r="D2026" s="190">
        <v>6600</v>
      </c>
      <c r="E2026" s="192">
        <v>8554</v>
      </c>
      <c r="F2026" s="192">
        <v>8379</v>
      </c>
      <c r="G2026" s="481">
        <v>261</v>
      </c>
      <c r="H2026" s="19"/>
      <c r="I2026" s="19"/>
      <c r="M2026" s="19"/>
      <c r="N2026" s="19"/>
    </row>
    <row r="2027" spans="1:14">
      <c r="A2027" s="479">
        <v>6850</v>
      </c>
      <c r="B2027" s="19" t="s">
        <v>1432</v>
      </c>
      <c r="C2027" t="s">
        <v>141</v>
      </c>
      <c r="D2027" s="190">
        <v>6850</v>
      </c>
      <c r="E2027" s="192">
        <v>5977</v>
      </c>
      <c r="F2027" s="192">
        <v>5641</v>
      </c>
      <c r="G2027" s="481">
        <v>203</v>
      </c>
      <c r="H2027" s="19"/>
      <c r="I2027" s="19"/>
      <c r="M2027" s="19"/>
      <c r="N2027" s="19"/>
    </row>
    <row r="2028" spans="1:14">
      <c r="A2028" s="479">
        <v>6830</v>
      </c>
      <c r="B2028" s="19" t="s">
        <v>1433</v>
      </c>
      <c r="C2028" t="s">
        <v>141</v>
      </c>
      <c r="D2028" s="190">
        <v>6830</v>
      </c>
      <c r="E2028" s="192">
        <v>4660</v>
      </c>
      <c r="F2028" s="192">
        <v>4454</v>
      </c>
      <c r="G2028" s="481">
        <v>197</v>
      </c>
      <c r="H2028" s="19"/>
      <c r="I2028" s="19"/>
      <c r="M2028" s="19"/>
      <c r="N2028" s="19"/>
    </row>
    <row r="2029" spans="1:14">
      <c r="A2029" s="479">
        <v>6648</v>
      </c>
      <c r="B2029" s="19" t="s">
        <v>1434</v>
      </c>
      <c r="C2029" t="s">
        <v>141</v>
      </c>
      <c r="D2029" s="190">
        <v>6648</v>
      </c>
      <c r="E2029" s="192">
        <v>8094</v>
      </c>
      <c r="F2029" s="192">
        <v>9519</v>
      </c>
      <c r="G2029" s="481">
        <v>251</v>
      </c>
      <c r="H2029" s="19"/>
      <c r="I2029" s="19"/>
      <c r="M2029" s="19"/>
      <c r="N2029" s="19"/>
    </row>
    <row r="2030" spans="1:14">
      <c r="A2030" s="479">
        <v>6950</v>
      </c>
      <c r="B2030" s="19" t="s">
        <v>1435</v>
      </c>
      <c r="C2030" t="s">
        <v>141</v>
      </c>
      <c r="D2030" s="190">
        <v>6950</v>
      </c>
      <c r="E2030" s="192">
        <v>6445</v>
      </c>
      <c r="F2030" s="192">
        <v>5685</v>
      </c>
      <c r="G2030" s="481">
        <v>221</v>
      </c>
      <c r="H2030" s="19"/>
      <c r="I2030" s="19"/>
      <c r="M2030" s="19"/>
      <c r="N2030" s="19"/>
    </row>
    <row r="2031" spans="1:14">
      <c r="A2031" s="479">
        <v>6616</v>
      </c>
      <c r="B2031" s="19" t="s">
        <v>1436</v>
      </c>
      <c r="C2031" t="s">
        <v>141</v>
      </c>
      <c r="D2031" s="190">
        <v>6616</v>
      </c>
      <c r="E2031" s="192">
        <v>8159</v>
      </c>
      <c r="F2031" s="192">
        <v>7995</v>
      </c>
      <c r="G2031" s="481">
        <v>207</v>
      </c>
      <c r="H2031" s="19"/>
      <c r="I2031" s="19"/>
      <c r="M2031" s="19"/>
      <c r="N2031" s="19"/>
    </row>
    <row r="2032" spans="1:14">
      <c r="A2032" s="479">
        <v>6900</v>
      </c>
      <c r="B2032" s="19" t="s">
        <v>1437</v>
      </c>
      <c r="C2032" t="s">
        <v>141</v>
      </c>
      <c r="D2032" s="190">
        <v>6900</v>
      </c>
      <c r="E2032" s="192">
        <v>8461</v>
      </c>
      <c r="F2032" s="192">
        <v>8885</v>
      </c>
      <c r="G2032" s="481">
        <v>258</v>
      </c>
      <c r="H2032" s="19"/>
      <c r="I2032" s="19"/>
      <c r="M2032" s="19"/>
      <c r="N2032" s="19"/>
    </row>
    <row r="2033" spans="1:14">
      <c r="A2033" s="479">
        <v>6710</v>
      </c>
      <c r="B2033" s="19" t="s">
        <v>1438</v>
      </c>
      <c r="C2033" t="s">
        <v>141</v>
      </c>
      <c r="D2033" s="190">
        <v>6710</v>
      </c>
      <c r="E2033" s="192">
        <v>5415</v>
      </c>
      <c r="F2033" s="192">
        <v>4570</v>
      </c>
      <c r="G2033" s="481">
        <v>208</v>
      </c>
      <c r="H2033" s="19"/>
      <c r="I2033" s="19"/>
      <c r="M2033" s="19"/>
      <c r="N2033" s="19"/>
    </row>
    <row r="2034" spans="1:14">
      <c r="A2034" s="479">
        <v>6612</v>
      </c>
      <c r="B2034" s="19" t="s">
        <v>1439</v>
      </c>
      <c r="C2034" t="s">
        <v>141</v>
      </c>
      <c r="D2034" s="190">
        <v>6612</v>
      </c>
      <c r="E2034" s="192">
        <v>11134</v>
      </c>
      <c r="F2034" s="192">
        <v>10817</v>
      </c>
      <c r="G2034" s="481">
        <v>299</v>
      </c>
      <c r="H2034" s="19"/>
      <c r="I2034" s="19"/>
      <c r="M2034" s="19"/>
      <c r="N2034" s="19"/>
    </row>
    <row r="2035" spans="1:14">
      <c r="A2035" s="479">
        <v>6574</v>
      </c>
      <c r="B2035" s="19" t="s">
        <v>1440</v>
      </c>
      <c r="C2035" t="s">
        <v>141</v>
      </c>
      <c r="D2035" s="190">
        <v>6574</v>
      </c>
      <c r="E2035" s="192">
        <v>7428</v>
      </c>
      <c r="F2035" s="192">
        <v>7096</v>
      </c>
      <c r="G2035" s="481">
        <v>192</v>
      </c>
      <c r="H2035" s="19"/>
      <c r="I2035" s="19"/>
      <c r="M2035" s="19"/>
      <c r="N2035" s="19"/>
    </row>
    <row r="2036" spans="1:14">
      <c r="A2036" s="479">
        <v>6517</v>
      </c>
      <c r="B2036" s="19" t="s">
        <v>1441</v>
      </c>
      <c r="C2036" t="s">
        <v>141</v>
      </c>
      <c r="D2036" s="190">
        <v>6517</v>
      </c>
      <c r="E2036" s="192">
        <v>5585</v>
      </c>
      <c r="F2036" s="192">
        <v>5613</v>
      </c>
      <c r="G2036" s="481">
        <v>201</v>
      </c>
      <c r="H2036" s="19"/>
      <c r="I2036" s="19"/>
      <c r="M2036" s="19"/>
      <c r="N2036" s="19"/>
    </row>
    <row r="2037" spans="1:14">
      <c r="A2037" s="479">
        <v>6926</v>
      </c>
      <c r="B2037" s="19" t="s">
        <v>1442</v>
      </c>
      <c r="C2037" t="s">
        <v>141</v>
      </c>
      <c r="D2037" s="190">
        <v>6926</v>
      </c>
      <c r="E2037" s="192">
        <v>11067</v>
      </c>
      <c r="F2037" s="192">
        <v>11265</v>
      </c>
      <c r="G2037" s="481">
        <v>288</v>
      </c>
      <c r="H2037" s="19"/>
      <c r="I2037" s="19"/>
      <c r="M2037" s="19"/>
      <c r="N2037" s="19"/>
    </row>
    <row r="2038" spans="1:14">
      <c r="A2038" s="479">
        <v>6596</v>
      </c>
      <c r="B2038" s="19" t="s">
        <v>1443</v>
      </c>
      <c r="C2038" t="s">
        <v>141</v>
      </c>
      <c r="D2038" s="190">
        <v>6596</v>
      </c>
      <c r="E2038" s="192">
        <v>6925</v>
      </c>
      <c r="F2038" s="192">
        <v>7688</v>
      </c>
      <c r="G2038" s="481">
        <v>239</v>
      </c>
      <c r="H2038" s="19"/>
      <c r="I2038" s="19"/>
      <c r="M2038" s="19"/>
      <c r="N2038" s="19"/>
    </row>
    <row r="2039" spans="1:14">
      <c r="A2039" s="479">
        <v>6855</v>
      </c>
      <c r="B2039" s="19" t="s">
        <v>1444</v>
      </c>
      <c r="C2039" t="s">
        <v>141</v>
      </c>
      <c r="D2039" s="190">
        <v>6855</v>
      </c>
      <c r="E2039" s="192">
        <v>5859</v>
      </c>
      <c r="F2039" s="192">
        <v>5210</v>
      </c>
      <c r="G2039" s="481">
        <v>204</v>
      </c>
      <c r="H2039" s="19"/>
      <c r="I2039" s="19"/>
      <c r="M2039" s="19"/>
      <c r="N2039" s="19"/>
    </row>
    <row r="2040" spans="1:14">
      <c r="A2040" s="479">
        <v>6834</v>
      </c>
      <c r="B2040" s="19" t="s">
        <v>1445</v>
      </c>
      <c r="C2040" t="s">
        <v>141</v>
      </c>
      <c r="D2040" s="190">
        <v>6834</v>
      </c>
      <c r="E2040" s="192">
        <v>5142</v>
      </c>
      <c r="F2040" s="192">
        <v>5022</v>
      </c>
      <c r="G2040" s="481">
        <v>188</v>
      </c>
      <c r="H2040" s="19"/>
      <c r="I2040" s="19"/>
      <c r="M2040" s="19"/>
      <c r="N2040" s="19"/>
    </row>
    <row r="2041" spans="1:14">
      <c r="A2041" s="479">
        <v>6802</v>
      </c>
      <c r="B2041" s="19" t="s">
        <v>1446</v>
      </c>
      <c r="C2041" t="s">
        <v>141</v>
      </c>
      <c r="D2041" s="190">
        <v>6802</v>
      </c>
      <c r="E2041" s="192">
        <v>6091</v>
      </c>
      <c r="F2041" s="192">
        <v>5416</v>
      </c>
      <c r="G2041" s="481">
        <v>208</v>
      </c>
      <c r="H2041" s="19"/>
      <c r="I2041" s="19"/>
      <c r="M2041" s="19"/>
      <c r="N2041" s="19"/>
    </row>
    <row r="2042" spans="1:14">
      <c r="A2042" s="479">
        <v>6982</v>
      </c>
      <c r="B2042" s="19" t="s">
        <v>1447</v>
      </c>
      <c r="C2042" t="s">
        <v>141</v>
      </c>
      <c r="D2042" s="190">
        <v>6982</v>
      </c>
      <c r="E2042" s="192">
        <v>6584</v>
      </c>
      <c r="F2042" s="192">
        <v>5874</v>
      </c>
      <c r="G2042" s="481">
        <v>221</v>
      </c>
      <c r="H2042" s="19"/>
      <c r="I2042" s="19"/>
      <c r="M2042" s="19"/>
      <c r="N2042" s="19"/>
    </row>
    <row r="2043" spans="1:14">
      <c r="A2043" s="479">
        <v>6987</v>
      </c>
      <c r="B2043" s="19" t="s">
        <v>1448</v>
      </c>
      <c r="C2043" t="s">
        <v>141</v>
      </c>
      <c r="D2043" s="190">
        <v>6987</v>
      </c>
      <c r="E2043" s="192">
        <v>6421</v>
      </c>
      <c r="F2043" s="192">
        <v>7871</v>
      </c>
      <c r="G2043" s="481">
        <v>229</v>
      </c>
      <c r="H2043" s="19"/>
      <c r="I2043" s="19"/>
      <c r="M2043" s="19"/>
      <c r="N2043" s="19"/>
    </row>
    <row r="2044" spans="1:14">
      <c r="A2044" s="479">
        <v>6707</v>
      </c>
      <c r="B2044" s="19" t="s">
        <v>1449</v>
      </c>
      <c r="C2044" t="s">
        <v>141</v>
      </c>
      <c r="D2044" s="190">
        <v>6707</v>
      </c>
      <c r="E2044" s="192">
        <v>5732</v>
      </c>
      <c r="F2044" s="192">
        <v>4506</v>
      </c>
      <c r="G2044" s="481">
        <v>216</v>
      </c>
      <c r="H2044" s="19"/>
      <c r="I2044" s="19"/>
      <c r="M2044" s="19"/>
      <c r="N2044" s="19"/>
    </row>
    <row r="2045" spans="1:14">
      <c r="A2045" s="479">
        <v>6900</v>
      </c>
      <c r="B2045" s="19" t="s">
        <v>1450</v>
      </c>
      <c r="C2045" t="s">
        <v>141</v>
      </c>
      <c r="D2045" s="190">
        <v>6900</v>
      </c>
      <c r="E2045" s="192">
        <v>9843</v>
      </c>
      <c r="F2045" s="192">
        <v>8369</v>
      </c>
      <c r="G2045" s="481">
        <v>337</v>
      </c>
      <c r="H2045" s="19"/>
      <c r="I2045" s="19"/>
      <c r="M2045" s="19"/>
      <c r="N2045" s="19"/>
    </row>
    <row r="2046" spans="1:14">
      <c r="A2046" s="479">
        <v>6833</v>
      </c>
      <c r="B2046" s="19" t="s">
        <v>1451</v>
      </c>
      <c r="C2046" t="s">
        <v>141</v>
      </c>
      <c r="D2046" s="190">
        <v>6833</v>
      </c>
      <c r="E2046" s="192">
        <v>5126</v>
      </c>
      <c r="F2046" s="192">
        <v>5589</v>
      </c>
      <c r="G2046" s="481">
        <v>194</v>
      </c>
      <c r="H2046" s="19"/>
      <c r="I2046" s="19"/>
      <c r="M2046" s="19"/>
      <c r="N2046" s="19"/>
    </row>
    <row r="2047" spans="1:14">
      <c r="A2047" s="479">
        <v>6828</v>
      </c>
      <c r="B2047" s="19" t="s">
        <v>1452</v>
      </c>
      <c r="C2047" t="s">
        <v>141</v>
      </c>
      <c r="D2047" s="190">
        <v>6828</v>
      </c>
      <c r="E2047" s="192">
        <v>4808</v>
      </c>
      <c r="F2047" s="192">
        <v>5173</v>
      </c>
      <c r="G2047" s="481">
        <v>183</v>
      </c>
      <c r="H2047" s="19"/>
      <c r="I2047" s="19"/>
      <c r="M2047" s="19"/>
      <c r="N2047" s="19"/>
    </row>
    <row r="2048" spans="1:14">
      <c r="A2048" s="479">
        <v>6598</v>
      </c>
      <c r="B2048" s="19" t="s">
        <v>1453</v>
      </c>
      <c r="C2048" t="s">
        <v>141</v>
      </c>
      <c r="D2048" s="190">
        <v>6598</v>
      </c>
      <c r="E2048" s="192">
        <v>6977</v>
      </c>
      <c r="F2048" s="192">
        <v>7128</v>
      </c>
      <c r="G2048" s="481">
        <v>241</v>
      </c>
      <c r="H2048" s="19"/>
      <c r="I2048" s="19"/>
      <c r="M2048" s="19"/>
      <c r="N2048" s="19"/>
    </row>
    <row r="2049" spans="1:14">
      <c r="A2049" s="479">
        <v>6807</v>
      </c>
      <c r="B2049" s="19" t="s">
        <v>1454</v>
      </c>
      <c r="C2049" t="s">
        <v>141</v>
      </c>
      <c r="D2049" s="190">
        <v>6807</v>
      </c>
      <c r="E2049" s="192">
        <v>6366</v>
      </c>
      <c r="F2049" s="192">
        <v>5097</v>
      </c>
      <c r="G2049" s="481">
        <v>126</v>
      </c>
      <c r="H2049" s="19"/>
      <c r="I2049" s="19"/>
      <c r="M2049" s="19"/>
      <c r="N2049" s="19"/>
    </row>
    <row r="2050" spans="1:14">
      <c r="A2050" s="479">
        <v>6760</v>
      </c>
      <c r="B2050" s="19" t="s">
        <v>1455</v>
      </c>
      <c r="C2050" t="s">
        <v>141</v>
      </c>
      <c r="D2050" s="190">
        <v>6760</v>
      </c>
      <c r="E2050" s="192">
        <v>3766</v>
      </c>
      <c r="F2050" s="192">
        <v>3669</v>
      </c>
      <c r="G2050" s="481">
        <v>168</v>
      </c>
      <c r="H2050" s="19"/>
      <c r="I2050" s="19"/>
      <c r="M2050" s="19"/>
      <c r="N2050" s="19"/>
    </row>
    <row r="2051" spans="1:14">
      <c r="A2051" s="479">
        <v>6593</v>
      </c>
      <c r="B2051" s="19" t="s">
        <v>1456</v>
      </c>
      <c r="C2051" t="s">
        <v>141</v>
      </c>
      <c r="D2051" s="190">
        <v>6593</v>
      </c>
      <c r="E2051" s="192">
        <v>5212</v>
      </c>
      <c r="F2051" s="192">
        <v>5379</v>
      </c>
      <c r="G2051" s="481">
        <v>205</v>
      </c>
      <c r="H2051" s="19"/>
      <c r="I2051" s="19"/>
      <c r="M2051" s="19"/>
      <c r="N2051" s="19"/>
    </row>
    <row r="2052" spans="1:14">
      <c r="A2052" s="479">
        <v>6877</v>
      </c>
      <c r="B2052" s="19" t="s">
        <v>1457</v>
      </c>
      <c r="C2052" t="s">
        <v>141</v>
      </c>
      <c r="D2052" s="190">
        <v>6877</v>
      </c>
      <c r="E2052" s="192">
        <v>5652</v>
      </c>
      <c r="F2052" s="192">
        <v>6026</v>
      </c>
      <c r="G2052" s="481">
        <v>213</v>
      </c>
      <c r="H2052" s="19"/>
      <c r="I2052" s="19"/>
      <c r="M2052" s="19"/>
      <c r="N2052" s="19"/>
    </row>
    <row r="2053" spans="1:14">
      <c r="A2053" s="479">
        <v>6516</v>
      </c>
      <c r="B2053" s="19" t="s">
        <v>1458</v>
      </c>
      <c r="C2053" t="s">
        <v>141</v>
      </c>
      <c r="D2053" s="190">
        <v>6516</v>
      </c>
      <c r="E2053" s="192">
        <v>6837</v>
      </c>
      <c r="F2053" s="192">
        <v>6977</v>
      </c>
      <c r="G2053" s="481">
        <v>175</v>
      </c>
      <c r="H2053" s="19"/>
      <c r="I2053" s="19"/>
      <c r="M2053" s="19"/>
      <c r="N2053" s="19"/>
    </row>
    <row r="2054" spans="1:14">
      <c r="A2054" s="479">
        <v>6600</v>
      </c>
      <c r="B2054" s="19" t="s">
        <v>1459</v>
      </c>
      <c r="C2054" t="s">
        <v>141</v>
      </c>
      <c r="D2054" s="190">
        <v>6600</v>
      </c>
      <c r="E2054" s="192">
        <v>9276</v>
      </c>
      <c r="F2054" s="192">
        <v>9097</v>
      </c>
      <c r="G2054" s="481">
        <v>258</v>
      </c>
      <c r="H2054" s="19"/>
      <c r="I2054" s="19"/>
      <c r="M2054" s="19"/>
      <c r="N2054" s="19"/>
    </row>
    <row r="2055" spans="1:14">
      <c r="A2055" s="479">
        <v>6934</v>
      </c>
      <c r="B2055" s="19" t="s">
        <v>1460</v>
      </c>
      <c r="C2055" t="s">
        <v>141</v>
      </c>
      <c r="D2055" s="190">
        <v>6934</v>
      </c>
      <c r="E2055" s="192">
        <v>6993</v>
      </c>
      <c r="F2055" s="192">
        <v>6098</v>
      </c>
      <c r="G2055" s="481">
        <v>209</v>
      </c>
      <c r="H2055" s="19"/>
      <c r="I2055" s="19"/>
      <c r="M2055" s="19"/>
      <c r="N2055" s="19"/>
    </row>
    <row r="2056" spans="1:14">
      <c r="A2056" s="479">
        <v>6826</v>
      </c>
      <c r="B2056" s="19" t="s">
        <v>1461</v>
      </c>
      <c r="C2056" t="s">
        <v>141</v>
      </c>
      <c r="D2056" s="190">
        <v>6826</v>
      </c>
      <c r="E2056" s="192">
        <v>7151</v>
      </c>
      <c r="F2056" s="192">
        <v>6412</v>
      </c>
      <c r="G2056" s="481">
        <v>264</v>
      </c>
      <c r="H2056" s="19"/>
      <c r="I2056" s="19"/>
      <c r="M2056" s="19"/>
      <c r="N2056" s="19"/>
    </row>
    <row r="2057" spans="1:14">
      <c r="A2057" s="479">
        <v>6652</v>
      </c>
      <c r="B2057" s="19" t="s">
        <v>1462</v>
      </c>
      <c r="C2057" t="s">
        <v>141</v>
      </c>
      <c r="D2057" s="190">
        <v>6652</v>
      </c>
      <c r="E2057" s="192">
        <v>7120</v>
      </c>
      <c r="F2057" s="192">
        <v>6994</v>
      </c>
      <c r="G2057" s="481">
        <v>214</v>
      </c>
      <c r="H2057" s="19"/>
      <c r="I2057" s="19"/>
      <c r="M2057" s="19"/>
      <c r="N2057" s="19"/>
    </row>
    <row r="2058" spans="1:14">
      <c r="A2058" s="479">
        <v>6673</v>
      </c>
      <c r="B2058" s="19" t="s">
        <v>1463</v>
      </c>
      <c r="C2058" t="s">
        <v>141</v>
      </c>
      <c r="D2058" s="190">
        <v>6673</v>
      </c>
      <c r="E2058" s="192">
        <v>5307</v>
      </c>
      <c r="F2058" s="192">
        <v>5483</v>
      </c>
      <c r="G2058" s="481">
        <v>180</v>
      </c>
      <c r="H2058" s="19"/>
      <c r="I2058" s="19"/>
      <c r="M2058" s="19"/>
      <c r="N2058" s="19"/>
    </row>
    <row r="2059" spans="1:14">
      <c r="A2059" s="479">
        <v>6592</v>
      </c>
      <c r="B2059" s="19" t="s">
        <v>1464</v>
      </c>
      <c r="C2059" t="s">
        <v>141</v>
      </c>
      <c r="D2059" s="190">
        <v>6592</v>
      </c>
      <c r="E2059" s="192">
        <v>6043</v>
      </c>
      <c r="F2059" s="192">
        <v>5796</v>
      </c>
      <c r="G2059" s="481">
        <v>232</v>
      </c>
      <c r="H2059" s="19"/>
      <c r="I2059" s="19"/>
      <c r="M2059" s="19"/>
      <c r="N2059" s="19"/>
    </row>
    <row r="2060" spans="1:14">
      <c r="A2060" s="479">
        <v>6883</v>
      </c>
      <c r="B2060" s="19" t="s">
        <v>1465</v>
      </c>
      <c r="C2060" t="s">
        <v>141</v>
      </c>
      <c r="D2060" s="190">
        <v>6883</v>
      </c>
      <c r="E2060" s="192">
        <v>5768</v>
      </c>
      <c r="F2060" s="192">
        <v>5335</v>
      </c>
      <c r="G2060" s="481">
        <v>186</v>
      </c>
      <c r="H2060" s="19"/>
      <c r="I2060" s="19"/>
      <c r="M2060" s="19"/>
      <c r="N2060" s="19"/>
    </row>
    <row r="2061" spans="1:14">
      <c r="A2061" s="479">
        <v>6942</v>
      </c>
      <c r="B2061" s="19" t="s">
        <v>1466</v>
      </c>
      <c r="C2061" t="s">
        <v>141</v>
      </c>
      <c r="D2061" s="190">
        <v>6942</v>
      </c>
      <c r="E2061" s="192">
        <v>7223</v>
      </c>
      <c r="F2061" s="192">
        <v>7183</v>
      </c>
      <c r="G2061" s="481">
        <v>241</v>
      </c>
      <c r="H2061" s="19"/>
      <c r="I2061" s="19"/>
      <c r="M2061" s="19"/>
      <c r="N2061" s="19"/>
    </row>
    <row r="2062" spans="1:14">
      <c r="A2062" s="479">
        <v>6874</v>
      </c>
      <c r="B2062" s="19" t="s">
        <v>1467</v>
      </c>
      <c r="C2062" t="s">
        <v>141</v>
      </c>
      <c r="D2062" s="190">
        <v>6874</v>
      </c>
      <c r="E2062" s="192">
        <v>6008</v>
      </c>
      <c r="F2062" s="192">
        <v>5279</v>
      </c>
      <c r="G2062" s="481">
        <v>154</v>
      </c>
      <c r="H2062" s="19"/>
      <c r="I2062" s="19"/>
      <c r="M2062" s="19"/>
      <c r="N2062" s="19"/>
    </row>
    <row r="2063" spans="1:14">
      <c r="A2063" s="479">
        <v>6952</v>
      </c>
      <c r="B2063" s="19" t="s">
        <v>1468</v>
      </c>
      <c r="C2063" t="s">
        <v>141</v>
      </c>
      <c r="D2063" s="190">
        <v>6952</v>
      </c>
      <c r="E2063" s="192">
        <v>8860</v>
      </c>
      <c r="F2063" s="192">
        <v>7528</v>
      </c>
      <c r="G2063" s="481">
        <v>216</v>
      </c>
      <c r="H2063" s="19"/>
      <c r="I2063" s="19"/>
      <c r="M2063" s="19"/>
      <c r="N2063" s="19"/>
    </row>
    <row r="2064" spans="1:14">
      <c r="A2064" s="479">
        <v>6705</v>
      </c>
      <c r="B2064" s="19" t="s">
        <v>1469</v>
      </c>
      <c r="C2064" t="s">
        <v>141</v>
      </c>
      <c r="D2064" s="190">
        <v>6705</v>
      </c>
      <c r="E2064" s="192">
        <v>4112</v>
      </c>
      <c r="F2064" s="192">
        <v>3742</v>
      </c>
      <c r="G2064" s="481">
        <v>165</v>
      </c>
      <c r="H2064" s="19"/>
      <c r="I2064" s="19"/>
      <c r="M2064" s="19"/>
      <c r="N2064" s="19"/>
    </row>
    <row r="2065" spans="1:14">
      <c r="A2065" s="479">
        <v>6881</v>
      </c>
      <c r="B2065" s="19" t="s">
        <v>1470</v>
      </c>
      <c r="C2065" t="s">
        <v>141</v>
      </c>
      <c r="D2065" s="190">
        <v>6881</v>
      </c>
      <c r="E2065" s="192">
        <v>5135</v>
      </c>
      <c r="F2065" s="192">
        <v>4583</v>
      </c>
      <c r="G2065" s="481">
        <v>162</v>
      </c>
      <c r="H2065" s="19"/>
      <c r="I2065" s="19"/>
      <c r="M2065" s="19"/>
      <c r="N2065" s="19"/>
    </row>
    <row r="2066" spans="1:14">
      <c r="A2066" s="479">
        <v>6949</v>
      </c>
      <c r="B2066" s="19" t="s">
        <v>1471</v>
      </c>
      <c r="C2066" t="s">
        <v>141</v>
      </c>
      <c r="D2066" s="190">
        <v>6949</v>
      </c>
      <c r="E2066" s="192">
        <v>9196</v>
      </c>
      <c r="F2066" s="192">
        <v>7615</v>
      </c>
      <c r="G2066" s="481">
        <v>245</v>
      </c>
      <c r="H2066" s="19"/>
      <c r="I2066" s="19"/>
      <c r="M2066" s="19"/>
      <c r="N2066" s="19"/>
    </row>
    <row r="2067" spans="1:14">
      <c r="A2067" s="479">
        <v>6943</v>
      </c>
      <c r="B2067" s="19" t="s">
        <v>1472</v>
      </c>
      <c r="C2067" t="s">
        <v>141</v>
      </c>
      <c r="D2067" s="190">
        <v>6943</v>
      </c>
      <c r="E2067" s="192">
        <v>7112</v>
      </c>
      <c r="F2067" s="192">
        <v>6810</v>
      </c>
      <c r="G2067" s="481">
        <v>224</v>
      </c>
      <c r="H2067" s="19"/>
      <c r="I2067" s="19"/>
      <c r="M2067" s="19"/>
      <c r="N2067" s="19"/>
    </row>
    <row r="2068" spans="1:14">
      <c r="A2068" s="479">
        <v>6946</v>
      </c>
      <c r="B2068" s="19" t="s">
        <v>1473</v>
      </c>
      <c r="C2068" t="s">
        <v>141</v>
      </c>
      <c r="D2068" s="190">
        <v>6946</v>
      </c>
      <c r="E2068" s="192">
        <v>7407</v>
      </c>
      <c r="F2068" s="192">
        <v>6768</v>
      </c>
      <c r="G2068" s="481">
        <v>180</v>
      </c>
      <c r="H2068" s="19"/>
      <c r="I2068" s="19"/>
      <c r="M2068" s="19"/>
      <c r="N2068" s="19"/>
    </row>
    <row r="2069" spans="1:14">
      <c r="A2069" s="479">
        <v>6716</v>
      </c>
      <c r="B2069" s="19" t="s">
        <v>1474</v>
      </c>
      <c r="C2069" t="s">
        <v>141</v>
      </c>
      <c r="D2069" s="190">
        <v>6716</v>
      </c>
      <c r="E2069" s="192">
        <v>3961</v>
      </c>
      <c r="F2069" s="192">
        <v>3950</v>
      </c>
      <c r="G2069" s="481">
        <v>140</v>
      </c>
      <c r="H2069" s="19"/>
      <c r="I2069" s="19"/>
      <c r="M2069" s="19"/>
      <c r="N2069" s="19"/>
    </row>
    <row r="2070" spans="1:14">
      <c r="A2070" s="479">
        <v>6718</v>
      </c>
      <c r="B2070" s="19" t="s">
        <v>1475</v>
      </c>
      <c r="C2070" t="s">
        <v>141</v>
      </c>
      <c r="D2070" s="190">
        <v>6718</v>
      </c>
      <c r="E2070" s="192">
        <v>3987</v>
      </c>
      <c r="F2070" s="192">
        <v>3870</v>
      </c>
      <c r="G2070" s="481">
        <v>113</v>
      </c>
      <c r="H2070" s="19"/>
      <c r="I2070" s="19"/>
      <c r="M2070" s="19"/>
      <c r="N2070" s="19"/>
    </row>
    <row r="2071" spans="1:14">
      <c r="A2071" s="479">
        <v>6815</v>
      </c>
      <c r="B2071" s="19" t="s">
        <v>1476</v>
      </c>
      <c r="C2071" t="s">
        <v>141</v>
      </c>
      <c r="D2071" s="190">
        <v>6815</v>
      </c>
      <c r="E2071" s="192">
        <v>10185</v>
      </c>
      <c r="F2071" s="192">
        <v>7902</v>
      </c>
      <c r="G2071" s="481">
        <v>224</v>
      </c>
      <c r="H2071" s="19"/>
      <c r="I2071" s="19"/>
      <c r="M2071" s="19"/>
      <c r="N2071" s="19"/>
    </row>
    <row r="2072" spans="1:14">
      <c r="A2072" s="479">
        <v>6814</v>
      </c>
      <c r="B2072" s="19" t="s">
        <v>1477</v>
      </c>
      <c r="C2072" t="s">
        <v>141</v>
      </c>
      <c r="D2072" s="190">
        <v>6814</v>
      </c>
      <c r="E2072" s="192">
        <v>6239</v>
      </c>
      <c r="F2072" s="192">
        <v>6368</v>
      </c>
      <c r="G2072" s="481">
        <v>207</v>
      </c>
      <c r="H2072" s="19"/>
      <c r="I2072" s="19"/>
      <c r="M2072" s="19"/>
      <c r="N2072" s="19"/>
    </row>
    <row r="2073" spans="1:14">
      <c r="A2073" s="479">
        <v>6924</v>
      </c>
      <c r="B2073" s="19" t="s">
        <v>1478</v>
      </c>
      <c r="C2073" t="s">
        <v>141</v>
      </c>
      <c r="D2073" s="190">
        <v>6924</v>
      </c>
      <c r="E2073" s="192">
        <v>8689</v>
      </c>
      <c r="F2073" s="192">
        <v>8875</v>
      </c>
      <c r="G2073" s="481">
        <v>240</v>
      </c>
      <c r="H2073" s="19"/>
      <c r="I2073" s="19"/>
      <c r="M2073" s="19"/>
      <c r="N2073" s="19"/>
    </row>
    <row r="2074" spans="1:14">
      <c r="A2074" s="479">
        <v>6614</v>
      </c>
      <c r="B2074" s="19" t="s">
        <v>1479</v>
      </c>
      <c r="C2074" t="s">
        <v>141</v>
      </c>
      <c r="D2074" s="190">
        <v>6614</v>
      </c>
      <c r="E2074" s="192">
        <v>8048</v>
      </c>
      <c r="F2074" s="192">
        <v>8358</v>
      </c>
      <c r="G2074" s="481">
        <v>262</v>
      </c>
      <c r="H2074" s="19"/>
      <c r="I2074" s="19"/>
      <c r="M2074" s="19"/>
      <c r="N2074" s="19"/>
    </row>
    <row r="2075" spans="1:14">
      <c r="A2075" s="479">
        <v>6983</v>
      </c>
      <c r="B2075" s="19" t="s">
        <v>1480</v>
      </c>
      <c r="C2075" t="s">
        <v>141</v>
      </c>
      <c r="D2075" s="190">
        <v>6983</v>
      </c>
      <c r="E2075" s="192">
        <v>6771</v>
      </c>
      <c r="F2075" s="192">
        <v>7789</v>
      </c>
      <c r="G2075" s="481">
        <v>209</v>
      </c>
      <c r="H2075" s="19"/>
      <c r="I2075" s="19"/>
      <c r="M2075" s="19"/>
      <c r="N2075" s="19"/>
    </row>
    <row r="2076" spans="1:14">
      <c r="A2076" s="479">
        <v>6948</v>
      </c>
      <c r="B2076" s="19" t="s">
        <v>1481</v>
      </c>
      <c r="C2076" t="s">
        <v>141</v>
      </c>
      <c r="D2076" s="190">
        <v>6948</v>
      </c>
      <c r="E2076" s="192">
        <v>8861</v>
      </c>
      <c r="F2076" s="192">
        <v>8654</v>
      </c>
      <c r="G2076" s="481">
        <v>225</v>
      </c>
      <c r="H2076" s="19"/>
      <c r="I2076" s="19"/>
      <c r="M2076" s="19"/>
      <c r="N2076" s="19"/>
    </row>
    <row r="2077" spans="1:14">
      <c r="A2077" s="479">
        <v>6930</v>
      </c>
      <c r="B2077" s="19" t="s">
        <v>1482</v>
      </c>
      <c r="C2077" t="s">
        <v>141</v>
      </c>
      <c r="D2077" s="190">
        <v>6930</v>
      </c>
      <c r="E2077" s="192">
        <v>5970</v>
      </c>
      <c r="F2077" s="192">
        <v>6785</v>
      </c>
      <c r="G2077" s="481">
        <v>186</v>
      </c>
      <c r="H2077" s="19"/>
      <c r="I2077" s="19"/>
      <c r="M2077" s="19"/>
      <c r="N2077" s="19"/>
    </row>
    <row r="2078" spans="1:14">
      <c r="A2078" s="479">
        <v>6780</v>
      </c>
      <c r="B2078" s="19" t="s">
        <v>1483</v>
      </c>
      <c r="C2078" t="s">
        <v>141</v>
      </c>
      <c r="D2078" s="190">
        <v>6780</v>
      </c>
      <c r="E2078" s="192">
        <v>2998</v>
      </c>
      <c r="F2078" s="192">
        <v>3196</v>
      </c>
      <c r="G2078" s="481">
        <v>180</v>
      </c>
      <c r="H2078" s="19"/>
      <c r="I2078" s="19"/>
      <c r="M2078" s="19"/>
      <c r="N2078" s="19"/>
    </row>
    <row r="2079" spans="1:14">
      <c r="A2079" s="479">
        <v>6814</v>
      </c>
      <c r="B2079" s="19" t="s">
        <v>1484</v>
      </c>
      <c r="C2079" t="s">
        <v>141</v>
      </c>
      <c r="D2079" s="190">
        <v>6814</v>
      </c>
      <c r="E2079" s="192">
        <v>7331</v>
      </c>
      <c r="F2079" s="192">
        <v>6733</v>
      </c>
      <c r="G2079" s="481">
        <v>215</v>
      </c>
      <c r="H2079" s="19"/>
      <c r="I2079" s="19"/>
      <c r="M2079" s="19"/>
      <c r="N2079" s="19"/>
    </row>
    <row r="2080" spans="1:14">
      <c r="A2080" s="479">
        <v>6670</v>
      </c>
      <c r="B2080" s="19" t="s">
        <v>1485</v>
      </c>
      <c r="C2080" t="s">
        <v>141</v>
      </c>
      <c r="D2080" s="190">
        <v>6670</v>
      </c>
      <c r="E2080" s="192">
        <v>8323</v>
      </c>
      <c r="F2080" s="192">
        <v>5900</v>
      </c>
      <c r="G2080" s="481">
        <v>133</v>
      </c>
      <c r="H2080" s="19"/>
      <c r="I2080" s="19"/>
      <c r="M2080" s="19"/>
      <c r="N2080" s="19"/>
    </row>
    <row r="2081" spans="1:14">
      <c r="A2081" s="479">
        <v>6945</v>
      </c>
      <c r="B2081" s="19" t="s">
        <v>1486</v>
      </c>
      <c r="C2081" t="s">
        <v>141</v>
      </c>
      <c r="D2081" s="190">
        <v>6945</v>
      </c>
      <c r="E2081" s="192">
        <v>6836</v>
      </c>
      <c r="F2081" s="192">
        <v>7548</v>
      </c>
      <c r="G2081" s="481">
        <v>341</v>
      </c>
      <c r="H2081" s="19"/>
      <c r="I2081" s="19"/>
      <c r="M2081" s="19"/>
      <c r="N2081" s="19"/>
    </row>
    <row r="2082" spans="1:14">
      <c r="A2082" s="479">
        <v>6533</v>
      </c>
      <c r="B2082" s="19" t="s">
        <v>1487</v>
      </c>
      <c r="C2082" t="s">
        <v>141</v>
      </c>
      <c r="D2082" s="190">
        <v>6533</v>
      </c>
      <c r="E2082" s="192">
        <v>5871</v>
      </c>
      <c r="F2082" s="192">
        <v>5283</v>
      </c>
      <c r="G2082" s="481">
        <v>253</v>
      </c>
      <c r="H2082" s="19"/>
      <c r="I2082" s="19"/>
      <c r="M2082" s="19"/>
      <c r="N2082" s="19"/>
    </row>
    <row r="2083" spans="1:14">
      <c r="A2083" s="479">
        <v>6818</v>
      </c>
      <c r="B2083" s="19" t="s">
        <v>1488</v>
      </c>
      <c r="C2083" t="s">
        <v>141</v>
      </c>
      <c r="D2083" s="190">
        <v>6818</v>
      </c>
      <c r="E2083" s="192">
        <v>7006</v>
      </c>
      <c r="F2083" s="192">
        <v>5871</v>
      </c>
      <c r="G2083" s="481">
        <v>240</v>
      </c>
      <c r="H2083" s="19"/>
      <c r="I2083" s="19"/>
      <c r="M2083" s="19"/>
      <c r="N2083" s="19"/>
    </row>
    <row r="2084" spans="1:14">
      <c r="A2084" s="479">
        <v>6936</v>
      </c>
      <c r="B2084" s="19" t="s">
        <v>1489</v>
      </c>
      <c r="C2084" t="s">
        <v>141</v>
      </c>
      <c r="D2084" s="190">
        <v>6936</v>
      </c>
      <c r="E2084" s="192">
        <v>6188</v>
      </c>
      <c r="F2084" s="192">
        <v>5122</v>
      </c>
      <c r="G2084" s="481">
        <v>252</v>
      </c>
      <c r="H2084" s="19"/>
      <c r="I2084" s="19"/>
      <c r="M2084" s="19"/>
      <c r="N2084" s="19"/>
    </row>
    <row r="2085" spans="1:14">
      <c r="A2085" s="479">
        <v>6944</v>
      </c>
      <c r="B2085" s="19" t="s">
        <v>1490</v>
      </c>
      <c r="C2085" t="s">
        <v>141</v>
      </c>
      <c r="D2085" s="190">
        <v>6944</v>
      </c>
      <c r="E2085" s="192">
        <v>8455</v>
      </c>
      <c r="F2085" s="192">
        <v>6852</v>
      </c>
      <c r="G2085" s="481">
        <v>256</v>
      </c>
      <c r="H2085" s="19"/>
      <c r="I2085" s="19"/>
      <c r="M2085" s="19"/>
      <c r="N2085" s="19"/>
    </row>
    <row r="2086" spans="1:14">
      <c r="A2086" s="479">
        <v>6984</v>
      </c>
      <c r="B2086" s="19" t="s">
        <v>1491</v>
      </c>
      <c r="C2086" t="s">
        <v>141</v>
      </c>
      <c r="D2086" s="190">
        <v>6984</v>
      </c>
      <c r="E2086" s="192">
        <v>6333</v>
      </c>
      <c r="F2086" s="192">
        <v>5620</v>
      </c>
      <c r="G2086" s="481">
        <v>212</v>
      </c>
      <c r="H2086" s="19"/>
      <c r="I2086" s="19"/>
      <c r="M2086" s="19"/>
      <c r="N2086" s="19"/>
    </row>
    <row r="2087" spans="1:14">
      <c r="A2087" s="479">
        <v>6805</v>
      </c>
      <c r="B2087" s="19" t="s">
        <v>1492</v>
      </c>
      <c r="C2087" t="s">
        <v>141</v>
      </c>
      <c r="D2087" s="190">
        <v>6805</v>
      </c>
      <c r="E2087" s="192">
        <v>6179</v>
      </c>
      <c r="F2087" s="192">
        <v>5666</v>
      </c>
      <c r="G2087" s="481">
        <v>166</v>
      </c>
      <c r="H2087" s="19"/>
      <c r="I2087" s="19"/>
      <c r="M2087" s="19"/>
      <c r="N2087" s="19"/>
    </row>
    <row r="2088" spans="1:14">
      <c r="A2088" s="479">
        <v>6928</v>
      </c>
      <c r="B2088" s="19" t="s">
        <v>1493</v>
      </c>
      <c r="C2088" t="s">
        <v>141</v>
      </c>
      <c r="D2088" s="190">
        <v>6928</v>
      </c>
      <c r="E2088" s="192">
        <v>7158</v>
      </c>
      <c r="F2088" s="192">
        <v>6403</v>
      </c>
      <c r="G2088" s="481">
        <v>201</v>
      </c>
      <c r="H2088" s="19"/>
      <c r="I2088" s="19"/>
      <c r="M2088" s="19"/>
      <c r="N2088" s="19"/>
    </row>
    <row r="2089" spans="1:14">
      <c r="A2089" s="479">
        <v>6633</v>
      </c>
      <c r="B2089" s="19" t="s">
        <v>1494</v>
      </c>
      <c r="C2089" t="s">
        <v>141</v>
      </c>
      <c r="D2089" s="190">
        <v>6633</v>
      </c>
      <c r="E2089" s="192">
        <v>7083</v>
      </c>
      <c r="F2089" s="192">
        <v>6512</v>
      </c>
      <c r="G2089" s="481">
        <v>230</v>
      </c>
      <c r="H2089" s="19"/>
      <c r="I2089" s="19"/>
      <c r="M2089" s="19"/>
      <c r="N2089" s="19"/>
    </row>
    <row r="2090" spans="1:14">
      <c r="A2090" s="479">
        <v>6929</v>
      </c>
      <c r="B2090" s="19" t="s">
        <v>1495</v>
      </c>
      <c r="C2090" t="s">
        <v>141</v>
      </c>
      <c r="D2090" s="190">
        <v>6929</v>
      </c>
      <c r="E2090" s="192">
        <v>6498</v>
      </c>
      <c r="F2090" s="192">
        <v>6671</v>
      </c>
      <c r="G2090" s="481">
        <v>206</v>
      </c>
      <c r="H2090" s="19"/>
      <c r="I2090" s="19"/>
      <c r="M2090" s="19"/>
      <c r="N2090" s="19"/>
    </row>
    <row r="2091" spans="1:14">
      <c r="A2091" s="479">
        <v>6675</v>
      </c>
      <c r="B2091" s="19" t="s">
        <v>1496</v>
      </c>
      <c r="C2091" t="s">
        <v>141</v>
      </c>
      <c r="D2091" s="190">
        <v>6675</v>
      </c>
      <c r="E2091" s="192">
        <v>7038</v>
      </c>
      <c r="F2091" s="192">
        <v>4629</v>
      </c>
      <c r="G2091" s="481">
        <v>344</v>
      </c>
      <c r="H2091" s="19"/>
      <c r="I2091" s="19"/>
      <c r="M2091" s="19"/>
      <c r="N2091" s="19"/>
    </row>
    <row r="2092" spans="1:14">
      <c r="A2092" s="479">
        <v>6654</v>
      </c>
      <c r="B2092" s="19" t="s">
        <v>1497</v>
      </c>
      <c r="C2092" t="s">
        <v>141</v>
      </c>
      <c r="D2092" s="190">
        <v>6654</v>
      </c>
      <c r="E2092" s="192">
        <v>4006</v>
      </c>
      <c r="F2092" s="192">
        <v>5090</v>
      </c>
      <c r="G2092" s="481">
        <v>292</v>
      </c>
      <c r="H2092" s="19"/>
      <c r="I2092" s="19"/>
      <c r="M2092" s="19"/>
      <c r="N2092" s="19"/>
    </row>
    <row r="2093" spans="1:14">
      <c r="A2093" s="479">
        <v>6777</v>
      </c>
      <c r="B2093" s="19" t="s">
        <v>1498</v>
      </c>
      <c r="C2093" t="s">
        <v>141</v>
      </c>
      <c r="D2093" s="190">
        <v>6777</v>
      </c>
      <c r="E2093" s="192">
        <v>2571</v>
      </c>
      <c r="F2093" s="192">
        <v>2543</v>
      </c>
      <c r="G2093" s="481">
        <v>218</v>
      </c>
      <c r="H2093" s="19"/>
      <c r="I2093" s="19"/>
      <c r="M2093" s="19"/>
      <c r="N2093" s="19"/>
    </row>
    <row r="2094" spans="1:14">
      <c r="A2094" s="479">
        <v>6743</v>
      </c>
      <c r="B2094" s="19" t="s">
        <v>1499</v>
      </c>
      <c r="C2094" t="s">
        <v>141</v>
      </c>
      <c r="D2094" s="190">
        <v>6743</v>
      </c>
      <c r="E2094" s="192">
        <v>4517</v>
      </c>
      <c r="F2094" s="192">
        <v>3617</v>
      </c>
      <c r="G2094" s="481">
        <v>134</v>
      </c>
      <c r="H2094" s="19"/>
      <c r="I2094" s="19"/>
      <c r="M2094" s="19"/>
      <c r="N2094" s="19"/>
    </row>
    <row r="2095" spans="1:14">
      <c r="A2095" s="479">
        <v>6822</v>
      </c>
      <c r="B2095" s="19" t="s">
        <v>1500</v>
      </c>
      <c r="C2095" t="s">
        <v>141</v>
      </c>
      <c r="D2095" s="190">
        <v>6822</v>
      </c>
      <c r="E2095" s="192">
        <v>5483</v>
      </c>
      <c r="F2095" s="192">
        <v>5350</v>
      </c>
      <c r="G2095" s="481">
        <v>162</v>
      </c>
      <c r="H2095" s="19"/>
      <c r="I2095" s="19"/>
      <c r="M2095" s="19"/>
      <c r="N2095" s="19"/>
    </row>
    <row r="2096" spans="1:14">
      <c r="A2096" s="479">
        <v>6816</v>
      </c>
      <c r="B2096" s="19" t="s">
        <v>1501</v>
      </c>
      <c r="C2096" t="s">
        <v>141</v>
      </c>
      <c r="D2096" s="190">
        <v>6816</v>
      </c>
      <c r="E2096" s="192">
        <v>9924</v>
      </c>
      <c r="F2096" s="192">
        <v>6625</v>
      </c>
      <c r="G2096" s="481">
        <v>360</v>
      </c>
      <c r="H2096" s="19"/>
      <c r="I2096" s="19"/>
      <c r="M2096" s="19"/>
      <c r="N2096" s="19"/>
    </row>
    <row r="2097" spans="1:14">
      <c r="A2097" s="479">
        <v>6998</v>
      </c>
      <c r="B2097" s="19" t="s">
        <v>1502</v>
      </c>
      <c r="C2097" t="s">
        <v>141</v>
      </c>
      <c r="D2097" s="190">
        <v>6998</v>
      </c>
      <c r="E2097" s="192">
        <v>4870</v>
      </c>
      <c r="F2097" s="192">
        <v>4859</v>
      </c>
      <c r="G2097" s="481">
        <v>245</v>
      </c>
      <c r="H2097" s="19"/>
      <c r="I2097" s="19"/>
      <c r="M2097" s="19"/>
      <c r="N2097" s="19"/>
    </row>
    <row r="2098" spans="1:14">
      <c r="A2098" s="479">
        <v>6745</v>
      </c>
      <c r="B2098" s="19" t="s">
        <v>1503</v>
      </c>
      <c r="C2098" t="s">
        <v>141</v>
      </c>
      <c r="D2098" s="190">
        <v>6745</v>
      </c>
      <c r="E2098" s="192">
        <v>3408</v>
      </c>
      <c r="F2098" s="192">
        <v>3468</v>
      </c>
      <c r="G2098" s="481">
        <v>153</v>
      </c>
      <c r="H2098" s="19"/>
      <c r="I2098" s="19"/>
      <c r="M2098" s="19"/>
      <c r="N2098" s="19"/>
    </row>
    <row r="2099" spans="1:14">
      <c r="A2099" s="479">
        <v>6980</v>
      </c>
      <c r="B2099" s="19" t="s">
        <v>1504</v>
      </c>
      <c r="C2099" t="s">
        <v>141</v>
      </c>
      <c r="D2099" s="190">
        <v>6980</v>
      </c>
      <c r="E2099" s="192">
        <v>5516</v>
      </c>
      <c r="F2099" s="192">
        <v>4903</v>
      </c>
      <c r="G2099" s="481">
        <v>170</v>
      </c>
      <c r="H2099" s="19"/>
      <c r="I2099" s="19"/>
      <c r="M2099" s="19"/>
      <c r="N2099" s="19"/>
    </row>
    <row r="2100" spans="1:14">
      <c r="A2100" s="479">
        <v>6821</v>
      </c>
      <c r="B2100" s="19" t="s">
        <v>1505</v>
      </c>
      <c r="C2100" t="s">
        <v>141</v>
      </c>
      <c r="D2100" s="190">
        <v>6821</v>
      </c>
      <c r="E2100" s="192">
        <v>5825</v>
      </c>
      <c r="F2100" s="192">
        <v>6308</v>
      </c>
      <c r="G2100" s="481">
        <v>222</v>
      </c>
      <c r="H2100" s="19"/>
      <c r="I2100" s="19"/>
      <c r="M2100" s="19"/>
      <c r="N2100" s="19"/>
    </row>
    <row r="2101" spans="1:14">
      <c r="A2101" s="479">
        <v>6986</v>
      </c>
      <c r="B2101" s="19" t="s">
        <v>1506</v>
      </c>
      <c r="C2101" t="s">
        <v>141</v>
      </c>
      <c r="D2101" s="190">
        <v>6986</v>
      </c>
      <c r="E2101" s="192">
        <v>5194</v>
      </c>
      <c r="F2101" s="192">
        <v>5257</v>
      </c>
      <c r="G2101" s="481">
        <v>193</v>
      </c>
      <c r="H2101" s="19"/>
      <c r="I2101" s="19"/>
      <c r="M2101" s="19"/>
      <c r="N2101" s="19"/>
    </row>
    <row r="2102" spans="1:14">
      <c r="A2102" s="479">
        <v>6933</v>
      </c>
      <c r="B2102" s="19" t="s">
        <v>1507</v>
      </c>
      <c r="C2102" t="s">
        <v>141</v>
      </c>
      <c r="D2102" s="190">
        <v>6933</v>
      </c>
      <c r="E2102" s="192">
        <v>8890</v>
      </c>
      <c r="F2102" s="192">
        <v>8552</v>
      </c>
      <c r="G2102" s="481">
        <v>374</v>
      </c>
      <c r="H2102" s="19"/>
      <c r="I2102" s="19"/>
      <c r="M2102" s="19"/>
      <c r="N2102" s="19"/>
    </row>
    <row r="2103" spans="1:14">
      <c r="A2103" s="479">
        <v>6936</v>
      </c>
      <c r="B2103" s="19" t="s">
        <v>1508</v>
      </c>
      <c r="C2103" t="s">
        <v>141</v>
      </c>
      <c r="D2103" s="190">
        <v>6936</v>
      </c>
      <c r="E2103" s="192">
        <v>6314</v>
      </c>
      <c r="F2103" s="192">
        <v>5280</v>
      </c>
      <c r="G2103" s="481">
        <v>227</v>
      </c>
      <c r="H2103" s="19"/>
      <c r="I2103" s="19"/>
      <c r="M2103" s="19"/>
      <c r="N2103" s="19"/>
    </row>
    <row r="2104" spans="1:14">
      <c r="A2104" s="479">
        <v>6988</v>
      </c>
      <c r="B2104" s="19" t="s">
        <v>1509</v>
      </c>
      <c r="C2104" t="s">
        <v>141</v>
      </c>
      <c r="D2104" s="190">
        <v>6988</v>
      </c>
      <c r="E2104" s="192">
        <v>5537</v>
      </c>
      <c r="F2104" s="192">
        <v>4835</v>
      </c>
      <c r="G2104" s="481">
        <v>210</v>
      </c>
      <c r="H2104" s="19"/>
      <c r="I2104" s="19"/>
      <c r="M2104" s="19"/>
      <c r="N2104" s="19"/>
    </row>
    <row r="2105" spans="1:14">
      <c r="A2105" s="479">
        <v>6742</v>
      </c>
      <c r="B2105" s="19" t="s">
        <v>1510</v>
      </c>
      <c r="C2105" t="s">
        <v>141</v>
      </c>
      <c r="D2105" s="190">
        <v>6742</v>
      </c>
      <c r="E2105" s="192">
        <v>6125</v>
      </c>
      <c r="F2105" s="192">
        <v>5641</v>
      </c>
      <c r="G2105" s="481">
        <v>191</v>
      </c>
      <c r="H2105" s="19"/>
      <c r="I2105" s="19"/>
      <c r="M2105" s="19"/>
      <c r="N2105" s="19"/>
    </row>
    <row r="2106" spans="1:14">
      <c r="A2106" s="479">
        <v>6644</v>
      </c>
      <c r="B2106" s="19" t="s">
        <v>1511</v>
      </c>
      <c r="C2106" t="s">
        <v>141</v>
      </c>
      <c r="D2106" s="190">
        <v>6644</v>
      </c>
      <c r="E2106" s="192">
        <v>9264</v>
      </c>
      <c r="F2106" s="192">
        <v>10328</v>
      </c>
      <c r="G2106" s="481">
        <v>270</v>
      </c>
      <c r="H2106" s="19"/>
      <c r="I2106" s="19"/>
      <c r="M2106" s="19"/>
      <c r="N2106" s="19"/>
    </row>
    <row r="2107" spans="1:14">
      <c r="A2107" s="479">
        <v>6922</v>
      </c>
      <c r="B2107" s="19" t="s">
        <v>1512</v>
      </c>
      <c r="C2107" t="s">
        <v>141</v>
      </c>
      <c r="D2107" s="190">
        <v>6922</v>
      </c>
      <c r="E2107" s="192">
        <v>10814</v>
      </c>
      <c r="F2107" s="192">
        <v>11350</v>
      </c>
      <c r="G2107" s="481">
        <v>315</v>
      </c>
      <c r="H2107" s="19"/>
      <c r="I2107" s="19"/>
      <c r="M2107" s="19"/>
      <c r="N2107" s="19"/>
    </row>
    <row r="2108" spans="1:14">
      <c r="A2108" s="479">
        <v>6661</v>
      </c>
      <c r="B2108" s="19" t="s">
        <v>1513</v>
      </c>
      <c r="C2108" t="s">
        <v>141</v>
      </c>
      <c r="D2108" s="190">
        <v>6661</v>
      </c>
      <c r="E2108" s="192">
        <v>3379</v>
      </c>
      <c r="F2108" s="192">
        <v>3875</v>
      </c>
      <c r="G2108" s="481">
        <v>240</v>
      </c>
      <c r="H2108" s="19"/>
      <c r="I2108" s="19"/>
      <c r="M2108" s="19"/>
      <c r="N2108" s="19"/>
    </row>
    <row r="2109" spans="1:14">
      <c r="A2109" s="479">
        <v>6817</v>
      </c>
      <c r="B2109" s="19" t="s">
        <v>1514</v>
      </c>
      <c r="C2109" t="s">
        <v>141</v>
      </c>
      <c r="D2109" s="190">
        <v>6817</v>
      </c>
      <c r="E2109" s="192">
        <v>7815</v>
      </c>
      <c r="F2109" s="192">
        <v>7398</v>
      </c>
      <c r="G2109" s="481">
        <v>293</v>
      </c>
      <c r="H2109" s="19"/>
      <c r="I2109" s="19"/>
      <c r="M2109" s="19"/>
      <c r="N2109" s="19"/>
    </row>
    <row r="2110" spans="1:14">
      <c r="A2110" s="479">
        <v>6997</v>
      </c>
      <c r="B2110" s="19" t="s">
        <v>1515</v>
      </c>
      <c r="C2110" t="s">
        <v>141</v>
      </c>
      <c r="D2110" s="190">
        <v>6997</v>
      </c>
      <c r="E2110" s="192">
        <v>4964</v>
      </c>
      <c r="F2110" s="192">
        <v>4129</v>
      </c>
      <c r="G2110" s="481">
        <v>166</v>
      </c>
      <c r="H2110" s="19"/>
      <c r="I2110" s="19"/>
      <c r="M2110" s="19"/>
      <c r="N2110" s="19"/>
    </row>
    <row r="2111" spans="1:14">
      <c r="A2111" s="479">
        <v>6981</v>
      </c>
      <c r="B2111" s="19" t="s">
        <v>1516</v>
      </c>
      <c r="C2111" t="s">
        <v>141</v>
      </c>
      <c r="D2111" s="190">
        <v>6981</v>
      </c>
      <c r="E2111" s="192">
        <v>5563</v>
      </c>
      <c r="F2111" s="192">
        <v>4273</v>
      </c>
      <c r="G2111" s="481">
        <v>174</v>
      </c>
      <c r="H2111" s="19"/>
      <c r="I2111" s="19"/>
      <c r="M2111" s="19"/>
      <c r="N2111" s="19"/>
    </row>
    <row r="2112" spans="1:14">
      <c r="A2112" s="479">
        <v>6622</v>
      </c>
      <c r="B2112" s="19" t="s">
        <v>1517</v>
      </c>
      <c r="C2112" t="s">
        <v>141</v>
      </c>
      <c r="D2112" s="190">
        <v>6622</v>
      </c>
      <c r="E2112" s="192">
        <v>11288</v>
      </c>
      <c r="F2112" s="192">
        <v>11577</v>
      </c>
      <c r="G2112" s="481">
        <v>257</v>
      </c>
      <c r="H2112" s="19"/>
      <c r="I2112" s="19"/>
      <c r="M2112" s="19"/>
      <c r="N2112" s="19"/>
    </row>
    <row r="2113" spans="1:14">
      <c r="A2113" s="479">
        <v>6992</v>
      </c>
      <c r="B2113" s="19" t="s">
        <v>1518</v>
      </c>
      <c r="C2113" t="s">
        <v>141</v>
      </c>
      <c r="D2113" s="190">
        <v>6992</v>
      </c>
      <c r="E2113" s="192">
        <v>7738</v>
      </c>
      <c r="F2113" s="192">
        <v>7158</v>
      </c>
      <c r="G2113" s="481">
        <v>197</v>
      </c>
      <c r="H2113" s="19"/>
      <c r="I2113" s="19"/>
      <c r="M2113" s="19"/>
      <c r="N2113" s="19"/>
    </row>
    <row r="2114" spans="1:14">
      <c r="A2114" s="479">
        <v>6986</v>
      </c>
      <c r="B2114" s="19" t="s">
        <v>1519</v>
      </c>
      <c r="C2114" t="s">
        <v>141</v>
      </c>
      <c r="D2114" s="190">
        <v>6986</v>
      </c>
      <c r="E2114" s="192">
        <v>5696</v>
      </c>
      <c r="F2114" s="192">
        <v>5271</v>
      </c>
      <c r="G2114" s="481">
        <v>225</v>
      </c>
      <c r="H2114" s="19"/>
      <c r="I2114" s="19"/>
      <c r="M2114" s="19"/>
      <c r="N2114" s="19"/>
    </row>
    <row r="2115" spans="1:14">
      <c r="A2115" s="479">
        <v>6685</v>
      </c>
      <c r="B2115" s="19" t="s">
        <v>1520</v>
      </c>
      <c r="C2115" t="s">
        <v>141</v>
      </c>
      <c r="D2115" s="190">
        <v>6685</v>
      </c>
      <c r="E2115" s="192">
        <v>5442</v>
      </c>
      <c r="F2115" s="192">
        <v>3745</v>
      </c>
      <c r="G2115" s="481">
        <v>240</v>
      </c>
      <c r="H2115" s="19"/>
      <c r="I2115" s="19"/>
      <c r="M2115" s="19"/>
      <c r="N2115" s="19"/>
    </row>
    <row r="2116" spans="1:14">
      <c r="A2116" s="479">
        <v>6916</v>
      </c>
      <c r="B2116" s="19" t="s">
        <v>1521</v>
      </c>
      <c r="C2116" t="s">
        <v>141</v>
      </c>
      <c r="D2116" s="190">
        <v>6916</v>
      </c>
      <c r="E2116" s="192">
        <v>9180</v>
      </c>
      <c r="F2116" s="192">
        <v>6818</v>
      </c>
      <c r="G2116" s="481">
        <v>200</v>
      </c>
      <c r="H2116" s="19"/>
      <c r="I2116" s="19"/>
      <c r="M2116" s="19"/>
      <c r="N2116" s="19"/>
    </row>
    <row r="2117" spans="1:14">
      <c r="A2117" s="479">
        <v>6645</v>
      </c>
      <c r="B2117" s="19" t="s">
        <v>1522</v>
      </c>
      <c r="C2117" t="s">
        <v>141</v>
      </c>
      <c r="D2117" s="190">
        <v>6645</v>
      </c>
      <c r="E2117" s="192">
        <v>8957</v>
      </c>
      <c r="F2117" s="192">
        <v>10361</v>
      </c>
      <c r="G2117" s="481">
        <v>226</v>
      </c>
      <c r="H2117" s="19"/>
      <c r="I2117" s="19"/>
      <c r="M2117" s="19"/>
      <c r="N2117" s="19"/>
    </row>
    <row r="2118" spans="1:14">
      <c r="A2118" s="479">
        <v>6827</v>
      </c>
      <c r="B2118" s="19" t="s">
        <v>1523</v>
      </c>
      <c r="C2118" t="s">
        <v>141</v>
      </c>
      <c r="D2118" s="190">
        <v>6827</v>
      </c>
      <c r="E2118" s="192">
        <v>7903</v>
      </c>
      <c r="F2118" s="192">
        <v>7984</v>
      </c>
      <c r="G2118" s="481">
        <v>193</v>
      </c>
      <c r="H2118" s="19"/>
      <c r="I2118" s="19"/>
      <c r="M2118" s="19"/>
      <c r="N2118" s="19"/>
    </row>
    <row r="2119" spans="1:14">
      <c r="A2119" s="479">
        <v>6774</v>
      </c>
      <c r="B2119" s="19" t="s">
        <v>1524</v>
      </c>
      <c r="C2119" t="s">
        <v>141</v>
      </c>
      <c r="D2119" s="190">
        <v>6774</v>
      </c>
      <c r="E2119" s="192">
        <v>3676</v>
      </c>
      <c r="F2119" s="192">
        <v>3983</v>
      </c>
      <c r="G2119" s="481">
        <v>87</v>
      </c>
      <c r="H2119" s="19"/>
      <c r="I2119" s="19"/>
      <c r="M2119" s="19"/>
      <c r="N2119" s="19"/>
    </row>
    <row r="2120" spans="1:14">
      <c r="A2120" s="479">
        <v>6921</v>
      </c>
      <c r="B2120" s="19" t="s">
        <v>1525</v>
      </c>
      <c r="C2120" t="s">
        <v>141</v>
      </c>
      <c r="D2120" s="190">
        <v>6921</v>
      </c>
      <c r="E2120" s="192">
        <v>9966</v>
      </c>
      <c r="F2120" s="192">
        <v>13303</v>
      </c>
      <c r="G2120" s="481">
        <v>265</v>
      </c>
      <c r="H2120" s="19"/>
      <c r="I2120" s="19"/>
      <c r="M2120" s="19"/>
      <c r="N2120" s="19"/>
    </row>
    <row r="2121" spans="1:14">
      <c r="A2121" s="479">
        <v>6810</v>
      </c>
      <c r="B2121" s="19" t="s">
        <v>1526</v>
      </c>
      <c r="C2121" t="s">
        <v>141</v>
      </c>
      <c r="D2121" s="190">
        <v>6810</v>
      </c>
      <c r="E2121" s="192">
        <v>6108</v>
      </c>
      <c r="F2121" s="192">
        <v>3768</v>
      </c>
      <c r="G2121" s="481">
        <v>182</v>
      </c>
      <c r="H2121" s="19"/>
      <c r="I2121" s="19"/>
      <c r="M2121" s="19"/>
      <c r="N2121" s="19"/>
    </row>
    <row r="2122" spans="1:14">
      <c r="A2122" s="479">
        <v>6994</v>
      </c>
      <c r="B2122" s="19" t="s">
        <v>1527</v>
      </c>
      <c r="C2122" t="s">
        <v>141</v>
      </c>
      <c r="D2122" s="190">
        <v>6994</v>
      </c>
      <c r="E2122" s="192">
        <v>6404</v>
      </c>
      <c r="F2122" s="192">
        <v>4212</v>
      </c>
      <c r="G2122" s="481">
        <v>144</v>
      </c>
      <c r="H2122" s="19"/>
      <c r="I2122" s="19"/>
      <c r="M2122" s="19"/>
      <c r="N2122" s="19"/>
    </row>
    <row r="2123" spans="1:14">
      <c r="A2123" s="479">
        <v>6744</v>
      </c>
      <c r="B2123" s="19" t="s">
        <v>1528</v>
      </c>
      <c r="C2123" t="s">
        <v>141</v>
      </c>
      <c r="D2123" s="190">
        <v>6744</v>
      </c>
      <c r="E2123" s="192">
        <v>4436</v>
      </c>
      <c r="F2123" s="192">
        <v>2385</v>
      </c>
      <c r="G2123" s="481">
        <v>240</v>
      </c>
      <c r="H2123" s="19"/>
      <c r="I2123" s="19"/>
      <c r="M2123" s="19"/>
      <c r="N2123" s="19"/>
    </row>
    <row r="2124" spans="1:14">
      <c r="A2124" s="479">
        <v>6991</v>
      </c>
      <c r="B2124" s="19" t="s">
        <v>1529</v>
      </c>
      <c r="C2124" t="s">
        <v>141</v>
      </c>
      <c r="D2124" s="190">
        <v>6991</v>
      </c>
      <c r="E2124" s="192">
        <v>6638</v>
      </c>
      <c r="F2124" s="192">
        <v>6376</v>
      </c>
      <c r="G2124" s="481">
        <v>177</v>
      </c>
      <c r="H2124" s="19"/>
      <c r="I2124" s="19"/>
      <c r="M2124" s="19"/>
      <c r="N2124" s="19"/>
    </row>
    <row r="2125" spans="1:14">
      <c r="A2125" s="479">
        <v>6938</v>
      </c>
      <c r="B2125" s="19" t="s">
        <v>1530</v>
      </c>
      <c r="C2125" t="s">
        <v>141</v>
      </c>
      <c r="D2125" s="190">
        <v>6938</v>
      </c>
      <c r="E2125" s="192">
        <v>5870</v>
      </c>
      <c r="F2125" s="192">
        <v>5104</v>
      </c>
      <c r="G2125" s="481">
        <v>150</v>
      </c>
      <c r="H2125" s="19"/>
      <c r="I2125" s="19"/>
      <c r="M2125" s="19"/>
      <c r="N2125" s="19"/>
    </row>
    <row r="2126" spans="1:14">
      <c r="A2126" s="479">
        <v>6999</v>
      </c>
      <c r="B2126" s="19" t="s">
        <v>1531</v>
      </c>
      <c r="C2126" t="s">
        <v>141</v>
      </c>
      <c r="D2126" s="190">
        <v>6999</v>
      </c>
      <c r="E2126" s="192">
        <v>5256</v>
      </c>
      <c r="F2126" s="192">
        <v>4496</v>
      </c>
      <c r="G2126" s="481">
        <v>240</v>
      </c>
      <c r="H2126" s="19"/>
      <c r="I2126" s="19"/>
      <c r="M2126" s="19"/>
      <c r="N2126" s="19"/>
    </row>
    <row r="2127" spans="1:14">
      <c r="A2127" s="479">
        <v>6634</v>
      </c>
      <c r="B2127" s="19" t="s">
        <v>1532</v>
      </c>
      <c r="C2127" t="s">
        <v>141</v>
      </c>
      <c r="D2127" s="190">
        <v>6634</v>
      </c>
      <c r="E2127" s="192">
        <v>7322</v>
      </c>
      <c r="F2127" s="192">
        <v>6880</v>
      </c>
      <c r="G2127" s="481">
        <v>235</v>
      </c>
      <c r="H2127" s="19"/>
      <c r="I2127" s="19"/>
      <c r="M2127" s="19"/>
      <c r="N2127" s="19"/>
    </row>
    <row r="2128" spans="1:14">
      <c r="A2128" s="479">
        <v>6647</v>
      </c>
      <c r="B2128" s="19" t="s">
        <v>1533</v>
      </c>
      <c r="C2128" t="s">
        <v>141</v>
      </c>
      <c r="D2128" s="190">
        <v>6647</v>
      </c>
      <c r="E2128" s="192">
        <v>7912</v>
      </c>
      <c r="F2128" s="192">
        <v>5404</v>
      </c>
      <c r="G2128" s="481">
        <v>227</v>
      </c>
      <c r="H2128" s="19"/>
      <c r="I2128" s="19"/>
      <c r="M2128" s="19"/>
      <c r="N2128" s="19"/>
    </row>
    <row r="2129" spans="1:14">
      <c r="A2129" s="479">
        <v>6634</v>
      </c>
      <c r="B2129" s="19" t="s">
        <v>1534</v>
      </c>
      <c r="C2129" t="s">
        <v>141</v>
      </c>
      <c r="D2129" s="190">
        <v>6634</v>
      </c>
      <c r="E2129" s="192">
        <v>6561</v>
      </c>
      <c r="F2129" s="192">
        <v>4499</v>
      </c>
      <c r="G2129" s="481">
        <v>225</v>
      </c>
      <c r="H2129" s="19"/>
      <c r="I2129" s="19"/>
      <c r="M2129" s="19"/>
      <c r="N2129" s="19"/>
    </row>
    <row r="2130" spans="1:14">
      <c r="A2130" s="479">
        <v>6774</v>
      </c>
      <c r="B2130" s="19" t="s">
        <v>1535</v>
      </c>
      <c r="C2130" t="s">
        <v>141</v>
      </c>
      <c r="D2130" s="190">
        <v>6774</v>
      </c>
      <c r="E2130" s="192">
        <v>3920</v>
      </c>
      <c r="F2130" s="192">
        <v>4552</v>
      </c>
      <c r="G2130" s="481">
        <v>413</v>
      </c>
      <c r="H2130" s="19"/>
      <c r="I2130" s="19"/>
      <c r="M2130" s="19"/>
      <c r="N2130" s="19"/>
    </row>
    <row r="2131" spans="1:14">
      <c r="A2131" s="479">
        <v>6781</v>
      </c>
      <c r="B2131" s="19" t="s">
        <v>1536</v>
      </c>
      <c r="C2131" t="s">
        <v>141</v>
      </c>
      <c r="D2131" s="190">
        <v>6781</v>
      </c>
      <c r="E2131" s="192">
        <v>7333</v>
      </c>
      <c r="F2131" s="192">
        <v>5447</v>
      </c>
      <c r="G2131" s="481">
        <v>240</v>
      </c>
      <c r="H2131" s="19"/>
      <c r="I2131" s="19"/>
      <c r="M2131" s="19"/>
      <c r="N2131" s="19"/>
    </row>
    <row r="2132" spans="1:14">
      <c r="A2132" s="479">
        <v>6636</v>
      </c>
      <c r="B2132" s="19" t="s">
        <v>1537</v>
      </c>
      <c r="C2132" t="s">
        <v>141</v>
      </c>
      <c r="D2132" s="190">
        <v>6636</v>
      </c>
      <c r="E2132" s="192">
        <v>5283</v>
      </c>
      <c r="F2132" s="192">
        <v>3708</v>
      </c>
      <c r="G2132" s="481">
        <v>240</v>
      </c>
      <c r="H2132" s="19"/>
      <c r="I2132" s="19"/>
      <c r="M2132" s="19"/>
      <c r="N2132" s="19"/>
    </row>
    <row r="2133" spans="1:14">
      <c r="A2133" s="479">
        <v>6637</v>
      </c>
      <c r="B2133" s="19" t="s">
        <v>1538</v>
      </c>
      <c r="C2133" t="s">
        <v>141</v>
      </c>
      <c r="D2133" s="190">
        <v>6637</v>
      </c>
      <c r="E2133" s="192">
        <v>6041</v>
      </c>
      <c r="F2133" s="192">
        <v>4450</v>
      </c>
      <c r="G2133" s="481">
        <v>240</v>
      </c>
      <c r="H2133" s="19"/>
      <c r="I2133" s="19"/>
      <c r="M2133" s="19"/>
      <c r="N2133" s="19"/>
    </row>
    <row r="2134" spans="1:14">
      <c r="A2134" s="479">
        <v>6684</v>
      </c>
      <c r="B2134" s="19" t="s">
        <v>1539</v>
      </c>
      <c r="C2134" t="s">
        <v>141</v>
      </c>
      <c r="D2134" s="190">
        <v>6684</v>
      </c>
      <c r="E2134" s="192">
        <v>6132</v>
      </c>
      <c r="F2134" s="192">
        <v>3433</v>
      </c>
      <c r="G2134" s="481">
        <v>240</v>
      </c>
      <c r="H2134" s="19"/>
      <c r="I2134" s="19"/>
      <c r="M2134" s="19"/>
      <c r="N2134" s="19"/>
    </row>
    <row r="2135" spans="1:14">
      <c r="A2135" s="479">
        <v>6699</v>
      </c>
      <c r="B2135" s="19" t="s">
        <v>1540</v>
      </c>
      <c r="C2135" t="s">
        <v>141</v>
      </c>
      <c r="D2135" s="190">
        <v>6699</v>
      </c>
      <c r="E2135" s="192">
        <v>6672</v>
      </c>
      <c r="F2135" s="192">
        <v>3600</v>
      </c>
      <c r="G2135" s="481">
        <v>240</v>
      </c>
      <c r="H2135" s="19"/>
      <c r="I2135" s="19"/>
      <c r="M2135" s="19"/>
      <c r="N2135" s="19"/>
    </row>
    <row r="2136" spans="1:14">
      <c r="A2136" s="479">
        <v>6685</v>
      </c>
      <c r="B2136" s="19" t="s">
        <v>1541</v>
      </c>
      <c r="C2136" t="s">
        <v>141</v>
      </c>
      <c r="D2136" s="190">
        <v>6685</v>
      </c>
      <c r="E2136" s="192">
        <v>6672</v>
      </c>
      <c r="F2136" s="192">
        <v>3600</v>
      </c>
      <c r="G2136" s="481">
        <v>240</v>
      </c>
      <c r="H2136" s="19"/>
      <c r="I2136" s="19"/>
      <c r="M2136" s="19"/>
      <c r="N2136" s="19"/>
    </row>
    <row r="2137" spans="1:14">
      <c r="A2137" s="479">
        <v>6683</v>
      </c>
      <c r="B2137" s="19" t="s">
        <v>1542</v>
      </c>
      <c r="C2137" t="s">
        <v>141</v>
      </c>
      <c r="D2137" s="190">
        <v>6683</v>
      </c>
      <c r="E2137" s="192">
        <v>4908</v>
      </c>
      <c r="F2137" s="192">
        <v>3351</v>
      </c>
      <c r="G2137" s="481">
        <v>240</v>
      </c>
      <c r="H2137" s="19"/>
      <c r="I2137" s="19"/>
      <c r="M2137" s="19"/>
      <c r="N2137" s="19"/>
    </row>
    <row r="2138" spans="1:14">
      <c r="A2138" s="479">
        <v>6682</v>
      </c>
      <c r="B2138" s="19" t="s">
        <v>1543</v>
      </c>
      <c r="C2138" t="s">
        <v>141</v>
      </c>
      <c r="D2138" s="190">
        <v>6682</v>
      </c>
      <c r="E2138" s="192">
        <v>6444</v>
      </c>
      <c r="F2138" s="192">
        <v>4427</v>
      </c>
      <c r="G2138" s="481">
        <v>240</v>
      </c>
      <c r="H2138" s="19"/>
      <c r="I2138" s="19"/>
      <c r="M2138" s="19"/>
      <c r="N2138" s="19"/>
    </row>
    <row r="2139" spans="1:14">
      <c r="A2139" s="479">
        <v>6646</v>
      </c>
      <c r="B2139" s="19" t="s">
        <v>1544</v>
      </c>
      <c r="C2139" t="s">
        <v>141</v>
      </c>
      <c r="D2139" s="190">
        <v>6646</v>
      </c>
      <c r="E2139" s="192">
        <v>7494</v>
      </c>
      <c r="F2139" s="192">
        <v>5101</v>
      </c>
      <c r="G2139" s="481">
        <v>240</v>
      </c>
      <c r="H2139" s="19"/>
      <c r="I2139" s="19"/>
      <c r="M2139" s="19"/>
      <c r="N2139" s="19"/>
    </row>
    <row r="2140" spans="1:14">
      <c r="A2140" s="479">
        <v>6576</v>
      </c>
      <c r="B2140" s="19" t="s">
        <v>1545</v>
      </c>
      <c r="C2140" t="s">
        <v>141</v>
      </c>
      <c r="D2140" s="190">
        <v>6576</v>
      </c>
      <c r="E2140" s="192">
        <v>6211</v>
      </c>
      <c r="F2140" s="192">
        <v>5437</v>
      </c>
      <c r="G2140" s="481">
        <v>184</v>
      </c>
      <c r="H2140" s="19"/>
      <c r="I2140" s="19"/>
      <c r="M2140" s="19"/>
      <c r="N2140" s="19"/>
    </row>
    <row r="2141" spans="1:14">
      <c r="A2141" s="479">
        <v>6803</v>
      </c>
      <c r="B2141" s="19" t="s">
        <v>1446</v>
      </c>
      <c r="C2141" t="s">
        <v>141</v>
      </c>
      <c r="D2141" s="190">
        <v>6803</v>
      </c>
      <c r="E2141" s="192">
        <v>6211</v>
      </c>
      <c r="F2141" s="192">
        <v>5437</v>
      </c>
      <c r="G2141" s="481">
        <v>184</v>
      </c>
      <c r="H2141" s="19"/>
      <c r="I2141" s="19"/>
      <c r="M2141" s="19"/>
      <c r="N2141" s="19"/>
    </row>
    <row r="2142" spans="1:14">
      <c r="A2142" s="479">
        <v>6956</v>
      </c>
      <c r="B2142" s="19" t="s">
        <v>1546</v>
      </c>
      <c r="C2142" t="s">
        <v>141</v>
      </c>
      <c r="D2142" s="190">
        <v>6956</v>
      </c>
      <c r="E2142" s="192">
        <v>6168</v>
      </c>
      <c r="F2142" s="192">
        <v>4296</v>
      </c>
      <c r="G2142" s="481" t="s">
        <v>189</v>
      </c>
      <c r="H2142" s="19"/>
      <c r="I2142" s="19"/>
      <c r="M2142" s="19"/>
      <c r="N2142" s="19"/>
    </row>
    <row r="2143" spans="1:14">
      <c r="A2143" s="479">
        <v>6900</v>
      </c>
      <c r="B2143" s="19" t="s">
        <v>1429</v>
      </c>
      <c r="C2143" t="s">
        <v>141</v>
      </c>
      <c r="D2143" s="190">
        <v>6900</v>
      </c>
      <c r="E2143" s="192">
        <v>6168</v>
      </c>
      <c r="F2143" s="192">
        <v>4296</v>
      </c>
      <c r="G2143" s="481" t="s">
        <v>189</v>
      </c>
      <c r="H2143" s="19"/>
      <c r="I2143" s="19"/>
      <c r="M2143" s="19"/>
      <c r="N2143" s="19"/>
    </row>
    <row r="2144" spans="1:14">
      <c r="A2144" s="434">
        <v>6300</v>
      </c>
      <c r="B2144" s="19" t="s">
        <v>1547</v>
      </c>
      <c r="C2144" t="s">
        <v>158</v>
      </c>
      <c r="D2144">
        <v>6300</v>
      </c>
      <c r="E2144" s="192">
        <v>18433</v>
      </c>
      <c r="F2144" s="192">
        <v>17013</v>
      </c>
      <c r="G2144" s="481">
        <v>444</v>
      </c>
      <c r="H2144" s="19"/>
      <c r="I2144" s="19"/>
      <c r="M2144" s="19"/>
      <c r="N2144" s="19"/>
    </row>
    <row r="2145" spans="1:14">
      <c r="A2145" s="434">
        <v>6340</v>
      </c>
      <c r="B2145" s="19" t="s">
        <v>1548</v>
      </c>
      <c r="C2145" t="s">
        <v>158</v>
      </c>
      <c r="D2145">
        <v>6340</v>
      </c>
      <c r="E2145" s="192">
        <v>15069</v>
      </c>
      <c r="F2145" s="192">
        <v>14716</v>
      </c>
      <c r="G2145" s="481">
        <v>334</v>
      </c>
      <c r="H2145" s="19"/>
      <c r="I2145" s="19"/>
      <c r="M2145" s="19"/>
      <c r="N2145" s="19"/>
    </row>
    <row r="2146" spans="1:14">
      <c r="A2146" s="434">
        <v>6330</v>
      </c>
      <c r="B2146" s="19" t="s">
        <v>1549</v>
      </c>
      <c r="C2146" t="s">
        <v>158</v>
      </c>
      <c r="D2146">
        <v>6330</v>
      </c>
      <c r="E2146" s="192">
        <v>14867</v>
      </c>
      <c r="F2146" s="192">
        <v>17107</v>
      </c>
      <c r="G2146" s="481">
        <v>386</v>
      </c>
      <c r="H2146" s="19"/>
      <c r="I2146" s="19"/>
      <c r="M2146" s="19"/>
      <c r="N2146" s="19"/>
    </row>
    <row r="2147" spans="1:14">
      <c r="A2147" s="434">
        <v>6343</v>
      </c>
      <c r="B2147" s="19" t="s">
        <v>1550</v>
      </c>
      <c r="C2147" t="s">
        <v>158</v>
      </c>
      <c r="D2147">
        <v>6343</v>
      </c>
      <c r="E2147" s="192">
        <v>13908</v>
      </c>
      <c r="F2147" s="192">
        <v>13996</v>
      </c>
      <c r="G2147" s="481">
        <v>335</v>
      </c>
      <c r="H2147" s="19"/>
      <c r="I2147" s="19"/>
      <c r="M2147" s="19"/>
      <c r="N2147" s="19"/>
    </row>
    <row r="2148" spans="1:14">
      <c r="A2148" s="434">
        <v>6312</v>
      </c>
      <c r="B2148" s="19" t="s">
        <v>1551</v>
      </c>
      <c r="C2148" t="s">
        <v>158</v>
      </c>
      <c r="D2148">
        <v>6312</v>
      </c>
      <c r="E2148" s="192">
        <v>13505</v>
      </c>
      <c r="F2148" s="192">
        <v>13941</v>
      </c>
      <c r="G2148" s="481">
        <v>260</v>
      </c>
      <c r="H2148" s="19"/>
      <c r="I2148" s="19"/>
      <c r="M2148" s="19"/>
      <c r="N2148" s="19"/>
    </row>
    <row r="2149" spans="1:14">
      <c r="A2149" s="434">
        <v>6331</v>
      </c>
      <c r="B2149" s="19" t="s">
        <v>1552</v>
      </c>
      <c r="C2149" t="s">
        <v>158</v>
      </c>
      <c r="D2149">
        <v>6331</v>
      </c>
      <c r="E2149" s="192">
        <v>13779</v>
      </c>
      <c r="F2149" s="192">
        <v>17190</v>
      </c>
      <c r="G2149" s="481">
        <v>300</v>
      </c>
      <c r="H2149" s="19"/>
      <c r="I2149" s="19"/>
      <c r="M2149" s="19"/>
      <c r="N2149" s="19"/>
    </row>
    <row r="2150" spans="1:14">
      <c r="A2150" s="434">
        <v>6314</v>
      </c>
      <c r="B2150" s="19" t="s">
        <v>1553</v>
      </c>
      <c r="C2150" t="s">
        <v>158</v>
      </c>
      <c r="D2150">
        <v>6314</v>
      </c>
      <c r="E2150" s="192">
        <v>14511</v>
      </c>
      <c r="F2150" s="192">
        <v>15360</v>
      </c>
      <c r="G2150" s="481">
        <v>373</v>
      </c>
      <c r="H2150" s="19"/>
      <c r="I2150" s="19"/>
      <c r="M2150" s="19"/>
      <c r="N2150" s="19"/>
    </row>
    <row r="2151" spans="1:14">
      <c r="A2151" s="434">
        <v>6315</v>
      </c>
      <c r="B2151" s="19" t="s">
        <v>1554</v>
      </c>
      <c r="C2151" t="s">
        <v>158</v>
      </c>
      <c r="D2151">
        <v>6315</v>
      </c>
      <c r="E2151" s="192">
        <v>15203</v>
      </c>
      <c r="F2151" s="192">
        <v>15413</v>
      </c>
      <c r="G2151" s="481">
        <v>354</v>
      </c>
      <c r="H2151" s="19"/>
      <c r="I2151" s="19"/>
      <c r="M2151" s="19"/>
      <c r="N2151" s="19"/>
    </row>
    <row r="2152" spans="1:14">
      <c r="A2152" s="434">
        <v>6313</v>
      </c>
      <c r="B2152" s="19" t="s">
        <v>1555</v>
      </c>
      <c r="C2152" t="s">
        <v>158</v>
      </c>
      <c r="D2152">
        <v>6313</v>
      </c>
      <c r="E2152" s="192">
        <v>13161</v>
      </c>
      <c r="F2152" s="192">
        <v>13599</v>
      </c>
      <c r="G2152" s="481">
        <v>302</v>
      </c>
      <c r="H2152" s="19"/>
      <c r="I2152" s="19"/>
      <c r="M2152" s="19"/>
      <c r="N2152" s="19"/>
    </row>
    <row r="2153" spans="1:14">
      <c r="A2153" s="434">
        <v>6318</v>
      </c>
      <c r="B2153" s="19" t="s">
        <v>1556</v>
      </c>
      <c r="C2153" t="s">
        <v>158</v>
      </c>
      <c r="D2153">
        <v>6318</v>
      </c>
      <c r="E2153" s="192">
        <v>18812</v>
      </c>
      <c r="F2153" s="192">
        <v>19285</v>
      </c>
      <c r="G2153" s="481">
        <v>389</v>
      </c>
      <c r="H2153" s="19"/>
      <c r="I2153" s="19"/>
      <c r="M2153" s="19"/>
      <c r="N2153" s="19"/>
    </row>
    <row r="2154" spans="1:14">
      <c r="A2154" s="434">
        <v>6345</v>
      </c>
      <c r="B2154" s="19" t="s">
        <v>1557</v>
      </c>
      <c r="C2154" t="s">
        <v>158</v>
      </c>
      <c r="D2154">
        <v>6345</v>
      </c>
      <c r="E2154" s="192">
        <v>11911</v>
      </c>
      <c r="F2154" s="192">
        <v>14733</v>
      </c>
      <c r="G2154" s="481">
        <v>317</v>
      </c>
      <c r="H2154" s="19"/>
      <c r="I2154" s="19"/>
      <c r="M2154" s="19"/>
      <c r="N2154" s="19"/>
    </row>
    <row r="2155" spans="1:14">
      <c r="A2155" s="434">
        <v>8775</v>
      </c>
      <c r="B2155" s="19" t="s">
        <v>1558</v>
      </c>
      <c r="C2155" t="s">
        <v>149</v>
      </c>
      <c r="D2155">
        <v>8775</v>
      </c>
      <c r="E2155" s="192">
        <v>4892</v>
      </c>
      <c r="F2155" s="192">
        <v>4331</v>
      </c>
      <c r="G2155" s="481">
        <v>204</v>
      </c>
      <c r="H2155" s="19"/>
      <c r="I2155" s="19"/>
      <c r="M2155" s="19"/>
      <c r="N2155" s="19"/>
    </row>
    <row r="2156" spans="1:14">
      <c r="A2156" s="434">
        <v>8774</v>
      </c>
      <c r="B2156" s="19" t="s">
        <v>1559</v>
      </c>
      <c r="C2156" t="s">
        <v>149</v>
      </c>
      <c r="D2156">
        <v>8774</v>
      </c>
      <c r="E2156" s="192">
        <v>5038</v>
      </c>
      <c r="F2156" s="192">
        <v>3945</v>
      </c>
      <c r="G2156" s="481">
        <v>190</v>
      </c>
      <c r="H2156" s="19"/>
      <c r="I2156" s="19"/>
      <c r="M2156" s="19"/>
      <c r="N2156" s="19"/>
    </row>
    <row r="2157" spans="1:14">
      <c r="A2157" s="434">
        <v>8762</v>
      </c>
      <c r="B2157" s="19" t="s">
        <v>1560</v>
      </c>
      <c r="C2157" t="s">
        <v>149</v>
      </c>
      <c r="D2157">
        <v>8762</v>
      </c>
      <c r="E2157" s="192">
        <v>6139</v>
      </c>
      <c r="F2157" s="192">
        <v>4135</v>
      </c>
      <c r="G2157" s="481">
        <v>188</v>
      </c>
      <c r="H2157" s="19"/>
      <c r="I2157" s="19"/>
      <c r="M2157" s="19"/>
      <c r="N2157" s="19"/>
    </row>
    <row r="2158" spans="1:14">
      <c r="A2158" s="434">
        <v>8784</v>
      </c>
      <c r="B2158" s="19" t="s">
        <v>1561</v>
      </c>
      <c r="C2158" t="s">
        <v>149</v>
      </c>
      <c r="D2158">
        <v>8784</v>
      </c>
      <c r="E2158" s="192">
        <v>6707</v>
      </c>
      <c r="F2158" s="192">
        <v>6033</v>
      </c>
      <c r="G2158" s="481">
        <v>190</v>
      </c>
    </row>
    <row r="2159" spans="1:14">
      <c r="A2159" s="434">
        <v>8765</v>
      </c>
      <c r="B2159" s="19" t="s">
        <v>1562</v>
      </c>
      <c r="C2159" t="s">
        <v>149</v>
      </c>
      <c r="D2159">
        <v>8765</v>
      </c>
      <c r="E2159" s="192">
        <v>7183</v>
      </c>
      <c r="F2159" s="192">
        <v>3641</v>
      </c>
      <c r="G2159" s="481">
        <v>190</v>
      </c>
    </row>
    <row r="2160" spans="1:14">
      <c r="A2160" s="434">
        <v>8762</v>
      </c>
      <c r="B2160" s="19" t="s">
        <v>1563</v>
      </c>
      <c r="C2160" t="s">
        <v>149</v>
      </c>
      <c r="D2160">
        <v>8762</v>
      </c>
      <c r="E2160" s="192">
        <v>5096</v>
      </c>
      <c r="F2160" s="192">
        <v>4320</v>
      </c>
      <c r="G2160" s="481">
        <v>190</v>
      </c>
    </row>
    <row r="2161" spans="1:7">
      <c r="A2161" s="434">
        <v>8777</v>
      </c>
      <c r="B2161" s="19" t="s">
        <v>1564</v>
      </c>
      <c r="C2161" t="s">
        <v>149</v>
      </c>
      <c r="D2161">
        <v>8777</v>
      </c>
      <c r="E2161" s="192">
        <v>5986</v>
      </c>
      <c r="F2161" s="192">
        <v>5561</v>
      </c>
      <c r="G2161" s="481">
        <v>202</v>
      </c>
    </row>
    <row r="2162" spans="1:7">
      <c r="A2162" s="434">
        <v>8767</v>
      </c>
      <c r="B2162" s="19" t="s">
        <v>1565</v>
      </c>
      <c r="C2162" t="s">
        <v>149</v>
      </c>
      <c r="D2162">
        <v>8767</v>
      </c>
      <c r="E2162" s="192">
        <v>5882</v>
      </c>
      <c r="F2162" s="192">
        <v>3621</v>
      </c>
      <c r="G2162" s="481">
        <v>166</v>
      </c>
    </row>
    <row r="2163" spans="1:7">
      <c r="A2163" s="434">
        <v>8762</v>
      </c>
      <c r="B2163" s="19" t="s">
        <v>1566</v>
      </c>
      <c r="C2163" t="s">
        <v>149</v>
      </c>
      <c r="D2163">
        <v>8762</v>
      </c>
      <c r="E2163" s="192">
        <v>5556</v>
      </c>
      <c r="F2163" s="192">
        <v>4778</v>
      </c>
      <c r="G2163" s="481">
        <v>197</v>
      </c>
    </row>
    <row r="2164" spans="1:7">
      <c r="A2164" s="434">
        <v>8783</v>
      </c>
      <c r="B2164" s="19" t="s">
        <v>1567</v>
      </c>
      <c r="C2164" t="s">
        <v>149</v>
      </c>
      <c r="D2164">
        <v>8783</v>
      </c>
      <c r="E2164" s="192">
        <v>6571</v>
      </c>
      <c r="F2164" s="192">
        <v>3999</v>
      </c>
      <c r="G2164" s="481">
        <v>194</v>
      </c>
    </row>
    <row r="2165" spans="1:7">
      <c r="A2165" s="434">
        <v>8777</v>
      </c>
      <c r="B2165" s="19" t="s">
        <v>1568</v>
      </c>
      <c r="C2165" t="s">
        <v>149</v>
      </c>
      <c r="D2165">
        <v>8777</v>
      </c>
      <c r="E2165" s="192">
        <v>5379</v>
      </c>
      <c r="F2165" s="192">
        <v>4997</v>
      </c>
      <c r="G2165" s="481">
        <v>179</v>
      </c>
    </row>
    <row r="2166" spans="1:7">
      <c r="A2166" s="434">
        <v>8756</v>
      </c>
      <c r="B2166" s="19" t="s">
        <v>1569</v>
      </c>
      <c r="C2166" t="s">
        <v>149</v>
      </c>
      <c r="D2166">
        <v>8756</v>
      </c>
      <c r="E2166" s="192">
        <v>6066</v>
      </c>
      <c r="F2166" s="192">
        <v>4353</v>
      </c>
      <c r="G2166" s="481">
        <v>226</v>
      </c>
    </row>
    <row r="2167" spans="1:7">
      <c r="A2167" s="434">
        <v>8772</v>
      </c>
      <c r="B2167" s="19" t="s">
        <v>1570</v>
      </c>
      <c r="C2167" t="s">
        <v>149</v>
      </c>
      <c r="D2167">
        <v>8772</v>
      </c>
      <c r="E2167" s="192">
        <v>5266</v>
      </c>
      <c r="F2167" s="192">
        <v>4602</v>
      </c>
      <c r="G2167" s="481">
        <v>215</v>
      </c>
    </row>
    <row r="2168" spans="1:7">
      <c r="A2168" s="434">
        <v>8773</v>
      </c>
      <c r="B2168" s="19" t="s">
        <v>1571</v>
      </c>
      <c r="C2168" t="s">
        <v>149</v>
      </c>
      <c r="D2168">
        <v>8773</v>
      </c>
      <c r="E2168" s="192">
        <v>5583</v>
      </c>
      <c r="F2168" s="192">
        <v>4558</v>
      </c>
      <c r="G2168" s="481">
        <v>172</v>
      </c>
    </row>
    <row r="2169" spans="1:7">
      <c r="A2169" s="434">
        <v>8775</v>
      </c>
      <c r="B2169" s="19" t="s">
        <v>1572</v>
      </c>
      <c r="C2169" t="s">
        <v>149</v>
      </c>
      <c r="D2169">
        <v>8775</v>
      </c>
      <c r="E2169" s="192">
        <v>4840</v>
      </c>
      <c r="F2169" s="192">
        <v>4418</v>
      </c>
      <c r="G2169" s="481">
        <v>192</v>
      </c>
    </row>
    <row r="2170" spans="1:7">
      <c r="A2170" s="434">
        <v>8782</v>
      </c>
      <c r="B2170" s="19" t="s">
        <v>1573</v>
      </c>
      <c r="C2170" t="s">
        <v>149</v>
      </c>
      <c r="D2170">
        <v>8782</v>
      </c>
      <c r="E2170" s="192">
        <v>6550</v>
      </c>
      <c r="F2170" s="192">
        <v>3981</v>
      </c>
      <c r="G2170" s="481">
        <v>148</v>
      </c>
    </row>
    <row r="2171" spans="1:7">
      <c r="A2171" s="434">
        <v>8766</v>
      </c>
      <c r="B2171" s="19" t="s">
        <v>1574</v>
      </c>
      <c r="C2171" t="s">
        <v>149</v>
      </c>
      <c r="D2171">
        <v>8766</v>
      </c>
      <c r="E2171" s="192">
        <v>7992</v>
      </c>
      <c r="F2171" s="192">
        <v>3550</v>
      </c>
      <c r="G2171" s="481">
        <v>137</v>
      </c>
    </row>
    <row r="2172" spans="1:7">
      <c r="A2172" s="434">
        <v>8775</v>
      </c>
      <c r="B2172" s="19" t="s">
        <v>1558</v>
      </c>
      <c r="C2172" t="s">
        <v>149</v>
      </c>
      <c r="D2172">
        <v>8775</v>
      </c>
      <c r="E2172" s="192">
        <v>4892</v>
      </c>
      <c r="F2172" s="192">
        <v>4331</v>
      </c>
      <c r="G2172" s="481">
        <v>204</v>
      </c>
    </row>
    <row r="2173" spans="1:7">
      <c r="A2173" s="434">
        <v>8774</v>
      </c>
      <c r="B2173" s="19" t="s">
        <v>1559</v>
      </c>
      <c r="C2173" t="s">
        <v>149</v>
      </c>
      <c r="D2173">
        <v>8774</v>
      </c>
      <c r="E2173" s="192">
        <v>5038</v>
      </c>
      <c r="F2173" s="192">
        <v>3945</v>
      </c>
      <c r="G2173" s="481">
        <v>190</v>
      </c>
    </row>
    <row r="2174" spans="1:7">
      <c r="A2174" s="434">
        <v>8762</v>
      </c>
      <c r="B2174" s="19" t="s">
        <v>1560</v>
      </c>
      <c r="C2174" t="s">
        <v>149</v>
      </c>
      <c r="D2174">
        <v>8762</v>
      </c>
      <c r="E2174" s="192">
        <v>6139</v>
      </c>
      <c r="F2174" s="192">
        <v>4135</v>
      </c>
      <c r="G2174" s="481">
        <v>188</v>
      </c>
    </row>
    <row r="2175" spans="1:7">
      <c r="A2175" s="434">
        <v>8784</v>
      </c>
      <c r="B2175" s="19" t="s">
        <v>1561</v>
      </c>
      <c r="C2175" t="s">
        <v>149</v>
      </c>
      <c r="D2175">
        <v>8784</v>
      </c>
      <c r="E2175" s="192">
        <v>6707</v>
      </c>
      <c r="F2175" s="192">
        <v>6033</v>
      </c>
      <c r="G2175" s="481">
        <v>190</v>
      </c>
    </row>
    <row r="2176" spans="1:7">
      <c r="A2176" s="434">
        <v>8765</v>
      </c>
      <c r="B2176" s="19" t="s">
        <v>1562</v>
      </c>
      <c r="C2176" t="s">
        <v>149</v>
      </c>
      <c r="D2176">
        <v>8765</v>
      </c>
      <c r="E2176" s="192">
        <v>7183</v>
      </c>
      <c r="F2176" s="192">
        <v>3641</v>
      </c>
      <c r="G2176" s="481">
        <v>190</v>
      </c>
    </row>
    <row r="2177" spans="1:7">
      <c r="A2177" s="434">
        <v>8762</v>
      </c>
      <c r="B2177" s="19" t="s">
        <v>1563</v>
      </c>
      <c r="C2177" t="s">
        <v>149</v>
      </c>
      <c r="D2177">
        <v>8762</v>
      </c>
      <c r="E2177" s="192">
        <v>5096</v>
      </c>
      <c r="F2177" s="192">
        <v>4320</v>
      </c>
      <c r="G2177" s="481">
        <v>190</v>
      </c>
    </row>
    <row r="2178" spans="1:7">
      <c r="A2178" s="434">
        <v>8777</v>
      </c>
      <c r="B2178" s="19" t="s">
        <v>1564</v>
      </c>
      <c r="C2178" t="s">
        <v>149</v>
      </c>
      <c r="D2178">
        <v>8777</v>
      </c>
      <c r="E2178" s="192">
        <v>5986</v>
      </c>
      <c r="F2178" s="192">
        <v>5561</v>
      </c>
      <c r="G2178" s="481">
        <v>202</v>
      </c>
    </row>
    <row r="2179" spans="1:7">
      <c r="A2179" s="434">
        <v>8767</v>
      </c>
      <c r="B2179" s="19" t="s">
        <v>1565</v>
      </c>
      <c r="C2179" t="s">
        <v>149</v>
      </c>
      <c r="D2179">
        <v>8767</v>
      </c>
      <c r="E2179" s="192">
        <v>5882</v>
      </c>
      <c r="F2179" s="192">
        <v>3621</v>
      </c>
      <c r="G2179" s="481">
        <v>166</v>
      </c>
    </row>
    <row r="2180" spans="1:7">
      <c r="A2180" s="434">
        <v>8762</v>
      </c>
      <c r="B2180" s="19" t="s">
        <v>1566</v>
      </c>
      <c r="C2180" t="s">
        <v>149</v>
      </c>
      <c r="D2180">
        <v>8762</v>
      </c>
      <c r="E2180" s="192">
        <v>5556</v>
      </c>
      <c r="F2180" s="192">
        <v>4778</v>
      </c>
      <c r="G2180" s="481">
        <v>197</v>
      </c>
    </row>
    <row r="2181" spans="1:7">
      <c r="A2181" s="434">
        <v>8783</v>
      </c>
      <c r="B2181" s="19" t="s">
        <v>1567</v>
      </c>
      <c r="C2181" t="s">
        <v>149</v>
      </c>
      <c r="D2181">
        <v>8783</v>
      </c>
      <c r="E2181" s="192">
        <v>6571</v>
      </c>
      <c r="F2181" s="192">
        <v>3999</v>
      </c>
      <c r="G2181" s="481">
        <v>194</v>
      </c>
    </row>
    <row r="2182" spans="1:7">
      <c r="A2182" s="434">
        <v>8777</v>
      </c>
      <c r="B2182" s="19" t="s">
        <v>1568</v>
      </c>
      <c r="C2182" t="s">
        <v>149</v>
      </c>
      <c r="D2182">
        <v>8777</v>
      </c>
      <c r="E2182" s="192">
        <v>5379</v>
      </c>
      <c r="F2182" s="192">
        <v>4997</v>
      </c>
      <c r="G2182" s="481">
        <v>179</v>
      </c>
    </row>
    <row r="2183" spans="1:7">
      <c r="A2183" s="434">
        <v>8756</v>
      </c>
      <c r="B2183" s="19" t="s">
        <v>1569</v>
      </c>
      <c r="C2183" t="s">
        <v>149</v>
      </c>
      <c r="D2183">
        <v>8756</v>
      </c>
      <c r="E2183" s="192">
        <v>6066</v>
      </c>
      <c r="F2183" s="192">
        <v>4353</v>
      </c>
      <c r="G2183" s="481">
        <v>226</v>
      </c>
    </row>
    <row r="2184" spans="1:7">
      <c r="A2184" s="434">
        <v>8772</v>
      </c>
      <c r="B2184" s="19" t="s">
        <v>1570</v>
      </c>
      <c r="C2184" t="s">
        <v>149</v>
      </c>
      <c r="D2184">
        <v>8772</v>
      </c>
      <c r="E2184" s="192">
        <v>5266</v>
      </c>
      <c r="F2184" s="192">
        <v>4602</v>
      </c>
      <c r="G2184" s="481">
        <v>215</v>
      </c>
    </row>
    <row r="2185" spans="1:7">
      <c r="A2185" s="434">
        <v>8773</v>
      </c>
      <c r="B2185" s="19" t="s">
        <v>1571</v>
      </c>
      <c r="C2185" t="s">
        <v>149</v>
      </c>
      <c r="D2185">
        <v>8773</v>
      </c>
      <c r="E2185" s="192">
        <v>5583</v>
      </c>
      <c r="F2185" s="192">
        <v>4558</v>
      </c>
      <c r="G2185" s="481">
        <v>172</v>
      </c>
    </row>
    <row r="2186" spans="1:7">
      <c r="A2186" s="434">
        <v>8775</v>
      </c>
      <c r="B2186" s="19" t="s">
        <v>1572</v>
      </c>
      <c r="C2186" t="s">
        <v>149</v>
      </c>
      <c r="D2186">
        <v>8775</v>
      </c>
      <c r="E2186" s="192">
        <v>4840</v>
      </c>
      <c r="F2186" s="192">
        <v>4418</v>
      </c>
      <c r="G2186" s="481">
        <v>192</v>
      </c>
    </row>
    <row r="2187" spans="1:7">
      <c r="A2187" s="434">
        <v>8782</v>
      </c>
      <c r="B2187" s="19" t="s">
        <v>1573</v>
      </c>
      <c r="C2187" t="s">
        <v>149</v>
      </c>
      <c r="D2187">
        <v>8782</v>
      </c>
      <c r="E2187" s="192">
        <v>6550</v>
      </c>
      <c r="F2187" s="192">
        <v>3981</v>
      </c>
      <c r="G2187" s="481">
        <v>148</v>
      </c>
    </row>
    <row r="2188" spans="1:7">
      <c r="A2188" s="434">
        <v>8766</v>
      </c>
      <c r="B2188" s="19" t="s">
        <v>1574</v>
      </c>
      <c r="C2188" t="s">
        <v>149</v>
      </c>
      <c r="D2188">
        <v>8766</v>
      </c>
      <c r="E2188" s="192">
        <v>7992</v>
      </c>
      <c r="F2188" s="192">
        <v>3550</v>
      </c>
      <c r="G2188" s="481">
        <v>137</v>
      </c>
    </row>
    <row r="2189" spans="1:7">
      <c r="A2189" s="434">
        <v>8755</v>
      </c>
      <c r="B2189" s="19" t="s">
        <v>1575</v>
      </c>
      <c r="C2189" t="s">
        <v>149</v>
      </c>
      <c r="D2189">
        <v>8755</v>
      </c>
      <c r="E2189" s="192">
        <v>4505</v>
      </c>
      <c r="F2189" s="192">
        <v>4395</v>
      </c>
      <c r="G2189" s="481">
        <v>226</v>
      </c>
    </row>
    <row r="2190" spans="1:7">
      <c r="A2190" s="434">
        <v>8750</v>
      </c>
      <c r="B2190" s="19" t="s">
        <v>1576</v>
      </c>
      <c r="C2190" t="s">
        <v>149</v>
      </c>
      <c r="D2190">
        <v>8750</v>
      </c>
      <c r="E2190" s="192">
        <v>5537</v>
      </c>
      <c r="F2190" s="192">
        <v>4626</v>
      </c>
      <c r="G2190" s="481">
        <v>252</v>
      </c>
    </row>
    <row r="2191" spans="1:7">
      <c r="A2191" s="434">
        <v>8750</v>
      </c>
      <c r="B2191" s="19" t="s">
        <v>1577</v>
      </c>
      <c r="C2191" t="s">
        <v>149</v>
      </c>
      <c r="D2191">
        <v>8750</v>
      </c>
      <c r="E2191" s="192">
        <v>7217</v>
      </c>
      <c r="F2191" s="192">
        <v>3234</v>
      </c>
      <c r="G2191" s="481">
        <v>128</v>
      </c>
    </row>
    <row r="2192" spans="1:7">
      <c r="A2192" s="434">
        <v>8754</v>
      </c>
      <c r="B2192" s="19" t="s">
        <v>1578</v>
      </c>
      <c r="C2192" t="s">
        <v>149</v>
      </c>
      <c r="D2192">
        <v>8754</v>
      </c>
      <c r="E2192" s="192">
        <v>4896</v>
      </c>
      <c r="F2192" s="192">
        <v>4786</v>
      </c>
      <c r="G2192" s="481">
        <v>218</v>
      </c>
    </row>
    <row r="2193" spans="1:7">
      <c r="A2193" s="434">
        <v>8868</v>
      </c>
      <c r="B2193" s="19" t="s">
        <v>1579</v>
      </c>
      <c r="C2193" t="s">
        <v>149</v>
      </c>
      <c r="D2193">
        <v>8868</v>
      </c>
      <c r="E2193" s="192">
        <v>6860</v>
      </c>
      <c r="F2193" s="192">
        <v>5408</v>
      </c>
      <c r="G2193" s="481">
        <v>219</v>
      </c>
    </row>
    <row r="2194" spans="1:7">
      <c r="A2194" s="434">
        <v>8865</v>
      </c>
      <c r="B2194" s="19" t="s">
        <v>1580</v>
      </c>
      <c r="C2194" t="s">
        <v>149</v>
      </c>
      <c r="D2194">
        <v>8865</v>
      </c>
      <c r="E2194" s="192">
        <v>5908</v>
      </c>
      <c r="F2194" s="192">
        <v>6366</v>
      </c>
      <c r="G2194" s="481">
        <v>230</v>
      </c>
    </row>
    <row r="2195" spans="1:7">
      <c r="A2195" s="434">
        <v>8752</v>
      </c>
      <c r="B2195" s="19" t="s">
        <v>1581</v>
      </c>
      <c r="C2195" t="s">
        <v>149</v>
      </c>
      <c r="D2195">
        <v>8752</v>
      </c>
      <c r="E2195" s="192">
        <v>6783</v>
      </c>
      <c r="F2195" s="192">
        <v>5860</v>
      </c>
      <c r="G2195" s="481">
        <v>229</v>
      </c>
    </row>
    <row r="2196" spans="1:7">
      <c r="A2196" s="434">
        <v>8867</v>
      </c>
      <c r="B2196" s="19" t="s">
        <v>1582</v>
      </c>
      <c r="C2196" t="s">
        <v>149</v>
      </c>
      <c r="D2196">
        <v>8867</v>
      </c>
      <c r="E2196" s="192">
        <v>7103</v>
      </c>
      <c r="F2196" s="192">
        <v>6605</v>
      </c>
      <c r="G2196" s="481">
        <v>208</v>
      </c>
    </row>
    <row r="2197" spans="1:7">
      <c r="A2197" s="434">
        <v>8757</v>
      </c>
      <c r="B2197" s="19" t="s">
        <v>1583</v>
      </c>
      <c r="C2197" t="s">
        <v>149</v>
      </c>
      <c r="D2197">
        <v>8757</v>
      </c>
      <c r="E2197" s="192">
        <v>4888</v>
      </c>
      <c r="F2197" s="192">
        <v>7263</v>
      </c>
      <c r="G2197" s="481">
        <v>360</v>
      </c>
    </row>
    <row r="2198" spans="1:7">
      <c r="A2198" s="434">
        <v>8758</v>
      </c>
      <c r="B2198" s="19" t="s">
        <v>1584</v>
      </c>
      <c r="C2198" t="s">
        <v>149</v>
      </c>
      <c r="D2198">
        <v>8758</v>
      </c>
      <c r="E2198" s="192">
        <v>6467</v>
      </c>
      <c r="F2198" s="192">
        <v>6749</v>
      </c>
      <c r="G2198" s="481">
        <v>221</v>
      </c>
    </row>
    <row r="2199" spans="1:7">
      <c r="A2199" s="434">
        <v>8874</v>
      </c>
      <c r="B2199" s="19" t="s">
        <v>1585</v>
      </c>
      <c r="C2199" t="s">
        <v>149</v>
      </c>
      <c r="D2199">
        <v>8874</v>
      </c>
      <c r="E2199" s="192">
        <v>7832</v>
      </c>
      <c r="F2199" s="192">
        <v>6654</v>
      </c>
      <c r="G2199" s="481">
        <v>236</v>
      </c>
    </row>
    <row r="2200" spans="1:7">
      <c r="A2200" s="434">
        <v>8753</v>
      </c>
      <c r="B2200" s="19" t="s">
        <v>1586</v>
      </c>
      <c r="C2200" t="s">
        <v>149</v>
      </c>
      <c r="D2200">
        <v>8753</v>
      </c>
      <c r="E2200" s="192">
        <v>7425</v>
      </c>
      <c r="F2200" s="192">
        <v>6197</v>
      </c>
      <c r="G2200" s="481">
        <v>211</v>
      </c>
    </row>
    <row r="2201" spans="1:7">
      <c r="A2201" s="434">
        <v>8057</v>
      </c>
      <c r="B2201" s="19" t="s">
        <v>162</v>
      </c>
      <c r="C2201" t="s">
        <v>136</v>
      </c>
      <c r="D2201">
        <v>8057</v>
      </c>
      <c r="E2201" s="192">
        <v>16234</v>
      </c>
      <c r="F2201" s="192">
        <v>15455</v>
      </c>
      <c r="G2201" s="481">
        <v>431</v>
      </c>
    </row>
    <row r="2202" spans="1:7">
      <c r="A2202" s="434">
        <v>8047</v>
      </c>
      <c r="B2202" s="19" t="s">
        <v>162</v>
      </c>
      <c r="C2202" t="s">
        <v>136</v>
      </c>
      <c r="D2202">
        <v>8047</v>
      </c>
      <c r="E2202" s="192">
        <v>15841</v>
      </c>
      <c r="F2202" s="192">
        <v>13739</v>
      </c>
      <c r="G2202" s="481">
        <v>404</v>
      </c>
    </row>
    <row r="2203" spans="1:7">
      <c r="A2203" s="434">
        <v>8006</v>
      </c>
      <c r="B2203" s="19" t="s">
        <v>162</v>
      </c>
      <c r="C2203" t="s">
        <v>136</v>
      </c>
      <c r="D2203">
        <v>8006</v>
      </c>
      <c r="E2203" s="192">
        <v>17677</v>
      </c>
      <c r="F2203" s="192">
        <v>18704</v>
      </c>
      <c r="G2203" s="481">
        <v>502</v>
      </c>
    </row>
    <row r="2204" spans="1:7">
      <c r="A2204" s="434">
        <v>8032</v>
      </c>
      <c r="B2204" s="19" t="s">
        <v>162</v>
      </c>
      <c r="C2204" t="s">
        <v>136</v>
      </c>
      <c r="D2204">
        <v>8032</v>
      </c>
      <c r="E2204" s="192">
        <v>19080</v>
      </c>
      <c r="F2204" s="192">
        <v>19031</v>
      </c>
      <c r="G2204" s="481">
        <v>509</v>
      </c>
    </row>
    <row r="2205" spans="1:7">
      <c r="A2205" s="434">
        <v>8045</v>
      </c>
      <c r="B2205" s="19" t="s">
        <v>162</v>
      </c>
      <c r="C2205" t="s">
        <v>136</v>
      </c>
      <c r="D2205">
        <v>8045</v>
      </c>
      <c r="E2205" s="192">
        <v>17549</v>
      </c>
      <c r="F2205" s="192">
        <v>15620</v>
      </c>
      <c r="G2205" s="481">
        <v>470</v>
      </c>
    </row>
    <row r="2206" spans="1:7">
      <c r="A2206" s="434">
        <v>8003</v>
      </c>
      <c r="B2206" s="19" t="s">
        <v>162</v>
      </c>
      <c r="C2206" t="s">
        <v>136</v>
      </c>
      <c r="D2206">
        <v>8003</v>
      </c>
      <c r="E2206" s="192">
        <v>17763</v>
      </c>
      <c r="F2206" s="192">
        <v>14746</v>
      </c>
      <c r="G2206" s="481">
        <v>580</v>
      </c>
    </row>
    <row r="2207" spans="1:7">
      <c r="A2207" s="434">
        <v>8041</v>
      </c>
      <c r="B2207" s="19" t="s">
        <v>162</v>
      </c>
      <c r="C2207" t="s">
        <v>136</v>
      </c>
      <c r="D2207">
        <v>8041</v>
      </c>
      <c r="E2207" s="192">
        <v>14621</v>
      </c>
      <c r="F2207" s="192">
        <v>14872</v>
      </c>
      <c r="G2207" s="481">
        <v>381</v>
      </c>
    </row>
    <row r="2208" spans="1:7">
      <c r="A2208" s="434">
        <v>8055</v>
      </c>
      <c r="B2208" s="19" t="s">
        <v>162</v>
      </c>
      <c r="C2208" t="s">
        <v>136</v>
      </c>
      <c r="D2208">
        <v>8055</v>
      </c>
      <c r="E2208" s="192">
        <v>16342</v>
      </c>
      <c r="F2208" s="192">
        <v>14902</v>
      </c>
      <c r="G2208" s="481">
        <v>492</v>
      </c>
    </row>
    <row r="2209" spans="1:7">
      <c r="A2209" s="434">
        <v>8064</v>
      </c>
      <c r="B2209" s="19" t="s">
        <v>162</v>
      </c>
      <c r="C2209" t="s">
        <v>136</v>
      </c>
      <c r="D2209">
        <v>8064</v>
      </c>
      <c r="E2209" s="192">
        <v>14759</v>
      </c>
      <c r="F2209" s="192">
        <v>12240</v>
      </c>
      <c r="G2209" s="481">
        <v>422</v>
      </c>
    </row>
    <row r="2210" spans="1:7">
      <c r="A2210" s="434">
        <v>8001</v>
      </c>
      <c r="B2210" s="19" t="s">
        <v>162</v>
      </c>
      <c r="C2210" t="s">
        <v>136</v>
      </c>
      <c r="D2210">
        <v>8001</v>
      </c>
      <c r="E2210" s="192">
        <v>16652</v>
      </c>
      <c r="F2210" s="192">
        <v>10894</v>
      </c>
      <c r="G2210" s="481">
        <v>582</v>
      </c>
    </row>
    <row r="2211" spans="1:7">
      <c r="A2211" s="434">
        <v>8046</v>
      </c>
      <c r="B2211" s="19" t="s">
        <v>162</v>
      </c>
      <c r="C2211" t="s">
        <v>136</v>
      </c>
      <c r="D2211">
        <v>8046</v>
      </c>
      <c r="E2211" s="192">
        <v>13527</v>
      </c>
      <c r="F2211" s="192">
        <v>12541</v>
      </c>
      <c r="G2211" s="481">
        <v>360</v>
      </c>
    </row>
    <row r="2212" spans="1:7">
      <c r="A2212" s="434">
        <v>8037</v>
      </c>
      <c r="B2212" s="19" t="s">
        <v>162</v>
      </c>
      <c r="C2212" t="s">
        <v>136</v>
      </c>
      <c r="D2212">
        <v>8037</v>
      </c>
      <c r="E2212" s="192">
        <v>15761</v>
      </c>
      <c r="F2212" s="192">
        <v>16017</v>
      </c>
      <c r="G2212" s="481">
        <v>506</v>
      </c>
    </row>
    <row r="2213" spans="1:7">
      <c r="A2213" s="434">
        <v>8052</v>
      </c>
      <c r="B2213" s="19" t="s">
        <v>162</v>
      </c>
      <c r="C2213" t="s">
        <v>136</v>
      </c>
      <c r="D2213">
        <v>8052</v>
      </c>
      <c r="E2213" s="192">
        <v>13818</v>
      </c>
      <c r="F2213" s="192">
        <v>12486</v>
      </c>
      <c r="G2213" s="481">
        <v>382</v>
      </c>
    </row>
    <row r="2214" spans="1:7">
      <c r="A2214" s="434">
        <v>8002</v>
      </c>
      <c r="B2214" s="19" t="s">
        <v>162</v>
      </c>
      <c r="C2214" t="s">
        <v>136</v>
      </c>
      <c r="D2214">
        <v>8002</v>
      </c>
      <c r="E2214" s="192">
        <v>19207</v>
      </c>
      <c r="F2214" s="192">
        <v>17315</v>
      </c>
      <c r="G2214" s="481">
        <v>507</v>
      </c>
    </row>
    <row r="2215" spans="1:7">
      <c r="A2215" s="434">
        <v>8038</v>
      </c>
      <c r="B2215" s="19" t="s">
        <v>162</v>
      </c>
      <c r="C2215" t="s">
        <v>136</v>
      </c>
      <c r="D2215">
        <v>8038</v>
      </c>
      <c r="E2215" s="192">
        <v>17392</v>
      </c>
      <c r="F2215" s="192">
        <v>15257</v>
      </c>
      <c r="G2215" s="481">
        <v>416</v>
      </c>
    </row>
    <row r="2216" spans="1:7">
      <c r="A2216" s="434">
        <v>8051</v>
      </c>
      <c r="B2216" s="19" t="s">
        <v>162</v>
      </c>
      <c r="C2216" t="s">
        <v>136</v>
      </c>
      <c r="D2216">
        <v>8051</v>
      </c>
      <c r="E2216" s="192">
        <v>13983</v>
      </c>
      <c r="F2216" s="192">
        <v>13163</v>
      </c>
      <c r="G2216" s="481">
        <v>365</v>
      </c>
    </row>
    <row r="2217" spans="1:7">
      <c r="A2217" s="434">
        <v>8053</v>
      </c>
      <c r="B2217" s="19" t="s">
        <v>162</v>
      </c>
      <c r="C2217" t="s">
        <v>136</v>
      </c>
      <c r="D2217">
        <v>8053</v>
      </c>
      <c r="E2217" s="192">
        <v>16026</v>
      </c>
      <c r="F2217" s="192">
        <v>14840</v>
      </c>
      <c r="G2217" s="481">
        <v>370</v>
      </c>
    </row>
    <row r="2218" spans="1:7">
      <c r="A2218" s="434">
        <v>8049</v>
      </c>
      <c r="B2218" s="19" t="s">
        <v>162</v>
      </c>
      <c r="C2218" t="s">
        <v>136</v>
      </c>
      <c r="D2218">
        <v>8049</v>
      </c>
      <c r="E2218" s="192">
        <v>16120</v>
      </c>
      <c r="F2218" s="192">
        <v>14259</v>
      </c>
      <c r="G2218" s="481">
        <v>404</v>
      </c>
    </row>
    <row r="2219" spans="1:7">
      <c r="A2219" s="434">
        <v>8008</v>
      </c>
      <c r="B2219" s="19" t="s">
        <v>162</v>
      </c>
      <c r="C2219" t="s">
        <v>136</v>
      </c>
      <c r="D2219">
        <v>8008</v>
      </c>
      <c r="E2219" s="192">
        <v>18686</v>
      </c>
      <c r="F2219" s="192">
        <v>16028</v>
      </c>
      <c r="G2219" s="481">
        <v>568</v>
      </c>
    </row>
    <row r="2220" spans="1:7">
      <c r="A2220" s="434">
        <v>8005</v>
      </c>
      <c r="B2220" s="19" t="s">
        <v>162</v>
      </c>
      <c r="C2220" t="s">
        <v>136</v>
      </c>
      <c r="D2220">
        <v>8005</v>
      </c>
      <c r="E2220" s="192">
        <v>19249</v>
      </c>
      <c r="F2220" s="192">
        <v>13566</v>
      </c>
      <c r="G2220" s="481">
        <v>492</v>
      </c>
    </row>
    <row r="2221" spans="1:7">
      <c r="A2221" s="434">
        <v>8404</v>
      </c>
      <c r="B2221" s="19" t="s">
        <v>2472</v>
      </c>
      <c r="C2221" t="s">
        <v>136</v>
      </c>
      <c r="D2221">
        <v>8404</v>
      </c>
      <c r="E2221" s="192">
        <v>9055</v>
      </c>
      <c r="F2221" s="192">
        <v>9015</v>
      </c>
      <c r="G2221" s="481">
        <v>204</v>
      </c>
    </row>
    <row r="2222" spans="1:7">
      <c r="A2222" s="434">
        <v>8482</v>
      </c>
      <c r="B2222" s="19" t="s">
        <v>2473</v>
      </c>
      <c r="C2222" t="s">
        <v>136</v>
      </c>
      <c r="D2222">
        <v>8482</v>
      </c>
      <c r="E2222" s="192">
        <v>8463</v>
      </c>
      <c r="F2222" s="192">
        <v>8935</v>
      </c>
      <c r="G2222" s="481">
        <v>264</v>
      </c>
    </row>
    <row r="2223" spans="1:7">
      <c r="A2223" s="434">
        <v>8404</v>
      </c>
      <c r="B2223" s="19" t="s">
        <v>2474</v>
      </c>
      <c r="C2223" t="s">
        <v>136</v>
      </c>
      <c r="D2223">
        <v>8404</v>
      </c>
      <c r="E2223" s="192">
        <v>9599</v>
      </c>
      <c r="F2223" s="192">
        <v>8762</v>
      </c>
      <c r="G2223" s="481">
        <v>282</v>
      </c>
    </row>
    <row r="2224" spans="1:7">
      <c r="A2224" s="434">
        <v>8409</v>
      </c>
      <c r="B2224" s="19" t="s">
        <v>1676</v>
      </c>
      <c r="C2224" t="s">
        <v>136</v>
      </c>
      <c r="D2224">
        <v>8409</v>
      </c>
      <c r="E2224" s="192">
        <v>9473</v>
      </c>
      <c r="F2224" s="192">
        <v>9889</v>
      </c>
      <c r="G2224" s="481">
        <v>262</v>
      </c>
    </row>
    <row r="2225" spans="1:7">
      <c r="A2225" s="434">
        <v>8404</v>
      </c>
      <c r="B2225" s="19" t="s">
        <v>1676</v>
      </c>
      <c r="C2225" t="s">
        <v>136</v>
      </c>
      <c r="D2225">
        <v>8404</v>
      </c>
      <c r="E2225" s="192">
        <v>9555</v>
      </c>
      <c r="F2225" s="192">
        <v>10493</v>
      </c>
      <c r="G2225" s="481">
        <v>275</v>
      </c>
    </row>
    <row r="2226" spans="1:7">
      <c r="A2226" s="434">
        <v>8405</v>
      </c>
      <c r="B2226" s="19" t="s">
        <v>1676</v>
      </c>
      <c r="C2226" t="s">
        <v>136</v>
      </c>
      <c r="D2226">
        <v>8405</v>
      </c>
      <c r="E2226" s="192">
        <v>8838</v>
      </c>
      <c r="F2226" s="192">
        <v>9691</v>
      </c>
      <c r="G2226" s="481">
        <v>290</v>
      </c>
    </row>
    <row r="2227" spans="1:7">
      <c r="A2227" s="434">
        <v>8400</v>
      </c>
      <c r="B2227" s="19" t="s">
        <v>1676</v>
      </c>
      <c r="C2227" t="s">
        <v>136</v>
      </c>
      <c r="D2227">
        <v>8400</v>
      </c>
      <c r="E2227" s="192">
        <v>10367</v>
      </c>
      <c r="F2227" s="192">
        <v>10053</v>
      </c>
      <c r="G2227" s="481">
        <v>312</v>
      </c>
    </row>
    <row r="2228" spans="1:7">
      <c r="A2228" s="434">
        <v>8406</v>
      </c>
      <c r="B2228" s="19" t="s">
        <v>1676</v>
      </c>
      <c r="C2228" t="s">
        <v>136</v>
      </c>
      <c r="D2228">
        <v>8406</v>
      </c>
      <c r="E2228" s="192">
        <v>10298</v>
      </c>
      <c r="F2228" s="192">
        <v>9317</v>
      </c>
      <c r="G2228" s="481">
        <v>300</v>
      </c>
    </row>
    <row r="2229" spans="1:7">
      <c r="A2229" s="434">
        <v>8408</v>
      </c>
      <c r="B2229" s="19" t="s">
        <v>1676</v>
      </c>
      <c r="C2229" t="s">
        <v>136</v>
      </c>
      <c r="D2229">
        <v>8408</v>
      </c>
      <c r="E2229" s="192">
        <v>9065</v>
      </c>
      <c r="F2229" s="192">
        <v>9563</v>
      </c>
      <c r="G2229" s="481">
        <v>299</v>
      </c>
    </row>
    <row r="2230" spans="1:7">
      <c r="A2230" s="434">
        <v>8352</v>
      </c>
      <c r="B2230" s="19" t="s">
        <v>2475</v>
      </c>
      <c r="C2230" t="s">
        <v>136</v>
      </c>
      <c r="D2230">
        <v>8352</v>
      </c>
      <c r="E2230" s="192">
        <v>8805</v>
      </c>
      <c r="F2230" s="192">
        <v>9227</v>
      </c>
      <c r="G2230" s="481">
        <v>298</v>
      </c>
    </row>
    <row r="2231" spans="1:7">
      <c r="A2231" s="434">
        <v>8615</v>
      </c>
      <c r="B2231" s="19" t="s">
        <v>2476</v>
      </c>
      <c r="C2231" t="s">
        <v>136</v>
      </c>
      <c r="D2231">
        <v>8615</v>
      </c>
      <c r="E2231" s="192">
        <v>9445</v>
      </c>
      <c r="F2231" s="192">
        <v>10608</v>
      </c>
      <c r="G2231" s="481">
        <v>943</v>
      </c>
    </row>
    <row r="2232" spans="1:7">
      <c r="A2232" s="434">
        <v>8606</v>
      </c>
      <c r="B2232" s="19" t="s">
        <v>2477</v>
      </c>
      <c r="C2232" t="s">
        <v>136</v>
      </c>
      <c r="D2232">
        <v>8606</v>
      </c>
      <c r="E2232" s="192">
        <v>9390</v>
      </c>
      <c r="F2232" s="192">
        <v>11458</v>
      </c>
      <c r="G2232" s="481">
        <v>252</v>
      </c>
    </row>
    <row r="2233" spans="1:7">
      <c r="A2233" s="434">
        <v>8610</v>
      </c>
      <c r="B2233" s="19" t="s">
        <v>1675</v>
      </c>
      <c r="C2233" t="s">
        <v>136</v>
      </c>
      <c r="D2233">
        <v>8610</v>
      </c>
      <c r="E2233" s="192">
        <v>10516</v>
      </c>
      <c r="F2233" s="192">
        <v>11406</v>
      </c>
      <c r="G2233" s="481">
        <v>317</v>
      </c>
    </row>
    <row r="2234" spans="1:7">
      <c r="A2234" s="434">
        <v>8614</v>
      </c>
      <c r="B2234" s="19" t="s">
        <v>2478</v>
      </c>
      <c r="C2234" t="s">
        <v>136</v>
      </c>
      <c r="D2234">
        <v>8614</v>
      </c>
      <c r="E2234" s="192">
        <v>9098</v>
      </c>
      <c r="F2234" s="192">
        <v>9103</v>
      </c>
      <c r="G2234" s="481">
        <v>248</v>
      </c>
    </row>
    <row r="2235" spans="1:7">
      <c r="A2235" s="434">
        <v>8615</v>
      </c>
      <c r="B2235" s="19" t="s">
        <v>2479</v>
      </c>
      <c r="C2235" t="s">
        <v>136</v>
      </c>
      <c r="D2235">
        <v>8615</v>
      </c>
      <c r="E2235" s="192">
        <v>11776</v>
      </c>
      <c r="F2235" s="192">
        <v>10734</v>
      </c>
      <c r="G2235" s="481">
        <v>249</v>
      </c>
    </row>
    <row r="2236" spans="1:7">
      <c r="A2236" s="434">
        <v>8616</v>
      </c>
      <c r="B2236" s="19" t="s">
        <v>2480</v>
      </c>
      <c r="C2236" t="s">
        <v>136</v>
      </c>
      <c r="D2236">
        <v>8616</v>
      </c>
      <c r="E2236" s="192">
        <v>9690</v>
      </c>
      <c r="F2236" s="192">
        <v>11048</v>
      </c>
      <c r="G2236" s="481">
        <v>268</v>
      </c>
    </row>
    <row r="2237" spans="1:7">
      <c r="A2237" s="434">
        <v>3014</v>
      </c>
      <c r="B2237" s="19" t="s">
        <v>164</v>
      </c>
      <c r="C2237" t="s">
        <v>138</v>
      </c>
      <c r="D2237">
        <v>3014</v>
      </c>
      <c r="E2237" s="192">
        <v>11691</v>
      </c>
      <c r="F2237" s="192">
        <v>9488</v>
      </c>
      <c r="G2237" s="481">
        <v>324</v>
      </c>
    </row>
    <row r="2238" spans="1:7">
      <c r="A2238" s="434">
        <v>3013</v>
      </c>
      <c r="B2238" s="19" t="s">
        <v>164</v>
      </c>
      <c r="C2238" t="s">
        <v>138</v>
      </c>
      <c r="D2238">
        <v>3013</v>
      </c>
      <c r="E2238" s="192">
        <v>10865</v>
      </c>
      <c r="F2238" s="192">
        <v>9282</v>
      </c>
      <c r="G2238" s="481">
        <v>331</v>
      </c>
    </row>
    <row r="2239" spans="1:7">
      <c r="A2239" s="434">
        <v>3018</v>
      </c>
      <c r="B2239" s="19" t="s">
        <v>164</v>
      </c>
      <c r="C2239" t="s">
        <v>138</v>
      </c>
      <c r="D2239">
        <v>3018</v>
      </c>
      <c r="E2239" s="192">
        <v>6969</v>
      </c>
      <c r="F2239" s="192">
        <v>7968</v>
      </c>
      <c r="G2239" s="481">
        <v>268</v>
      </c>
    </row>
    <row r="2240" spans="1:7">
      <c r="A2240" s="434">
        <v>3011</v>
      </c>
      <c r="B2240" s="19" t="s">
        <v>164</v>
      </c>
      <c r="C2240" t="s">
        <v>138</v>
      </c>
      <c r="D2240">
        <v>3011</v>
      </c>
      <c r="E2240" s="192">
        <v>11131</v>
      </c>
      <c r="F2240" s="192">
        <v>10670</v>
      </c>
      <c r="G2240" s="481">
        <v>334</v>
      </c>
    </row>
    <row r="2241" spans="1:7">
      <c r="A2241" s="434">
        <v>3008</v>
      </c>
      <c r="B2241" s="19" t="s">
        <v>164</v>
      </c>
      <c r="C2241" t="s">
        <v>138</v>
      </c>
      <c r="D2241">
        <v>3008</v>
      </c>
      <c r="E2241" s="192">
        <v>8896</v>
      </c>
      <c r="F2241" s="192">
        <v>8884</v>
      </c>
      <c r="G2241" s="481">
        <v>290</v>
      </c>
    </row>
    <row r="2242" spans="1:7">
      <c r="A2242" s="434">
        <v>3020</v>
      </c>
      <c r="B2242" s="19" t="s">
        <v>164</v>
      </c>
      <c r="C2242" t="s">
        <v>138</v>
      </c>
      <c r="D2242">
        <v>3020</v>
      </c>
      <c r="E2242" s="192">
        <v>6790</v>
      </c>
      <c r="F2242" s="192">
        <v>7318</v>
      </c>
      <c r="G2242" s="481">
        <v>442</v>
      </c>
    </row>
    <row r="2243" spans="1:7">
      <c r="A2243" s="434">
        <v>3005</v>
      </c>
      <c r="B2243" s="19" t="s">
        <v>164</v>
      </c>
      <c r="C2243" t="s">
        <v>138</v>
      </c>
      <c r="D2243">
        <v>3005</v>
      </c>
      <c r="E2243" s="192">
        <v>11394</v>
      </c>
      <c r="F2243" s="192">
        <v>10918</v>
      </c>
      <c r="G2243" s="481">
        <v>353</v>
      </c>
    </row>
    <row r="2244" spans="1:7">
      <c r="A2244" s="434">
        <v>3019</v>
      </c>
      <c r="B2244" s="19" t="s">
        <v>164</v>
      </c>
      <c r="C2244" t="s">
        <v>138</v>
      </c>
      <c r="D2244">
        <v>3019</v>
      </c>
      <c r="E2244" s="192">
        <v>8252</v>
      </c>
      <c r="F2244" s="192">
        <v>7471</v>
      </c>
      <c r="G2244" s="481">
        <v>261</v>
      </c>
    </row>
    <row r="2245" spans="1:7">
      <c r="A2245" s="434">
        <v>3012</v>
      </c>
      <c r="B2245" s="19" t="s">
        <v>164</v>
      </c>
      <c r="C2245" t="s">
        <v>138</v>
      </c>
      <c r="D2245">
        <v>3012</v>
      </c>
      <c r="E2245" s="192">
        <v>11297</v>
      </c>
      <c r="F2245" s="192">
        <v>9429</v>
      </c>
      <c r="G2245" s="481">
        <v>331</v>
      </c>
    </row>
    <row r="2246" spans="1:7">
      <c r="A2246" s="434">
        <v>3027</v>
      </c>
      <c r="B2246" s="19" t="s">
        <v>164</v>
      </c>
      <c r="C2246" t="s">
        <v>138</v>
      </c>
      <c r="D2246">
        <v>3027</v>
      </c>
      <c r="E2246" s="192">
        <v>6977</v>
      </c>
      <c r="F2246" s="192">
        <v>7817</v>
      </c>
      <c r="G2246" s="481">
        <v>268</v>
      </c>
    </row>
    <row r="2247" spans="1:7">
      <c r="A2247" s="434">
        <v>3004</v>
      </c>
      <c r="B2247" s="19" t="s">
        <v>164</v>
      </c>
      <c r="C2247" t="s">
        <v>138</v>
      </c>
      <c r="D2247">
        <v>3004</v>
      </c>
      <c r="E2247" s="192">
        <v>11483</v>
      </c>
      <c r="F2247" s="192">
        <v>8794</v>
      </c>
      <c r="G2247" s="481">
        <v>282</v>
      </c>
    </row>
    <row r="2248" spans="1:7">
      <c r="A2248" s="434">
        <v>3015</v>
      </c>
      <c r="B2248" s="19" t="s">
        <v>164</v>
      </c>
      <c r="C2248" t="s">
        <v>138</v>
      </c>
      <c r="D2248">
        <v>3015</v>
      </c>
      <c r="E2248" s="192">
        <v>7383</v>
      </c>
      <c r="F2248" s="192">
        <v>9336</v>
      </c>
      <c r="G2248" s="481">
        <v>312</v>
      </c>
    </row>
    <row r="2249" spans="1:7">
      <c r="A2249" s="434">
        <v>3010</v>
      </c>
      <c r="B2249" s="19" t="s">
        <v>164</v>
      </c>
      <c r="C2249" t="s">
        <v>138</v>
      </c>
      <c r="D2249">
        <v>3010</v>
      </c>
      <c r="E2249" s="192">
        <v>9262</v>
      </c>
      <c r="F2249" s="192">
        <v>9240</v>
      </c>
      <c r="G2249" s="481">
        <v>245</v>
      </c>
    </row>
    <row r="2250" spans="1:7">
      <c r="A2250" s="434">
        <v>3007</v>
      </c>
      <c r="B2250" s="19" t="s">
        <v>164</v>
      </c>
      <c r="C2250" t="s">
        <v>138</v>
      </c>
      <c r="D2250">
        <v>3007</v>
      </c>
      <c r="E2250" s="192">
        <v>9661</v>
      </c>
      <c r="F2250" s="192">
        <v>9408</v>
      </c>
      <c r="G2250" s="481">
        <v>315</v>
      </c>
    </row>
    <row r="2251" spans="1:7">
      <c r="A2251" s="434">
        <v>3006</v>
      </c>
      <c r="B2251" s="19" t="s">
        <v>164</v>
      </c>
      <c r="C2251" t="s">
        <v>138</v>
      </c>
      <c r="D2251">
        <v>3006</v>
      </c>
      <c r="E2251" s="192">
        <v>10328</v>
      </c>
      <c r="F2251" s="192">
        <v>9860</v>
      </c>
      <c r="G2251" s="481">
        <v>309</v>
      </c>
    </row>
    <row r="2252" spans="1:7">
      <c r="A2252" s="434">
        <v>8713</v>
      </c>
      <c r="B2252" s="19" t="s">
        <v>2481</v>
      </c>
      <c r="C2252" t="s">
        <v>136</v>
      </c>
      <c r="D2252">
        <v>8713</v>
      </c>
      <c r="E2252" s="192">
        <v>13858</v>
      </c>
      <c r="F2252" s="192">
        <v>12520</v>
      </c>
      <c r="G2252" s="481">
        <v>343</v>
      </c>
    </row>
    <row r="2253" spans="1:7">
      <c r="A2253" s="434">
        <v>8816</v>
      </c>
      <c r="B2253" s="19" t="s">
        <v>2482</v>
      </c>
      <c r="C2253" t="s">
        <v>136</v>
      </c>
      <c r="D2253">
        <v>8816</v>
      </c>
      <c r="E2253" s="192">
        <v>10149</v>
      </c>
      <c r="F2253" s="192">
        <v>12485</v>
      </c>
      <c r="G2253" s="481">
        <v>217</v>
      </c>
    </row>
    <row r="2254" spans="1:7">
      <c r="A2254" s="434">
        <v>8810</v>
      </c>
      <c r="B2254" s="19" t="s">
        <v>1683</v>
      </c>
      <c r="C2254" t="s">
        <v>136</v>
      </c>
      <c r="D2254">
        <v>8810</v>
      </c>
      <c r="E2254" s="192">
        <v>13970</v>
      </c>
      <c r="F2254" s="192">
        <v>13085</v>
      </c>
      <c r="G2254" s="481">
        <v>368</v>
      </c>
    </row>
    <row r="2255" spans="1:7">
      <c r="A2255" s="434">
        <v>8815</v>
      </c>
      <c r="B2255" s="19" t="s">
        <v>2483</v>
      </c>
      <c r="C2255" t="s">
        <v>136</v>
      </c>
      <c r="D2255">
        <v>8815</v>
      </c>
      <c r="E2255" s="192">
        <v>13871</v>
      </c>
      <c r="F2255" s="192">
        <v>12980</v>
      </c>
      <c r="G2255" s="481">
        <v>272</v>
      </c>
    </row>
    <row r="2256" spans="1:7">
      <c r="A2256" s="434">
        <v>8135</v>
      </c>
      <c r="B2256" s="19" t="s">
        <v>2484</v>
      </c>
      <c r="C2256" t="s">
        <v>136</v>
      </c>
      <c r="D2256">
        <v>8135</v>
      </c>
      <c r="E2256" s="192">
        <v>14218</v>
      </c>
      <c r="F2256" s="192">
        <v>13813</v>
      </c>
      <c r="G2256" s="481">
        <v>364</v>
      </c>
    </row>
    <row r="2257" spans="1:7">
      <c r="A2257" s="434">
        <v>8135</v>
      </c>
      <c r="B2257" s="19" t="s">
        <v>2485</v>
      </c>
      <c r="C2257" t="s">
        <v>136</v>
      </c>
      <c r="D2257">
        <v>8135</v>
      </c>
      <c r="E2257" s="192">
        <v>13894</v>
      </c>
      <c r="F2257" s="192">
        <v>13211</v>
      </c>
      <c r="G2257" s="481">
        <v>305</v>
      </c>
    </row>
    <row r="2258" spans="1:7">
      <c r="A2258" s="434">
        <v>8136</v>
      </c>
      <c r="B2258" s="19" t="s">
        <v>2486</v>
      </c>
      <c r="C2258" t="s">
        <v>136</v>
      </c>
      <c r="D2258">
        <v>8136</v>
      </c>
      <c r="E2258" s="192">
        <v>10627</v>
      </c>
      <c r="F2258" s="192">
        <v>14255</v>
      </c>
      <c r="G2258" s="481">
        <v>324</v>
      </c>
    </row>
    <row r="2259" spans="1:7">
      <c r="A2259" s="434">
        <v>8804</v>
      </c>
      <c r="B2259" s="19" t="s">
        <v>2487</v>
      </c>
      <c r="C2259" t="s">
        <v>136</v>
      </c>
      <c r="D2259">
        <v>8804</v>
      </c>
      <c r="E2259" s="192">
        <v>13837</v>
      </c>
      <c r="F2259" s="192">
        <v>12071</v>
      </c>
      <c r="G2259" s="481">
        <v>307</v>
      </c>
    </row>
    <row r="2260" spans="1:7">
      <c r="A2260" s="434">
        <v>8820</v>
      </c>
      <c r="B2260" s="19" t="s">
        <v>1681</v>
      </c>
      <c r="C2260" t="s">
        <v>136</v>
      </c>
      <c r="D2260">
        <v>8820</v>
      </c>
      <c r="E2260" s="192">
        <v>13315</v>
      </c>
      <c r="F2260" s="192">
        <v>14720</v>
      </c>
      <c r="G2260" s="481">
        <v>334</v>
      </c>
    </row>
    <row r="2261" spans="1:7">
      <c r="A2261" s="434">
        <v>8824</v>
      </c>
      <c r="B2261" s="19" t="s">
        <v>2488</v>
      </c>
      <c r="C2261" t="s">
        <v>136</v>
      </c>
      <c r="D2261">
        <v>8824</v>
      </c>
      <c r="E2261" s="192">
        <v>10827</v>
      </c>
      <c r="F2261" s="192">
        <v>13148</v>
      </c>
      <c r="G2261" s="481">
        <v>317</v>
      </c>
    </row>
    <row r="2262" spans="1:7">
      <c r="A2262" s="434">
        <v>8825</v>
      </c>
      <c r="B2262" s="19" t="s">
        <v>2489</v>
      </c>
      <c r="C2262" t="s">
        <v>136</v>
      </c>
      <c r="D2262">
        <v>8825</v>
      </c>
      <c r="E2262" s="192">
        <v>12131</v>
      </c>
      <c r="F2262" s="192">
        <v>12088</v>
      </c>
      <c r="G2262" s="481">
        <v>269</v>
      </c>
    </row>
    <row r="2263" spans="1:7">
      <c r="A2263" s="434">
        <v>8105</v>
      </c>
      <c r="B2263" s="19" t="s">
        <v>1690</v>
      </c>
      <c r="C2263" t="s">
        <v>136</v>
      </c>
      <c r="D2263">
        <v>8105</v>
      </c>
      <c r="E2263" s="192">
        <v>8674</v>
      </c>
      <c r="F2263" s="192">
        <v>9807</v>
      </c>
      <c r="G2263" s="481">
        <v>298</v>
      </c>
    </row>
    <row r="2264" spans="1:7">
      <c r="A2264" s="434">
        <v>8105</v>
      </c>
      <c r="B2264" s="19" t="s">
        <v>2490</v>
      </c>
      <c r="C2264" t="s">
        <v>136</v>
      </c>
      <c r="D2264">
        <v>8105</v>
      </c>
      <c r="E2264" s="192">
        <v>9077</v>
      </c>
      <c r="F2264" s="192">
        <v>9067</v>
      </c>
      <c r="G2264" s="481">
        <v>297</v>
      </c>
    </row>
    <row r="2265" spans="1:7">
      <c r="A2265" s="434">
        <v>8333</v>
      </c>
      <c r="B2265" s="19" t="s">
        <v>2491</v>
      </c>
      <c r="C2265" t="s">
        <v>136</v>
      </c>
      <c r="D2265">
        <v>8333</v>
      </c>
      <c r="E2265" s="192">
        <v>10724</v>
      </c>
      <c r="F2265" s="192">
        <v>12669</v>
      </c>
      <c r="G2265" s="481">
        <v>244</v>
      </c>
    </row>
    <row r="2266" spans="1:7">
      <c r="A2266" s="434">
        <v>8152</v>
      </c>
      <c r="B2266" s="19" t="s">
        <v>2492</v>
      </c>
      <c r="C2266" t="s">
        <v>136</v>
      </c>
      <c r="D2266">
        <v>8152</v>
      </c>
      <c r="E2266" s="192">
        <v>13204</v>
      </c>
      <c r="F2266" s="192">
        <v>12643</v>
      </c>
      <c r="G2266" s="481">
        <v>324</v>
      </c>
    </row>
    <row r="2267" spans="1:7">
      <c r="A2267" s="434">
        <v>8152</v>
      </c>
      <c r="B2267" s="19" t="s">
        <v>2493</v>
      </c>
      <c r="C2267" t="s">
        <v>136</v>
      </c>
      <c r="D2267">
        <v>8152</v>
      </c>
      <c r="E2267" s="192">
        <v>11671</v>
      </c>
      <c r="F2267" s="192">
        <v>12019</v>
      </c>
      <c r="G2267" s="481">
        <v>312</v>
      </c>
    </row>
    <row r="2268" spans="1:7">
      <c r="A2268" s="434">
        <v>8605</v>
      </c>
      <c r="B2268" s="19" t="s">
        <v>2494</v>
      </c>
      <c r="C2268" t="s">
        <v>136</v>
      </c>
      <c r="D2268">
        <v>8605</v>
      </c>
      <c r="E2268" s="192">
        <v>8657</v>
      </c>
      <c r="F2268" s="192">
        <v>10944</v>
      </c>
      <c r="G2268" s="481">
        <v>270</v>
      </c>
    </row>
    <row r="2269" spans="1:7">
      <c r="A2269" s="434">
        <v>8125</v>
      </c>
      <c r="B2269" s="19" t="s">
        <v>2495</v>
      </c>
      <c r="C2269" t="s">
        <v>136</v>
      </c>
      <c r="D2269">
        <v>8125</v>
      </c>
      <c r="E2269" s="192">
        <v>13174</v>
      </c>
      <c r="F2269" s="192">
        <v>15073</v>
      </c>
      <c r="G2269" s="481">
        <v>360</v>
      </c>
    </row>
    <row r="2270" spans="1:7">
      <c r="A2270" s="434">
        <v>3624</v>
      </c>
      <c r="B2270" s="19" t="s">
        <v>1587</v>
      </c>
      <c r="C2270" t="s">
        <v>138</v>
      </c>
      <c r="D2270">
        <v>3624</v>
      </c>
      <c r="E2270" s="192">
        <v>8671</v>
      </c>
      <c r="F2270" s="192">
        <v>8386</v>
      </c>
      <c r="G2270" s="481">
        <v>250</v>
      </c>
    </row>
    <row r="2271" spans="1:7">
      <c r="A2271" s="434">
        <v>3600</v>
      </c>
      <c r="B2271" s="19" t="s">
        <v>2187</v>
      </c>
      <c r="C2271" t="s">
        <v>138</v>
      </c>
      <c r="D2271">
        <v>3600</v>
      </c>
      <c r="E2271" s="192">
        <v>8231</v>
      </c>
      <c r="F2271" s="192">
        <v>9689</v>
      </c>
      <c r="G2271" s="481">
        <v>257</v>
      </c>
    </row>
    <row r="2272" spans="1:7">
      <c r="A2272" s="434">
        <v>3604</v>
      </c>
      <c r="B2272" s="19" t="s">
        <v>2187</v>
      </c>
      <c r="C2272" t="s">
        <v>138</v>
      </c>
      <c r="D2272">
        <v>3604</v>
      </c>
      <c r="E2272" s="192">
        <v>7425</v>
      </c>
      <c r="F2272" s="192">
        <v>8901</v>
      </c>
      <c r="G2272" s="481">
        <v>260</v>
      </c>
    </row>
    <row r="2273" spans="1:7">
      <c r="A2273" s="434">
        <v>3603</v>
      </c>
      <c r="B2273" s="19" t="s">
        <v>2187</v>
      </c>
      <c r="C2273" t="s">
        <v>138</v>
      </c>
      <c r="D2273">
        <v>3603</v>
      </c>
      <c r="E2273" s="192">
        <v>6830</v>
      </c>
      <c r="F2273" s="192">
        <v>8136</v>
      </c>
      <c r="G2273" s="481">
        <v>231</v>
      </c>
    </row>
    <row r="2274" spans="1:7">
      <c r="A2274" s="434">
        <v>3608</v>
      </c>
      <c r="B2274" s="19" t="s">
        <v>2187</v>
      </c>
      <c r="C2274" t="s">
        <v>138</v>
      </c>
      <c r="D2274">
        <v>3608</v>
      </c>
      <c r="E2274" s="192">
        <v>6955</v>
      </c>
      <c r="F2274" s="192">
        <v>7493</v>
      </c>
      <c r="G2274" s="481">
        <v>238</v>
      </c>
    </row>
    <row r="2275" spans="1:7">
      <c r="A2275" s="434">
        <v>2503</v>
      </c>
      <c r="B2275" s="19" t="s">
        <v>2186</v>
      </c>
      <c r="C2275" t="s">
        <v>138</v>
      </c>
      <c r="D2275">
        <v>2503</v>
      </c>
      <c r="E2275" s="192">
        <v>6683</v>
      </c>
      <c r="F2275" s="192">
        <v>5894</v>
      </c>
      <c r="G2275" s="481">
        <v>232</v>
      </c>
    </row>
    <row r="2276" spans="1:7">
      <c r="A2276" s="434">
        <v>2505</v>
      </c>
      <c r="B2276" s="19" t="s">
        <v>2186</v>
      </c>
      <c r="C2276" t="s">
        <v>138</v>
      </c>
      <c r="D2276">
        <v>2505</v>
      </c>
      <c r="E2276" s="192">
        <v>7143</v>
      </c>
      <c r="F2276" s="192">
        <v>6843</v>
      </c>
      <c r="G2276" s="481">
        <v>240</v>
      </c>
    </row>
    <row r="2277" spans="1:7">
      <c r="A2277" s="434">
        <v>2504</v>
      </c>
      <c r="B2277" s="19" t="s">
        <v>2186</v>
      </c>
      <c r="C2277" t="s">
        <v>138</v>
      </c>
      <c r="D2277">
        <v>2504</v>
      </c>
      <c r="E2277" s="192">
        <v>6260</v>
      </c>
      <c r="F2277" s="192">
        <v>6039</v>
      </c>
      <c r="G2277" s="481">
        <v>230</v>
      </c>
    </row>
    <row r="2278" spans="1:7">
      <c r="A2278" s="434">
        <v>2502</v>
      </c>
      <c r="B2278" s="19" t="s">
        <v>2186</v>
      </c>
      <c r="C2278" t="s">
        <v>138</v>
      </c>
      <c r="D2278">
        <v>2502</v>
      </c>
      <c r="E2278" s="192">
        <v>6571</v>
      </c>
      <c r="F2278" s="192">
        <v>6561</v>
      </c>
      <c r="G2278" s="481">
        <v>245</v>
      </c>
    </row>
    <row r="2279" spans="1:7">
      <c r="A2279" s="434">
        <v>3415</v>
      </c>
      <c r="B2279" s="19" t="s">
        <v>1588</v>
      </c>
      <c r="C2279" t="s">
        <v>146</v>
      </c>
      <c r="D2279">
        <v>3415</v>
      </c>
      <c r="E2279" s="192">
        <v>4690</v>
      </c>
      <c r="F2279" s="192">
        <v>4976</v>
      </c>
      <c r="G2279" s="481">
        <v>199</v>
      </c>
    </row>
    <row r="2280" spans="1:7">
      <c r="A2280" s="434">
        <v>3419</v>
      </c>
      <c r="B2280" s="19" t="s">
        <v>1589</v>
      </c>
      <c r="D2280">
        <v>3419</v>
      </c>
      <c r="E2280" s="192">
        <v>5710</v>
      </c>
      <c r="F2280" s="192">
        <v>6403</v>
      </c>
      <c r="G2280" s="481">
        <v>160</v>
      </c>
    </row>
    <row r="2281" spans="1:7">
      <c r="A2281" s="434">
        <v>3415</v>
      </c>
      <c r="B2281" s="19" t="s">
        <v>1590</v>
      </c>
      <c r="D2281">
        <v>3415</v>
      </c>
      <c r="E2281" s="192">
        <v>5721</v>
      </c>
      <c r="F2281" s="192">
        <v>5784</v>
      </c>
      <c r="G2281" s="481">
        <v>201</v>
      </c>
    </row>
    <row r="2282" spans="1:7">
      <c r="A2282" s="434">
        <v>4900</v>
      </c>
      <c r="B2282" s="19" t="s">
        <v>1591</v>
      </c>
      <c r="C2282" t="s">
        <v>184</v>
      </c>
      <c r="D2282">
        <v>4900</v>
      </c>
      <c r="E2282" s="192">
        <v>5688</v>
      </c>
      <c r="F2282" s="192">
        <v>6061</v>
      </c>
      <c r="G2282" s="481">
        <v>220</v>
      </c>
    </row>
    <row r="2283" spans="1:7">
      <c r="A2283" s="434">
        <v>4916</v>
      </c>
      <c r="B2283" s="19" t="s">
        <v>1592</v>
      </c>
      <c r="D2283">
        <v>4916</v>
      </c>
      <c r="E2283" s="192">
        <v>5533</v>
      </c>
      <c r="F2283" s="192">
        <v>5479</v>
      </c>
      <c r="G2283" s="481">
        <v>220</v>
      </c>
    </row>
    <row r="2284" spans="1:7">
      <c r="A2284" s="434">
        <v>6003</v>
      </c>
      <c r="B2284" s="19" t="s">
        <v>165</v>
      </c>
      <c r="C2284" t="s">
        <v>140</v>
      </c>
      <c r="D2284">
        <v>6003</v>
      </c>
      <c r="E2284" s="192">
        <v>10470</v>
      </c>
      <c r="F2284" s="192">
        <v>10127</v>
      </c>
      <c r="G2284" s="481">
        <v>321</v>
      </c>
    </row>
    <row r="2285" spans="1:7">
      <c r="A2285" s="434">
        <v>6006</v>
      </c>
      <c r="B2285" s="19" t="s">
        <v>165</v>
      </c>
      <c r="C2285" t="s">
        <v>140</v>
      </c>
      <c r="D2285">
        <v>6006</v>
      </c>
      <c r="E2285" s="192">
        <v>11990</v>
      </c>
      <c r="F2285" s="192">
        <v>11244</v>
      </c>
      <c r="G2285" s="481">
        <v>311</v>
      </c>
    </row>
    <row r="2286" spans="1:7">
      <c r="A2286" s="434">
        <v>6015</v>
      </c>
      <c r="B2286" s="19" t="s">
        <v>165</v>
      </c>
      <c r="C2286" t="s">
        <v>140</v>
      </c>
      <c r="D2286">
        <v>6015</v>
      </c>
      <c r="E2286" s="192">
        <v>7809</v>
      </c>
      <c r="F2286" s="192">
        <v>8038</v>
      </c>
      <c r="G2286" s="481">
        <v>258</v>
      </c>
    </row>
    <row r="2287" spans="1:7">
      <c r="A2287" s="434">
        <v>6014</v>
      </c>
      <c r="B2287" s="19" t="s">
        <v>165</v>
      </c>
      <c r="C2287" t="s">
        <v>140</v>
      </c>
      <c r="D2287">
        <v>6014</v>
      </c>
      <c r="E2287" s="192">
        <v>7608</v>
      </c>
      <c r="F2287" s="192">
        <v>7073</v>
      </c>
      <c r="G2287" s="481">
        <v>252</v>
      </c>
    </row>
    <row r="2288" spans="1:7">
      <c r="A2288" s="434">
        <v>6004</v>
      </c>
      <c r="B2288" s="19" t="s">
        <v>165</v>
      </c>
      <c r="C2288" t="s">
        <v>140</v>
      </c>
      <c r="D2288">
        <v>6004</v>
      </c>
      <c r="E2288" s="192">
        <v>11869</v>
      </c>
      <c r="F2288" s="192">
        <v>10644</v>
      </c>
      <c r="G2288" s="481">
        <v>323</v>
      </c>
    </row>
    <row r="2289" spans="1:7">
      <c r="A2289" s="434">
        <v>6005</v>
      </c>
      <c r="B2289" s="19" t="s">
        <v>165</v>
      </c>
      <c r="C2289" t="s">
        <v>140</v>
      </c>
      <c r="D2289">
        <v>6005</v>
      </c>
      <c r="E2289" s="192">
        <v>10652</v>
      </c>
      <c r="F2289" s="192">
        <v>11946</v>
      </c>
      <c r="G2289" s="481">
        <v>328</v>
      </c>
    </row>
    <row r="2290" spans="1:7">
      <c r="A2290" s="434">
        <v>6020</v>
      </c>
      <c r="B2290" s="19" t="s">
        <v>1593</v>
      </c>
      <c r="D2290">
        <v>6020</v>
      </c>
      <c r="E2290" s="192">
        <v>7886</v>
      </c>
      <c r="F2290" s="192">
        <v>8520</v>
      </c>
      <c r="G2290" s="481">
        <v>263</v>
      </c>
    </row>
    <row r="2291" spans="1:7">
      <c r="A2291" s="434">
        <v>6032</v>
      </c>
      <c r="B2291" s="19" t="s">
        <v>1262</v>
      </c>
      <c r="C2291" t="s">
        <v>184</v>
      </c>
      <c r="D2291">
        <v>6032</v>
      </c>
      <c r="E2291" s="192">
        <v>8729</v>
      </c>
      <c r="F2291" s="192">
        <v>8286</v>
      </c>
      <c r="G2291" s="481">
        <v>250</v>
      </c>
    </row>
    <row r="2292" spans="1:7">
      <c r="A2292" s="434">
        <v>6010</v>
      </c>
      <c r="B2292" s="19" t="s">
        <v>1263</v>
      </c>
      <c r="C2292" t="s">
        <v>184</v>
      </c>
      <c r="D2292">
        <v>6010</v>
      </c>
      <c r="E2292" s="192">
        <v>9611</v>
      </c>
      <c r="F2292" s="192">
        <v>10412</v>
      </c>
      <c r="G2292" s="481">
        <v>281</v>
      </c>
    </row>
    <row r="2293" spans="1:7">
      <c r="A2293" s="434">
        <v>6012</v>
      </c>
      <c r="B2293" s="19" t="s">
        <v>1594</v>
      </c>
      <c r="C2293" t="s">
        <v>184</v>
      </c>
      <c r="D2293">
        <v>6012</v>
      </c>
      <c r="E2293" s="192">
        <v>8970</v>
      </c>
      <c r="F2293" s="192">
        <v>9238</v>
      </c>
      <c r="G2293" s="481">
        <v>237</v>
      </c>
    </row>
    <row r="2294" spans="1:7">
      <c r="A2294" s="434">
        <v>6048</v>
      </c>
      <c r="B2294" s="19" t="s">
        <v>1264</v>
      </c>
      <c r="C2294" t="s">
        <v>184</v>
      </c>
      <c r="D2294">
        <v>6048</v>
      </c>
      <c r="E2294" s="192">
        <v>10908</v>
      </c>
      <c r="F2294" s="192">
        <v>12965</v>
      </c>
      <c r="G2294" s="481">
        <v>302</v>
      </c>
    </row>
    <row r="2295" spans="1:7">
      <c r="A2295" s="434">
        <v>6047</v>
      </c>
      <c r="B2295" s="19" t="s">
        <v>1595</v>
      </c>
      <c r="D2295">
        <v>6047</v>
      </c>
      <c r="E2295" s="192">
        <v>11360</v>
      </c>
      <c r="F2295" s="192">
        <v>12038</v>
      </c>
      <c r="G2295" s="481">
        <v>401</v>
      </c>
    </row>
    <row r="2296" spans="1:7">
      <c r="A2296" s="434">
        <v>6005</v>
      </c>
      <c r="B2296" s="19" t="s">
        <v>1596</v>
      </c>
      <c r="D2296">
        <v>6005</v>
      </c>
      <c r="E2296" s="192">
        <v>10592</v>
      </c>
      <c r="F2296" s="192">
        <v>12743</v>
      </c>
      <c r="G2296" s="481">
        <v>423</v>
      </c>
    </row>
    <row r="2297" spans="1:7">
      <c r="A2297" s="434">
        <v>1202</v>
      </c>
      <c r="B2297" s="19" t="s">
        <v>163</v>
      </c>
      <c r="C2297" t="s">
        <v>137</v>
      </c>
      <c r="D2297">
        <v>1202</v>
      </c>
      <c r="E2297" s="192">
        <v>14112</v>
      </c>
      <c r="F2297" s="192">
        <v>14055</v>
      </c>
      <c r="G2297" s="481">
        <v>446</v>
      </c>
    </row>
    <row r="2298" spans="1:7">
      <c r="A2298" s="434">
        <v>1205</v>
      </c>
      <c r="B2298" s="19" t="s">
        <v>163</v>
      </c>
      <c r="C2298" t="s">
        <v>137</v>
      </c>
      <c r="D2298">
        <v>1205</v>
      </c>
      <c r="E2298" s="192">
        <v>14341</v>
      </c>
      <c r="F2298" s="192">
        <v>13644</v>
      </c>
      <c r="G2298" s="481">
        <v>445</v>
      </c>
    </row>
    <row r="2299" spans="1:7">
      <c r="A2299" s="434">
        <v>1201</v>
      </c>
      <c r="B2299" s="19" t="s">
        <v>163</v>
      </c>
      <c r="C2299" t="s">
        <v>137</v>
      </c>
      <c r="D2299">
        <v>1201</v>
      </c>
      <c r="E2299" s="192">
        <v>14903</v>
      </c>
      <c r="F2299" s="192">
        <v>13341</v>
      </c>
      <c r="G2299" s="481">
        <v>484</v>
      </c>
    </row>
    <row r="2300" spans="1:7">
      <c r="A2300" s="434">
        <v>1206</v>
      </c>
      <c r="B2300" s="19" t="s">
        <v>163</v>
      </c>
      <c r="C2300" t="s">
        <v>137</v>
      </c>
      <c r="D2300">
        <v>1206</v>
      </c>
      <c r="E2300" s="192">
        <v>16322</v>
      </c>
      <c r="F2300" s="192">
        <v>16225</v>
      </c>
      <c r="G2300" s="481">
        <v>468</v>
      </c>
    </row>
    <row r="2301" spans="1:7">
      <c r="A2301" s="434">
        <v>1207</v>
      </c>
      <c r="B2301" s="19" t="s">
        <v>163</v>
      </c>
      <c r="C2301" t="s">
        <v>137</v>
      </c>
      <c r="D2301">
        <v>1207</v>
      </c>
      <c r="E2301" s="192">
        <v>18175</v>
      </c>
      <c r="F2301" s="192">
        <v>15776</v>
      </c>
      <c r="G2301" s="481">
        <v>471</v>
      </c>
    </row>
    <row r="2302" spans="1:7">
      <c r="A2302" s="434">
        <v>1208</v>
      </c>
      <c r="B2302" s="19" t="s">
        <v>163</v>
      </c>
      <c r="C2302" t="s">
        <v>137</v>
      </c>
      <c r="D2302">
        <v>1208</v>
      </c>
      <c r="E2302" s="192">
        <v>16687</v>
      </c>
      <c r="F2302" s="192">
        <v>17574</v>
      </c>
      <c r="G2302" s="481">
        <v>429</v>
      </c>
    </row>
    <row r="2303" spans="1:7">
      <c r="A2303" s="434">
        <v>1203</v>
      </c>
      <c r="B2303" s="19" t="s">
        <v>163</v>
      </c>
      <c r="C2303" t="s">
        <v>137</v>
      </c>
      <c r="D2303">
        <v>1203</v>
      </c>
      <c r="E2303" s="192">
        <v>13875</v>
      </c>
      <c r="F2303" s="192">
        <v>12718</v>
      </c>
      <c r="G2303" s="481">
        <v>398</v>
      </c>
    </row>
    <row r="2304" spans="1:7">
      <c r="A2304" s="434">
        <v>1227</v>
      </c>
      <c r="B2304" s="19" t="s">
        <v>1597</v>
      </c>
      <c r="C2304" t="s">
        <v>184</v>
      </c>
      <c r="D2304">
        <v>1227</v>
      </c>
      <c r="E2304" s="192">
        <v>12646</v>
      </c>
      <c r="F2304" s="192">
        <v>12725</v>
      </c>
      <c r="G2304" s="481">
        <v>382</v>
      </c>
    </row>
    <row r="2305" spans="1:7">
      <c r="A2305" s="434">
        <v>1209</v>
      </c>
      <c r="B2305" s="19" t="s">
        <v>163</v>
      </c>
      <c r="C2305" t="s">
        <v>137</v>
      </c>
      <c r="D2305">
        <v>1209</v>
      </c>
      <c r="E2305" s="192">
        <v>13623</v>
      </c>
      <c r="F2305" s="192">
        <v>14039</v>
      </c>
      <c r="G2305" s="481">
        <v>410</v>
      </c>
    </row>
    <row r="2306" spans="1:7">
      <c r="A2306" s="434">
        <v>1213</v>
      </c>
      <c r="B2306" s="19" t="s">
        <v>1598</v>
      </c>
      <c r="C2306" t="s">
        <v>184</v>
      </c>
      <c r="D2306">
        <v>1213</v>
      </c>
      <c r="E2306" s="192">
        <v>12656</v>
      </c>
      <c r="F2306" s="192">
        <v>12917</v>
      </c>
      <c r="G2306" s="481">
        <v>349</v>
      </c>
    </row>
    <row r="2307" spans="1:7">
      <c r="A2307" s="434">
        <v>1212</v>
      </c>
      <c r="B2307" s="19" t="s">
        <v>1599</v>
      </c>
      <c r="D2307">
        <v>1212</v>
      </c>
      <c r="E2307" s="192">
        <v>11646</v>
      </c>
      <c r="F2307" s="192">
        <v>12872</v>
      </c>
      <c r="G2307" s="481">
        <v>375</v>
      </c>
    </row>
    <row r="2308" spans="1:7">
      <c r="A2308" s="434">
        <v>1217</v>
      </c>
      <c r="B2308" s="19" t="s">
        <v>813</v>
      </c>
      <c r="C2308" t="s">
        <v>184</v>
      </c>
      <c r="D2308">
        <v>1217</v>
      </c>
      <c r="E2308" s="192">
        <v>11148</v>
      </c>
      <c r="F2308" s="192">
        <v>10975</v>
      </c>
      <c r="G2308" s="481">
        <v>327</v>
      </c>
    </row>
    <row r="2309" spans="1:7">
      <c r="A2309" s="434">
        <v>1216</v>
      </c>
      <c r="B2309" s="19" t="s">
        <v>1600</v>
      </c>
      <c r="C2309" t="s">
        <v>184</v>
      </c>
      <c r="D2309">
        <v>1216</v>
      </c>
      <c r="E2309" s="192">
        <v>10448</v>
      </c>
      <c r="F2309" s="192">
        <v>12699</v>
      </c>
      <c r="G2309" s="481">
        <v>325</v>
      </c>
    </row>
    <row r="2310" spans="1:7">
      <c r="A2310" s="434">
        <v>1219</v>
      </c>
      <c r="B2310" s="19" t="s">
        <v>1601</v>
      </c>
      <c r="C2310" t="s">
        <v>184</v>
      </c>
      <c r="D2310">
        <v>1219</v>
      </c>
      <c r="E2310" s="192">
        <v>11135</v>
      </c>
      <c r="F2310" s="192">
        <v>13279</v>
      </c>
      <c r="G2310" s="481">
        <v>400</v>
      </c>
    </row>
    <row r="2311" spans="1:7">
      <c r="A2311" s="434">
        <v>1220</v>
      </c>
      <c r="B2311" s="19" t="s">
        <v>1602</v>
      </c>
      <c r="D2311">
        <v>1220</v>
      </c>
      <c r="E2311" s="192">
        <v>11295</v>
      </c>
      <c r="F2311" s="192">
        <v>13790</v>
      </c>
      <c r="G2311" s="481">
        <v>321</v>
      </c>
    </row>
    <row r="2312" spans="1:7">
      <c r="A2312" s="434">
        <v>1214</v>
      </c>
      <c r="B2312" s="19" t="s">
        <v>811</v>
      </c>
      <c r="C2312" t="s">
        <v>184</v>
      </c>
      <c r="D2312">
        <v>1214</v>
      </c>
      <c r="E2312" s="192">
        <v>10561</v>
      </c>
      <c r="F2312" s="192">
        <v>11626</v>
      </c>
      <c r="G2312" s="481">
        <v>280</v>
      </c>
    </row>
    <row r="2313" spans="1:7">
      <c r="A2313" s="434">
        <v>1219</v>
      </c>
      <c r="B2313" s="19" t="s">
        <v>1603</v>
      </c>
      <c r="C2313" t="s">
        <v>184</v>
      </c>
      <c r="D2313">
        <v>1219</v>
      </c>
      <c r="E2313" s="192">
        <v>10187</v>
      </c>
      <c r="F2313" s="192">
        <v>11295</v>
      </c>
      <c r="G2313" s="481">
        <v>290</v>
      </c>
    </row>
    <row r="2314" spans="1:7">
      <c r="A2314" s="434">
        <v>1219</v>
      </c>
      <c r="B2314" s="19" t="s">
        <v>1604</v>
      </c>
      <c r="C2314" t="s">
        <v>184</v>
      </c>
      <c r="D2314">
        <v>1219</v>
      </c>
      <c r="E2314" s="192">
        <v>10762</v>
      </c>
      <c r="F2314" s="192">
        <v>10946</v>
      </c>
      <c r="G2314" s="481">
        <v>430</v>
      </c>
    </row>
    <row r="2315" spans="1:7">
      <c r="A2315" s="434">
        <v>1003</v>
      </c>
      <c r="B2315" s="19" t="s">
        <v>182</v>
      </c>
      <c r="D2315">
        <v>1003</v>
      </c>
      <c r="E2315" s="192">
        <v>12784</v>
      </c>
      <c r="F2315" s="192">
        <v>10244</v>
      </c>
      <c r="G2315" s="481">
        <v>378</v>
      </c>
    </row>
    <row r="2316" spans="1:7">
      <c r="A2316" s="434">
        <v>1015</v>
      </c>
      <c r="B2316" s="19" t="s">
        <v>182</v>
      </c>
      <c r="C2316" t="s">
        <v>184</v>
      </c>
      <c r="D2316">
        <v>1015</v>
      </c>
      <c r="E2316" s="192">
        <v>12122</v>
      </c>
      <c r="F2316" s="192">
        <v>13092</v>
      </c>
      <c r="G2316" s="481">
        <v>316</v>
      </c>
    </row>
    <row r="2317" spans="1:7">
      <c r="A2317" s="434">
        <v>1007</v>
      </c>
      <c r="B2317" s="19" t="s">
        <v>182</v>
      </c>
      <c r="C2317" t="s">
        <v>184</v>
      </c>
      <c r="D2317">
        <v>1007</v>
      </c>
      <c r="E2317" s="192">
        <v>12970</v>
      </c>
      <c r="F2317" s="192">
        <v>10438</v>
      </c>
      <c r="G2317" s="481">
        <v>349</v>
      </c>
    </row>
    <row r="2318" spans="1:7">
      <c r="A2318" s="434">
        <v>1012</v>
      </c>
      <c r="B2318" s="19" t="s">
        <v>182</v>
      </c>
      <c r="C2318" t="s">
        <v>184</v>
      </c>
      <c r="D2318">
        <v>1012</v>
      </c>
      <c r="E2318" s="192">
        <v>12244</v>
      </c>
      <c r="F2318" s="192">
        <v>12191</v>
      </c>
      <c r="G2318" s="481">
        <v>358</v>
      </c>
    </row>
    <row r="2319" spans="1:7">
      <c r="A2319" s="434">
        <v>1011</v>
      </c>
      <c r="B2319" s="19" t="s">
        <v>182</v>
      </c>
      <c r="C2319" t="s">
        <v>184</v>
      </c>
      <c r="D2319">
        <v>1011</v>
      </c>
      <c r="E2319" s="19" t="s">
        <v>189</v>
      </c>
      <c r="F2319" s="19" t="s">
        <v>189</v>
      </c>
      <c r="G2319" s="435" t="s">
        <v>189</v>
      </c>
    </row>
    <row r="2320" spans="1:7">
      <c r="A2320" s="434">
        <v>1018</v>
      </c>
      <c r="B2320" s="19" t="s">
        <v>182</v>
      </c>
      <c r="C2320" t="s">
        <v>184</v>
      </c>
      <c r="D2320">
        <v>1018</v>
      </c>
      <c r="E2320" s="192">
        <v>11646</v>
      </c>
      <c r="F2320" s="192">
        <v>10004</v>
      </c>
      <c r="G2320" s="481">
        <v>341</v>
      </c>
    </row>
    <row r="2321" spans="1:7">
      <c r="A2321" s="434">
        <v>1000</v>
      </c>
      <c r="B2321" s="19" t="s">
        <v>182</v>
      </c>
      <c r="C2321" t="s">
        <v>184</v>
      </c>
      <c r="D2321">
        <v>1000</v>
      </c>
      <c r="E2321" s="192">
        <v>9678</v>
      </c>
      <c r="F2321" s="192">
        <v>9661</v>
      </c>
      <c r="G2321" s="481">
        <v>378</v>
      </c>
    </row>
    <row r="2322" spans="1:7">
      <c r="A2322" s="434">
        <v>1000</v>
      </c>
      <c r="B2322" s="19" t="s">
        <v>182</v>
      </c>
      <c r="C2322" t="s">
        <v>184</v>
      </c>
      <c r="D2322">
        <v>1000</v>
      </c>
      <c r="E2322" s="192">
        <v>10976</v>
      </c>
      <c r="F2322" s="192">
        <v>10781</v>
      </c>
      <c r="G2322" s="481">
        <v>221</v>
      </c>
    </row>
    <row r="2323" spans="1:7">
      <c r="A2323" s="434">
        <v>1010</v>
      </c>
      <c r="B2323" s="19" t="s">
        <v>182</v>
      </c>
      <c r="C2323" t="s">
        <v>184</v>
      </c>
      <c r="D2323">
        <v>1010</v>
      </c>
      <c r="E2323" s="192">
        <v>12192</v>
      </c>
      <c r="F2323" s="192">
        <v>11050</v>
      </c>
      <c r="G2323" s="481">
        <v>346</v>
      </c>
    </row>
    <row r="2324" spans="1:7">
      <c r="A2324" s="434">
        <v>1005</v>
      </c>
      <c r="B2324" s="19" t="s">
        <v>182</v>
      </c>
      <c r="C2324" t="s">
        <v>184</v>
      </c>
      <c r="D2324">
        <v>1005</v>
      </c>
      <c r="E2324" s="192">
        <v>13248</v>
      </c>
      <c r="F2324" s="192">
        <v>12904</v>
      </c>
      <c r="G2324" s="481">
        <v>357</v>
      </c>
    </row>
    <row r="2325" spans="1:7">
      <c r="A2325" s="434">
        <v>1006</v>
      </c>
      <c r="B2325" s="19" t="s">
        <v>182</v>
      </c>
      <c r="C2325" t="s">
        <v>184</v>
      </c>
      <c r="D2325">
        <v>1006</v>
      </c>
      <c r="E2325" s="192">
        <v>12724</v>
      </c>
      <c r="F2325" s="192">
        <v>14247</v>
      </c>
      <c r="G2325" s="481">
        <v>354</v>
      </c>
    </row>
    <row r="2326" spans="1:7">
      <c r="A2326" s="434">
        <v>1000</v>
      </c>
      <c r="B2326" s="19" t="s">
        <v>182</v>
      </c>
      <c r="C2326" t="s">
        <v>184</v>
      </c>
      <c r="D2326">
        <v>1000</v>
      </c>
      <c r="E2326" s="192">
        <v>10592</v>
      </c>
      <c r="F2326" s="192">
        <v>9423</v>
      </c>
      <c r="G2326" s="481">
        <v>279</v>
      </c>
    </row>
    <row r="2327" spans="1:7">
      <c r="A2327" s="434">
        <v>1004</v>
      </c>
      <c r="B2327" s="19" t="s">
        <v>182</v>
      </c>
      <c r="C2327" t="s">
        <v>184</v>
      </c>
      <c r="D2327">
        <v>1004</v>
      </c>
      <c r="E2327" s="192">
        <v>11594</v>
      </c>
      <c r="F2327" s="192">
        <v>9485</v>
      </c>
      <c r="G2327" s="481">
        <v>345</v>
      </c>
    </row>
    <row r="2328" spans="1:7">
      <c r="A2328" s="434">
        <v>1817</v>
      </c>
      <c r="B2328" s="19" t="s">
        <v>1605</v>
      </c>
      <c r="C2328" t="s">
        <v>184</v>
      </c>
      <c r="D2328">
        <v>1817</v>
      </c>
      <c r="E2328" s="192">
        <v>9491</v>
      </c>
      <c r="F2328" s="192">
        <v>10130</v>
      </c>
      <c r="G2328" s="481">
        <v>334</v>
      </c>
    </row>
    <row r="2329" spans="1:7">
      <c r="A2329" s="434">
        <v>1820</v>
      </c>
      <c r="B2329" s="19" t="s">
        <v>1606</v>
      </c>
      <c r="C2329" t="s">
        <v>184</v>
      </c>
      <c r="D2329">
        <v>1820</v>
      </c>
      <c r="E2329" s="192">
        <v>10503</v>
      </c>
      <c r="F2329" s="192">
        <v>10672</v>
      </c>
      <c r="G2329" s="481">
        <v>299</v>
      </c>
    </row>
    <row r="2330" spans="1:7">
      <c r="A2330" s="434">
        <v>1833</v>
      </c>
      <c r="B2330" s="19" t="s">
        <v>1607</v>
      </c>
      <c r="C2330" t="s">
        <v>184</v>
      </c>
      <c r="D2330">
        <v>1833</v>
      </c>
      <c r="E2330" s="192">
        <v>11277</v>
      </c>
      <c r="F2330" s="192">
        <v>9223</v>
      </c>
      <c r="G2330" s="481">
        <v>312</v>
      </c>
    </row>
    <row r="2331" spans="1:7">
      <c r="A2331" s="434">
        <v>1832</v>
      </c>
      <c r="B2331" s="19" t="s">
        <v>1608</v>
      </c>
      <c r="C2331" t="s">
        <v>184</v>
      </c>
      <c r="D2331">
        <v>1832</v>
      </c>
      <c r="E2331" s="192">
        <v>10545</v>
      </c>
      <c r="F2331" s="192">
        <v>9790</v>
      </c>
      <c r="G2331" s="481">
        <v>454</v>
      </c>
    </row>
    <row r="2332" spans="1:7">
      <c r="A2332" s="434">
        <v>1824</v>
      </c>
      <c r="B2332" s="19" t="s">
        <v>1609</v>
      </c>
      <c r="C2332" t="s">
        <v>184</v>
      </c>
      <c r="D2332">
        <v>1824</v>
      </c>
      <c r="E2332" s="192">
        <v>10913</v>
      </c>
      <c r="F2332" s="192">
        <v>9925</v>
      </c>
      <c r="G2332" s="481">
        <v>306</v>
      </c>
    </row>
    <row r="2333" spans="1:7">
      <c r="A2333" s="434">
        <v>1816</v>
      </c>
      <c r="B2333" s="19" t="s">
        <v>1610</v>
      </c>
      <c r="C2333" t="s">
        <v>184</v>
      </c>
      <c r="D2333">
        <v>1816</v>
      </c>
      <c r="E2333" s="192">
        <v>9409</v>
      </c>
      <c r="F2333" s="192">
        <v>11531</v>
      </c>
      <c r="G2333" s="481">
        <v>286</v>
      </c>
    </row>
    <row r="2334" spans="1:7">
      <c r="A2334" s="434">
        <v>1822</v>
      </c>
      <c r="B2334" s="19" t="s">
        <v>1611</v>
      </c>
      <c r="C2334" t="s">
        <v>184</v>
      </c>
      <c r="D2334">
        <v>1822</v>
      </c>
      <c r="E2334" s="192">
        <v>9795</v>
      </c>
      <c r="F2334" s="192">
        <v>10500</v>
      </c>
      <c r="G2334" s="481">
        <v>282</v>
      </c>
    </row>
    <row r="2335" spans="1:7">
      <c r="A2335" s="434">
        <v>1832</v>
      </c>
      <c r="B2335" s="19" t="s">
        <v>1612</v>
      </c>
      <c r="C2335" t="s">
        <v>184</v>
      </c>
      <c r="D2335">
        <v>1832</v>
      </c>
      <c r="E2335" s="192">
        <v>10106</v>
      </c>
      <c r="F2335" s="192">
        <v>7253</v>
      </c>
      <c r="G2335" s="481">
        <v>312</v>
      </c>
    </row>
    <row r="2336" spans="1:7">
      <c r="A2336" s="434">
        <v>1820</v>
      </c>
      <c r="B2336" s="19" t="s">
        <v>186</v>
      </c>
      <c r="C2336" t="s">
        <v>184</v>
      </c>
      <c r="D2336">
        <v>1820</v>
      </c>
      <c r="E2336" s="192">
        <v>11434</v>
      </c>
      <c r="F2336" s="192">
        <v>11055</v>
      </c>
      <c r="G2336" s="481">
        <v>322</v>
      </c>
    </row>
    <row r="2337" spans="1:7">
      <c r="A2337" s="434">
        <v>1823</v>
      </c>
      <c r="B2337" s="19" t="s">
        <v>703</v>
      </c>
      <c r="C2337" t="s">
        <v>184</v>
      </c>
      <c r="D2337">
        <v>1823</v>
      </c>
      <c r="E2337" s="192">
        <v>12205</v>
      </c>
      <c r="F2337" s="192">
        <v>10067</v>
      </c>
      <c r="G2337" s="481">
        <v>332</v>
      </c>
    </row>
    <row r="2338" spans="1:7">
      <c r="A2338" s="434">
        <v>1815</v>
      </c>
      <c r="B2338" s="19" t="s">
        <v>1613</v>
      </c>
      <c r="C2338" t="s">
        <v>184</v>
      </c>
      <c r="D2338">
        <v>1815</v>
      </c>
      <c r="E2338" s="192">
        <v>10259</v>
      </c>
      <c r="F2338" s="192">
        <v>12760</v>
      </c>
      <c r="G2338" s="481">
        <v>318</v>
      </c>
    </row>
    <row r="2339" spans="1:7">
      <c r="A2339" s="434">
        <v>5032</v>
      </c>
      <c r="B2339" s="19" t="s">
        <v>1614</v>
      </c>
      <c r="C2339" t="s">
        <v>184</v>
      </c>
      <c r="D2339">
        <v>5032</v>
      </c>
      <c r="E2339" s="192">
        <v>7688</v>
      </c>
      <c r="F2339" s="192">
        <v>7735</v>
      </c>
      <c r="G2339" s="481">
        <v>253</v>
      </c>
    </row>
    <row r="2340" spans="1:7">
      <c r="A2340" s="434">
        <v>5000</v>
      </c>
      <c r="B2340" s="19" t="s">
        <v>1615</v>
      </c>
      <c r="C2340" t="s">
        <v>184</v>
      </c>
      <c r="D2340">
        <v>5000</v>
      </c>
      <c r="E2340" s="192">
        <v>7775</v>
      </c>
      <c r="F2340" s="192">
        <v>8097</v>
      </c>
      <c r="G2340" s="481">
        <v>267</v>
      </c>
    </row>
    <row r="2341" spans="1:7">
      <c r="A2341" s="434">
        <v>5004</v>
      </c>
      <c r="B2341" s="19" t="s">
        <v>1615</v>
      </c>
      <c r="C2341" t="s">
        <v>184</v>
      </c>
      <c r="D2341">
        <v>5004</v>
      </c>
      <c r="E2341" s="192">
        <v>6329</v>
      </c>
      <c r="F2341" s="192">
        <v>8048</v>
      </c>
      <c r="G2341" s="481">
        <v>256</v>
      </c>
    </row>
    <row r="2342" spans="1:7">
      <c r="A2342" s="434">
        <v>5400</v>
      </c>
      <c r="B2342" s="19" t="s">
        <v>1616</v>
      </c>
      <c r="C2342" t="s">
        <v>184</v>
      </c>
      <c r="D2342">
        <v>5400</v>
      </c>
      <c r="E2342" s="192">
        <v>8692</v>
      </c>
      <c r="F2342" s="192">
        <v>9112</v>
      </c>
      <c r="G2342" s="481">
        <v>330</v>
      </c>
    </row>
    <row r="2343" spans="1:7">
      <c r="A2343" s="434">
        <v>5405</v>
      </c>
      <c r="B2343" s="19" t="s">
        <v>1617</v>
      </c>
      <c r="C2343" t="s">
        <v>184</v>
      </c>
      <c r="D2343">
        <v>5405</v>
      </c>
      <c r="E2343" s="192">
        <v>8327</v>
      </c>
      <c r="F2343" s="192">
        <v>8363</v>
      </c>
      <c r="G2343" s="481">
        <v>245</v>
      </c>
    </row>
    <row r="2344" spans="1:7">
      <c r="A2344" s="434">
        <v>5404</v>
      </c>
      <c r="B2344" s="19" t="s">
        <v>1616</v>
      </c>
      <c r="C2344" t="s">
        <v>184</v>
      </c>
      <c r="D2344">
        <v>5404</v>
      </c>
      <c r="E2344" s="192">
        <v>8243</v>
      </c>
      <c r="F2344" s="192">
        <v>8369</v>
      </c>
      <c r="G2344" s="481">
        <v>305</v>
      </c>
    </row>
    <row r="2345" spans="1:7">
      <c r="A2345" s="434">
        <v>5406</v>
      </c>
      <c r="B2345" s="19" t="s">
        <v>1618</v>
      </c>
      <c r="C2345" t="s">
        <v>184</v>
      </c>
      <c r="D2345">
        <v>5406</v>
      </c>
      <c r="E2345" s="192">
        <v>7584</v>
      </c>
      <c r="F2345" s="192">
        <v>8537</v>
      </c>
      <c r="G2345" s="481">
        <v>245</v>
      </c>
    </row>
    <row r="2346" spans="1:7">
      <c r="A2346" s="434">
        <v>4800</v>
      </c>
      <c r="B2346" s="19" t="s">
        <v>1619</v>
      </c>
      <c r="C2346" t="s">
        <v>184</v>
      </c>
      <c r="D2346">
        <v>4800</v>
      </c>
      <c r="E2346" s="192">
        <v>7628</v>
      </c>
      <c r="F2346" s="192">
        <v>7024</v>
      </c>
      <c r="G2346" s="481">
        <v>240</v>
      </c>
    </row>
    <row r="2347" spans="1:7">
      <c r="A2347" s="434">
        <v>4812</v>
      </c>
      <c r="B2347" s="19" t="s">
        <v>1620</v>
      </c>
      <c r="C2347" t="s">
        <v>184</v>
      </c>
      <c r="D2347">
        <v>4812</v>
      </c>
      <c r="E2347" s="192">
        <v>6193</v>
      </c>
      <c r="F2347" s="192">
        <v>6830</v>
      </c>
      <c r="G2347" s="481">
        <v>187</v>
      </c>
    </row>
    <row r="2348" spans="1:7">
      <c r="A2348" s="434">
        <v>9014</v>
      </c>
      <c r="B2348" s="19" t="s">
        <v>170</v>
      </c>
      <c r="C2348" t="s">
        <v>142</v>
      </c>
      <c r="D2348">
        <v>9014</v>
      </c>
      <c r="E2348" s="192">
        <v>7211</v>
      </c>
      <c r="F2348" s="192">
        <v>8175</v>
      </c>
      <c r="G2348" s="481">
        <v>230</v>
      </c>
    </row>
    <row r="2349" spans="1:7">
      <c r="A2349" s="434">
        <v>9016</v>
      </c>
      <c r="B2349" s="19" t="s">
        <v>170</v>
      </c>
      <c r="C2349" t="s">
        <v>142</v>
      </c>
      <c r="D2349">
        <v>9016</v>
      </c>
      <c r="E2349" s="192">
        <v>5928</v>
      </c>
      <c r="F2349" s="192">
        <v>7662</v>
      </c>
      <c r="G2349" s="481">
        <v>231</v>
      </c>
    </row>
    <row r="2350" spans="1:7">
      <c r="A2350" s="434">
        <v>9008</v>
      </c>
      <c r="B2350" s="19" t="s">
        <v>170</v>
      </c>
      <c r="C2350" t="s">
        <v>142</v>
      </c>
      <c r="D2350">
        <v>9008</v>
      </c>
      <c r="E2350" s="192">
        <v>7358</v>
      </c>
      <c r="F2350" s="192">
        <v>8955</v>
      </c>
      <c r="G2350" s="481">
        <v>231</v>
      </c>
    </row>
    <row r="2351" spans="1:7">
      <c r="A2351" s="434">
        <v>9010</v>
      </c>
      <c r="B2351" s="19" t="s">
        <v>170</v>
      </c>
      <c r="C2351" t="s">
        <v>142</v>
      </c>
      <c r="D2351">
        <v>9010</v>
      </c>
      <c r="E2351" s="192">
        <v>8382</v>
      </c>
      <c r="F2351" s="192">
        <v>9356</v>
      </c>
      <c r="G2351" s="481">
        <v>274</v>
      </c>
    </row>
    <row r="2352" spans="1:7">
      <c r="A2352" s="434">
        <v>9012</v>
      </c>
      <c r="B2352" s="19" t="s">
        <v>170</v>
      </c>
      <c r="C2352" t="s">
        <v>142</v>
      </c>
      <c r="D2352">
        <v>9012</v>
      </c>
      <c r="E2352" s="192">
        <v>7846</v>
      </c>
      <c r="F2352" s="192">
        <v>7988</v>
      </c>
      <c r="G2352" s="481">
        <v>254</v>
      </c>
    </row>
    <row r="2353" spans="1:7">
      <c r="A2353" s="434">
        <v>9015</v>
      </c>
      <c r="B2353" s="19" t="s">
        <v>170</v>
      </c>
      <c r="C2353" t="s">
        <v>142</v>
      </c>
      <c r="D2353">
        <v>9015</v>
      </c>
      <c r="E2353" s="192">
        <v>6620</v>
      </c>
      <c r="F2353" s="192">
        <v>7154</v>
      </c>
      <c r="G2353" s="481">
        <v>209</v>
      </c>
    </row>
    <row r="2354" spans="1:7">
      <c r="A2354" s="434">
        <v>9000</v>
      </c>
      <c r="B2354" s="19" t="s">
        <v>170</v>
      </c>
      <c r="C2354" t="s">
        <v>142</v>
      </c>
      <c r="D2354">
        <v>9000</v>
      </c>
      <c r="E2354" s="192">
        <v>7427</v>
      </c>
      <c r="F2354" s="192">
        <v>8443</v>
      </c>
      <c r="G2354" s="481">
        <v>254</v>
      </c>
    </row>
    <row r="2355" spans="1:7">
      <c r="A2355" s="434">
        <v>9011</v>
      </c>
      <c r="B2355" s="19" t="s">
        <v>170</v>
      </c>
      <c r="C2355" t="s">
        <v>142</v>
      </c>
      <c r="D2355">
        <v>9011</v>
      </c>
      <c r="E2355" s="192">
        <v>6452</v>
      </c>
      <c r="F2355" s="192">
        <v>8258</v>
      </c>
      <c r="G2355" s="481">
        <v>242</v>
      </c>
    </row>
    <row r="2356" spans="1:7">
      <c r="A2356" s="434">
        <v>8646</v>
      </c>
      <c r="B2356" s="19" t="s">
        <v>1621</v>
      </c>
      <c r="C2356" t="s">
        <v>142</v>
      </c>
      <c r="D2356">
        <v>8646</v>
      </c>
      <c r="E2356" s="192">
        <v>8415</v>
      </c>
      <c r="F2356" s="192">
        <v>9060</v>
      </c>
      <c r="G2356" s="481">
        <v>275</v>
      </c>
    </row>
    <row r="2357" spans="1:7">
      <c r="A2357" s="434">
        <v>8715</v>
      </c>
      <c r="B2357" s="19" t="s">
        <v>1622</v>
      </c>
      <c r="C2357" t="s">
        <v>142</v>
      </c>
      <c r="D2357">
        <v>8715</v>
      </c>
      <c r="E2357" s="192">
        <v>9227</v>
      </c>
      <c r="F2357" s="192">
        <v>9808</v>
      </c>
      <c r="G2357" s="481">
        <v>330</v>
      </c>
    </row>
    <row r="2358" spans="1:7">
      <c r="A2358" s="434">
        <v>8645</v>
      </c>
      <c r="B2358" s="19" t="s">
        <v>1623</v>
      </c>
      <c r="C2358" t="s">
        <v>142</v>
      </c>
      <c r="D2358">
        <v>8645</v>
      </c>
      <c r="E2358" s="192">
        <v>10599</v>
      </c>
      <c r="F2358" s="192">
        <v>11686</v>
      </c>
      <c r="G2358" s="481">
        <v>294</v>
      </c>
    </row>
    <row r="2359" spans="1:7">
      <c r="A2359" s="434">
        <v>8640</v>
      </c>
      <c r="B2359" s="19" t="s">
        <v>1624</v>
      </c>
      <c r="C2359" t="s">
        <v>142</v>
      </c>
      <c r="D2359">
        <v>8640</v>
      </c>
      <c r="E2359" s="192">
        <v>10624</v>
      </c>
      <c r="F2359" s="192">
        <v>12445</v>
      </c>
      <c r="G2359" s="481">
        <v>319</v>
      </c>
    </row>
    <row r="2360" spans="1:7">
      <c r="A2360" s="434">
        <v>9512</v>
      </c>
      <c r="B2360" s="19" t="s">
        <v>1625</v>
      </c>
      <c r="C2360" t="s">
        <v>142</v>
      </c>
      <c r="D2360">
        <v>9512</v>
      </c>
      <c r="E2360" s="192">
        <v>7301</v>
      </c>
      <c r="F2360" s="192">
        <v>7600</v>
      </c>
      <c r="G2360" s="481">
        <v>205</v>
      </c>
    </row>
    <row r="2361" spans="1:7">
      <c r="A2361" s="434">
        <v>9500</v>
      </c>
      <c r="B2361" s="19" t="s">
        <v>1626</v>
      </c>
      <c r="C2361" t="s">
        <v>142</v>
      </c>
      <c r="D2361">
        <v>9500</v>
      </c>
      <c r="E2361" s="192">
        <v>7422</v>
      </c>
      <c r="F2361" s="192">
        <v>7722</v>
      </c>
      <c r="G2361" s="481">
        <v>230</v>
      </c>
    </row>
    <row r="2362" spans="1:7">
      <c r="A2362" s="434">
        <v>9552</v>
      </c>
      <c r="B2362" s="19" t="s">
        <v>1627</v>
      </c>
      <c r="C2362" t="s">
        <v>142</v>
      </c>
      <c r="D2362">
        <v>9552</v>
      </c>
      <c r="E2362" s="192">
        <v>7106</v>
      </c>
      <c r="F2362" s="192">
        <v>7933</v>
      </c>
      <c r="G2362" s="481">
        <v>211</v>
      </c>
    </row>
    <row r="2363" spans="1:7">
      <c r="A2363" s="434">
        <v>9212</v>
      </c>
      <c r="B2363" s="19" t="s">
        <v>1628</v>
      </c>
      <c r="C2363" t="s">
        <v>142</v>
      </c>
      <c r="D2363">
        <v>9212</v>
      </c>
      <c r="E2363" s="192">
        <v>5460</v>
      </c>
      <c r="F2363" s="192">
        <v>7553</v>
      </c>
      <c r="G2363" s="481">
        <v>221</v>
      </c>
    </row>
    <row r="2364" spans="1:7">
      <c r="A2364" s="434">
        <v>9200</v>
      </c>
      <c r="B2364" s="19" t="s">
        <v>1629</v>
      </c>
      <c r="C2364" t="s">
        <v>142</v>
      </c>
      <c r="D2364">
        <v>9200</v>
      </c>
      <c r="E2364" s="192">
        <v>6167</v>
      </c>
      <c r="F2364" s="192">
        <v>6998</v>
      </c>
      <c r="G2364" s="481">
        <v>233</v>
      </c>
    </row>
    <row r="2365" spans="1:7">
      <c r="A2365" s="434">
        <v>6978</v>
      </c>
      <c r="B2365" s="19" t="s">
        <v>1630</v>
      </c>
      <c r="C2365" t="s">
        <v>141</v>
      </c>
      <c r="D2365">
        <v>6978</v>
      </c>
      <c r="E2365" s="192">
        <v>7452</v>
      </c>
      <c r="F2365" s="192">
        <v>8788</v>
      </c>
      <c r="G2365" s="481">
        <v>954</v>
      </c>
    </row>
    <row r="2366" spans="1:7">
      <c r="A2366" s="434">
        <v>6979</v>
      </c>
      <c r="B2366" s="19" t="s">
        <v>1631</v>
      </c>
      <c r="C2366" t="s">
        <v>141</v>
      </c>
      <c r="D2366">
        <v>6979</v>
      </c>
      <c r="E2366" s="192">
        <v>11170</v>
      </c>
      <c r="F2366" s="192">
        <v>9442</v>
      </c>
      <c r="G2366" s="481">
        <v>213</v>
      </c>
    </row>
    <row r="2367" spans="1:7">
      <c r="A2367" s="434">
        <v>6967</v>
      </c>
      <c r="B2367" s="19" t="s">
        <v>1632</v>
      </c>
      <c r="C2367" t="s">
        <v>141</v>
      </c>
      <c r="D2367">
        <v>6967</v>
      </c>
      <c r="E2367" s="192">
        <v>7518</v>
      </c>
      <c r="F2367" s="192">
        <v>6004</v>
      </c>
      <c r="G2367" s="481">
        <v>222</v>
      </c>
    </row>
    <row r="2368" spans="1:7">
      <c r="A2368" s="434">
        <v>6959</v>
      </c>
      <c r="B2368" s="19" t="s">
        <v>1633</v>
      </c>
      <c r="C2368" t="s">
        <v>141</v>
      </c>
      <c r="D2368">
        <v>6959</v>
      </c>
      <c r="E2368" s="192">
        <v>5109</v>
      </c>
      <c r="F2368" s="192">
        <v>4271</v>
      </c>
      <c r="G2368" s="481">
        <v>225</v>
      </c>
    </row>
    <row r="2369" spans="1:7">
      <c r="A2369" s="434">
        <v>6915</v>
      </c>
      <c r="B2369" s="19" t="s">
        <v>1634</v>
      </c>
      <c r="C2369" t="s">
        <v>141</v>
      </c>
      <c r="D2369">
        <v>6915</v>
      </c>
      <c r="E2369" s="192">
        <v>10623</v>
      </c>
      <c r="F2369" s="192">
        <v>9958</v>
      </c>
      <c r="G2369" s="481">
        <v>247</v>
      </c>
    </row>
    <row r="2370" spans="1:7">
      <c r="A2370" s="434">
        <v>6968</v>
      </c>
      <c r="B2370" s="19" t="s">
        <v>1635</v>
      </c>
      <c r="C2370" t="s">
        <v>141</v>
      </c>
      <c r="D2370">
        <v>6968</v>
      </c>
      <c r="E2370" s="192">
        <v>7416</v>
      </c>
      <c r="F2370" s="192">
        <v>6038</v>
      </c>
      <c r="G2370" s="481">
        <v>223</v>
      </c>
    </row>
    <row r="2371" spans="1:7">
      <c r="A2371" s="434">
        <v>6963</v>
      </c>
      <c r="B2371" s="19" t="s">
        <v>1636</v>
      </c>
      <c r="C2371" t="s">
        <v>141</v>
      </c>
      <c r="D2371">
        <v>6963</v>
      </c>
      <c r="E2371" s="192">
        <v>9297</v>
      </c>
      <c r="F2371" s="192">
        <v>8542</v>
      </c>
      <c r="G2371" s="481">
        <v>307</v>
      </c>
    </row>
    <row r="2372" spans="1:7">
      <c r="A2372" s="434">
        <v>6912</v>
      </c>
      <c r="B2372" s="19" t="s">
        <v>1637</v>
      </c>
      <c r="C2372" t="s">
        <v>141</v>
      </c>
      <c r="D2372">
        <v>6912</v>
      </c>
      <c r="E2372" s="192">
        <v>7702</v>
      </c>
      <c r="F2372" s="192">
        <v>6686</v>
      </c>
      <c r="G2372" s="481">
        <v>233</v>
      </c>
    </row>
    <row r="2373" spans="1:7">
      <c r="A2373" s="434">
        <v>6976</v>
      </c>
      <c r="B2373" s="19" t="s">
        <v>1638</v>
      </c>
      <c r="C2373" t="s">
        <v>141</v>
      </c>
      <c r="D2373">
        <v>6976</v>
      </c>
      <c r="E2373" s="192">
        <v>12302</v>
      </c>
      <c r="F2373" s="192">
        <v>11417</v>
      </c>
      <c r="G2373" s="481">
        <v>330</v>
      </c>
    </row>
    <row r="2374" spans="1:7">
      <c r="A2374" s="434">
        <v>6974</v>
      </c>
      <c r="B2374" s="19" t="s">
        <v>1639</v>
      </c>
      <c r="C2374" t="s">
        <v>141</v>
      </c>
      <c r="D2374">
        <v>6974</v>
      </c>
      <c r="E2374" s="192">
        <v>11729</v>
      </c>
      <c r="F2374" s="192">
        <v>11553</v>
      </c>
      <c r="G2374" s="481">
        <v>293</v>
      </c>
    </row>
    <row r="2375" spans="1:7">
      <c r="A2375" s="434">
        <v>6951</v>
      </c>
      <c r="B2375" s="19" t="s">
        <v>1640</v>
      </c>
      <c r="C2375" t="s">
        <v>141</v>
      </c>
      <c r="D2375">
        <v>6951</v>
      </c>
      <c r="E2375" s="192">
        <v>6118</v>
      </c>
      <c r="F2375" s="192">
        <v>4290</v>
      </c>
      <c r="G2375" s="481">
        <v>277</v>
      </c>
    </row>
    <row r="2376" spans="1:7">
      <c r="A2376" s="434">
        <v>6932</v>
      </c>
      <c r="B2376" s="19" t="s">
        <v>1641</v>
      </c>
      <c r="C2376" t="s">
        <v>141</v>
      </c>
      <c r="D2376">
        <v>6932</v>
      </c>
      <c r="E2376" s="192">
        <v>8383</v>
      </c>
      <c r="F2376" s="192">
        <v>7801</v>
      </c>
      <c r="G2376" s="481">
        <v>234</v>
      </c>
    </row>
    <row r="2377" spans="1:7">
      <c r="A2377" s="434">
        <v>6951</v>
      </c>
      <c r="B2377" s="19" t="s">
        <v>1642</v>
      </c>
      <c r="C2377" t="s">
        <v>141</v>
      </c>
      <c r="D2377">
        <v>6951</v>
      </c>
      <c r="E2377" s="19" t="s">
        <v>1643</v>
      </c>
      <c r="F2377" s="19" t="s">
        <v>1643</v>
      </c>
      <c r="G2377" s="435" t="s">
        <v>1643</v>
      </c>
    </row>
    <row r="2378" spans="1:7">
      <c r="A2378" s="434">
        <v>6913</v>
      </c>
      <c r="B2378" s="19" t="s">
        <v>1644</v>
      </c>
      <c r="C2378" t="s">
        <v>141</v>
      </c>
      <c r="D2378">
        <v>6913</v>
      </c>
      <c r="E2378" s="192">
        <v>8455</v>
      </c>
      <c r="F2378" s="192">
        <v>7736</v>
      </c>
      <c r="G2378" s="481">
        <v>227</v>
      </c>
    </row>
    <row r="2379" spans="1:7">
      <c r="A2379" s="434">
        <v>6966</v>
      </c>
      <c r="B2379" s="19" t="s">
        <v>1645</v>
      </c>
      <c r="C2379" t="s">
        <v>141</v>
      </c>
      <c r="D2379">
        <v>6966</v>
      </c>
      <c r="E2379" s="192">
        <v>7517</v>
      </c>
      <c r="F2379" s="192">
        <v>6372</v>
      </c>
      <c r="G2379" s="481">
        <v>213</v>
      </c>
    </row>
    <row r="2380" spans="1:7">
      <c r="A2380" s="434">
        <v>6918</v>
      </c>
      <c r="B2380" s="19" t="s">
        <v>1646</v>
      </c>
      <c r="C2380" t="s">
        <v>141</v>
      </c>
      <c r="D2380">
        <v>6918</v>
      </c>
      <c r="E2380" s="192">
        <v>7446</v>
      </c>
      <c r="F2380" s="192">
        <v>10718</v>
      </c>
      <c r="G2380" s="481">
        <v>196</v>
      </c>
    </row>
    <row r="2381" spans="1:7">
      <c r="A2381" s="434">
        <v>6959</v>
      </c>
      <c r="B2381" s="19" t="s">
        <v>1647</v>
      </c>
      <c r="C2381" t="s">
        <v>141</v>
      </c>
      <c r="D2381">
        <v>6959</v>
      </c>
      <c r="E2381" s="192">
        <v>6261</v>
      </c>
      <c r="F2381" s="192">
        <v>3394</v>
      </c>
      <c r="G2381" s="481">
        <v>277</v>
      </c>
    </row>
    <row r="2382" spans="1:7">
      <c r="A2382" s="434">
        <v>6917</v>
      </c>
      <c r="B2382" s="19" t="s">
        <v>1648</v>
      </c>
      <c r="C2382" t="s">
        <v>141</v>
      </c>
      <c r="D2382">
        <v>6917</v>
      </c>
      <c r="E2382" s="192">
        <v>8093</v>
      </c>
      <c r="F2382" s="192">
        <v>7945</v>
      </c>
      <c r="G2382" s="481">
        <v>191</v>
      </c>
    </row>
    <row r="2383" spans="1:7">
      <c r="A2383" s="434">
        <v>6951</v>
      </c>
      <c r="B2383" s="19" t="s">
        <v>1649</v>
      </c>
      <c r="C2383" t="s">
        <v>141</v>
      </c>
      <c r="D2383">
        <v>6951</v>
      </c>
      <c r="E2383" s="192">
        <v>4462</v>
      </c>
      <c r="F2383" s="192">
        <v>3384</v>
      </c>
      <c r="G2383" s="481">
        <v>120</v>
      </c>
    </row>
    <row r="2384" spans="1:7">
      <c r="A2384" s="434">
        <v>6962</v>
      </c>
      <c r="B2384" s="19" t="s">
        <v>1650</v>
      </c>
      <c r="C2384" t="s">
        <v>141</v>
      </c>
      <c r="D2384">
        <v>6962</v>
      </c>
      <c r="E2384" s="192">
        <v>8917</v>
      </c>
      <c r="F2384" s="192">
        <v>9153</v>
      </c>
      <c r="G2384" s="481">
        <v>287</v>
      </c>
    </row>
    <row r="2385" spans="1:7">
      <c r="A2385" s="434">
        <v>6959</v>
      </c>
      <c r="B2385" s="19" t="s">
        <v>1651</v>
      </c>
      <c r="C2385" t="s">
        <v>141</v>
      </c>
      <c r="D2385">
        <v>6959</v>
      </c>
      <c r="E2385" s="192">
        <v>4709</v>
      </c>
      <c r="F2385" s="192">
        <v>2965</v>
      </c>
      <c r="G2385" s="481">
        <v>277</v>
      </c>
    </row>
    <row r="2386" spans="1:7">
      <c r="A2386" s="434">
        <v>6977</v>
      </c>
      <c r="B2386" s="19" t="s">
        <v>1652</v>
      </c>
      <c r="C2386" t="s">
        <v>141</v>
      </c>
      <c r="D2386">
        <v>6977</v>
      </c>
      <c r="E2386" s="192">
        <v>11877</v>
      </c>
      <c r="F2386" s="192">
        <v>11338</v>
      </c>
      <c r="G2386" s="481">
        <v>382</v>
      </c>
    </row>
    <row r="2387" spans="1:7">
      <c r="A2387" s="434">
        <v>6900</v>
      </c>
      <c r="B2387" s="19" t="s">
        <v>1429</v>
      </c>
      <c r="C2387" t="s">
        <v>141</v>
      </c>
      <c r="D2387">
        <v>6900</v>
      </c>
      <c r="E2387" s="192">
        <v>9155</v>
      </c>
      <c r="F2387" s="192">
        <v>7859</v>
      </c>
      <c r="G2387" s="481">
        <v>288</v>
      </c>
    </row>
    <row r="2388" spans="1:7">
      <c r="A2388" s="434">
        <v>6951</v>
      </c>
      <c r="B2388" s="19" t="s">
        <v>1653</v>
      </c>
      <c r="C2388" t="s">
        <v>141</v>
      </c>
      <c r="D2388">
        <v>6951</v>
      </c>
      <c r="E2388" s="192">
        <v>5054</v>
      </c>
      <c r="F2388" s="192">
        <v>3544</v>
      </c>
      <c r="G2388" s="481">
        <v>277</v>
      </c>
    </row>
    <row r="2389" spans="1:7">
      <c r="A2389" s="434">
        <v>6964</v>
      </c>
      <c r="B2389" s="19" t="s">
        <v>1654</v>
      </c>
      <c r="C2389" t="s">
        <v>141</v>
      </c>
      <c r="D2389">
        <v>6964</v>
      </c>
      <c r="E2389" s="192">
        <v>8096</v>
      </c>
      <c r="F2389" s="192">
        <v>7464</v>
      </c>
      <c r="G2389" s="481">
        <v>225</v>
      </c>
    </row>
    <row r="2390" spans="1:7">
      <c r="A2390" s="434">
        <v>6951</v>
      </c>
      <c r="B2390" s="19" t="s">
        <v>1655</v>
      </c>
      <c r="C2390" t="s">
        <v>141</v>
      </c>
      <c r="D2390">
        <v>6951</v>
      </c>
      <c r="E2390" s="192">
        <v>5967</v>
      </c>
      <c r="F2390" s="192">
        <v>4052</v>
      </c>
      <c r="G2390" s="481">
        <v>277</v>
      </c>
    </row>
    <row r="2391" spans="1:7">
      <c r="A2391" s="434">
        <v>6963</v>
      </c>
      <c r="B2391" s="19" t="s">
        <v>1656</v>
      </c>
      <c r="C2391" t="s">
        <v>141</v>
      </c>
      <c r="D2391">
        <v>6963</v>
      </c>
      <c r="E2391" s="192">
        <v>8303</v>
      </c>
      <c r="F2391" s="192">
        <v>7946</v>
      </c>
      <c r="G2391" s="481">
        <v>248</v>
      </c>
    </row>
    <row r="2392" spans="1:7">
      <c r="A2392" s="434">
        <v>6951</v>
      </c>
      <c r="B2392" s="19" t="s">
        <v>1657</v>
      </c>
      <c r="C2392" t="s">
        <v>141</v>
      </c>
      <c r="D2392">
        <v>6951</v>
      </c>
      <c r="E2392" s="192">
        <v>5660</v>
      </c>
      <c r="F2392" s="192">
        <v>3960</v>
      </c>
      <c r="G2392" s="481">
        <v>277</v>
      </c>
    </row>
    <row r="2393" spans="1:7">
      <c r="A2393" s="434">
        <v>6959</v>
      </c>
      <c r="B2393" s="19" t="s">
        <v>1658</v>
      </c>
      <c r="C2393" t="s">
        <v>141</v>
      </c>
      <c r="D2393">
        <v>6959</v>
      </c>
      <c r="E2393" s="192">
        <v>6271</v>
      </c>
      <c r="F2393" s="192">
        <v>4105</v>
      </c>
      <c r="G2393" s="481">
        <v>277</v>
      </c>
    </row>
    <row r="2394" spans="1:7">
      <c r="A2394" s="434">
        <v>6959</v>
      </c>
      <c r="B2394" s="19" t="s">
        <v>1659</v>
      </c>
      <c r="C2394" t="s">
        <v>141</v>
      </c>
      <c r="D2394">
        <v>6959</v>
      </c>
      <c r="E2394" s="192">
        <v>6553</v>
      </c>
      <c r="F2394" s="192">
        <v>4284</v>
      </c>
      <c r="G2394" s="481">
        <v>277</v>
      </c>
    </row>
    <row r="2395" spans="1:7">
      <c r="A2395" s="434">
        <v>6965</v>
      </c>
      <c r="B2395" s="19" t="s">
        <v>1660</v>
      </c>
      <c r="C2395" t="s">
        <v>141</v>
      </c>
      <c r="D2395">
        <v>6965</v>
      </c>
      <c r="E2395" s="192">
        <v>7573</v>
      </c>
      <c r="F2395" s="192">
        <v>6286</v>
      </c>
      <c r="G2395" s="481">
        <v>250</v>
      </c>
    </row>
    <row r="2396" spans="1:7">
      <c r="A2396" s="434">
        <v>6914</v>
      </c>
      <c r="B2396" s="19" t="s">
        <v>1661</v>
      </c>
      <c r="C2396" t="s">
        <v>141</v>
      </c>
      <c r="D2396">
        <v>6914</v>
      </c>
      <c r="E2396" s="192">
        <v>9175</v>
      </c>
      <c r="F2396" s="192">
        <v>8223</v>
      </c>
      <c r="G2396" s="481">
        <v>268</v>
      </c>
    </row>
    <row r="2397" spans="1:7">
      <c r="A2397" s="434">
        <v>6503</v>
      </c>
      <c r="B2397" s="19" t="s">
        <v>1430</v>
      </c>
      <c r="C2397" t="s">
        <v>141</v>
      </c>
      <c r="D2397">
        <v>6503</v>
      </c>
      <c r="E2397" s="192">
        <v>6353</v>
      </c>
      <c r="F2397" s="192">
        <v>5784</v>
      </c>
      <c r="G2397" s="481">
        <v>208</v>
      </c>
    </row>
    <row r="2398" spans="1:7">
      <c r="A2398" s="434">
        <v>6514</v>
      </c>
      <c r="B2398" s="19" t="s">
        <v>1662</v>
      </c>
      <c r="C2398" t="s">
        <v>141</v>
      </c>
      <c r="D2398">
        <v>6514</v>
      </c>
      <c r="E2398" s="192">
        <v>5966</v>
      </c>
      <c r="F2398" s="192">
        <v>5854</v>
      </c>
      <c r="G2398" s="481">
        <v>248</v>
      </c>
    </row>
    <row r="2399" spans="1:7">
      <c r="A2399" s="434">
        <v>6583</v>
      </c>
      <c r="B2399" s="19" t="s">
        <v>1663</v>
      </c>
      <c r="C2399" t="s">
        <v>141</v>
      </c>
      <c r="D2399">
        <v>6583</v>
      </c>
      <c r="E2399" s="192">
        <v>6163</v>
      </c>
      <c r="F2399" s="192">
        <v>4494</v>
      </c>
      <c r="G2399" s="481">
        <v>185</v>
      </c>
    </row>
    <row r="2400" spans="1:7">
      <c r="A2400" s="434">
        <v>6702</v>
      </c>
      <c r="B2400" s="19" t="s">
        <v>1664</v>
      </c>
      <c r="C2400" t="s">
        <v>141</v>
      </c>
      <c r="D2400">
        <v>6702</v>
      </c>
      <c r="E2400" s="192">
        <v>5640</v>
      </c>
      <c r="F2400" s="192">
        <v>4997</v>
      </c>
      <c r="G2400" s="481">
        <v>227</v>
      </c>
    </row>
    <row r="2401" spans="1:28">
      <c r="A2401" s="434">
        <v>6513</v>
      </c>
      <c r="B2401" s="19" t="s">
        <v>1665</v>
      </c>
      <c r="C2401" t="s">
        <v>141</v>
      </c>
      <c r="D2401">
        <v>6513</v>
      </c>
      <c r="E2401" s="192">
        <v>6078</v>
      </c>
      <c r="F2401" s="192">
        <v>5828</v>
      </c>
      <c r="G2401" s="481">
        <v>220</v>
      </c>
    </row>
    <row r="2402" spans="1:28">
      <c r="A2402" s="434">
        <v>6515</v>
      </c>
      <c r="B2402" s="19" t="s">
        <v>1666</v>
      </c>
      <c r="C2402" t="s">
        <v>141</v>
      </c>
      <c r="D2402">
        <v>6515</v>
      </c>
      <c r="E2402" s="192">
        <v>6963</v>
      </c>
      <c r="F2402" s="192">
        <v>6519</v>
      </c>
      <c r="G2402" s="481">
        <v>225</v>
      </c>
    </row>
    <row r="2403" spans="1:28">
      <c r="A2403" s="434">
        <v>6582</v>
      </c>
      <c r="B2403" s="19" t="s">
        <v>1667</v>
      </c>
      <c r="C2403" t="s">
        <v>141</v>
      </c>
      <c r="D2403">
        <v>6582</v>
      </c>
      <c r="E2403" s="192">
        <v>6410</v>
      </c>
      <c r="F2403" s="192">
        <v>6344</v>
      </c>
      <c r="G2403" s="481">
        <v>235</v>
      </c>
    </row>
    <row r="2404" spans="1:28">
      <c r="A2404" s="434">
        <v>6518</v>
      </c>
      <c r="B2404" s="19" t="s">
        <v>1668</v>
      </c>
      <c r="C2404" t="s">
        <v>141</v>
      </c>
      <c r="D2404">
        <v>6518</v>
      </c>
      <c r="E2404" s="192">
        <v>5895</v>
      </c>
      <c r="F2404" s="192">
        <v>5368</v>
      </c>
      <c r="G2404" s="481">
        <v>161</v>
      </c>
    </row>
    <row r="2405" spans="1:28">
      <c r="A2405" s="434">
        <v>6525</v>
      </c>
      <c r="B2405" s="19" t="s">
        <v>1669</v>
      </c>
      <c r="C2405" t="s">
        <v>141</v>
      </c>
      <c r="D2405">
        <v>6525</v>
      </c>
      <c r="E2405" s="192">
        <v>6061</v>
      </c>
      <c r="F2405" s="192">
        <v>6224</v>
      </c>
      <c r="G2405" s="481">
        <v>219</v>
      </c>
    </row>
    <row r="2406" spans="1:28">
      <c r="A2406" s="434">
        <v>6524</v>
      </c>
      <c r="B2406" s="19" t="s">
        <v>1670</v>
      </c>
      <c r="C2406" t="s">
        <v>141</v>
      </c>
      <c r="D2406">
        <v>6524</v>
      </c>
      <c r="E2406" s="192">
        <v>5964</v>
      </c>
      <c r="F2406" s="192">
        <v>4858</v>
      </c>
      <c r="G2406" s="481">
        <v>219</v>
      </c>
    </row>
    <row r="2407" spans="1:28" ht="17" thickBot="1">
      <c r="A2407" s="471">
        <v>1204</v>
      </c>
      <c r="B2407" s="473" t="s">
        <v>163</v>
      </c>
      <c r="C2407" s="472" t="s">
        <v>137</v>
      </c>
      <c r="D2407" s="472">
        <v>1204</v>
      </c>
      <c r="E2407" s="486">
        <v>16457</v>
      </c>
      <c r="F2407" s="486">
        <v>13594</v>
      </c>
      <c r="G2407" s="487">
        <v>543</v>
      </c>
    </row>
    <row r="2411" spans="1:28">
      <c r="Z2411" s="19"/>
      <c r="AA2411" s="19"/>
      <c r="AB2411" s="19"/>
    </row>
    <row r="2412" spans="1:28">
      <c r="Z2412" s="19"/>
      <c r="AA2412" s="19"/>
      <c r="AB2412" s="19"/>
    </row>
    <row r="2413" spans="1:28">
      <c r="Z2413" s="19"/>
      <c r="AA2413" s="19"/>
      <c r="AB2413" s="19"/>
    </row>
    <row r="2414" spans="1:28">
      <c r="Z2414" s="19"/>
      <c r="AA2414" s="19"/>
      <c r="AB2414" s="19"/>
    </row>
    <row r="2415" spans="1:28">
      <c r="Z2415" s="19"/>
      <c r="AA2415" s="19"/>
      <c r="AB2415" s="19"/>
    </row>
    <row r="2416" spans="1:28">
      <c r="Z2416" s="19"/>
      <c r="AA2416" s="19"/>
      <c r="AB2416" s="19"/>
    </row>
    <row r="2417" spans="26:28">
      <c r="Z2417" s="19"/>
      <c r="AA2417" s="19"/>
      <c r="AB2417" s="19"/>
    </row>
    <row r="2418" spans="26:28">
      <c r="Z2418" s="19"/>
      <c r="AA2418" s="19"/>
      <c r="AB2418" s="19"/>
    </row>
    <row r="2419" spans="26:28">
      <c r="Z2419" s="19"/>
      <c r="AA2419" s="19"/>
      <c r="AB2419" s="19"/>
    </row>
    <row r="2420" spans="26:28">
      <c r="Z2420" s="19"/>
      <c r="AA2420" s="19"/>
      <c r="AB2420" s="19"/>
    </row>
    <row r="2421" spans="26:28">
      <c r="Z2421" s="19"/>
      <c r="AA2421" s="19"/>
      <c r="AB2421" s="19"/>
    </row>
    <row r="2422" spans="26:28">
      <c r="Z2422" s="19"/>
      <c r="AA2422" s="19"/>
      <c r="AB2422" s="19"/>
    </row>
    <row r="2423" spans="26:28">
      <c r="Z2423" s="19"/>
      <c r="AA2423" s="19"/>
      <c r="AB2423" s="19"/>
    </row>
    <row r="2424" spans="26:28">
      <c r="Z2424" s="19"/>
      <c r="AA2424" s="19"/>
      <c r="AB2424" s="19"/>
    </row>
    <row r="2425" spans="26:28">
      <c r="Z2425" s="19"/>
      <c r="AA2425" s="19"/>
      <c r="AB2425" s="19"/>
    </row>
    <row r="2426" spans="26:28">
      <c r="Z2426" s="19"/>
      <c r="AA2426" s="19"/>
      <c r="AB2426" s="19"/>
    </row>
    <row r="2427" spans="26:28">
      <c r="Z2427" s="19"/>
      <c r="AA2427" s="19"/>
      <c r="AB2427" s="19"/>
    </row>
    <row r="2428" spans="26:28">
      <c r="Z2428" s="19"/>
      <c r="AA2428" s="19"/>
      <c r="AB2428" s="19"/>
    </row>
    <row r="2429" spans="26:28">
      <c r="Z2429" s="19"/>
      <c r="AA2429" s="19"/>
      <c r="AB2429" s="19"/>
    </row>
    <row r="2430" spans="26:28">
      <c r="Z2430" s="19"/>
      <c r="AA2430" s="19"/>
      <c r="AB2430" s="19"/>
    </row>
    <row r="2431" spans="26:28">
      <c r="Z2431" s="19"/>
      <c r="AA2431" s="19"/>
      <c r="AB2431" s="19"/>
    </row>
    <row r="2432" spans="26:28">
      <c r="Z2432" s="19"/>
      <c r="AA2432" s="19"/>
      <c r="AB2432" s="19"/>
    </row>
    <row r="2433" spans="26:28">
      <c r="Z2433" s="19"/>
      <c r="AA2433" s="19"/>
      <c r="AB2433" s="19"/>
    </row>
    <row r="2434" spans="26:28">
      <c r="Z2434" s="19"/>
      <c r="AA2434" s="19"/>
      <c r="AB2434" s="19"/>
    </row>
    <row r="2435" spans="26:28">
      <c r="Z2435" s="19"/>
      <c r="AA2435" s="19"/>
      <c r="AB2435" s="19"/>
    </row>
    <row r="2436" spans="26:28">
      <c r="Z2436" s="19"/>
      <c r="AA2436" s="19"/>
      <c r="AB2436" s="19"/>
    </row>
    <row r="2437" spans="26:28">
      <c r="Z2437" s="19"/>
      <c r="AA2437" s="19"/>
      <c r="AB2437" s="19"/>
    </row>
    <row r="2438" spans="26:28">
      <c r="Z2438" s="19"/>
      <c r="AA2438" s="19"/>
      <c r="AB2438" s="19"/>
    </row>
    <row r="2439" spans="26:28">
      <c r="Z2439" s="19"/>
      <c r="AA2439" s="19"/>
      <c r="AB2439" s="19"/>
    </row>
    <row r="2440" spans="26:28">
      <c r="Z2440" s="19"/>
      <c r="AA2440" s="19"/>
      <c r="AB2440" s="19"/>
    </row>
    <row r="2441" spans="26:28">
      <c r="Z2441" s="19"/>
      <c r="AA2441" s="19"/>
      <c r="AB2441" s="19"/>
    </row>
    <row r="2442" spans="26:28">
      <c r="Z2442" s="19"/>
      <c r="AA2442" s="19"/>
      <c r="AB2442" s="19"/>
    </row>
    <row r="2443" spans="26:28">
      <c r="Z2443" s="19"/>
      <c r="AA2443" s="19"/>
      <c r="AB2443" s="19"/>
    </row>
    <row r="2444" spans="26:28">
      <c r="Z2444" s="19"/>
      <c r="AA2444" s="19"/>
      <c r="AB2444" s="19"/>
    </row>
    <row r="2445" spans="26:28">
      <c r="Z2445" s="19"/>
      <c r="AA2445" s="19"/>
      <c r="AB2445" s="19"/>
    </row>
    <row r="2446" spans="26:28">
      <c r="Z2446" s="19"/>
      <c r="AA2446" s="19"/>
      <c r="AB2446" s="19"/>
    </row>
    <row r="2447" spans="26:28">
      <c r="Z2447" s="19"/>
      <c r="AA2447" s="19"/>
      <c r="AB2447" s="19"/>
    </row>
    <row r="2448" spans="26:28">
      <c r="Z2448" s="19"/>
      <c r="AA2448" s="19"/>
      <c r="AB2448" s="19"/>
    </row>
    <row r="2449" spans="26:28">
      <c r="Z2449" s="19"/>
      <c r="AA2449" s="19"/>
      <c r="AB2449" s="19"/>
    </row>
    <row r="2450" spans="26:28">
      <c r="Z2450" s="19"/>
      <c r="AA2450" s="19"/>
      <c r="AB2450" s="19"/>
    </row>
    <row r="2451" spans="26:28">
      <c r="Z2451" s="19"/>
      <c r="AA2451" s="19"/>
      <c r="AB2451" s="19"/>
    </row>
    <row r="2452" spans="26:28">
      <c r="Z2452" s="19"/>
      <c r="AA2452" s="19"/>
      <c r="AB2452" s="19"/>
    </row>
    <row r="2453" spans="26:28">
      <c r="Z2453" s="19"/>
      <c r="AA2453" s="19"/>
      <c r="AB2453" s="19"/>
    </row>
    <row r="2454" spans="26:28">
      <c r="Z2454" s="19"/>
      <c r="AA2454" s="19"/>
      <c r="AB2454" s="19"/>
    </row>
    <row r="2455" spans="26:28">
      <c r="Z2455" s="19"/>
      <c r="AA2455" s="19"/>
      <c r="AB2455" s="19"/>
    </row>
    <row r="2456" spans="26:28">
      <c r="Z2456" s="19"/>
      <c r="AA2456" s="19"/>
      <c r="AB2456" s="19"/>
    </row>
    <row r="2457" spans="26:28">
      <c r="Z2457" s="19"/>
      <c r="AA2457" s="19"/>
      <c r="AB2457" s="19"/>
    </row>
    <row r="2458" spans="26:28">
      <c r="Z2458" s="19"/>
      <c r="AA2458" s="19"/>
      <c r="AB2458" s="19"/>
    </row>
    <row r="2459" spans="26:28">
      <c r="Z2459" s="19"/>
      <c r="AA2459" s="19"/>
      <c r="AB2459" s="19"/>
    </row>
    <row r="2460" spans="26:28">
      <c r="Z2460" s="19"/>
      <c r="AA2460" s="19"/>
      <c r="AB2460" s="19"/>
    </row>
    <row r="2461" spans="26:28">
      <c r="Z2461" s="19"/>
      <c r="AA2461" s="19"/>
      <c r="AB2461" s="19"/>
    </row>
    <row r="2462" spans="26:28">
      <c r="Z2462" s="19"/>
      <c r="AA2462" s="19"/>
      <c r="AB2462" s="19"/>
    </row>
    <row r="2463" spans="26:28">
      <c r="Z2463" s="19"/>
      <c r="AA2463" s="19"/>
      <c r="AB2463" s="19"/>
    </row>
    <row r="2464" spans="26:28">
      <c r="Z2464" s="19"/>
      <c r="AA2464" s="19"/>
      <c r="AB2464" s="19"/>
    </row>
    <row r="2465" spans="26:28">
      <c r="Z2465" s="19"/>
      <c r="AA2465" s="19"/>
      <c r="AB2465" s="19"/>
    </row>
    <row r="2466" spans="26:28">
      <c r="Z2466" s="19"/>
      <c r="AA2466" s="19"/>
      <c r="AB2466" s="19"/>
    </row>
    <row r="2467" spans="26:28">
      <c r="Z2467" s="19"/>
      <c r="AA2467" s="19"/>
      <c r="AB2467" s="19"/>
    </row>
    <row r="2468" spans="26:28">
      <c r="Z2468" s="19"/>
      <c r="AA2468" s="19"/>
      <c r="AB2468" s="19"/>
    </row>
    <row r="2469" spans="26:28">
      <c r="Z2469" s="19"/>
      <c r="AA2469" s="19"/>
      <c r="AB2469" s="19"/>
    </row>
    <row r="2470" spans="26:28">
      <c r="Z2470" s="19"/>
      <c r="AA2470" s="19"/>
      <c r="AB2470" s="19"/>
    </row>
    <row r="2471" spans="26:28">
      <c r="Z2471" s="19"/>
      <c r="AA2471" s="19"/>
      <c r="AB2471" s="19"/>
    </row>
    <row r="2472" spans="26:28">
      <c r="Z2472" s="19"/>
      <c r="AA2472" s="19"/>
      <c r="AB2472" s="19"/>
    </row>
    <row r="2473" spans="26:28">
      <c r="Z2473" s="19"/>
      <c r="AA2473" s="19"/>
      <c r="AB2473" s="19"/>
    </row>
    <row r="2474" spans="26:28">
      <c r="Z2474" s="19"/>
      <c r="AA2474" s="19"/>
      <c r="AB2474" s="19"/>
    </row>
    <row r="2475" spans="26:28">
      <c r="Z2475" s="19"/>
      <c r="AA2475" s="19"/>
      <c r="AB2475" s="19"/>
    </row>
    <row r="2476" spans="26:28">
      <c r="Z2476" s="19"/>
      <c r="AA2476" s="19"/>
      <c r="AB2476" s="19"/>
    </row>
    <row r="2477" spans="26:28">
      <c r="Z2477" s="19"/>
      <c r="AA2477" s="19"/>
      <c r="AB2477" s="19"/>
    </row>
    <row r="2478" spans="26:28">
      <c r="Z2478" s="19"/>
      <c r="AA2478" s="19"/>
      <c r="AB2478" s="19"/>
    </row>
    <row r="2479" spans="26:28">
      <c r="Z2479" s="19"/>
      <c r="AA2479" s="19"/>
      <c r="AB2479" s="19"/>
    </row>
    <row r="2480" spans="26:28">
      <c r="Z2480" s="19"/>
      <c r="AA2480" s="19"/>
      <c r="AB2480" s="19"/>
    </row>
    <row r="2481" spans="26:28">
      <c r="Z2481" s="19"/>
      <c r="AA2481" s="19"/>
      <c r="AB2481" s="19"/>
    </row>
    <row r="2482" spans="26:28">
      <c r="Z2482" s="19"/>
      <c r="AA2482" s="19"/>
      <c r="AB2482" s="19"/>
    </row>
    <row r="2483" spans="26:28">
      <c r="Z2483" s="19"/>
      <c r="AA2483" s="19"/>
      <c r="AB2483" s="19"/>
    </row>
    <row r="2484" spans="26:28">
      <c r="Z2484" s="19"/>
      <c r="AA2484" s="19"/>
      <c r="AB2484" s="19"/>
    </row>
    <row r="2485" spans="26:28">
      <c r="Z2485" s="19"/>
      <c r="AA2485" s="19"/>
      <c r="AB2485" s="19"/>
    </row>
    <row r="2486" spans="26:28">
      <c r="Z2486" s="19"/>
      <c r="AA2486" s="19"/>
      <c r="AB2486" s="19"/>
    </row>
    <row r="2487" spans="26:28">
      <c r="Z2487" s="19"/>
      <c r="AA2487" s="19"/>
      <c r="AB2487" s="19"/>
    </row>
    <row r="2488" spans="26:28">
      <c r="Z2488" s="19"/>
      <c r="AA2488" s="19"/>
      <c r="AB2488" s="19"/>
    </row>
    <row r="2489" spans="26:28">
      <c r="Z2489" s="19"/>
      <c r="AA2489" s="19"/>
      <c r="AB2489" s="19"/>
    </row>
    <row r="2490" spans="26:28">
      <c r="Z2490" s="19"/>
      <c r="AA2490" s="19"/>
      <c r="AB2490" s="19"/>
    </row>
    <row r="2491" spans="26:28">
      <c r="Z2491" s="19"/>
      <c r="AA2491" s="19"/>
      <c r="AB2491" s="19"/>
    </row>
    <row r="2492" spans="26:28">
      <c r="Z2492" s="19"/>
      <c r="AA2492" s="19"/>
      <c r="AB2492" s="19"/>
    </row>
    <row r="2493" spans="26:28">
      <c r="Z2493" s="19"/>
      <c r="AA2493" s="19"/>
      <c r="AB2493" s="19"/>
    </row>
    <row r="2494" spans="26:28">
      <c r="Z2494" s="19"/>
      <c r="AA2494" s="19"/>
      <c r="AB2494" s="19"/>
    </row>
    <row r="2495" spans="26:28">
      <c r="Z2495" s="19"/>
      <c r="AA2495" s="19"/>
      <c r="AB2495" s="19"/>
    </row>
    <row r="2496" spans="26:28">
      <c r="Z2496" s="19"/>
      <c r="AA2496" s="19"/>
      <c r="AB2496" s="19"/>
    </row>
    <row r="2497" spans="26:28">
      <c r="Z2497" s="19"/>
      <c r="AA2497" s="19"/>
      <c r="AB2497" s="19"/>
    </row>
    <row r="2498" spans="26:28">
      <c r="Z2498" s="19"/>
      <c r="AA2498" s="19"/>
      <c r="AB2498" s="19"/>
    </row>
    <row r="2499" spans="26:28">
      <c r="Z2499" s="19"/>
      <c r="AA2499" s="19"/>
      <c r="AB2499" s="19"/>
    </row>
    <row r="2500" spans="26:28">
      <c r="Z2500" s="19"/>
      <c r="AA2500" s="19"/>
      <c r="AB2500" s="19"/>
    </row>
    <row r="2501" spans="26:28">
      <c r="Z2501" s="19"/>
      <c r="AA2501" s="19"/>
      <c r="AB2501" s="19"/>
    </row>
    <row r="2502" spans="26:28">
      <c r="Z2502" s="19"/>
      <c r="AA2502" s="19"/>
      <c r="AB2502" s="19"/>
    </row>
    <row r="2503" spans="26:28">
      <c r="Z2503" s="19"/>
      <c r="AA2503" s="19"/>
      <c r="AB2503" s="19"/>
    </row>
    <row r="2504" spans="26:28">
      <c r="Z2504" s="19"/>
      <c r="AA2504" s="19"/>
      <c r="AB2504" s="19"/>
    </row>
    <row r="2505" spans="26:28">
      <c r="Z2505" s="19"/>
      <c r="AA2505" s="19"/>
      <c r="AB2505" s="19"/>
    </row>
    <row r="2506" spans="26:28">
      <c r="Z2506" s="19"/>
      <c r="AA2506" s="19"/>
      <c r="AB2506" s="19"/>
    </row>
    <row r="2507" spans="26:28">
      <c r="Z2507" s="19"/>
      <c r="AA2507" s="19"/>
      <c r="AB2507" s="19"/>
    </row>
  </sheetData>
  <autoFilter ref="A1:G2407" xr:uid="{44C40968-3B0A-9F49-9929-DBFAB5CBD736}"/>
  <mergeCells count="2">
    <mergeCell ref="W2:AB2"/>
    <mergeCell ref="W3:X3"/>
  </mergeCells>
  <hyperlinks>
    <hyperlink ref="J6" r:id="rId1" xr:uid="{D55F31BC-9917-B347-BBE5-566FCEEA834B}"/>
  </hyperlink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8E392-208B-664B-8BF7-D37BBF28D527}">
  <dimension ref="A1:H28"/>
  <sheetViews>
    <sheetView workbookViewId="0">
      <selection activeCell="H5" sqref="H5"/>
    </sheetView>
  </sheetViews>
  <sheetFormatPr baseColWidth="10" defaultRowHeight="16"/>
  <sheetData>
    <row r="1" spans="1:8">
      <c r="A1" s="431" t="s">
        <v>4928</v>
      </c>
      <c r="B1" s="432"/>
      <c r="C1" s="432"/>
      <c r="D1" s="432"/>
      <c r="E1" s="432"/>
      <c r="F1" s="433"/>
    </row>
    <row r="2" spans="1:8">
      <c r="A2" s="434"/>
      <c r="B2" s="19" t="s">
        <v>4923</v>
      </c>
      <c r="C2" s="19" t="s">
        <v>4924</v>
      </c>
      <c r="D2" s="19" t="s">
        <v>4925</v>
      </c>
      <c r="E2" s="19" t="s">
        <v>4926</v>
      </c>
      <c r="F2" s="435" t="s">
        <v>4921</v>
      </c>
    </row>
    <row r="3" spans="1:8">
      <c r="A3" s="436" t="s">
        <v>159</v>
      </c>
      <c r="B3" s="228">
        <f t="shared" ref="B3:B28" si="0">D3+0.08</f>
        <v>0.23102136509581395</v>
      </c>
      <c r="C3" s="228">
        <f t="shared" ref="C3:C28" si="1">D3+0.03</f>
        <v>0.18102136509581393</v>
      </c>
      <c r="D3" s="446">
        <v>0.15102136509581393</v>
      </c>
      <c r="E3" s="228">
        <f t="shared" ref="E3:E28" si="2">D3-0.03</f>
        <v>0.12102136509581393</v>
      </c>
      <c r="F3" s="447">
        <f t="shared" ref="F3:F28" si="3">D3-0.06</f>
        <v>9.1021365095813933E-2</v>
      </c>
    </row>
    <row r="4" spans="1:8">
      <c r="A4" s="436" t="s">
        <v>152</v>
      </c>
      <c r="B4" s="228">
        <f t="shared" si="0"/>
        <v>0.20561078981983955</v>
      </c>
      <c r="C4" s="228">
        <f t="shared" si="1"/>
        <v>0.15561078981983956</v>
      </c>
      <c r="D4" s="446">
        <v>0.12561078981983956</v>
      </c>
      <c r="E4" s="228">
        <f t="shared" si="2"/>
        <v>9.5610789819839559E-2</v>
      </c>
      <c r="F4" s="447">
        <f t="shared" si="3"/>
        <v>6.561078981983956E-2</v>
      </c>
    </row>
    <row r="5" spans="1:8">
      <c r="A5" s="436" t="s">
        <v>2502</v>
      </c>
      <c r="B5" s="228">
        <f t="shared" si="0"/>
        <v>0.20561078981983955</v>
      </c>
      <c r="C5" s="228">
        <f t="shared" si="1"/>
        <v>0.15561078981983956</v>
      </c>
      <c r="D5" s="446">
        <v>0.12561078981983956</v>
      </c>
      <c r="E5" s="228">
        <f t="shared" si="2"/>
        <v>9.5610789819839559E-2</v>
      </c>
      <c r="F5" s="447">
        <f t="shared" si="3"/>
        <v>6.561078981983956E-2</v>
      </c>
      <c r="H5" s="488" t="s">
        <v>1678</v>
      </c>
    </row>
    <row r="6" spans="1:8">
      <c r="A6" s="436" t="s">
        <v>153</v>
      </c>
      <c r="B6" s="228">
        <f t="shared" si="0"/>
        <v>0.20561078981983955</v>
      </c>
      <c r="C6" s="228">
        <f t="shared" si="1"/>
        <v>0.15561078981983956</v>
      </c>
      <c r="D6" s="446">
        <v>0.12561078981983956</v>
      </c>
      <c r="E6" s="228">
        <f t="shared" si="2"/>
        <v>9.5610789819839559E-2</v>
      </c>
      <c r="F6" s="447">
        <f t="shared" si="3"/>
        <v>6.561078981983956E-2</v>
      </c>
    </row>
    <row r="7" spans="1:8">
      <c r="A7" s="436" t="s">
        <v>157</v>
      </c>
      <c r="B7" s="228">
        <f t="shared" si="0"/>
        <v>0.20561078981983955</v>
      </c>
      <c r="C7" s="228">
        <f t="shared" si="1"/>
        <v>0.15561078981983956</v>
      </c>
      <c r="D7" s="446">
        <v>0.12561078981983956</v>
      </c>
      <c r="E7" s="228">
        <f t="shared" si="2"/>
        <v>9.5610789819839559E-2</v>
      </c>
      <c r="F7" s="447">
        <f t="shared" si="3"/>
        <v>6.561078981983956E-2</v>
      </c>
    </row>
    <row r="8" spans="1:8">
      <c r="A8" s="436" t="s">
        <v>160</v>
      </c>
      <c r="B8" s="228">
        <f t="shared" si="0"/>
        <v>0.21584312241350567</v>
      </c>
      <c r="C8" s="228">
        <f t="shared" si="1"/>
        <v>0.16584312241350566</v>
      </c>
      <c r="D8" s="446">
        <v>0.13584312241350566</v>
      </c>
      <c r="E8" s="228">
        <f t="shared" si="2"/>
        <v>0.10584312241350566</v>
      </c>
      <c r="F8" s="447">
        <f t="shared" si="3"/>
        <v>7.5843122413505659E-2</v>
      </c>
    </row>
    <row r="9" spans="1:8">
      <c r="A9" s="436" t="s">
        <v>144</v>
      </c>
      <c r="B9" s="228">
        <f t="shared" si="0"/>
        <v>0.21584312241350567</v>
      </c>
      <c r="C9" s="228">
        <f t="shared" si="1"/>
        <v>0.16584312241350566</v>
      </c>
      <c r="D9" s="446">
        <v>0.13584312241350566</v>
      </c>
      <c r="E9" s="228">
        <f t="shared" si="2"/>
        <v>0.10584312241350566</v>
      </c>
      <c r="F9" s="447">
        <f t="shared" si="3"/>
        <v>7.5843122413505659E-2</v>
      </c>
    </row>
    <row r="10" spans="1:8">
      <c r="A10" s="436" t="s">
        <v>154</v>
      </c>
      <c r="B10" s="228">
        <f t="shared" si="0"/>
        <v>0.2019279461756841</v>
      </c>
      <c r="C10" s="228">
        <f t="shared" si="1"/>
        <v>0.15192794617568411</v>
      </c>
      <c r="D10" s="446">
        <v>0.1219279461756841</v>
      </c>
      <c r="E10" s="228">
        <f t="shared" si="2"/>
        <v>9.1927946175684103E-2</v>
      </c>
      <c r="F10" s="447">
        <f t="shared" si="3"/>
        <v>6.1927946175684104E-2</v>
      </c>
    </row>
    <row r="11" spans="1:8">
      <c r="A11" s="436" t="s">
        <v>155</v>
      </c>
      <c r="B11" s="228">
        <f t="shared" si="0"/>
        <v>0.2019279461756841</v>
      </c>
      <c r="C11" s="228">
        <f t="shared" si="1"/>
        <v>0.15192794617568411</v>
      </c>
      <c r="D11" s="446">
        <v>0.1219279461756841</v>
      </c>
      <c r="E11" s="228">
        <f t="shared" si="2"/>
        <v>9.1927946175684103E-2</v>
      </c>
      <c r="F11" s="447">
        <f t="shared" si="3"/>
        <v>6.1927946175684104E-2</v>
      </c>
    </row>
    <row r="12" spans="1:8">
      <c r="A12" s="436" t="s">
        <v>149</v>
      </c>
      <c r="B12" s="228">
        <f t="shared" si="0"/>
        <v>0.2019279461756841</v>
      </c>
      <c r="C12" s="228">
        <f t="shared" si="1"/>
        <v>0.15192794617568411</v>
      </c>
      <c r="D12" s="446">
        <v>0.1219279461756841</v>
      </c>
      <c r="E12" s="228">
        <f t="shared" si="2"/>
        <v>9.1927946175684103E-2</v>
      </c>
      <c r="F12" s="447">
        <f t="shared" si="3"/>
        <v>6.1927946175684104E-2</v>
      </c>
    </row>
    <row r="13" spans="1:8">
      <c r="A13" s="436" t="s">
        <v>151</v>
      </c>
      <c r="B13" s="228">
        <f t="shared" si="0"/>
        <v>0.2019279461756841</v>
      </c>
      <c r="C13" s="228">
        <f t="shared" si="1"/>
        <v>0.15192794617568411</v>
      </c>
      <c r="D13" s="446">
        <v>0.1219279461756841</v>
      </c>
      <c r="E13" s="228">
        <f t="shared" si="2"/>
        <v>9.1927946175684103E-2</v>
      </c>
      <c r="F13" s="447">
        <f t="shared" si="3"/>
        <v>6.1927946175684104E-2</v>
      </c>
    </row>
    <row r="14" spans="1:8">
      <c r="A14" s="436" t="s">
        <v>146</v>
      </c>
      <c r="B14" s="228">
        <f t="shared" si="0"/>
        <v>0.2019279461756841</v>
      </c>
      <c r="C14" s="228">
        <f t="shared" si="1"/>
        <v>0.15192794617568411</v>
      </c>
      <c r="D14" s="446">
        <v>0.1219279461756841</v>
      </c>
      <c r="E14" s="228">
        <f t="shared" si="2"/>
        <v>9.1927946175684103E-2</v>
      </c>
      <c r="F14" s="447">
        <f t="shared" si="3"/>
        <v>6.1927946175684104E-2</v>
      </c>
    </row>
    <row r="15" spans="1:8">
      <c r="A15" s="436" t="s">
        <v>145</v>
      </c>
      <c r="B15" s="228">
        <f t="shared" si="0"/>
        <v>0.23146953203126203</v>
      </c>
      <c r="C15" s="228">
        <f t="shared" si="1"/>
        <v>0.18146953203126204</v>
      </c>
      <c r="D15" s="446">
        <v>0.15146953203126204</v>
      </c>
      <c r="E15" s="228">
        <f t="shared" si="2"/>
        <v>0.12146953203126204</v>
      </c>
      <c r="F15" s="447">
        <f t="shared" si="3"/>
        <v>9.1469532031262041E-2</v>
      </c>
    </row>
    <row r="16" spans="1:8">
      <c r="A16" s="436" t="s">
        <v>147</v>
      </c>
      <c r="B16" s="228">
        <f t="shared" si="0"/>
        <v>0.23146953203126203</v>
      </c>
      <c r="C16" s="228">
        <f t="shared" si="1"/>
        <v>0.18146953203126204</v>
      </c>
      <c r="D16" s="446">
        <v>0.15146953203126204</v>
      </c>
      <c r="E16" s="228">
        <f t="shared" si="2"/>
        <v>0.12146953203126204</v>
      </c>
      <c r="F16" s="447">
        <f t="shared" si="3"/>
        <v>9.1469532031262041E-2</v>
      </c>
    </row>
    <row r="17" spans="1:6">
      <c r="A17" s="436" t="s">
        <v>148</v>
      </c>
      <c r="B17" s="228">
        <f t="shared" si="0"/>
        <v>0.23146953203126203</v>
      </c>
      <c r="C17" s="228">
        <f t="shared" si="1"/>
        <v>0.18146953203126204</v>
      </c>
      <c r="D17" s="446">
        <v>0.15146953203126204</v>
      </c>
      <c r="E17" s="228">
        <f t="shared" si="2"/>
        <v>0.12146953203126204</v>
      </c>
      <c r="F17" s="447">
        <f t="shared" si="3"/>
        <v>9.1469532031262041E-2</v>
      </c>
    </row>
    <row r="18" spans="1:6">
      <c r="A18" s="436" t="s">
        <v>156</v>
      </c>
      <c r="B18" s="228">
        <f t="shared" si="0"/>
        <v>0.23146953203126203</v>
      </c>
      <c r="C18" s="228">
        <f t="shared" si="1"/>
        <v>0.18146953203126204</v>
      </c>
      <c r="D18" s="446">
        <v>0.15146953203126204</v>
      </c>
      <c r="E18" s="228">
        <f t="shared" si="2"/>
        <v>0.12146953203126204</v>
      </c>
      <c r="F18" s="447">
        <f t="shared" si="3"/>
        <v>9.1469532031262041E-2</v>
      </c>
    </row>
    <row r="19" spans="1:6">
      <c r="A19" s="436" t="s">
        <v>150</v>
      </c>
      <c r="B19" s="228">
        <f t="shared" si="0"/>
        <v>0.23146953203126203</v>
      </c>
      <c r="C19" s="228">
        <f t="shared" si="1"/>
        <v>0.18146953203126204</v>
      </c>
      <c r="D19" s="446">
        <v>0.15146953203126204</v>
      </c>
      <c r="E19" s="228">
        <f t="shared" si="2"/>
        <v>0.12146953203126204</v>
      </c>
      <c r="F19" s="447">
        <f t="shared" si="3"/>
        <v>9.1469532031262041E-2</v>
      </c>
    </row>
    <row r="20" spans="1:6">
      <c r="A20" s="436" t="s">
        <v>158</v>
      </c>
      <c r="B20" s="228">
        <f t="shared" si="0"/>
        <v>0.23146953203126203</v>
      </c>
      <c r="C20" s="228">
        <f t="shared" si="1"/>
        <v>0.18146953203126204</v>
      </c>
      <c r="D20" s="446">
        <v>0.15146953203126204</v>
      </c>
      <c r="E20" s="228">
        <f t="shared" si="2"/>
        <v>0.12146953203126204</v>
      </c>
      <c r="F20" s="447">
        <f t="shared" si="3"/>
        <v>9.1469532031262041E-2</v>
      </c>
    </row>
    <row r="21" spans="1:6">
      <c r="A21" s="439" t="s">
        <v>136</v>
      </c>
      <c r="B21" s="228">
        <f t="shared" si="0"/>
        <v>0.24873416434132317</v>
      </c>
      <c r="C21" s="228">
        <f t="shared" si="1"/>
        <v>0.19873416434132318</v>
      </c>
      <c r="D21" s="446">
        <v>0.16873416434132318</v>
      </c>
      <c r="E21" s="228">
        <f t="shared" si="2"/>
        <v>0.13873416434132319</v>
      </c>
      <c r="F21" s="447">
        <f t="shared" si="3"/>
        <v>0.10873416434132319</v>
      </c>
    </row>
    <row r="22" spans="1:6">
      <c r="A22" s="436" t="s">
        <v>141</v>
      </c>
      <c r="B22" s="228">
        <f t="shared" si="0"/>
        <v>0.19990760737640206</v>
      </c>
      <c r="C22" s="228">
        <f t="shared" si="1"/>
        <v>0.14990760737640205</v>
      </c>
      <c r="D22" s="446">
        <v>0.11990760737640205</v>
      </c>
      <c r="E22" s="228">
        <f t="shared" si="2"/>
        <v>8.9907607376402049E-2</v>
      </c>
      <c r="F22" s="447">
        <f t="shared" si="3"/>
        <v>5.990760737640205E-2</v>
      </c>
    </row>
    <row r="23" spans="1:6">
      <c r="A23" s="436" t="s">
        <v>138</v>
      </c>
      <c r="B23" s="228">
        <f t="shared" si="0"/>
        <v>0.20848728628821789</v>
      </c>
      <c r="C23" s="228">
        <f t="shared" si="1"/>
        <v>0.1584872862882179</v>
      </c>
      <c r="D23" s="446">
        <v>0.1284872862882179</v>
      </c>
      <c r="E23" s="228">
        <f t="shared" si="2"/>
        <v>9.8487286288217901E-2</v>
      </c>
      <c r="F23" s="447">
        <f t="shared" si="3"/>
        <v>6.8487286288217902E-2</v>
      </c>
    </row>
    <row r="24" spans="1:6">
      <c r="A24" s="436" t="s">
        <v>140</v>
      </c>
      <c r="B24" s="228">
        <f t="shared" si="0"/>
        <v>0.22807584397165737</v>
      </c>
      <c r="C24" s="228">
        <f t="shared" si="1"/>
        <v>0.17807584397165735</v>
      </c>
      <c r="D24" s="446">
        <v>0.14807584397165735</v>
      </c>
      <c r="E24" s="228">
        <f t="shared" si="2"/>
        <v>0.11807584397165735</v>
      </c>
      <c r="F24" s="447">
        <f t="shared" si="3"/>
        <v>8.8075843971657353E-2</v>
      </c>
    </row>
    <row r="25" spans="1:6">
      <c r="A25" s="436" t="s">
        <v>142</v>
      </c>
      <c r="B25" s="228">
        <f t="shared" si="0"/>
        <v>0.20762642004155657</v>
      </c>
      <c r="C25" s="228">
        <f t="shared" si="1"/>
        <v>0.15762642004155655</v>
      </c>
      <c r="D25" s="446">
        <v>0.12762642004155655</v>
      </c>
      <c r="E25" s="228">
        <f t="shared" si="2"/>
        <v>9.7626420041556555E-2</v>
      </c>
      <c r="F25" s="447">
        <f t="shared" si="3"/>
        <v>6.7626420041556556E-2</v>
      </c>
    </row>
    <row r="26" spans="1:6">
      <c r="A26" s="436" t="s">
        <v>143</v>
      </c>
      <c r="B26" s="228">
        <f t="shared" si="0"/>
        <v>0.21113416948740632</v>
      </c>
      <c r="C26" s="228">
        <f t="shared" si="1"/>
        <v>0.16113416948740633</v>
      </c>
      <c r="D26" s="446">
        <v>0.13113416948740633</v>
      </c>
      <c r="E26" s="228">
        <f t="shared" si="2"/>
        <v>0.10113416948740633</v>
      </c>
      <c r="F26" s="447">
        <f t="shared" si="3"/>
        <v>7.1134169487406335E-2</v>
      </c>
    </row>
    <row r="27" spans="1:6">
      <c r="A27" s="436" t="s">
        <v>139</v>
      </c>
      <c r="B27" s="228">
        <f t="shared" si="0"/>
        <v>0.19990760737640206</v>
      </c>
      <c r="C27" s="228">
        <f t="shared" si="1"/>
        <v>0.14990760737640205</v>
      </c>
      <c r="D27" s="446">
        <v>0.11990760737640205</v>
      </c>
      <c r="E27" s="228">
        <f t="shared" si="2"/>
        <v>8.9907607376402049E-2</v>
      </c>
      <c r="F27" s="447">
        <f t="shared" si="3"/>
        <v>5.990760737640205E-2</v>
      </c>
    </row>
    <row r="28" spans="1:6" ht="17" thickBot="1">
      <c r="A28" s="442" t="s">
        <v>137</v>
      </c>
      <c r="B28" s="448">
        <f t="shared" si="0"/>
        <v>0.23635056018484579</v>
      </c>
      <c r="C28" s="448">
        <f t="shared" si="1"/>
        <v>0.18635056018484578</v>
      </c>
      <c r="D28" s="449">
        <v>0.15635056018484578</v>
      </c>
      <c r="E28" s="448">
        <f t="shared" si="2"/>
        <v>0.12635056018484578</v>
      </c>
      <c r="F28" s="450">
        <f t="shared" si="3"/>
        <v>9.6350560184845779E-2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35F68-9039-8E43-8AFA-3B5C4EA97547}">
  <dimension ref="A1:CP2522"/>
  <sheetViews>
    <sheetView zoomScale="93" zoomScaleNormal="89" workbookViewId="0">
      <selection activeCell="O6" sqref="O6"/>
    </sheetView>
  </sheetViews>
  <sheetFormatPr baseColWidth="10" defaultColWidth="10.83203125" defaultRowHeight="16"/>
  <cols>
    <col min="2" max="5" width="6.6640625" bestFit="1" customWidth="1"/>
    <col min="6" max="6" width="14.1640625" bestFit="1" customWidth="1"/>
    <col min="7" max="7" width="4.1640625" bestFit="1" customWidth="1"/>
    <col min="8" max="12" width="10.83203125" customWidth="1"/>
    <col min="13" max="22" width="14.1640625" bestFit="1" customWidth="1"/>
    <col min="23" max="23" width="24.33203125" bestFit="1" customWidth="1"/>
    <col min="24" max="28" width="15.1640625" bestFit="1" customWidth="1"/>
    <col min="29" max="29" width="12.1640625" customWidth="1"/>
    <col min="30" max="43" width="15.1640625" bestFit="1" customWidth="1"/>
    <col min="44" max="44" width="16" bestFit="1" customWidth="1"/>
    <col min="45" max="45" width="16.1640625" bestFit="1" customWidth="1"/>
    <col min="46" max="46" width="17.83203125" customWidth="1"/>
    <col min="47" max="47" width="16.1640625" bestFit="1" customWidth="1"/>
    <col min="48" max="48" width="15" bestFit="1" customWidth="1"/>
    <col min="49" max="49" width="15.5" bestFit="1" customWidth="1"/>
    <col min="50" max="50" width="14.1640625" bestFit="1" customWidth="1"/>
    <col min="51" max="51" width="17.83203125" customWidth="1"/>
    <col min="52" max="52" width="15.5" bestFit="1" customWidth="1"/>
    <col min="53" max="53" width="16.6640625" bestFit="1" customWidth="1"/>
    <col min="54" max="54" width="15.33203125" bestFit="1" customWidth="1"/>
    <col min="55" max="56" width="14.1640625" bestFit="1" customWidth="1"/>
    <col min="57" max="57" width="13.6640625" bestFit="1" customWidth="1"/>
    <col min="58" max="58" width="15.6640625" customWidth="1"/>
    <col min="59" max="59" width="16.1640625" customWidth="1"/>
    <col min="60" max="64" width="15" bestFit="1" customWidth="1"/>
    <col min="65" max="65" width="15.33203125" bestFit="1" customWidth="1"/>
    <col min="66" max="66" width="15" bestFit="1" customWidth="1"/>
    <col min="67" max="67" width="22.6640625" bestFit="1" customWidth="1"/>
    <col min="68" max="68" width="24.6640625" bestFit="1" customWidth="1"/>
    <col min="69" max="80" width="14.6640625" bestFit="1" customWidth="1"/>
    <col min="81" max="84" width="13.6640625" bestFit="1" customWidth="1"/>
    <col min="85" max="85" width="8.5" bestFit="1" customWidth="1"/>
  </cols>
  <sheetData>
    <row r="1" spans="1:94">
      <c r="A1" s="431" t="s">
        <v>4922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3"/>
      <c r="T1" s="546"/>
      <c r="U1" s="546"/>
      <c r="V1" s="546"/>
      <c r="W1" s="546"/>
      <c r="X1" s="546"/>
      <c r="Y1" s="546"/>
      <c r="Z1" s="546"/>
      <c r="AA1" s="546"/>
      <c r="AB1" s="546"/>
      <c r="BE1" s="259"/>
    </row>
    <row r="2" spans="1:94">
      <c r="A2" s="434"/>
      <c r="C2" s="460" t="s">
        <v>4930</v>
      </c>
      <c r="D2" s="460"/>
      <c r="E2" s="460"/>
      <c r="I2" s="460" t="s">
        <v>4931</v>
      </c>
      <c r="J2" s="460"/>
      <c r="M2" s="461"/>
      <c r="O2" s="546"/>
      <c r="P2" s="546"/>
      <c r="Q2" s="546"/>
      <c r="R2" s="546"/>
      <c r="S2" s="546"/>
      <c r="T2" s="546"/>
      <c r="U2" s="546"/>
      <c r="V2" s="546"/>
      <c r="W2" s="546"/>
    </row>
    <row r="3" spans="1:94" ht="19" customHeight="1" thickBot="1">
      <c r="A3" s="462"/>
      <c r="B3" s="213"/>
      <c r="C3" s="213"/>
      <c r="D3" s="213"/>
      <c r="E3" s="213" t="s">
        <v>4929</v>
      </c>
      <c r="M3" s="461"/>
      <c r="AA3" s="548"/>
      <c r="AB3" s="548"/>
      <c r="AR3" s="546"/>
      <c r="AS3" s="546"/>
      <c r="AT3" s="546"/>
      <c r="AU3" s="546"/>
      <c r="AV3" s="546"/>
      <c r="AW3" s="546"/>
      <c r="AX3" s="546"/>
      <c r="AY3" s="546"/>
      <c r="AZ3" s="546"/>
    </row>
    <row r="4" spans="1:94">
      <c r="A4" s="434">
        <f t="shared" ref="A4:A17" si="0">A5-1</f>
        <v>17</v>
      </c>
      <c r="B4" s="313"/>
      <c r="C4" s="276"/>
      <c r="D4" s="264"/>
      <c r="E4">
        <v>0</v>
      </c>
      <c r="G4" s="451"/>
      <c r="H4" s="452" t="s">
        <v>4923</v>
      </c>
      <c r="I4" s="452" t="s">
        <v>4924</v>
      </c>
      <c r="J4" s="452" t="s">
        <v>4925</v>
      </c>
      <c r="K4" s="452" t="s">
        <v>4926</v>
      </c>
      <c r="L4" s="453" t="s">
        <v>4921</v>
      </c>
      <c r="M4" s="461"/>
      <c r="AT4" s="19"/>
      <c r="AW4" s="260"/>
      <c r="AZ4" s="19"/>
      <c r="BB4" s="19"/>
      <c r="BK4" s="9"/>
    </row>
    <row r="5" spans="1:94">
      <c r="A5" s="434">
        <f t="shared" si="0"/>
        <v>18</v>
      </c>
      <c r="B5" s="164"/>
      <c r="D5" s="111"/>
      <c r="E5">
        <v>0</v>
      </c>
      <c r="G5" s="454" t="s">
        <v>159</v>
      </c>
      <c r="H5" s="258">
        <v>1.0365355556528755</v>
      </c>
      <c r="I5" s="258">
        <v>1.0065355556528754</v>
      </c>
      <c r="J5" s="258">
        <v>0.97653555565287542</v>
      </c>
      <c r="K5" s="258">
        <v>0.9565355556528754</v>
      </c>
      <c r="L5" s="455">
        <v>0.92653555565287538</v>
      </c>
      <c r="M5" s="435"/>
      <c r="Q5" s="19"/>
      <c r="T5" s="19"/>
      <c r="W5" s="19"/>
      <c r="Z5" s="242"/>
      <c r="AA5" s="242"/>
      <c r="AB5" s="242"/>
      <c r="AC5" s="242"/>
      <c r="AD5" s="242"/>
      <c r="AE5" s="242"/>
      <c r="AF5" s="9"/>
      <c r="AI5" s="546"/>
      <c r="AJ5" s="546"/>
      <c r="AL5" s="547"/>
      <c r="AM5" s="547"/>
      <c r="AR5" s="140"/>
      <c r="AS5" s="9"/>
      <c r="AT5" s="19"/>
      <c r="AU5" s="140"/>
      <c r="AW5" s="19"/>
      <c r="AX5" s="140"/>
      <c r="AZ5" s="19"/>
    </row>
    <row r="6" spans="1:94">
      <c r="A6" s="434">
        <f t="shared" si="0"/>
        <v>19</v>
      </c>
      <c r="B6" s="164"/>
      <c r="D6" s="111"/>
      <c r="E6">
        <v>0</v>
      </c>
      <c r="G6" s="454" t="s">
        <v>152</v>
      </c>
      <c r="H6" s="258">
        <v>1.0123253099429219</v>
      </c>
      <c r="I6" s="258">
        <v>0.98232530994292189</v>
      </c>
      <c r="J6" s="258">
        <v>0.95232530994292186</v>
      </c>
      <c r="K6" s="258">
        <v>0.93232530994292184</v>
      </c>
      <c r="L6" s="455">
        <v>0.90232530994292182</v>
      </c>
      <c r="M6" s="461"/>
      <c r="O6" s="488" t="s">
        <v>1678</v>
      </c>
      <c r="Q6" s="19"/>
      <c r="T6" s="19"/>
      <c r="W6" s="19"/>
      <c r="AC6" s="261"/>
      <c r="AE6" s="261"/>
      <c r="AI6" s="262"/>
      <c r="AJ6" s="263"/>
      <c r="AL6" s="111"/>
      <c r="AT6" s="19"/>
      <c r="AW6" s="19"/>
      <c r="AZ6" s="19"/>
    </row>
    <row r="7" spans="1:94">
      <c r="A7" s="434">
        <f t="shared" si="0"/>
        <v>20</v>
      </c>
      <c r="B7" s="164"/>
      <c r="D7" s="111"/>
      <c r="E7">
        <v>0</v>
      </c>
      <c r="G7" s="454" t="s">
        <v>2502</v>
      </c>
      <c r="H7" s="258">
        <v>1.0123253099429219</v>
      </c>
      <c r="I7" s="258">
        <v>0.98232530994292189</v>
      </c>
      <c r="J7" s="258">
        <v>0.95232530994292186</v>
      </c>
      <c r="K7" s="258">
        <v>0.93232530994292184</v>
      </c>
      <c r="L7" s="455">
        <v>0.90232530994292182</v>
      </c>
      <c r="M7" s="461"/>
      <c r="P7" s="9"/>
      <c r="Q7" s="19"/>
      <c r="S7" s="9"/>
      <c r="T7" s="19"/>
      <c r="V7" s="9"/>
      <c r="W7" s="19"/>
      <c r="AC7" s="261"/>
      <c r="AE7" s="261"/>
      <c r="AI7" s="264"/>
      <c r="AL7" s="111"/>
      <c r="AT7" s="19"/>
      <c r="AW7" s="19"/>
      <c r="AZ7" s="19"/>
    </row>
    <row r="8" spans="1:94">
      <c r="A8" s="434">
        <f t="shared" si="0"/>
        <v>21</v>
      </c>
      <c r="B8" s="164"/>
      <c r="D8" s="111"/>
      <c r="E8">
        <v>0</v>
      </c>
      <c r="G8" s="454" t="s">
        <v>153</v>
      </c>
      <c r="H8" s="258">
        <v>1.0123253099429219</v>
      </c>
      <c r="I8" s="258">
        <v>0.98232530994292189</v>
      </c>
      <c r="J8" s="258">
        <v>0.95232530994292186</v>
      </c>
      <c r="K8" s="258">
        <v>0.93232530994292184</v>
      </c>
      <c r="L8" s="455">
        <v>0.90232530994292182</v>
      </c>
      <c r="M8" s="463"/>
      <c r="N8" s="257"/>
      <c r="Q8" s="19"/>
      <c r="T8" s="19"/>
      <c r="W8" s="19"/>
      <c r="AC8" s="261"/>
      <c r="AE8" s="261"/>
      <c r="AI8" s="111"/>
      <c r="AL8" s="111"/>
      <c r="AT8" s="19"/>
      <c r="AU8" s="259"/>
    </row>
    <row r="9" spans="1:94">
      <c r="A9" s="434">
        <f t="shared" si="0"/>
        <v>22</v>
      </c>
      <c r="B9" s="164"/>
      <c r="D9" s="111"/>
      <c r="E9">
        <v>0</v>
      </c>
      <c r="G9" s="454" t="s">
        <v>157</v>
      </c>
      <c r="H9" s="258">
        <v>1.0123253099429219</v>
      </c>
      <c r="I9" s="258">
        <v>0.98232530994292189</v>
      </c>
      <c r="J9" s="258">
        <v>0.95232530994292186</v>
      </c>
      <c r="K9" s="258">
        <v>0.93232530994292184</v>
      </c>
      <c r="L9" s="455">
        <v>0.90232530994292182</v>
      </c>
      <c r="M9" s="461"/>
      <c r="AC9" s="261"/>
      <c r="AE9" s="261"/>
      <c r="AI9" s="111"/>
      <c r="AL9" s="265"/>
      <c r="AM9" s="213"/>
      <c r="AT9" s="19"/>
      <c r="AY9" s="253"/>
      <c r="AZ9" s="253"/>
      <c r="BA9" s="228"/>
      <c r="BB9" s="228"/>
      <c r="BK9" s="12"/>
    </row>
    <row r="10" spans="1:94">
      <c r="A10" s="434">
        <f t="shared" si="0"/>
        <v>23</v>
      </c>
      <c r="B10" s="164"/>
      <c r="D10" s="111"/>
      <c r="E10">
        <v>0</v>
      </c>
      <c r="G10" s="454" t="s">
        <v>160</v>
      </c>
      <c r="H10" s="258">
        <v>1.0305914535446734</v>
      </c>
      <c r="I10" s="258">
        <v>1.0005914535446734</v>
      </c>
      <c r="J10" s="258">
        <v>0.97059145354467335</v>
      </c>
      <c r="K10" s="258">
        <v>0.95059145354467334</v>
      </c>
      <c r="L10" s="455">
        <v>0.92059145354467331</v>
      </c>
      <c r="M10" s="461"/>
      <c r="AC10" s="261"/>
      <c r="AE10" s="261"/>
      <c r="AI10" s="111"/>
      <c r="AT10" s="19"/>
      <c r="AY10" s="253"/>
      <c r="AZ10" s="253"/>
      <c r="BA10" s="228"/>
      <c r="BB10" s="228"/>
      <c r="BO10" s="145"/>
      <c r="BP10" s="145"/>
      <c r="BQ10" s="145"/>
      <c r="BR10" s="145"/>
      <c r="BS10" s="145"/>
      <c r="BT10" s="145"/>
      <c r="BU10" s="145"/>
      <c r="BV10" s="145"/>
      <c r="BW10" s="145"/>
      <c r="BX10" s="145"/>
      <c r="BY10" s="145"/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</row>
    <row r="11" spans="1:94">
      <c r="A11" s="434">
        <f t="shared" si="0"/>
        <v>24</v>
      </c>
      <c r="B11" s="164"/>
      <c r="D11" s="111"/>
      <c r="E11">
        <v>0</v>
      </c>
      <c r="F11" s="464"/>
      <c r="G11" s="454" t="s">
        <v>144</v>
      </c>
      <c r="H11" s="258">
        <v>1.0305914535446734</v>
      </c>
      <c r="I11" s="258">
        <v>1.0005914535446734</v>
      </c>
      <c r="J11" s="258">
        <v>0.97059145354467335</v>
      </c>
      <c r="K11" s="258">
        <v>0.95059145354467334</v>
      </c>
      <c r="L11" s="455">
        <v>0.92059145354467331</v>
      </c>
      <c r="M11" s="461"/>
      <c r="O11" s="329"/>
      <c r="AC11" s="261"/>
      <c r="AE11" s="261"/>
      <c r="AI11" s="111"/>
      <c r="AT11" s="19"/>
      <c r="AY11" s="253"/>
      <c r="AZ11" s="253"/>
      <c r="BA11" s="228"/>
      <c r="BB11" s="228"/>
    </row>
    <row r="12" spans="1:94">
      <c r="A12" s="434">
        <f t="shared" si="0"/>
        <v>25</v>
      </c>
      <c r="B12" s="164"/>
      <c r="D12" s="111"/>
      <c r="E12">
        <v>0</v>
      </c>
      <c r="F12" s="464"/>
      <c r="G12" s="454" t="s">
        <v>154</v>
      </c>
      <c r="H12" s="258">
        <v>1.0081024482181611</v>
      </c>
      <c r="I12" s="258">
        <v>0.97810244821816117</v>
      </c>
      <c r="J12" s="258">
        <v>0.94810244821816114</v>
      </c>
      <c r="K12" s="258">
        <v>0.92810244821816112</v>
      </c>
      <c r="L12" s="455">
        <v>0.8981024482181611</v>
      </c>
      <c r="M12" s="461"/>
      <c r="AC12" s="261"/>
      <c r="AE12" s="261"/>
      <c r="AI12" s="111"/>
      <c r="AT12" s="19"/>
      <c r="AW12" s="19"/>
      <c r="AZ12" s="19"/>
    </row>
    <row r="13" spans="1:94">
      <c r="A13" s="434">
        <f t="shared" si="0"/>
        <v>26</v>
      </c>
      <c r="B13" s="164"/>
      <c r="D13" s="111"/>
      <c r="E13">
        <v>0</v>
      </c>
      <c r="F13" s="464"/>
      <c r="G13" s="454" t="s">
        <v>155</v>
      </c>
      <c r="H13" s="258">
        <v>1.0081024482181611</v>
      </c>
      <c r="I13" s="258">
        <v>0.97810244821816117</v>
      </c>
      <c r="J13" s="258">
        <v>0.94810244821816114</v>
      </c>
      <c r="K13" s="258">
        <v>0.92810244821816112</v>
      </c>
      <c r="L13" s="455">
        <v>0.8981024482181611</v>
      </c>
      <c r="M13" s="461"/>
      <c r="AC13" s="261"/>
      <c r="AE13" s="261"/>
      <c r="AI13" s="111"/>
      <c r="AT13" s="19"/>
      <c r="AW13" s="19"/>
      <c r="AZ13" s="19"/>
    </row>
    <row r="14" spans="1:94">
      <c r="A14" s="434">
        <f t="shared" si="0"/>
        <v>27</v>
      </c>
      <c r="B14" s="164"/>
      <c r="D14" s="111"/>
      <c r="E14">
        <v>0</v>
      </c>
      <c r="F14" s="464"/>
      <c r="G14" s="454" t="s">
        <v>149</v>
      </c>
      <c r="H14" s="258">
        <v>1.0081024482181611</v>
      </c>
      <c r="I14" s="258">
        <v>0.97810244821816117</v>
      </c>
      <c r="J14" s="258">
        <v>0.94810244821816114</v>
      </c>
      <c r="K14" s="258">
        <v>0.92810244821816112</v>
      </c>
      <c r="L14" s="455">
        <v>0.8981024482181611</v>
      </c>
      <c r="M14" s="461"/>
      <c r="AC14" s="261"/>
      <c r="AE14" s="261"/>
      <c r="AI14" s="111"/>
      <c r="AT14" s="19"/>
      <c r="AW14" s="19"/>
      <c r="AZ14" s="19"/>
    </row>
    <row r="15" spans="1:94">
      <c r="A15" s="434">
        <f t="shared" si="0"/>
        <v>28</v>
      </c>
      <c r="B15" s="164"/>
      <c r="D15" s="111"/>
      <c r="E15">
        <v>0</v>
      </c>
      <c r="F15" s="464"/>
      <c r="G15" s="454" t="s">
        <v>151</v>
      </c>
      <c r="H15" s="258">
        <v>1.0081024482181611</v>
      </c>
      <c r="I15" s="258">
        <v>0.97810244821816117</v>
      </c>
      <c r="J15" s="258">
        <v>0.94810244821816114</v>
      </c>
      <c r="K15" s="258">
        <v>0.92810244821816112</v>
      </c>
      <c r="L15" s="455">
        <v>0.8981024482181611</v>
      </c>
      <c r="M15" s="461"/>
      <c r="AC15" s="261"/>
      <c r="AE15" s="261"/>
      <c r="AI15" s="111"/>
      <c r="AT15" s="19"/>
      <c r="AW15" s="19"/>
      <c r="AZ15" s="19"/>
    </row>
    <row r="16" spans="1:94">
      <c r="A16" s="434">
        <f t="shared" si="0"/>
        <v>29</v>
      </c>
      <c r="B16" s="164"/>
      <c r="D16" s="111"/>
      <c r="E16">
        <v>0</v>
      </c>
      <c r="F16" s="464"/>
      <c r="G16" s="454" t="s">
        <v>146</v>
      </c>
      <c r="H16" s="258">
        <v>1.0081024482181611</v>
      </c>
      <c r="I16" s="258">
        <v>0.97810244821816117</v>
      </c>
      <c r="J16" s="258">
        <v>0.94810244821816114</v>
      </c>
      <c r="K16" s="258">
        <v>0.92810244821816112</v>
      </c>
      <c r="L16" s="455">
        <v>0.8981024482181611</v>
      </c>
      <c r="M16" s="461"/>
      <c r="AC16" s="261"/>
      <c r="AE16" s="261"/>
      <c r="AI16" s="111"/>
      <c r="AT16" s="19"/>
      <c r="AW16" s="19"/>
      <c r="AZ16" s="19"/>
    </row>
    <row r="17" spans="1:62">
      <c r="A17" s="434">
        <f t="shared" si="0"/>
        <v>30</v>
      </c>
      <c r="B17" s="164"/>
      <c r="D17" s="111"/>
      <c r="E17">
        <v>0</v>
      </c>
      <c r="G17" s="454" t="s">
        <v>145</v>
      </c>
      <c r="H17" s="258">
        <v>1.0394053508011944</v>
      </c>
      <c r="I17" s="258">
        <v>1.0094053508011944</v>
      </c>
      <c r="J17" s="258">
        <v>0.97940535080119451</v>
      </c>
      <c r="K17" s="258">
        <v>0.95940535080119449</v>
      </c>
      <c r="L17" s="455">
        <v>0.92940535080119446</v>
      </c>
      <c r="M17" s="461"/>
      <c r="AC17" s="261"/>
      <c r="AE17" s="261"/>
      <c r="AI17" s="111"/>
      <c r="AT17" s="267"/>
      <c r="AW17" s="19"/>
      <c r="AX17" s="267"/>
      <c r="AZ17" s="19"/>
      <c r="BC17" s="19"/>
      <c r="BF17" s="19"/>
      <c r="BI17" s="19"/>
    </row>
    <row r="18" spans="1:62">
      <c r="A18" s="434">
        <f>A19-1</f>
        <v>31</v>
      </c>
      <c r="B18" s="164"/>
      <c r="E18" s="164">
        <v>0</v>
      </c>
      <c r="G18" s="454" t="s">
        <v>147</v>
      </c>
      <c r="H18" s="258">
        <v>1.0394053508011944</v>
      </c>
      <c r="I18" s="258">
        <v>1.0094053508011944</v>
      </c>
      <c r="J18" s="258">
        <v>0.97940535080119451</v>
      </c>
      <c r="K18" s="258">
        <v>0.95940535080119449</v>
      </c>
      <c r="L18" s="455">
        <v>0.92940535080119446</v>
      </c>
      <c r="M18" s="461"/>
      <c r="AC18" s="261"/>
      <c r="AE18" s="261"/>
      <c r="AI18" s="111"/>
      <c r="AT18" s="19"/>
      <c r="AW18" s="19"/>
      <c r="AZ18" s="19"/>
      <c r="BC18" s="19"/>
      <c r="BF18" s="19"/>
      <c r="BI18" s="19"/>
    </row>
    <row r="19" spans="1:62">
      <c r="A19" s="465">
        <f>'General overview'!C24</f>
        <v>32</v>
      </c>
      <c r="B19" s="466">
        <v>0.10733331833217075</v>
      </c>
      <c r="C19" s="467"/>
      <c r="D19" s="468"/>
      <c r="E19" s="325">
        <f t="shared" ref="E19:E50" si="1">SUM(B19:D19)</f>
        <v>0.10733331833217075</v>
      </c>
      <c r="G19" s="454" t="s">
        <v>148</v>
      </c>
      <c r="H19" s="258">
        <v>1.0394053508011944</v>
      </c>
      <c r="I19" s="258">
        <v>1.0094053508011944</v>
      </c>
      <c r="J19" s="258">
        <v>0.97940535080119451</v>
      </c>
      <c r="K19" s="258">
        <v>0.95940535080119449</v>
      </c>
      <c r="L19" s="455">
        <v>0.92940535080119446</v>
      </c>
      <c r="M19" s="461"/>
      <c r="AC19" s="261"/>
      <c r="AE19" s="261"/>
      <c r="AI19" s="111"/>
      <c r="AS19" s="185"/>
      <c r="AT19" s="268"/>
      <c r="AU19" s="268"/>
      <c r="AV19" s="268"/>
      <c r="AW19" s="268"/>
      <c r="AX19" s="268"/>
      <c r="AY19" s="185"/>
      <c r="AZ19" s="268"/>
      <c r="BA19" s="268"/>
      <c r="BB19" s="268"/>
      <c r="BC19" s="268"/>
      <c r="BD19" s="268"/>
      <c r="BE19" s="185"/>
      <c r="BF19" s="268"/>
      <c r="BG19" s="268"/>
      <c r="BH19" s="268"/>
      <c r="BI19" s="268"/>
      <c r="BJ19" s="268"/>
    </row>
    <row r="20" spans="1:62">
      <c r="A20" s="469">
        <f>A19+1</f>
        <v>33</v>
      </c>
      <c r="B20" s="466">
        <v>0.10733331833217075</v>
      </c>
      <c r="C20" s="467"/>
      <c r="D20" s="466"/>
      <c r="E20" s="325">
        <f t="shared" si="1"/>
        <v>0.10733331833217075</v>
      </c>
      <c r="G20" s="454" t="s">
        <v>156</v>
      </c>
      <c r="H20" s="258">
        <v>1.0394053508011944</v>
      </c>
      <c r="I20" s="258">
        <v>1.0094053508011944</v>
      </c>
      <c r="J20" s="258">
        <v>0.97940535080119451</v>
      </c>
      <c r="K20" s="258">
        <v>0.95940535080119449</v>
      </c>
      <c r="L20" s="455">
        <v>0.92940535080119446</v>
      </c>
      <c r="M20" s="461"/>
      <c r="AC20" s="261"/>
      <c r="AE20" s="261"/>
      <c r="AI20" s="111"/>
      <c r="AS20" s="111"/>
      <c r="AT20" s="257"/>
      <c r="AU20" s="257"/>
      <c r="AV20" s="255"/>
      <c r="AW20" s="257"/>
      <c r="AX20" s="257"/>
      <c r="AY20" s="111"/>
      <c r="AZ20" s="257"/>
      <c r="BA20" s="257"/>
      <c r="BB20" s="255"/>
      <c r="BC20" s="257"/>
      <c r="BD20" s="257"/>
      <c r="BE20" s="111"/>
      <c r="BF20" s="257"/>
      <c r="BG20" s="257"/>
      <c r="BH20" s="141"/>
      <c r="BI20" s="257"/>
      <c r="BJ20" s="257"/>
    </row>
    <row r="21" spans="1:62">
      <c r="A21" s="469">
        <f t="shared" ref="A21:A85" si="2">A20+1</f>
        <v>34</v>
      </c>
      <c r="B21" s="466">
        <v>0.10733331833217075</v>
      </c>
      <c r="C21" s="470">
        <f>IF('General overview'!$C$23&gt;=2,0.08168133,0)</f>
        <v>8.1681329999999996E-2</v>
      </c>
      <c r="D21" s="466"/>
      <c r="E21" s="325">
        <f t="shared" si="1"/>
        <v>0.18901464833217074</v>
      </c>
      <c r="G21" s="454" t="s">
        <v>150</v>
      </c>
      <c r="H21" s="258">
        <v>1.0394053508011944</v>
      </c>
      <c r="I21" s="258">
        <v>1.0094053508011944</v>
      </c>
      <c r="J21" s="258">
        <v>0.97940535080119451</v>
      </c>
      <c r="K21" s="258">
        <v>0.95940535080119449</v>
      </c>
      <c r="L21" s="455">
        <v>0.92940535080119446</v>
      </c>
      <c r="M21" s="461"/>
      <c r="AC21" s="261"/>
      <c r="AE21" s="261"/>
      <c r="AI21" s="111"/>
      <c r="AM21" s="546"/>
      <c r="AN21" s="546"/>
      <c r="AO21" s="546"/>
      <c r="AS21" s="111"/>
      <c r="AT21" s="257"/>
      <c r="AU21" s="257"/>
      <c r="AV21" s="257"/>
      <c r="AW21" s="257"/>
      <c r="AX21" s="257"/>
      <c r="AY21" s="111"/>
      <c r="AZ21" s="257"/>
      <c r="BA21" s="257"/>
      <c r="BB21" s="257"/>
      <c r="BC21" s="257"/>
      <c r="BD21" s="257"/>
      <c r="BE21" s="111"/>
      <c r="BF21" s="257"/>
      <c r="BG21" s="257"/>
      <c r="BH21" s="257"/>
      <c r="BI21" s="257"/>
      <c r="BJ21" s="257"/>
    </row>
    <row r="22" spans="1:62">
      <c r="A22" s="469">
        <f t="shared" si="2"/>
        <v>35</v>
      </c>
      <c r="B22" s="466">
        <v>0.10733331833217075</v>
      </c>
      <c r="C22" s="470">
        <f>IF('General overview'!$C$23&gt;=2,0.08168133,0)</f>
        <v>8.1681329999999996E-2</v>
      </c>
      <c r="D22" s="466"/>
      <c r="E22" s="325">
        <f t="shared" si="1"/>
        <v>0.18901464833217074</v>
      </c>
      <c r="G22" s="454" t="s">
        <v>158</v>
      </c>
      <c r="H22" s="258">
        <v>1.0394053508011944</v>
      </c>
      <c r="I22" s="258">
        <v>1.0094053508011944</v>
      </c>
      <c r="J22" s="258">
        <v>0.97940535080119451</v>
      </c>
      <c r="K22" s="258">
        <v>0.95940535080119449</v>
      </c>
      <c r="L22" s="455">
        <v>0.92940535080119446</v>
      </c>
      <c r="M22" s="461"/>
      <c r="AC22" s="261"/>
      <c r="AE22" s="261"/>
      <c r="AI22" s="111"/>
      <c r="AM22" s="255"/>
      <c r="AN22" s="255"/>
      <c r="AO22" s="255"/>
      <c r="AS22" s="111"/>
      <c r="AT22" s="257"/>
      <c r="AU22" s="257"/>
      <c r="AV22" s="257"/>
      <c r="AW22" s="257"/>
      <c r="AX22" s="257"/>
      <c r="AY22" s="111"/>
      <c r="AZ22" s="257"/>
      <c r="BA22" s="257"/>
      <c r="BB22" s="257"/>
      <c r="BC22" s="257"/>
      <c r="BD22" s="257"/>
      <c r="BE22" s="111"/>
      <c r="BF22" s="257"/>
      <c r="BG22" s="257"/>
      <c r="BH22" s="257"/>
      <c r="BI22" s="257"/>
      <c r="BJ22" s="257"/>
    </row>
    <row r="23" spans="1:62">
      <c r="A23" s="469">
        <f t="shared" si="2"/>
        <v>36</v>
      </c>
      <c r="B23" s="466">
        <v>0.10733331833217075</v>
      </c>
      <c r="C23" s="470">
        <f>IF('General overview'!$C$23&gt;=2,0.08168133,0)</f>
        <v>8.1681329999999996E-2</v>
      </c>
      <c r="D23" s="470">
        <f>IF('General overview'!$C$23&gt;=3,7.56058594541077%,0)</f>
        <v>7.5605859454107693E-2</v>
      </c>
      <c r="E23" s="325">
        <f t="shared" si="1"/>
        <v>0.26462050778627844</v>
      </c>
      <c r="G23" s="456" t="s">
        <v>136</v>
      </c>
      <c r="H23" s="258">
        <v>1.06</v>
      </c>
      <c r="I23" s="258">
        <v>1.03</v>
      </c>
      <c r="J23" s="258">
        <v>1</v>
      </c>
      <c r="K23" s="258">
        <v>0.98</v>
      </c>
      <c r="L23" s="455">
        <v>0.95</v>
      </c>
      <c r="M23" s="461"/>
      <c r="AC23" s="261"/>
      <c r="AE23" s="261"/>
      <c r="AI23" s="111"/>
      <c r="AM23" s="255"/>
      <c r="AN23" s="255"/>
      <c r="AO23" s="257"/>
      <c r="AS23" s="111"/>
      <c r="AT23" s="257"/>
      <c r="AU23" s="257"/>
      <c r="AV23" s="257"/>
      <c r="AW23" s="257"/>
      <c r="AX23" s="257"/>
      <c r="AY23" s="111"/>
      <c r="AZ23" s="257"/>
      <c r="BA23" s="257"/>
      <c r="BB23" s="257"/>
      <c r="BC23" s="257"/>
      <c r="BD23" s="257"/>
      <c r="BE23" s="111"/>
      <c r="BF23" s="257"/>
      <c r="BG23" s="257"/>
      <c r="BH23" s="257"/>
      <c r="BI23" s="257"/>
      <c r="BJ23" s="257"/>
    </row>
    <row r="24" spans="1:62">
      <c r="A24" s="469">
        <f t="shared" si="2"/>
        <v>37</v>
      </c>
      <c r="B24" s="466">
        <v>0.12555973087914313</v>
      </c>
      <c r="C24" s="470">
        <f>IF('General overview'!$C$23&gt;=2,0.08168133,0)</f>
        <v>8.1681329999999996E-2</v>
      </c>
      <c r="D24" s="470">
        <f>IF('General overview'!$C$23&gt;=3,7.56058594541077%,0)</f>
        <v>7.5605859454107693E-2</v>
      </c>
      <c r="E24" s="325">
        <f t="shared" si="1"/>
        <v>0.28284692033325082</v>
      </c>
      <c r="G24" s="454" t="s">
        <v>141</v>
      </c>
      <c r="H24" s="258">
        <v>0.9943436643201029</v>
      </c>
      <c r="I24" s="258">
        <v>0.96434366432010299</v>
      </c>
      <c r="J24" s="258">
        <v>0.93434366432010296</v>
      </c>
      <c r="K24" s="258">
        <v>0.91434366432010294</v>
      </c>
      <c r="L24" s="455">
        <v>0.88434366432010292</v>
      </c>
      <c r="M24" s="461"/>
      <c r="AC24" s="261"/>
      <c r="AE24" s="261"/>
      <c r="AI24" s="111"/>
      <c r="AM24" s="255"/>
      <c r="AN24" s="255"/>
      <c r="AO24" s="255"/>
      <c r="AS24" s="111"/>
      <c r="AT24" s="257"/>
      <c r="AU24" s="257"/>
      <c r="AV24" s="257"/>
      <c r="AW24" s="257"/>
      <c r="AX24" s="257"/>
      <c r="AY24" s="111"/>
      <c r="AZ24" s="257"/>
      <c r="BA24" s="257"/>
      <c r="BB24" s="257"/>
      <c r="BC24" s="257"/>
      <c r="BD24" s="257"/>
      <c r="BE24" s="111"/>
      <c r="BF24" s="257"/>
      <c r="BG24" s="257"/>
      <c r="BH24" s="257"/>
      <c r="BI24" s="257"/>
      <c r="BJ24" s="257"/>
    </row>
    <row r="25" spans="1:62">
      <c r="A25" s="469">
        <f t="shared" si="2"/>
        <v>38</v>
      </c>
      <c r="B25" s="466">
        <v>0.12555973087914313</v>
      </c>
      <c r="C25" s="470">
        <f>IF('General overview'!$C$23&gt;=2,0.08168133,0)</f>
        <v>8.1681329999999996E-2</v>
      </c>
      <c r="D25" s="470">
        <f>IF('General overview'!$C$23&gt;=3,7.56058594541077%,0)</f>
        <v>7.5605859454107693E-2</v>
      </c>
      <c r="E25" s="325">
        <f t="shared" si="1"/>
        <v>0.28284692033325082</v>
      </c>
      <c r="G25" s="454" t="s">
        <v>138</v>
      </c>
      <c r="H25" s="258">
        <v>1.0102535291910604</v>
      </c>
      <c r="I25" s="258">
        <v>0.98025352919106035</v>
      </c>
      <c r="J25" s="258">
        <v>0.95025352919106032</v>
      </c>
      <c r="K25" s="258">
        <v>0.9302535291910603</v>
      </c>
      <c r="L25" s="455">
        <v>0.90025352919106028</v>
      </c>
      <c r="M25" s="461"/>
      <c r="AC25" s="261"/>
      <c r="AE25" s="261"/>
      <c r="AI25" s="269"/>
      <c r="AJ25" s="270"/>
      <c r="AS25" s="111"/>
      <c r="AT25" s="257"/>
      <c r="AU25" s="257"/>
      <c r="AV25" s="257"/>
      <c r="AW25" s="257"/>
      <c r="AX25" s="257"/>
      <c r="AY25" s="111"/>
      <c r="AZ25" s="257"/>
      <c r="BA25" s="257"/>
      <c r="BB25" s="257"/>
      <c r="BC25" s="257"/>
      <c r="BD25" s="257"/>
      <c r="BE25" s="111"/>
      <c r="BF25" s="257"/>
      <c r="BG25" s="257"/>
      <c r="BH25" s="257"/>
      <c r="BI25" s="257"/>
      <c r="BJ25" s="257"/>
    </row>
    <row r="26" spans="1:62">
      <c r="A26" s="469">
        <f t="shared" si="2"/>
        <v>39</v>
      </c>
      <c r="B26" s="466">
        <v>0.12555973087914313</v>
      </c>
      <c r="C26" s="470">
        <f>IF('General overview'!$C$23&gt;=2,0.109358475,0)</f>
        <v>0.109358475</v>
      </c>
      <c r="D26" s="470">
        <f>IF('General overview'!$C$23&gt;=3,7.56058594541077%,0)</f>
        <v>7.5605859454107693E-2</v>
      </c>
      <c r="E26" s="325">
        <f t="shared" si="1"/>
        <v>0.31052406533325083</v>
      </c>
      <c r="G26" s="454" t="s">
        <v>140</v>
      </c>
      <c r="H26" s="258">
        <v>1.0241485974818898</v>
      </c>
      <c r="I26" s="258">
        <v>0.99414859748188977</v>
      </c>
      <c r="J26" s="258">
        <v>0.96414859748188975</v>
      </c>
      <c r="K26" s="258">
        <v>0.94414859748188973</v>
      </c>
      <c r="L26" s="455">
        <v>0.9141485974818897</v>
      </c>
      <c r="M26" s="461"/>
      <c r="AC26" s="261"/>
      <c r="AE26" s="261"/>
      <c r="AM26" s="546"/>
      <c r="AN26" s="546"/>
      <c r="AO26" s="546"/>
      <c r="AS26" s="111"/>
      <c r="AT26" s="257"/>
      <c r="AU26" s="257"/>
      <c r="AV26" s="257"/>
      <c r="AW26" s="257"/>
      <c r="AX26" s="257"/>
      <c r="AY26" s="111"/>
      <c r="AZ26" s="257"/>
      <c r="BA26" s="257"/>
      <c r="BB26" s="257"/>
      <c r="BC26" s="257"/>
      <c r="BD26" s="257"/>
      <c r="BE26" s="111"/>
      <c r="BF26" s="257"/>
      <c r="BG26" s="257"/>
      <c r="BH26" s="257"/>
      <c r="BI26" s="257"/>
      <c r="BJ26" s="257"/>
    </row>
    <row r="27" spans="1:62">
      <c r="A27" s="469">
        <f t="shared" si="2"/>
        <v>40</v>
      </c>
      <c r="B27" s="466">
        <v>0.12555973087914313</v>
      </c>
      <c r="C27" s="470">
        <f>IF('General overview'!$C$23&gt;=2,0.109358475,0)</f>
        <v>0.109358475</v>
      </c>
      <c r="D27" s="470">
        <f>IF('General overview'!$C$23&gt;=3,7.56058594541077%,0)</f>
        <v>7.5605859454107693E-2</v>
      </c>
      <c r="E27" s="325">
        <f t="shared" si="1"/>
        <v>0.31052406533325083</v>
      </c>
      <c r="G27" s="454" t="s">
        <v>142</v>
      </c>
      <c r="H27" s="258">
        <v>1.0090365522523299</v>
      </c>
      <c r="I27" s="258">
        <v>0.97903655225232999</v>
      </c>
      <c r="J27" s="258">
        <v>0.94903655225232997</v>
      </c>
      <c r="K27" s="258">
        <v>0.92903655225232995</v>
      </c>
      <c r="L27" s="455">
        <v>0.89903655225232992</v>
      </c>
      <c r="M27" s="461"/>
      <c r="AC27" s="261"/>
      <c r="AE27" s="261"/>
      <c r="AN27" s="258"/>
      <c r="AS27" s="111"/>
      <c r="AT27" s="257"/>
      <c r="AU27" s="257"/>
      <c r="AV27" s="257"/>
      <c r="AW27" s="257"/>
      <c r="AX27" s="257"/>
      <c r="AY27" s="111"/>
      <c r="AZ27" s="257"/>
      <c r="BA27" s="257"/>
      <c r="BB27" s="257"/>
      <c r="BC27" s="257"/>
      <c r="BD27" s="257"/>
      <c r="BE27" s="111"/>
      <c r="BF27" s="257"/>
      <c r="BG27" s="257"/>
      <c r="BH27" s="257"/>
      <c r="BI27" s="257"/>
      <c r="BJ27" s="257"/>
    </row>
    <row r="28" spans="1:62">
      <c r="A28" s="469">
        <f t="shared" si="2"/>
        <v>41</v>
      </c>
      <c r="B28" s="466">
        <v>0.12555973087914313</v>
      </c>
      <c r="C28" s="470">
        <f>IF('General overview'!$C$23&gt;=2,0.109358475,0)</f>
        <v>0.109358475</v>
      </c>
      <c r="D28" s="470">
        <f>IF('General overview'!$C$23&gt;=3,0.106658266,0)</f>
        <v>0.106658266</v>
      </c>
      <c r="E28" s="325">
        <f t="shared" si="1"/>
        <v>0.34157647187914314</v>
      </c>
      <c r="G28" s="454" t="s">
        <v>143</v>
      </c>
      <c r="H28" s="258">
        <v>1.033206378701149</v>
      </c>
      <c r="I28" s="258">
        <v>1.0032063787011489</v>
      </c>
      <c r="J28" s="258">
        <v>0.9732063787011489</v>
      </c>
      <c r="K28" s="258">
        <v>0.95320637870114888</v>
      </c>
      <c r="L28" s="455">
        <v>0.92320637870114886</v>
      </c>
      <c r="M28" s="461"/>
      <c r="AC28" s="261"/>
      <c r="AE28" s="261"/>
      <c r="AN28" s="258"/>
      <c r="AS28" s="111"/>
      <c r="AT28" s="257"/>
      <c r="AU28" s="257"/>
      <c r="AV28" s="257"/>
      <c r="AW28" s="257"/>
      <c r="AX28" s="257"/>
      <c r="AY28" s="111"/>
      <c r="AZ28" s="257"/>
      <c r="BA28" s="257"/>
      <c r="BB28" s="257"/>
      <c r="BC28" s="257"/>
      <c r="BD28" s="257"/>
      <c r="BE28" s="111"/>
      <c r="BF28" s="257"/>
      <c r="BG28" s="257"/>
      <c r="BH28" s="257"/>
      <c r="BI28" s="257"/>
      <c r="BJ28" s="257"/>
    </row>
    <row r="29" spans="1:62">
      <c r="A29" s="469">
        <f t="shared" si="2"/>
        <v>42</v>
      </c>
      <c r="B29" s="466">
        <v>0.12555973087914313</v>
      </c>
      <c r="C29" s="470">
        <f>IF('General overview'!$C$23&gt;=2,0.109358475,0)</f>
        <v>0.109358475</v>
      </c>
      <c r="D29" s="470">
        <f>IF('General overview'!$C$23&gt;=3,0.106658266,0)</f>
        <v>0.106658266</v>
      </c>
      <c r="E29" s="325">
        <f t="shared" si="1"/>
        <v>0.34157647187914314</v>
      </c>
      <c r="G29" s="454" t="s">
        <v>139</v>
      </c>
      <c r="H29" s="258">
        <v>1.0444409354943294</v>
      </c>
      <c r="I29" s="258">
        <v>1.0144409354943293</v>
      </c>
      <c r="J29" s="258">
        <v>0.98444093549432932</v>
      </c>
      <c r="K29" s="258">
        <v>0.9644409354943293</v>
      </c>
      <c r="L29" s="455">
        <v>0.93444093549432927</v>
      </c>
      <c r="M29" s="461"/>
      <c r="AC29" s="261"/>
      <c r="AE29" s="261"/>
      <c r="AN29" s="258"/>
      <c r="AS29" s="111"/>
      <c r="AT29" s="257"/>
      <c r="AU29" s="257"/>
      <c r="AV29" s="257"/>
      <c r="AW29" s="257"/>
      <c r="AX29" s="257"/>
      <c r="AY29" s="111"/>
      <c r="AZ29" s="257"/>
      <c r="BA29" s="257"/>
      <c r="BB29" s="257"/>
      <c r="BC29" s="257"/>
      <c r="BD29" s="257"/>
      <c r="BE29" s="111"/>
      <c r="BF29" s="257"/>
      <c r="BG29" s="257"/>
      <c r="BH29" s="257"/>
      <c r="BI29" s="257"/>
      <c r="BJ29" s="257"/>
    </row>
    <row r="30" spans="1:62" ht="17" thickBot="1">
      <c r="A30" s="469">
        <f t="shared" si="2"/>
        <v>43</v>
      </c>
      <c r="B30" s="466">
        <v>0.12555973087914313</v>
      </c>
      <c r="C30" s="470">
        <f>IF('General overview'!$C$23&gt;=2,0.109358475,0)</f>
        <v>0.109358475</v>
      </c>
      <c r="D30" s="470">
        <f>IF('General overview'!$C$23&gt;=3,0.106658266,0)</f>
        <v>0.106658266</v>
      </c>
      <c r="E30" s="325">
        <f t="shared" si="1"/>
        <v>0.34157647187914314</v>
      </c>
      <c r="G30" s="457" t="s">
        <v>137</v>
      </c>
      <c r="H30" s="458">
        <v>1.0402517716800066</v>
      </c>
      <c r="I30" s="458">
        <v>1.0102517716800066</v>
      </c>
      <c r="J30" s="458">
        <v>0.98025177168000655</v>
      </c>
      <c r="K30" s="458">
        <v>0.96025177168000653</v>
      </c>
      <c r="L30" s="459">
        <v>0.9302517716800065</v>
      </c>
      <c r="M30" s="461"/>
      <c r="P30" s="19"/>
      <c r="Q30" s="19"/>
      <c r="T30" s="19"/>
      <c r="X30" s="19"/>
      <c r="AA30" s="19"/>
      <c r="AD30" s="19"/>
      <c r="AE30" s="261"/>
      <c r="AN30" s="258"/>
      <c r="AS30" s="111"/>
      <c r="AT30" s="257"/>
      <c r="AU30" s="257"/>
      <c r="AV30" s="257"/>
      <c r="AW30" s="257"/>
      <c r="AX30" s="257"/>
      <c r="AY30" s="111"/>
      <c r="AZ30" s="257"/>
      <c r="BA30" s="257"/>
      <c r="BB30" s="257"/>
      <c r="BC30" s="257"/>
      <c r="BD30" s="257"/>
      <c r="BE30" s="111"/>
      <c r="BF30" s="257"/>
      <c r="BG30" s="257"/>
      <c r="BH30" s="257"/>
      <c r="BI30" s="257"/>
      <c r="BJ30" s="257"/>
    </row>
    <row r="31" spans="1:62">
      <c r="A31" s="469">
        <f t="shared" si="2"/>
        <v>44</v>
      </c>
      <c r="B31" s="466">
        <v>0.12555973087914313</v>
      </c>
      <c r="C31" s="470">
        <f>IF('General overview'!$C$23&gt;=2,0.109358475,0)</f>
        <v>0.109358475</v>
      </c>
      <c r="D31" s="470">
        <f>IF('General overview'!$C$23&gt;=3,0.106658266,0)</f>
        <v>0.106658266</v>
      </c>
      <c r="E31" s="325">
        <f t="shared" si="1"/>
        <v>0.34157647187914314</v>
      </c>
      <c r="M31" s="461"/>
      <c r="O31" s="9"/>
      <c r="P31" s="19"/>
      <c r="Q31" s="19"/>
      <c r="S31" s="9"/>
      <c r="T31" s="19"/>
      <c r="W31" s="9"/>
      <c r="X31" s="19"/>
      <c r="Z31" s="9"/>
      <c r="AA31" s="19"/>
      <c r="AC31" s="9"/>
      <c r="AD31" s="19"/>
      <c r="AE31" s="261"/>
      <c r="AN31" s="258"/>
      <c r="AS31" s="111"/>
      <c r="AT31" s="257"/>
      <c r="AU31" s="257"/>
      <c r="AV31" s="257"/>
      <c r="AW31" s="257"/>
      <c r="AX31" s="257"/>
      <c r="AY31" s="111"/>
      <c r="AZ31" s="257"/>
      <c r="BA31" s="257"/>
      <c r="BB31" s="257"/>
      <c r="BC31" s="257"/>
      <c r="BD31" s="257"/>
      <c r="BE31" s="111"/>
      <c r="BF31" s="257"/>
      <c r="BG31" s="257"/>
      <c r="BH31" s="257"/>
      <c r="BI31" s="257"/>
      <c r="BJ31" s="257"/>
    </row>
    <row r="32" spans="1:62" ht="17" thickBot="1">
      <c r="A32" s="469">
        <f t="shared" si="2"/>
        <v>45</v>
      </c>
      <c r="B32" s="466">
        <v>0.17213834072140591</v>
      </c>
      <c r="C32" s="470">
        <f>IF('General overview'!$C$23&gt;=2,0.109358475,0)</f>
        <v>0.109358475</v>
      </c>
      <c r="D32" s="470">
        <f>IF('General overview'!$C$23&gt;=3,0.106658266,0)</f>
        <v>0.106658266</v>
      </c>
      <c r="E32" s="325">
        <f t="shared" si="1"/>
        <v>0.38815508172140589</v>
      </c>
      <c r="M32" s="461"/>
      <c r="T32" s="19"/>
      <c r="X32" s="19"/>
      <c r="AA32" s="19"/>
      <c r="AD32" s="19"/>
      <c r="AE32" s="261"/>
      <c r="AN32" s="258"/>
      <c r="AS32" s="271"/>
      <c r="AT32" s="257"/>
      <c r="AU32" s="257"/>
      <c r="AV32" s="257"/>
      <c r="AW32" s="257"/>
      <c r="AX32" s="257"/>
      <c r="AY32" s="271"/>
      <c r="AZ32" s="257"/>
      <c r="BA32" s="257"/>
      <c r="BB32" s="257"/>
      <c r="BC32" s="257"/>
      <c r="BD32" s="257"/>
      <c r="BE32" s="271"/>
      <c r="BF32" s="257"/>
      <c r="BG32" s="257"/>
      <c r="BH32" s="257"/>
      <c r="BI32" s="257"/>
      <c r="BJ32" s="257"/>
    </row>
    <row r="33" spans="1:62">
      <c r="A33" s="469">
        <f t="shared" si="2"/>
        <v>46</v>
      </c>
      <c r="B33" s="466">
        <v>0.17213834072140591</v>
      </c>
      <c r="C33" s="470">
        <f>IF('General overview'!$C$23&gt;=2,0.109358475,0)</f>
        <v>0.109358475</v>
      </c>
      <c r="D33" s="470">
        <f>IF('General overview'!$C$23&gt;=3,0.106658266,0)</f>
        <v>0.106658266</v>
      </c>
      <c r="E33" s="325">
        <f t="shared" si="1"/>
        <v>0.38815508172140589</v>
      </c>
      <c r="M33" s="461"/>
      <c r="T33" s="19"/>
      <c r="X33" s="19"/>
      <c r="AA33" s="19"/>
      <c r="AD33" s="19"/>
      <c r="AE33" s="261"/>
      <c r="AN33" s="258"/>
      <c r="AT33" s="19"/>
      <c r="AW33" s="19"/>
      <c r="AZ33" s="19"/>
      <c r="BC33" s="19"/>
      <c r="BF33" s="19"/>
      <c r="BI33" s="19"/>
    </row>
    <row r="34" spans="1:62">
      <c r="A34" s="469">
        <f t="shared" si="2"/>
        <v>47</v>
      </c>
      <c r="B34" s="466">
        <v>0.17213834072140591</v>
      </c>
      <c r="C34" s="470">
        <f>IF('General overview'!$C$23&gt;=2,0.157287189757206,0)</f>
        <v>0.15728718975720599</v>
      </c>
      <c r="D34" s="470">
        <f>IF('General overview'!$C$23&gt;=3,0.106658266,0)</f>
        <v>0.106658266</v>
      </c>
      <c r="E34" s="325">
        <f t="shared" si="1"/>
        <v>0.4360837964786119</v>
      </c>
      <c r="M34" s="461"/>
      <c r="O34" s="9"/>
      <c r="S34" s="9"/>
      <c r="T34" s="19"/>
      <c r="W34" s="9"/>
      <c r="X34" s="19"/>
      <c r="Z34" s="9"/>
      <c r="AA34" s="19"/>
      <c r="AC34" s="9"/>
      <c r="AD34" s="19"/>
      <c r="AE34" s="261"/>
      <c r="AN34" s="258"/>
      <c r="AT34" s="19"/>
      <c r="AW34" s="19"/>
      <c r="AZ34" s="19"/>
      <c r="BC34" s="19"/>
      <c r="BF34" s="19"/>
      <c r="BI34" s="19"/>
    </row>
    <row r="35" spans="1:62">
      <c r="A35" s="469">
        <f t="shared" si="2"/>
        <v>48</v>
      </c>
      <c r="B35" s="466">
        <v>0.17213834072140591</v>
      </c>
      <c r="C35" s="470">
        <f>IF('General overview'!$C$23&gt;=2,0.157287189757206,0)</f>
        <v>0.15728718975720599</v>
      </c>
      <c r="D35" s="470">
        <f>IF('General overview'!$C$23&gt;=3,0.106658266,0)</f>
        <v>0.106658266</v>
      </c>
      <c r="E35" s="325">
        <f t="shared" si="1"/>
        <v>0.4360837964786119</v>
      </c>
      <c r="M35" s="461"/>
      <c r="T35" s="19"/>
      <c r="X35" s="19"/>
      <c r="AA35" s="19"/>
      <c r="AD35" s="19"/>
      <c r="AE35" s="261"/>
      <c r="AN35" s="258"/>
      <c r="AS35" s="185"/>
      <c r="AT35" s="268"/>
      <c r="AU35" s="268"/>
      <c r="AV35" s="268"/>
      <c r="AW35" s="268"/>
      <c r="AX35" s="268"/>
      <c r="AY35" s="185"/>
      <c r="AZ35" s="268"/>
      <c r="BA35" s="268"/>
      <c r="BB35" s="268"/>
      <c r="BC35" s="268"/>
      <c r="BD35" s="268"/>
      <c r="BE35" s="185"/>
      <c r="BF35" s="268"/>
      <c r="BG35" s="268"/>
      <c r="BH35" s="268"/>
      <c r="BI35" s="268"/>
      <c r="BJ35" s="268"/>
    </row>
    <row r="36" spans="1:62">
      <c r="A36" s="469">
        <f t="shared" si="2"/>
        <v>49</v>
      </c>
      <c r="B36" s="466">
        <v>0.17213834072140591</v>
      </c>
      <c r="C36" s="470">
        <f>IF('General overview'!$C$23&gt;=2,0.157287189757206,0)</f>
        <v>0.15728718975720599</v>
      </c>
      <c r="D36" s="470">
        <f>IF('General overview'!$C$23&gt;=3,0.15728719,0)</f>
        <v>0.15728718999999999</v>
      </c>
      <c r="E36" s="325">
        <f t="shared" si="1"/>
        <v>0.48671272047861192</v>
      </c>
      <c r="M36" s="461"/>
      <c r="P36" s="19"/>
      <c r="Q36" s="266"/>
      <c r="T36" s="19"/>
      <c r="X36" s="19"/>
      <c r="AA36" s="19"/>
      <c r="AD36" s="19"/>
      <c r="AE36" s="261"/>
      <c r="AN36" s="258"/>
      <c r="AS36" s="111"/>
      <c r="AT36" s="257"/>
      <c r="AU36" s="257"/>
      <c r="AV36" s="141"/>
      <c r="AW36" s="257"/>
      <c r="AX36" s="257"/>
      <c r="AY36" s="111"/>
      <c r="AZ36" s="257"/>
      <c r="BA36" s="257"/>
      <c r="BB36" s="255"/>
      <c r="BC36" s="257"/>
      <c r="BD36" s="257"/>
      <c r="BE36" s="111"/>
      <c r="BF36" s="257"/>
      <c r="BG36" s="257"/>
      <c r="BH36" s="141"/>
      <c r="BI36" s="257"/>
      <c r="BJ36" s="257"/>
    </row>
    <row r="37" spans="1:62">
      <c r="A37" s="469">
        <f t="shared" si="2"/>
        <v>50</v>
      </c>
      <c r="B37" s="466">
        <v>0.17213834072140591</v>
      </c>
      <c r="C37" s="470">
        <f>IF('General overview'!$C$23&gt;=2,0.157287189757206,0)</f>
        <v>0.15728718975720599</v>
      </c>
      <c r="D37" s="470">
        <f>IF('General overview'!$C$23&gt;=3,0.15728719,0)</f>
        <v>0.15728718999999999</v>
      </c>
      <c r="E37" s="325">
        <f t="shared" si="1"/>
        <v>0.48671272047861192</v>
      </c>
      <c r="M37" s="461"/>
      <c r="O37" s="9"/>
      <c r="P37" s="19"/>
      <c r="Q37" s="19"/>
      <c r="S37" s="9"/>
      <c r="T37" s="19"/>
      <c r="W37" s="9"/>
      <c r="X37" s="19"/>
      <c r="Z37" s="9"/>
      <c r="AA37" s="19"/>
      <c r="AC37" s="9"/>
      <c r="AD37" s="19"/>
      <c r="AE37" s="261"/>
      <c r="AN37" s="258"/>
      <c r="AS37" s="111"/>
      <c r="AT37" s="257"/>
      <c r="AU37" s="257"/>
      <c r="AV37" s="257"/>
      <c r="AW37" s="257"/>
      <c r="AX37" s="257"/>
      <c r="AY37" s="111"/>
      <c r="AZ37" s="257"/>
      <c r="BA37" s="257"/>
      <c r="BB37" s="257"/>
      <c r="BC37" s="257"/>
      <c r="BD37" s="257"/>
      <c r="BE37" s="111"/>
      <c r="BF37" s="257"/>
      <c r="BG37" s="257"/>
      <c r="BH37" s="257"/>
      <c r="BI37" s="257"/>
      <c r="BJ37" s="257"/>
    </row>
    <row r="38" spans="1:62">
      <c r="A38" s="469">
        <f t="shared" si="2"/>
        <v>51</v>
      </c>
      <c r="B38" s="466"/>
      <c r="C38" s="470">
        <f>IF('General overview'!$C$23&gt;=2,0.157287189757206,0)</f>
        <v>0.15728718975720599</v>
      </c>
      <c r="D38" s="470">
        <f>IF('General overview'!$C$23&gt;=3,0.15728719,0)</f>
        <v>0.15728718999999999</v>
      </c>
      <c r="E38" s="325">
        <f t="shared" si="1"/>
        <v>0.31457437975720598</v>
      </c>
      <c r="M38" s="461"/>
      <c r="P38" s="19"/>
      <c r="Q38" s="19"/>
      <c r="T38" s="19"/>
      <c r="X38" s="19"/>
      <c r="AA38" s="19"/>
      <c r="AD38" s="19"/>
      <c r="AE38" s="261"/>
      <c r="AN38" s="258"/>
      <c r="AS38" s="111"/>
      <c r="AT38" s="257"/>
      <c r="AU38" s="257"/>
      <c r="AV38" s="257"/>
      <c r="AW38" s="257"/>
      <c r="AX38" s="257"/>
      <c r="AY38" s="111"/>
      <c r="AZ38" s="257"/>
      <c r="BA38" s="257"/>
      <c r="BB38" s="257"/>
      <c r="BC38" s="257"/>
      <c r="BD38" s="257"/>
      <c r="BE38" s="111"/>
      <c r="BF38" s="257"/>
      <c r="BG38" s="257"/>
      <c r="BH38" s="257"/>
      <c r="BI38" s="257"/>
      <c r="BJ38" s="257"/>
    </row>
    <row r="39" spans="1:62">
      <c r="A39" s="469">
        <f t="shared" si="2"/>
        <v>52</v>
      </c>
      <c r="B39" s="466"/>
      <c r="C39" s="470">
        <f>IF('General overview'!$C$23&gt;=2,0.157287189757206,0)</f>
        <v>0.15728718975720599</v>
      </c>
      <c r="D39" s="470">
        <f>IF('General overview'!$C$23&gt;=3,0.15728719,0)</f>
        <v>0.15728718999999999</v>
      </c>
      <c r="E39" s="325">
        <f t="shared" si="1"/>
        <v>0.31457437975720598</v>
      </c>
      <c r="M39" s="461"/>
      <c r="P39" s="19"/>
      <c r="Q39" s="19"/>
      <c r="T39" s="19"/>
      <c r="X39" s="19"/>
      <c r="AA39" s="19"/>
      <c r="AD39" s="19"/>
      <c r="AE39" s="261"/>
      <c r="AN39" s="258"/>
      <c r="AS39" s="111"/>
      <c r="AT39" s="257"/>
      <c r="AU39" s="257"/>
      <c r="AV39" s="257"/>
      <c r="AW39" s="257"/>
      <c r="AX39" s="257"/>
      <c r="AY39" s="111"/>
      <c r="AZ39" s="257"/>
      <c r="BA39" s="257"/>
      <c r="BB39" s="257"/>
      <c r="BC39" s="257"/>
      <c r="BD39" s="257"/>
      <c r="BE39" s="111"/>
      <c r="BF39" s="257"/>
      <c r="BG39" s="257"/>
      <c r="BH39" s="257"/>
      <c r="BI39" s="257"/>
      <c r="BJ39" s="257"/>
    </row>
    <row r="40" spans="1:62">
      <c r="A40" s="469">
        <f t="shared" si="2"/>
        <v>53</v>
      </c>
      <c r="B40" s="466"/>
      <c r="C40" s="466"/>
      <c r="D40" s="470">
        <f>IF('General overview'!$C$23&gt;=3,0.15728719,0)</f>
        <v>0.15728718999999999</v>
      </c>
      <c r="E40" s="325">
        <f t="shared" si="1"/>
        <v>0.15728718999999999</v>
      </c>
      <c r="M40" s="461"/>
      <c r="O40" s="9"/>
      <c r="P40" s="19"/>
      <c r="Q40" s="19"/>
      <c r="R40" s="324"/>
      <c r="S40" s="9"/>
      <c r="T40" s="19"/>
      <c r="W40" s="9"/>
      <c r="X40" s="19"/>
      <c r="Z40" s="9"/>
      <c r="AA40" s="19"/>
      <c r="AC40" s="9"/>
      <c r="AD40" s="19"/>
      <c r="AE40" s="261"/>
      <c r="AS40" s="111"/>
      <c r="AT40" s="257"/>
      <c r="AU40" s="257"/>
      <c r="AV40" s="257"/>
      <c r="AW40" s="257"/>
      <c r="AX40" s="257"/>
      <c r="AY40" s="111"/>
      <c r="AZ40" s="257"/>
      <c r="BA40" s="257"/>
      <c r="BB40" s="257"/>
      <c r="BC40" s="257"/>
      <c r="BD40" s="257"/>
      <c r="BE40" s="111"/>
      <c r="BF40" s="257"/>
      <c r="BG40" s="257"/>
      <c r="BH40" s="257"/>
      <c r="BI40" s="257"/>
      <c r="BJ40" s="257"/>
    </row>
    <row r="41" spans="1:62">
      <c r="A41" s="469">
        <f t="shared" si="2"/>
        <v>54</v>
      </c>
      <c r="B41" s="466"/>
      <c r="C41" s="466"/>
      <c r="D41" s="470">
        <f>IF('General overview'!$C$23&gt;=3,0.15728719,0)</f>
        <v>0.15728718999999999</v>
      </c>
      <c r="E41" s="325">
        <f t="shared" si="1"/>
        <v>0.15728718999999999</v>
      </c>
      <c r="M41" s="461"/>
      <c r="P41" s="19"/>
      <c r="Q41" s="19"/>
      <c r="R41" s="324"/>
      <c r="T41" s="19"/>
      <c r="X41" s="19"/>
      <c r="AA41" s="19"/>
      <c r="AD41" s="19"/>
      <c r="AE41" s="261"/>
      <c r="AM41" s="546"/>
      <c r="AN41" s="546"/>
      <c r="AO41" s="546"/>
      <c r="AS41" s="111"/>
      <c r="AT41" s="257"/>
      <c r="AU41" s="257"/>
      <c r="AV41" s="257"/>
      <c r="AW41" s="257"/>
      <c r="AX41" s="257"/>
      <c r="AY41" s="111"/>
      <c r="AZ41" s="257"/>
      <c r="BA41" s="257"/>
      <c r="BB41" s="257"/>
      <c r="BC41" s="257"/>
      <c r="BD41" s="257"/>
      <c r="BE41" s="111"/>
      <c r="BF41" s="257"/>
      <c r="BG41" s="257"/>
      <c r="BH41" s="257"/>
      <c r="BI41" s="257"/>
      <c r="BJ41" s="257"/>
    </row>
    <row r="42" spans="1:62">
      <c r="A42" s="469">
        <f t="shared" si="2"/>
        <v>55</v>
      </c>
      <c r="B42" s="446"/>
      <c r="C42" s="446"/>
      <c r="D42" s="446"/>
      <c r="E42" s="316">
        <f t="shared" si="1"/>
        <v>0</v>
      </c>
      <c r="M42" s="461"/>
      <c r="P42" s="19"/>
      <c r="Q42" s="19"/>
      <c r="R42" s="324"/>
      <c r="T42" s="19"/>
      <c r="X42" s="19"/>
      <c r="AA42" s="19"/>
      <c r="AD42" s="19"/>
      <c r="AE42" s="261"/>
      <c r="AM42" s="185"/>
      <c r="AN42" s="256"/>
      <c r="AS42" s="111"/>
      <c r="AT42" s="257"/>
      <c r="AU42" s="257"/>
      <c r="AV42" s="257"/>
      <c r="AW42" s="257"/>
      <c r="AX42" s="257"/>
      <c r="AY42" s="111"/>
      <c r="AZ42" s="257"/>
      <c r="BA42" s="257"/>
      <c r="BB42" s="257"/>
      <c r="BC42" s="257"/>
      <c r="BD42" s="257"/>
      <c r="BE42" s="111"/>
      <c r="BF42" s="257"/>
      <c r="BG42" s="257"/>
      <c r="BH42" s="257"/>
      <c r="BI42" s="257"/>
      <c r="BJ42" s="257"/>
    </row>
    <row r="43" spans="1:62">
      <c r="A43" s="469">
        <f t="shared" si="2"/>
        <v>56</v>
      </c>
      <c r="B43" s="446"/>
      <c r="C43" s="446"/>
      <c r="D43" s="446"/>
      <c r="E43" s="316">
        <f t="shared" si="1"/>
        <v>0</v>
      </c>
      <c r="M43" s="461"/>
      <c r="O43" s="9"/>
      <c r="P43" s="19"/>
      <c r="Q43" s="19"/>
      <c r="R43" s="324"/>
      <c r="S43" s="9"/>
      <c r="T43" s="19"/>
      <c r="W43" s="9"/>
      <c r="X43" s="19"/>
      <c r="Z43" s="9"/>
      <c r="AA43" s="19"/>
      <c r="AC43" s="9"/>
      <c r="AD43" s="19"/>
      <c r="AE43" s="261"/>
      <c r="AM43" s="185"/>
      <c r="AN43" s="256"/>
      <c r="AS43" s="111"/>
      <c r="AT43" s="257"/>
      <c r="AU43" s="257"/>
      <c r="AV43" s="257"/>
      <c r="AW43" s="257"/>
      <c r="AX43" s="257"/>
      <c r="AY43" s="111"/>
      <c r="AZ43" s="257"/>
      <c r="BA43" s="257"/>
      <c r="BB43" s="257"/>
      <c r="BC43" s="257"/>
      <c r="BD43" s="257"/>
      <c r="BE43" s="111"/>
      <c r="BF43" s="257"/>
      <c r="BG43" s="257"/>
      <c r="BH43" s="257"/>
      <c r="BI43" s="257"/>
      <c r="BJ43" s="257"/>
    </row>
    <row r="44" spans="1:62">
      <c r="A44" s="469">
        <f t="shared" si="2"/>
        <v>57</v>
      </c>
      <c r="B44" s="446"/>
      <c r="C44" s="446"/>
      <c r="D44" s="446"/>
      <c r="E44" s="316">
        <f t="shared" si="1"/>
        <v>0</v>
      </c>
      <c r="M44" s="461"/>
      <c r="Q44" s="19"/>
      <c r="R44" s="324"/>
      <c r="S44" s="315"/>
      <c r="T44" s="212"/>
      <c r="U44" s="212"/>
      <c r="AE44" s="261"/>
      <c r="AM44" s="185"/>
      <c r="AN44" s="256"/>
      <c r="AS44" s="111"/>
      <c r="AT44" s="257"/>
      <c r="AU44" s="257"/>
      <c r="AV44" s="257"/>
      <c r="AW44" s="257"/>
      <c r="AX44" s="257"/>
      <c r="AY44" s="111"/>
      <c r="AZ44" s="257"/>
      <c r="BA44" s="257"/>
      <c r="BB44" s="257"/>
      <c r="BC44" s="257"/>
      <c r="BD44" s="257"/>
      <c r="BE44" s="111"/>
      <c r="BF44" s="257"/>
      <c r="BG44" s="257"/>
      <c r="BH44" s="257"/>
      <c r="BI44" s="257"/>
      <c r="BJ44" s="257"/>
    </row>
    <row r="45" spans="1:62">
      <c r="A45" s="469">
        <f t="shared" si="2"/>
        <v>58</v>
      </c>
      <c r="B45" s="446"/>
      <c r="C45" s="446"/>
      <c r="D45" s="446"/>
      <c r="E45" s="316">
        <f t="shared" si="1"/>
        <v>0</v>
      </c>
      <c r="M45" s="461"/>
      <c r="Q45" s="19"/>
      <c r="R45" s="324"/>
      <c r="S45" s="315"/>
      <c r="T45" s="212"/>
      <c r="U45" s="212"/>
      <c r="V45" s="19"/>
      <c r="W45" s="19"/>
      <c r="X45" s="19"/>
      <c r="Y45" s="19"/>
      <c r="Z45" s="19"/>
      <c r="AA45" s="19"/>
      <c r="AB45" s="19"/>
      <c r="AC45" s="19"/>
      <c r="AD45" s="19"/>
      <c r="AE45" s="261"/>
      <c r="AM45" s="185"/>
      <c r="AN45" s="256"/>
      <c r="AS45" s="111"/>
      <c r="AT45" s="257"/>
      <c r="AU45" s="257"/>
      <c r="AV45" s="257"/>
      <c r="AW45" s="257"/>
      <c r="AX45" s="257"/>
      <c r="AY45" s="111"/>
      <c r="AZ45" s="257"/>
      <c r="BA45" s="257"/>
      <c r="BB45" s="257"/>
      <c r="BC45" s="257"/>
      <c r="BD45" s="257"/>
      <c r="BE45" s="111"/>
      <c r="BF45" s="257"/>
      <c r="BG45" s="257"/>
      <c r="BH45" s="257"/>
      <c r="BI45" s="257"/>
      <c r="BJ45" s="257"/>
    </row>
    <row r="46" spans="1:62">
      <c r="A46" s="469">
        <f t="shared" si="2"/>
        <v>59</v>
      </c>
      <c r="B46" s="446"/>
      <c r="C46" s="446"/>
      <c r="D46" s="446"/>
      <c r="E46" s="316">
        <f t="shared" si="1"/>
        <v>0</v>
      </c>
      <c r="M46" s="461"/>
      <c r="P46" s="19"/>
      <c r="Q46" s="19"/>
      <c r="R46" s="324"/>
      <c r="T46" s="19"/>
      <c r="X46" s="19"/>
      <c r="AA46" s="19"/>
      <c r="AD46" s="19"/>
      <c r="AE46" s="261"/>
      <c r="AM46" s="185"/>
      <c r="AN46" s="256"/>
      <c r="AS46" s="111"/>
      <c r="AT46" s="257"/>
      <c r="AU46" s="257"/>
      <c r="AV46" s="257"/>
      <c r="AW46" s="257"/>
      <c r="AX46" s="257"/>
      <c r="AY46" s="111"/>
      <c r="AZ46" s="257"/>
      <c r="BA46" s="257"/>
      <c r="BB46" s="257"/>
      <c r="BC46" s="257"/>
      <c r="BD46" s="257"/>
      <c r="BE46" s="111"/>
      <c r="BF46" s="257"/>
      <c r="BG46" s="257"/>
      <c r="BH46" s="257"/>
      <c r="BI46" s="257"/>
      <c r="BJ46" s="257"/>
    </row>
    <row r="47" spans="1:62">
      <c r="A47" s="469">
        <f t="shared" si="2"/>
        <v>60</v>
      </c>
      <c r="E47" s="316">
        <f t="shared" si="1"/>
        <v>0</v>
      </c>
      <c r="M47" s="461"/>
      <c r="N47" s="140"/>
      <c r="O47" s="9"/>
      <c r="P47" s="19"/>
      <c r="Q47" s="19"/>
      <c r="R47" s="324"/>
      <c r="S47" s="9"/>
      <c r="T47" s="19"/>
      <c r="V47" s="140"/>
      <c r="W47" s="9"/>
      <c r="X47" s="19"/>
      <c r="Y47" s="140"/>
      <c r="Z47" s="9"/>
      <c r="AA47" s="19"/>
      <c r="AB47" s="140"/>
      <c r="AC47" s="9"/>
      <c r="AD47" s="19"/>
      <c r="AE47" s="261"/>
      <c r="AO47" s="272"/>
      <c r="AP47" s="190"/>
      <c r="AQ47" s="190"/>
      <c r="AS47" s="111"/>
      <c r="AT47" s="257"/>
      <c r="AU47" s="257"/>
      <c r="AV47" s="257"/>
      <c r="AW47" s="257"/>
      <c r="AX47" s="257"/>
      <c r="AY47" s="111"/>
      <c r="AZ47" s="257"/>
      <c r="BA47" s="257"/>
      <c r="BB47" s="257"/>
      <c r="BC47" s="257"/>
      <c r="BD47" s="257"/>
      <c r="BE47" s="111"/>
      <c r="BF47" s="257"/>
      <c r="BG47" s="257"/>
      <c r="BH47" s="257"/>
      <c r="BI47" s="257"/>
      <c r="BJ47" s="257"/>
    </row>
    <row r="48" spans="1:62" ht="17" thickBot="1">
      <c r="A48" s="469">
        <f t="shared" si="2"/>
        <v>61</v>
      </c>
      <c r="E48" s="316">
        <f t="shared" si="1"/>
        <v>0</v>
      </c>
      <c r="M48" s="461"/>
      <c r="P48" s="19"/>
      <c r="Q48" s="19"/>
      <c r="R48" s="324"/>
      <c r="T48" s="19"/>
      <c r="X48" s="19"/>
      <c r="AA48" s="19"/>
      <c r="AD48" s="19"/>
      <c r="AE48" s="261"/>
      <c r="AM48" s="273"/>
      <c r="AN48" s="273"/>
      <c r="AO48" s="273"/>
      <c r="AP48" s="190"/>
      <c r="AQ48" s="190"/>
      <c r="AS48" s="271"/>
      <c r="AT48" s="257"/>
      <c r="AU48" s="257"/>
      <c r="AV48" s="257"/>
      <c r="AW48" s="257"/>
      <c r="AX48" s="257"/>
      <c r="AY48" s="271"/>
      <c r="AZ48" s="257"/>
      <c r="BA48" s="257"/>
      <c r="BB48" s="257"/>
      <c r="BC48" s="257"/>
      <c r="BD48" s="257"/>
      <c r="BE48" s="271"/>
      <c r="BF48" s="257"/>
      <c r="BG48" s="257"/>
      <c r="BH48" s="257"/>
      <c r="BI48" s="257"/>
      <c r="BJ48" s="257"/>
    </row>
    <row r="49" spans="1:62">
      <c r="A49" s="469">
        <f t="shared" si="2"/>
        <v>62</v>
      </c>
      <c r="E49" s="316">
        <f t="shared" si="1"/>
        <v>0</v>
      </c>
      <c r="M49" s="461"/>
      <c r="P49" s="19"/>
      <c r="Q49" s="19"/>
      <c r="T49" s="19"/>
      <c r="X49" s="19"/>
      <c r="AA49" s="19"/>
      <c r="AD49" s="19"/>
      <c r="AE49" s="261"/>
      <c r="AM49" s="273"/>
      <c r="AN49" s="273"/>
      <c r="AO49" s="274"/>
      <c r="AP49" s="190"/>
      <c r="AQ49" s="190"/>
      <c r="AR49" s="190"/>
      <c r="AT49" s="255"/>
      <c r="AU49" s="253"/>
      <c r="AV49" s="253"/>
      <c r="AW49" s="255"/>
      <c r="AX49" s="253"/>
      <c r="AZ49" s="255"/>
      <c r="BA49" s="253"/>
      <c r="BB49" s="253"/>
      <c r="BC49" s="255"/>
      <c r="BD49" s="253"/>
      <c r="BF49" s="255"/>
      <c r="BG49" s="253"/>
      <c r="BH49" s="253"/>
      <c r="BI49" s="255"/>
      <c r="BJ49" s="253"/>
    </row>
    <row r="50" spans="1:62">
      <c r="A50" s="469">
        <f t="shared" si="2"/>
        <v>63</v>
      </c>
      <c r="E50" s="316">
        <f t="shared" si="1"/>
        <v>0</v>
      </c>
      <c r="M50" s="461"/>
      <c r="Q50" s="19"/>
      <c r="S50" s="9"/>
      <c r="T50" s="19"/>
      <c r="W50" s="9"/>
      <c r="X50" s="19"/>
      <c r="Z50" s="9"/>
      <c r="AA50" s="19"/>
      <c r="AC50" s="9"/>
      <c r="AD50" s="19"/>
      <c r="AE50" s="261"/>
      <c r="AM50" s="546"/>
      <c r="AN50" s="546"/>
      <c r="AO50" s="546"/>
      <c r="AP50" s="190"/>
      <c r="AQ50" s="190"/>
      <c r="AR50" s="190"/>
      <c r="AT50" s="19"/>
      <c r="AW50" s="19"/>
      <c r="AZ50" s="19"/>
      <c r="BC50" s="19"/>
      <c r="BF50" s="19"/>
      <c r="BI50" s="19"/>
    </row>
    <row r="51" spans="1:62">
      <c r="A51" s="469">
        <f t="shared" si="2"/>
        <v>64</v>
      </c>
      <c r="E51" s="316">
        <f t="shared" ref="E51:E82" si="3">SUM(B51:D51)</f>
        <v>0</v>
      </c>
      <c r="M51" s="461"/>
      <c r="Q51" s="19"/>
      <c r="T51" s="19"/>
      <c r="X51" s="19"/>
      <c r="AA51" s="19"/>
      <c r="AD51" s="19"/>
      <c r="AE51" s="261"/>
      <c r="AL51" s="12"/>
      <c r="AN51" s="253"/>
      <c r="AS51" s="185"/>
      <c r="AT51" s="268"/>
      <c r="AU51" s="268"/>
      <c r="AV51" s="268"/>
      <c r="AW51" s="268"/>
      <c r="AX51" s="268"/>
      <c r="AY51" s="185"/>
      <c r="AZ51" s="268"/>
      <c r="BA51" s="268"/>
      <c r="BB51" s="268"/>
      <c r="BC51" s="268"/>
      <c r="BD51" s="268"/>
      <c r="BE51" s="185"/>
      <c r="BF51" s="268"/>
      <c r="BG51" s="268"/>
      <c r="BH51" s="268"/>
      <c r="BI51" s="268"/>
      <c r="BJ51" s="268"/>
    </row>
    <row r="52" spans="1:62">
      <c r="A52" s="469">
        <f t="shared" si="2"/>
        <v>65</v>
      </c>
      <c r="E52" s="316">
        <f t="shared" si="3"/>
        <v>0</v>
      </c>
      <c r="M52" s="461"/>
      <c r="Q52" s="19"/>
      <c r="T52" s="19"/>
      <c r="X52" s="19"/>
      <c r="AA52" s="19"/>
      <c r="AD52" s="19"/>
      <c r="AE52" s="261"/>
      <c r="AN52" s="253"/>
      <c r="AS52" s="111"/>
      <c r="AT52" s="257"/>
      <c r="AU52" s="257"/>
      <c r="AV52" s="141"/>
      <c r="AW52" s="257"/>
      <c r="AX52" s="257"/>
      <c r="AY52" s="111"/>
      <c r="AZ52" s="257"/>
      <c r="BA52" s="257"/>
      <c r="BB52" s="255"/>
      <c r="BC52" s="257"/>
      <c r="BD52" s="257"/>
      <c r="BE52" s="111"/>
      <c r="BF52" s="257"/>
      <c r="BG52" s="257"/>
      <c r="BH52" s="141"/>
      <c r="BI52" s="257"/>
      <c r="BJ52" s="257"/>
    </row>
    <row r="53" spans="1:62">
      <c r="A53" s="469">
        <f t="shared" si="2"/>
        <v>66</v>
      </c>
      <c r="E53" s="316">
        <f t="shared" si="3"/>
        <v>0</v>
      </c>
      <c r="M53" s="461"/>
      <c r="Q53" s="19"/>
      <c r="S53" s="9"/>
      <c r="T53" s="19"/>
      <c r="W53" s="9"/>
      <c r="X53" s="19"/>
      <c r="Z53" s="9"/>
      <c r="AA53" s="19"/>
      <c r="AC53" s="9"/>
      <c r="AD53" s="19"/>
      <c r="AN53" s="253"/>
      <c r="AS53" s="111"/>
      <c r="AT53" s="257"/>
      <c r="AU53" s="257"/>
      <c r="AV53" s="257"/>
      <c r="AW53" s="257"/>
      <c r="AX53" s="257"/>
      <c r="AY53" s="111"/>
      <c r="AZ53" s="257"/>
      <c r="BA53" s="257"/>
      <c r="BB53" s="257"/>
      <c r="BC53" s="257"/>
      <c r="BD53" s="257"/>
      <c r="BE53" s="111"/>
      <c r="BF53" s="257"/>
      <c r="BG53" s="257"/>
      <c r="BH53" s="257"/>
      <c r="BI53" s="257"/>
      <c r="BJ53" s="257"/>
    </row>
    <row r="54" spans="1:62">
      <c r="A54" s="469">
        <f t="shared" si="2"/>
        <v>67</v>
      </c>
      <c r="E54" s="316">
        <f t="shared" si="3"/>
        <v>0</v>
      </c>
      <c r="M54" s="461"/>
      <c r="Q54" s="19"/>
      <c r="T54" s="19"/>
      <c r="X54" s="19"/>
      <c r="AA54" s="19"/>
      <c r="AD54" s="19"/>
      <c r="AE54" s="19"/>
      <c r="AS54" s="111"/>
      <c r="AT54" s="257"/>
      <c r="AU54" s="257"/>
      <c r="AV54" s="257"/>
      <c r="AW54" s="257"/>
      <c r="AX54" s="257"/>
      <c r="AY54" s="111"/>
      <c r="AZ54" s="257"/>
      <c r="BA54" s="257"/>
      <c r="BB54" s="257"/>
      <c r="BC54" s="257"/>
      <c r="BD54" s="257"/>
      <c r="BE54" s="111"/>
      <c r="BF54" s="257"/>
      <c r="BG54" s="257"/>
      <c r="BH54" s="257"/>
      <c r="BI54" s="257"/>
      <c r="BJ54" s="257"/>
    </row>
    <row r="55" spans="1:62">
      <c r="A55" s="469">
        <f t="shared" si="2"/>
        <v>68</v>
      </c>
      <c r="E55" s="316">
        <f t="shared" si="3"/>
        <v>0</v>
      </c>
      <c r="M55" s="461"/>
      <c r="Q55" s="19"/>
      <c r="T55" s="19"/>
      <c r="X55" s="19"/>
      <c r="AA55" s="19"/>
      <c r="AD55" s="19"/>
      <c r="AS55" s="111"/>
      <c r="AT55" s="257"/>
      <c r="AU55" s="257"/>
      <c r="AV55" s="257"/>
      <c r="AW55" s="257"/>
      <c r="AX55" s="257"/>
      <c r="AY55" s="111"/>
      <c r="AZ55" s="257"/>
      <c r="BA55" s="257"/>
      <c r="BB55" s="257"/>
      <c r="BC55" s="257"/>
      <c r="BD55" s="257"/>
      <c r="BE55" s="111"/>
      <c r="BF55" s="257"/>
      <c r="BG55" s="257"/>
      <c r="BH55" s="257"/>
      <c r="BI55" s="257"/>
      <c r="BJ55" s="257"/>
    </row>
    <row r="56" spans="1:62">
      <c r="A56" s="469">
        <f t="shared" si="2"/>
        <v>69</v>
      </c>
      <c r="E56" s="316">
        <f t="shared" si="3"/>
        <v>0</v>
      </c>
      <c r="M56" s="461"/>
      <c r="Q56" s="19"/>
      <c r="S56" s="9"/>
      <c r="T56" s="19"/>
      <c r="W56" s="9"/>
      <c r="X56" s="19"/>
      <c r="Z56" s="9"/>
      <c r="AA56" s="19"/>
      <c r="AC56" s="9"/>
      <c r="AD56" s="19"/>
      <c r="AL56" s="12"/>
      <c r="AS56" s="111"/>
      <c r="AT56" s="257"/>
      <c r="AU56" s="257"/>
      <c r="AV56" s="257"/>
      <c r="AW56" s="257"/>
      <c r="AX56" s="257"/>
      <c r="AY56" s="111"/>
      <c r="AZ56" s="257"/>
      <c r="BA56" s="257"/>
      <c r="BB56" s="257"/>
      <c r="BC56" s="257"/>
      <c r="BD56" s="257"/>
      <c r="BE56" s="111"/>
      <c r="BF56" s="257"/>
      <c r="BG56" s="257"/>
      <c r="BH56" s="257"/>
      <c r="BI56" s="257"/>
      <c r="BJ56" s="257"/>
    </row>
    <row r="57" spans="1:62">
      <c r="A57" s="469">
        <f t="shared" si="2"/>
        <v>70</v>
      </c>
      <c r="E57" s="316">
        <f t="shared" si="3"/>
        <v>0</v>
      </c>
      <c r="K57" s="9"/>
      <c r="L57" s="19"/>
      <c r="M57" s="435"/>
      <c r="O57" s="9"/>
      <c r="P57" s="19"/>
      <c r="Q57" s="19"/>
      <c r="S57" s="9"/>
      <c r="T57" s="19"/>
      <c r="W57" s="9"/>
      <c r="X57" s="19"/>
      <c r="Z57" s="9"/>
      <c r="AA57" s="19"/>
      <c r="AC57" s="9"/>
      <c r="AD57" s="19"/>
      <c r="AS57" s="111"/>
      <c r="AT57" s="257"/>
      <c r="AU57" s="257"/>
      <c r="AV57" s="257"/>
      <c r="AW57" s="257"/>
      <c r="AX57" s="257"/>
      <c r="AY57" s="111"/>
      <c r="AZ57" s="257"/>
      <c r="BA57" s="257"/>
      <c r="BB57" s="257"/>
      <c r="BC57" s="257"/>
      <c r="BD57" s="257"/>
      <c r="BE57" s="111"/>
      <c r="BF57" s="257"/>
      <c r="BG57" s="257"/>
      <c r="BH57" s="257"/>
      <c r="BI57" s="257"/>
      <c r="BJ57" s="257"/>
    </row>
    <row r="58" spans="1:62">
      <c r="A58" s="469">
        <f t="shared" si="2"/>
        <v>71</v>
      </c>
      <c r="E58" s="316">
        <f t="shared" si="3"/>
        <v>0</v>
      </c>
      <c r="L58" s="19"/>
      <c r="M58" s="435"/>
      <c r="P58" s="19"/>
      <c r="Q58" s="19"/>
      <c r="T58" s="19"/>
      <c r="X58" s="19"/>
      <c r="AA58" s="19"/>
      <c r="AD58" s="19"/>
      <c r="AS58" s="111"/>
      <c r="AT58" s="257"/>
      <c r="AU58" s="257"/>
      <c r="AV58" s="257"/>
      <c r="AW58" s="257"/>
      <c r="AX58" s="257"/>
      <c r="AY58" s="111"/>
      <c r="AZ58" s="257"/>
      <c r="BA58" s="257"/>
      <c r="BB58" s="257"/>
      <c r="BC58" s="257"/>
      <c r="BD58" s="257"/>
      <c r="BE58" s="111"/>
      <c r="BF58" s="257"/>
      <c r="BG58" s="257"/>
      <c r="BH58" s="257"/>
      <c r="BI58" s="257"/>
      <c r="BJ58" s="257"/>
    </row>
    <row r="59" spans="1:62">
      <c r="A59" s="469">
        <f t="shared" si="2"/>
        <v>72</v>
      </c>
      <c r="E59" s="316">
        <f t="shared" si="3"/>
        <v>0</v>
      </c>
      <c r="L59" s="19"/>
      <c r="M59" s="435"/>
      <c r="P59" s="19"/>
      <c r="Q59" s="19"/>
      <c r="T59" s="19"/>
      <c r="X59" s="19"/>
      <c r="AA59" s="19"/>
      <c r="AD59" s="19"/>
      <c r="AS59" s="111"/>
      <c r="AT59" s="257"/>
      <c r="AU59" s="257"/>
      <c r="AV59" s="257"/>
      <c r="AW59" s="257"/>
      <c r="AX59" s="257"/>
      <c r="AY59" s="111"/>
      <c r="AZ59" s="257"/>
      <c r="BA59" s="257"/>
      <c r="BB59" s="257"/>
      <c r="BC59" s="257"/>
      <c r="BD59" s="257"/>
      <c r="BE59" s="111"/>
      <c r="BF59" s="257"/>
      <c r="BG59" s="257"/>
      <c r="BH59" s="257"/>
      <c r="BI59" s="257"/>
      <c r="BJ59" s="257"/>
    </row>
    <row r="60" spans="1:62">
      <c r="A60" s="469">
        <f t="shared" si="2"/>
        <v>73</v>
      </c>
      <c r="E60" s="316">
        <f t="shared" si="3"/>
        <v>0</v>
      </c>
      <c r="K60" s="9"/>
      <c r="L60" s="19"/>
      <c r="M60" s="435"/>
      <c r="O60" s="9"/>
      <c r="P60" s="19"/>
      <c r="Q60" s="19"/>
      <c r="S60" s="9"/>
      <c r="T60" s="19"/>
      <c r="W60" s="9"/>
      <c r="X60" s="19"/>
      <c r="Z60" s="9"/>
      <c r="AA60" s="19"/>
      <c r="AC60" s="9"/>
      <c r="AD60" s="19"/>
      <c r="AS60" s="111"/>
      <c r="AT60" s="257"/>
      <c r="AU60" s="257"/>
      <c r="AV60" s="257"/>
      <c r="AW60" s="257"/>
      <c r="AX60" s="257"/>
      <c r="AY60" s="111"/>
      <c r="AZ60" s="257"/>
      <c r="BA60" s="257"/>
      <c r="BB60" s="257"/>
      <c r="BC60" s="257"/>
      <c r="BD60" s="257"/>
      <c r="BE60" s="111"/>
      <c r="BF60" s="257"/>
      <c r="BG60" s="257"/>
      <c r="BH60" s="257"/>
      <c r="BI60" s="257"/>
      <c r="BJ60" s="257"/>
    </row>
    <row r="61" spans="1:62">
      <c r="A61" s="469">
        <f t="shared" si="2"/>
        <v>74</v>
      </c>
      <c r="E61" s="316">
        <f t="shared" si="3"/>
        <v>0</v>
      </c>
      <c r="F61" s="19"/>
      <c r="I61" s="19"/>
      <c r="J61" s="19"/>
      <c r="M61" s="435"/>
      <c r="Q61" s="19"/>
      <c r="T61" s="19"/>
      <c r="W61" s="19"/>
      <c r="AS61" s="111"/>
      <c r="AT61" s="257"/>
      <c r="AU61" s="257"/>
      <c r="AV61" s="257"/>
      <c r="AW61" s="257"/>
      <c r="AX61" s="257"/>
      <c r="AY61" s="111"/>
      <c r="AZ61" s="257"/>
      <c r="BA61" s="257"/>
      <c r="BB61" s="257"/>
      <c r="BC61" s="257"/>
      <c r="BD61" s="257"/>
      <c r="BE61" s="111"/>
      <c r="BF61" s="257"/>
      <c r="BG61" s="257"/>
      <c r="BH61" s="257"/>
      <c r="BI61" s="257"/>
      <c r="BJ61" s="257"/>
    </row>
    <row r="62" spans="1:62">
      <c r="A62" s="469">
        <f t="shared" si="2"/>
        <v>75</v>
      </c>
      <c r="E62" s="316">
        <f t="shared" si="3"/>
        <v>0</v>
      </c>
      <c r="F62" s="19"/>
      <c r="I62" s="19"/>
      <c r="J62" s="19"/>
      <c r="M62" s="435"/>
      <c r="Q62" s="19"/>
      <c r="T62" s="19"/>
      <c r="W62" s="19"/>
      <c r="AS62" s="111"/>
      <c r="AT62" s="257"/>
      <c r="AU62" s="257"/>
      <c r="AV62" s="257"/>
      <c r="AW62" s="257"/>
      <c r="AX62" s="257"/>
      <c r="AY62" s="111"/>
      <c r="AZ62" s="257"/>
      <c r="BA62" s="257"/>
      <c r="BB62" s="257"/>
      <c r="BC62" s="257"/>
      <c r="BD62" s="257"/>
      <c r="BE62" s="111"/>
      <c r="BF62" s="257"/>
      <c r="BG62" s="257"/>
      <c r="BH62" s="257"/>
      <c r="BI62" s="257"/>
      <c r="BJ62" s="257"/>
    </row>
    <row r="63" spans="1:62">
      <c r="A63" s="469">
        <f t="shared" si="2"/>
        <v>76</v>
      </c>
      <c r="D63" s="9"/>
      <c r="E63" s="316">
        <f t="shared" si="3"/>
        <v>0</v>
      </c>
      <c r="F63" s="19"/>
      <c r="H63" s="9"/>
      <c r="I63" s="19"/>
      <c r="J63" s="19"/>
      <c r="L63" s="9"/>
      <c r="M63" s="435"/>
      <c r="P63" s="9"/>
      <c r="Q63" s="19"/>
      <c r="S63" s="9"/>
      <c r="T63" s="19"/>
      <c r="V63" s="9"/>
      <c r="W63" s="19"/>
      <c r="AS63" s="111"/>
      <c r="AT63" s="257"/>
      <c r="AU63" s="257"/>
      <c r="AV63" s="257"/>
      <c r="AW63" s="257"/>
      <c r="AX63" s="257"/>
      <c r="AY63" s="111"/>
      <c r="AZ63" s="257"/>
      <c r="BA63" s="257"/>
      <c r="BB63" s="257"/>
      <c r="BC63" s="257"/>
      <c r="BD63" s="257"/>
      <c r="BE63" s="111"/>
      <c r="BF63" s="257"/>
      <c r="BG63" s="257"/>
      <c r="BH63" s="257"/>
      <c r="BI63" s="257"/>
      <c r="BJ63" s="257"/>
    </row>
    <row r="64" spans="1:62" ht="17" thickBot="1">
      <c r="A64" s="469">
        <f t="shared" si="2"/>
        <v>77</v>
      </c>
      <c r="E64" s="316">
        <f t="shared" si="3"/>
        <v>0</v>
      </c>
      <c r="F64" s="19"/>
      <c r="I64" s="19"/>
      <c r="J64" s="19"/>
      <c r="M64" s="435"/>
      <c r="Q64" s="19"/>
      <c r="T64" s="19"/>
      <c r="W64" s="19"/>
      <c r="AS64" s="271"/>
      <c r="AT64" s="257"/>
      <c r="AU64" s="257"/>
      <c r="AV64" s="257"/>
      <c r="AW64" s="257"/>
      <c r="AX64" s="257"/>
      <c r="AY64" s="271"/>
      <c r="AZ64" s="257"/>
      <c r="BA64" s="257"/>
      <c r="BB64" s="257"/>
      <c r="BC64" s="257"/>
      <c r="BD64" s="257"/>
      <c r="BE64" s="271"/>
      <c r="BF64" s="257"/>
      <c r="BG64" s="257"/>
      <c r="BH64" s="257"/>
      <c r="BI64" s="257"/>
      <c r="BJ64" s="257"/>
    </row>
    <row r="65" spans="1:91" ht="27">
      <c r="A65" s="469">
        <f t="shared" si="2"/>
        <v>78</v>
      </c>
      <c r="E65" s="316">
        <f t="shared" si="3"/>
        <v>0</v>
      </c>
      <c r="F65" s="19"/>
      <c r="I65" s="19"/>
      <c r="J65" s="19"/>
      <c r="M65" s="435"/>
      <c r="Q65" s="19"/>
      <c r="T65" s="19"/>
      <c r="W65" s="19"/>
      <c r="AT65" s="253"/>
      <c r="AU65" s="253"/>
      <c r="AV65" s="253"/>
      <c r="AW65" s="253"/>
      <c r="AX65" s="253"/>
      <c r="AZ65" s="548"/>
      <c r="BA65" s="548"/>
    </row>
    <row r="66" spans="1:91">
      <c r="A66" s="469">
        <f t="shared" si="2"/>
        <v>79</v>
      </c>
      <c r="D66" s="9"/>
      <c r="E66" s="316">
        <f t="shared" si="3"/>
        <v>0</v>
      </c>
      <c r="F66" s="19"/>
      <c r="H66" s="9"/>
      <c r="I66" s="19"/>
      <c r="J66" s="19"/>
      <c r="L66" s="9"/>
      <c r="M66" s="435"/>
      <c r="P66" s="9"/>
      <c r="Q66" s="19"/>
      <c r="S66" s="9"/>
      <c r="T66" s="19"/>
      <c r="V66" s="9"/>
      <c r="W66" s="19"/>
    </row>
    <row r="67" spans="1:91">
      <c r="A67" s="469">
        <f t="shared" si="2"/>
        <v>80</v>
      </c>
      <c r="E67" s="316">
        <f t="shared" si="3"/>
        <v>0</v>
      </c>
      <c r="M67" s="461"/>
    </row>
    <row r="68" spans="1:91">
      <c r="A68" s="469">
        <f t="shared" si="2"/>
        <v>81</v>
      </c>
      <c r="E68" s="316">
        <f t="shared" si="3"/>
        <v>0</v>
      </c>
      <c r="M68" s="461"/>
      <c r="O68" s="546"/>
      <c r="P68" s="546"/>
      <c r="Q68" s="546"/>
      <c r="R68" s="546"/>
      <c r="S68" s="546"/>
      <c r="T68" s="546"/>
      <c r="U68" s="546"/>
      <c r="V68" s="546"/>
      <c r="W68" s="546"/>
    </row>
    <row r="69" spans="1:91">
      <c r="A69" s="469">
        <f t="shared" si="2"/>
        <v>82</v>
      </c>
      <c r="E69" s="316">
        <f t="shared" si="3"/>
        <v>0</v>
      </c>
      <c r="F69" s="19"/>
      <c r="I69" s="19"/>
      <c r="J69" s="19"/>
      <c r="M69" s="435"/>
      <c r="Q69" s="19"/>
      <c r="T69" s="19"/>
      <c r="W69" s="19"/>
      <c r="AY69" s="275"/>
      <c r="AZ69" s="276"/>
      <c r="BA69" s="264"/>
    </row>
    <row r="70" spans="1:91">
      <c r="A70" s="469">
        <f t="shared" si="2"/>
        <v>83</v>
      </c>
      <c r="C70" s="140"/>
      <c r="D70" s="9"/>
      <c r="E70" s="316">
        <f t="shared" si="3"/>
        <v>0</v>
      </c>
      <c r="F70" s="19"/>
      <c r="G70" s="140"/>
      <c r="H70" s="9"/>
      <c r="I70" s="19"/>
      <c r="J70" s="19"/>
      <c r="K70" s="140"/>
      <c r="L70" s="9"/>
      <c r="M70" s="435"/>
      <c r="O70" s="140"/>
      <c r="P70" s="9"/>
      <c r="Q70" s="19"/>
      <c r="R70" s="140"/>
      <c r="S70" s="9"/>
      <c r="T70" s="19"/>
      <c r="U70" s="140"/>
      <c r="V70" s="9"/>
      <c r="W70" s="19"/>
      <c r="AA70" s="9"/>
      <c r="AY70" s="164"/>
      <c r="BA70" s="111"/>
    </row>
    <row r="71" spans="1:91">
      <c r="A71" s="469">
        <f t="shared" si="2"/>
        <v>84</v>
      </c>
      <c r="C71" s="140"/>
      <c r="D71" s="9"/>
      <c r="E71" s="316">
        <f t="shared" si="3"/>
        <v>0</v>
      </c>
      <c r="F71" s="19"/>
      <c r="G71" s="140"/>
      <c r="H71" s="9"/>
      <c r="I71" s="19"/>
      <c r="J71" s="19"/>
      <c r="K71" s="140"/>
      <c r="L71" s="9"/>
      <c r="M71" s="435"/>
      <c r="O71" s="140"/>
      <c r="P71" s="9"/>
      <c r="Q71" s="19"/>
      <c r="R71" s="140"/>
      <c r="S71" s="9"/>
      <c r="T71" s="19"/>
      <c r="U71" s="140"/>
      <c r="V71" s="9"/>
      <c r="W71" s="19"/>
      <c r="AA71" s="9"/>
      <c r="AY71" s="164"/>
      <c r="BA71" s="277"/>
    </row>
    <row r="72" spans="1:91">
      <c r="A72" s="469">
        <f t="shared" si="2"/>
        <v>85</v>
      </c>
      <c r="E72" s="316">
        <f t="shared" si="3"/>
        <v>0</v>
      </c>
      <c r="F72" s="19"/>
      <c r="I72" s="19"/>
      <c r="J72" s="19"/>
      <c r="M72" s="435"/>
      <c r="Q72" s="19"/>
      <c r="T72" s="19"/>
      <c r="W72" s="19"/>
      <c r="AA72" s="9"/>
      <c r="AY72" s="164"/>
      <c r="BA72" s="263"/>
    </row>
    <row r="73" spans="1:91">
      <c r="A73" s="469">
        <f t="shared" si="2"/>
        <v>86</v>
      </c>
      <c r="E73" s="316">
        <f t="shared" si="3"/>
        <v>0</v>
      </c>
      <c r="F73" s="19"/>
      <c r="I73" s="19"/>
      <c r="J73" s="19"/>
      <c r="M73" s="435"/>
      <c r="Q73" s="19"/>
      <c r="T73" s="19"/>
      <c r="W73" s="19"/>
      <c r="Z73" s="9"/>
      <c r="AY73" s="164"/>
      <c r="AZ73" s="9"/>
      <c r="BA73" s="278"/>
    </row>
    <row r="74" spans="1:91">
      <c r="A74" s="469">
        <f t="shared" si="2"/>
        <v>87</v>
      </c>
      <c r="D74" s="9"/>
      <c r="E74" s="316">
        <f t="shared" si="3"/>
        <v>0</v>
      </c>
      <c r="F74" s="19"/>
      <c r="H74" s="9"/>
      <c r="I74" s="19"/>
      <c r="J74" s="19"/>
      <c r="L74" s="9"/>
      <c r="M74" s="435"/>
      <c r="P74" s="9"/>
      <c r="Q74" s="19"/>
      <c r="S74" s="9"/>
      <c r="T74" s="19"/>
      <c r="V74" s="9"/>
      <c r="W74" s="19"/>
      <c r="Z74" s="9"/>
      <c r="AY74" s="164"/>
      <c r="BA74" s="111"/>
    </row>
    <row r="75" spans="1:91">
      <c r="A75" s="469">
        <f t="shared" si="2"/>
        <v>88</v>
      </c>
      <c r="E75" s="316">
        <f t="shared" si="3"/>
        <v>0</v>
      </c>
      <c r="F75" s="19"/>
      <c r="I75" s="19"/>
      <c r="J75" s="19"/>
      <c r="M75" s="461"/>
      <c r="Q75" s="19"/>
      <c r="T75" s="19"/>
      <c r="W75" s="19"/>
      <c r="Z75" s="9"/>
      <c r="AY75" s="164"/>
      <c r="BA75" s="111"/>
    </row>
    <row r="76" spans="1:91">
      <c r="A76" s="469">
        <f t="shared" si="2"/>
        <v>89</v>
      </c>
      <c r="E76" s="316">
        <f t="shared" si="3"/>
        <v>0</v>
      </c>
      <c r="F76" s="19"/>
      <c r="I76" s="19"/>
      <c r="J76" s="19"/>
      <c r="M76" s="461"/>
      <c r="Q76" s="19"/>
      <c r="T76" s="19"/>
      <c r="W76" s="19"/>
      <c r="Z76" s="9"/>
      <c r="AY76" s="270"/>
      <c r="AZ76" s="213"/>
      <c r="BA76" s="269"/>
    </row>
    <row r="77" spans="1:91">
      <c r="A77" s="469">
        <f t="shared" si="2"/>
        <v>90</v>
      </c>
      <c r="D77" s="9"/>
      <c r="E77" s="316">
        <f t="shared" si="3"/>
        <v>0</v>
      </c>
      <c r="F77" s="19"/>
      <c r="H77" s="9"/>
      <c r="I77" s="19"/>
      <c r="J77" s="19"/>
      <c r="M77" s="461"/>
      <c r="P77" s="9"/>
      <c r="Q77" s="19"/>
      <c r="S77" s="9"/>
      <c r="T77" s="19"/>
      <c r="V77" s="9"/>
      <c r="W77" s="19"/>
      <c r="Z77" s="9"/>
    </row>
    <row r="78" spans="1:91">
      <c r="A78" s="469">
        <f t="shared" si="2"/>
        <v>91</v>
      </c>
      <c r="E78" s="316">
        <f t="shared" si="3"/>
        <v>0</v>
      </c>
      <c r="F78" s="19"/>
      <c r="I78" s="19"/>
      <c r="J78" s="19"/>
      <c r="M78" s="461"/>
      <c r="Q78" s="19"/>
      <c r="T78" s="19"/>
      <c r="W78" s="19"/>
      <c r="Z78" s="9"/>
      <c r="AZ78" s="9"/>
      <c r="BA78" s="19"/>
    </row>
    <row r="79" spans="1:91">
      <c r="A79" s="469">
        <f t="shared" si="2"/>
        <v>92</v>
      </c>
      <c r="E79" s="316">
        <f t="shared" si="3"/>
        <v>0</v>
      </c>
      <c r="F79" s="19"/>
      <c r="I79" s="19"/>
      <c r="J79" s="19"/>
      <c r="M79" s="461"/>
      <c r="Q79" s="19"/>
      <c r="T79" s="19"/>
      <c r="W79" s="19"/>
      <c r="Z79" s="9"/>
      <c r="BA79" s="19"/>
    </row>
    <row r="80" spans="1:91">
      <c r="A80" s="469">
        <f t="shared" si="2"/>
        <v>93</v>
      </c>
      <c r="D80" s="9"/>
      <c r="E80" s="316">
        <f t="shared" si="3"/>
        <v>0</v>
      </c>
      <c r="F80" s="19"/>
      <c r="H80" s="9"/>
      <c r="I80" s="19"/>
      <c r="J80" s="19"/>
      <c r="M80" s="461"/>
      <c r="P80" s="9"/>
      <c r="Q80" s="19"/>
      <c r="S80" s="9"/>
      <c r="T80" s="19"/>
      <c r="V80" s="9"/>
      <c r="W80" s="19"/>
      <c r="Z80" s="9"/>
      <c r="AY80" s="275"/>
      <c r="AZ80" s="279"/>
      <c r="BA80" s="280"/>
      <c r="BB80" s="280"/>
      <c r="BC80" s="280"/>
      <c r="BD80" s="280"/>
      <c r="BE80" s="280"/>
      <c r="BF80" s="280"/>
      <c r="BG80" s="280"/>
      <c r="BH80" s="280"/>
      <c r="BI80" s="280"/>
      <c r="BJ80" s="280"/>
      <c r="BK80" s="280"/>
      <c r="BL80" s="280"/>
      <c r="BM80" s="280"/>
      <c r="BN80" s="280"/>
      <c r="BO80" s="280"/>
      <c r="BP80" s="280"/>
      <c r="BQ80" s="280"/>
      <c r="BR80" s="280"/>
      <c r="BS80" s="280"/>
      <c r="BT80" s="280"/>
      <c r="BU80" s="280"/>
      <c r="BV80" s="280"/>
      <c r="BW80" s="280"/>
      <c r="BX80" s="280"/>
      <c r="BY80" s="280"/>
      <c r="BZ80" s="280"/>
      <c r="CA80" s="280"/>
      <c r="CB80" s="280"/>
      <c r="CC80" s="280"/>
      <c r="CD80" s="280"/>
      <c r="CE80" s="280"/>
      <c r="CF80" s="280"/>
      <c r="CG80" s="280"/>
      <c r="CH80" s="280"/>
      <c r="CI80" s="280"/>
      <c r="CJ80" s="280"/>
      <c r="CK80" s="280"/>
      <c r="CL80" s="280"/>
      <c r="CM80" s="263"/>
    </row>
    <row r="81" spans="1:91">
      <c r="A81" s="469">
        <f t="shared" si="2"/>
        <v>94</v>
      </c>
      <c r="E81" s="316">
        <f t="shared" si="3"/>
        <v>0</v>
      </c>
      <c r="F81" s="19"/>
      <c r="I81" s="19"/>
      <c r="J81" s="19"/>
      <c r="M81" s="461"/>
      <c r="Q81" s="19"/>
      <c r="T81" s="19"/>
      <c r="W81" s="19"/>
      <c r="Z81" s="9"/>
      <c r="AY81" s="164"/>
      <c r="AZ81" s="111"/>
      <c r="CM81" s="111"/>
    </row>
    <row r="82" spans="1:91">
      <c r="A82" s="469">
        <f t="shared" si="2"/>
        <v>95</v>
      </c>
      <c r="E82" s="316">
        <f t="shared" si="3"/>
        <v>0</v>
      </c>
      <c r="F82" s="19"/>
      <c r="I82" s="19"/>
      <c r="J82" s="19"/>
      <c r="M82" s="435"/>
      <c r="Q82" s="19"/>
      <c r="T82" s="19"/>
      <c r="W82" s="19"/>
      <c r="Z82" s="9"/>
      <c r="AY82" s="164"/>
      <c r="AZ82" s="111"/>
      <c r="CM82" s="111"/>
    </row>
    <row r="83" spans="1:91">
      <c r="A83" s="469">
        <f t="shared" si="2"/>
        <v>96</v>
      </c>
      <c r="D83" s="9"/>
      <c r="E83" s="316">
        <f t="shared" ref="E83:E86" si="4">SUM(B83:D83)</f>
        <v>0</v>
      </c>
      <c r="F83" s="19"/>
      <c r="H83" s="9"/>
      <c r="I83" s="19"/>
      <c r="J83" s="19"/>
      <c r="L83" s="9"/>
      <c r="M83" s="435"/>
      <c r="P83" s="9"/>
      <c r="Q83" s="19"/>
      <c r="S83" s="9"/>
      <c r="T83" s="19"/>
      <c r="V83" s="9"/>
      <c r="W83" s="19"/>
      <c r="Z83" s="9"/>
      <c r="AY83" s="164"/>
      <c r="AZ83" s="111"/>
      <c r="CM83" s="111"/>
    </row>
    <row r="84" spans="1:91">
      <c r="A84" s="469">
        <f t="shared" si="2"/>
        <v>97</v>
      </c>
      <c r="E84" s="316">
        <f t="shared" si="4"/>
        <v>0</v>
      </c>
      <c r="F84" s="19"/>
      <c r="I84" s="19"/>
      <c r="J84" s="19"/>
      <c r="M84" s="435"/>
      <c r="Q84" s="19"/>
      <c r="T84" s="19"/>
      <c r="W84" s="19"/>
      <c r="Z84" s="9"/>
      <c r="AY84" s="164"/>
      <c r="AZ84" s="111"/>
      <c r="CM84" s="111"/>
    </row>
    <row r="85" spans="1:91">
      <c r="A85" s="469">
        <f t="shared" si="2"/>
        <v>98</v>
      </c>
      <c r="E85" s="316">
        <f t="shared" si="4"/>
        <v>0</v>
      </c>
      <c r="F85" s="19"/>
      <c r="I85" s="19"/>
      <c r="J85" s="19"/>
      <c r="M85" s="435"/>
      <c r="Q85" s="19"/>
      <c r="T85" s="19"/>
      <c r="W85" s="19"/>
      <c r="Z85" s="9"/>
      <c r="AY85" s="164"/>
      <c r="AZ85" s="111"/>
      <c r="CM85" s="111"/>
    </row>
    <row r="86" spans="1:91">
      <c r="A86" s="469">
        <f t="shared" ref="A86" si="5">A85+1</f>
        <v>99</v>
      </c>
      <c r="D86" s="9"/>
      <c r="E86" s="316">
        <f t="shared" si="4"/>
        <v>0</v>
      </c>
      <c r="F86" s="19"/>
      <c r="H86" s="9"/>
      <c r="I86" s="19"/>
      <c r="J86" s="19"/>
      <c r="L86" s="9"/>
      <c r="M86" s="435"/>
      <c r="P86" s="9"/>
      <c r="Q86" s="19"/>
      <c r="S86" s="9"/>
      <c r="T86" s="19"/>
      <c r="V86" s="9"/>
      <c r="W86" s="19"/>
      <c r="Z86" s="9"/>
      <c r="AY86" s="164"/>
      <c r="AZ86" s="111"/>
      <c r="CM86" s="111"/>
    </row>
    <row r="87" spans="1:91" ht="17" thickBot="1">
      <c r="A87" s="471"/>
      <c r="B87" s="472"/>
      <c r="C87" s="472"/>
      <c r="D87" s="472"/>
      <c r="E87" s="473"/>
      <c r="F87" s="473"/>
      <c r="G87" s="472"/>
      <c r="H87" s="472"/>
      <c r="I87" s="473"/>
      <c r="J87" s="473"/>
      <c r="K87" s="472"/>
      <c r="L87" s="472"/>
      <c r="M87" s="474"/>
      <c r="Q87" s="19"/>
      <c r="T87" s="19"/>
      <c r="W87" s="19"/>
      <c r="Z87" s="9"/>
      <c r="AY87" s="164"/>
      <c r="AZ87" s="111"/>
      <c r="CM87" s="111"/>
    </row>
    <row r="88" spans="1:91">
      <c r="E88" s="19"/>
      <c r="F88" s="19"/>
      <c r="I88" s="19"/>
      <c r="J88" s="19"/>
      <c r="M88" s="19"/>
      <c r="Q88" s="19"/>
      <c r="T88" s="19"/>
      <c r="W88" s="19"/>
      <c r="Z88" s="9"/>
      <c r="AY88" s="164"/>
      <c r="AZ88" s="111"/>
      <c r="CM88" s="111"/>
    </row>
    <row r="89" spans="1:91">
      <c r="D89" s="9"/>
      <c r="E89" s="19"/>
      <c r="F89" s="19"/>
      <c r="H89" s="9"/>
      <c r="I89" s="19"/>
      <c r="J89" s="19"/>
      <c r="L89" s="9"/>
      <c r="M89" s="19"/>
      <c r="P89" s="9"/>
      <c r="Q89" s="19"/>
      <c r="S89" s="9"/>
      <c r="T89" s="19"/>
      <c r="V89" s="9"/>
      <c r="W89" s="19"/>
      <c r="Z89" s="9"/>
      <c r="AY89" s="164"/>
      <c r="AZ89" s="111"/>
      <c r="CM89" s="111"/>
    </row>
    <row r="90" spans="1:91">
      <c r="Z90" s="9"/>
      <c r="AY90" s="164"/>
      <c r="AZ90" s="111"/>
      <c r="CM90" s="111"/>
    </row>
    <row r="91" spans="1:91">
      <c r="C91" s="546"/>
      <c r="D91" s="546"/>
      <c r="E91" s="546"/>
      <c r="F91" s="546"/>
      <c r="G91" s="546"/>
      <c r="H91" s="546"/>
      <c r="I91" s="546"/>
      <c r="J91" s="546"/>
      <c r="K91" s="546"/>
      <c r="L91" s="546"/>
      <c r="M91" s="546"/>
      <c r="O91" s="546"/>
      <c r="P91" s="546"/>
      <c r="Q91" s="546"/>
      <c r="R91" s="546"/>
      <c r="S91" s="546"/>
      <c r="T91" s="546"/>
      <c r="U91" s="546"/>
      <c r="V91" s="546"/>
      <c r="W91" s="546"/>
      <c r="Z91" s="9"/>
      <c r="AY91" s="164"/>
      <c r="AZ91" s="111"/>
      <c r="CM91" s="111"/>
    </row>
    <row r="92" spans="1:91">
      <c r="E92" s="19"/>
      <c r="F92" s="19"/>
      <c r="I92" s="19"/>
      <c r="J92" s="19"/>
      <c r="M92" s="19"/>
      <c r="Q92" s="19"/>
      <c r="T92" s="19"/>
      <c r="W92" s="19"/>
      <c r="Z92" s="9"/>
      <c r="AY92" s="164"/>
      <c r="AZ92" s="111"/>
      <c r="BA92" s="280"/>
      <c r="BB92" s="280"/>
      <c r="BC92" s="280"/>
      <c r="BD92" s="280"/>
      <c r="BE92" s="280"/>
      <c r="BF92" s="280"/>
      <c r="BG92" s="280"/>
      <c r="BH92" s="280"/>
      <c r="BI92" s="280"/>
      <c r="BJ92" s="280"/>
      <c r="BK92" s="280"/>
      <c r="BL92" s="280"/>
      <c r="BM92" s="280"/>
      <c r="BN92" s="280"/>
      <c r="BO92" s="280"/>
      <c r="BP92" s="280"/>
      <c r="BQ92" s="280"/>
      <c r="BR92" s="280"/>
      <c r="BS92" s="280"/>
      <c r="BT92" s="280"/>
      <c r="BU92" s="280"/>
      <c r="BV92" s="280"/>
      <c r="BW92" s="280"/>
      <c r="BX92" s="280"/>
      <c r="BY92" s="280"/>
      <c r="BZ92" s="280"/>
      <c r="CA92" s="280"/>
      <c r="CB92" s="280"/>
      <c r="CC92" s="280"/>
      <c r="CD92" s="280"/>
      <c r="CE92" s="280"/>
      <c r="CF92" s="280"/>
      <c r="CG92" s="280"/>
      <c r="CH92" s="280"/>
      <c r="CI92" s="280"/>
      <c r="CJ92" s="280"/>
      <c r="CK92" s="280"/>
      <c r="CL92" s="280"/>
      <c r="CM92" s="263"/>
    </row>
    <row r="93" spans="1:91">
      <c r="C93" s="140"/>
      <c r="D93" s="9"/>
      <c r="E93" s="19"/>
      <c r="F93" s="19"/>
      <c r="G93" s="140"/>
      <c r="H93" s="9"/>
      <c r="I93" s="19"/>
      <c r="J93" s="19"/>
      <c r="K93" s="140"/>
      <c r="L93" s="9"/>
      <c r="M93" s="19"/>
      <c r="O93" s="140"/>
      <c r="P93" s="9"/>
      <c r="Q93" s="19"/>
      <c r="R93" s="140"/>
      <c r="S93" s="9"/>
      <c r="T93" s="19"/>
      <c r="U93" s="140"/>
      <c r="V93" s="9"/>
      <c r="W93" s="19"/>
      <c r="Z93" s="9"/>
      <c r="AY93" s="275"/>
      <c r="AZ93" s="263"/>
      <c r="BA93" s="281"/>
      <c r="BB93" s="281"/>
      <c r="BC93" s="281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281"/>
      <c r="BV93" s="281"/>
      <c r="BW93" s="281"/>
      <c r="BX93" s="281"/>
      <c r="BY93" s="281"/>
      <c r="BZ93" s="281"/>
      <c r="CA93" s="281"/>
      <c r="CB93" s="281"/>
      <c r="CC93" s="281"/>
      <c r="CD93" s="281"/>
      <c r="CE93" s="281"/>
      <c r="CF93" s="281"/>
      <c r="CG93" s="281"/>
      <c r="CH93" s="281"/>
      <c r="CI93" s="281"/>
      <c r="CJ93" s="281"/>
      <c r="CK93" s="281"/>
      <c r="CL93" s="281"/>
      <c r="CM93" s="282"/>
    </row>
    <row r="94" spans="1:91" ht="17" thickBot="1">
      <c r="E94" s="19"/>
      <c r="F94" s="19"/>
      <c r="I94" s="19"/>
      <c r="J94" s="19"/>
      <c r="M94" s="19"/>
      <c r="Q94" s="19"/>
      <c r="T94" s="19"/>
      <c r="W94" s="19"/>
      <c r="Z94" s="9"/>
      <c r="BA94" s="145"/>
      <c r="BB94" s="145"/>
      <c r="BC94" s="145"/>
      <c r="BD94" s="145"/>
      <c r="BE94" s="145"/>
      <c r="BF94" s="145"/>
      <c r="BG94" s="145"/>
      <c r="BH94" s="145"/>
      <c r="BI94" s="145"/>
      <c r="BJ94" s="145"/>
      <c r="BK94" s="145"/>
      <c r="BL94" s="145"/>
      <c r="BM94" s="145"/>
      <c r="BN94" s="145"/>
      <c r="BO94" s="145"/>
      <c r="BP94" s="145"/>
      <c r="BQ94" s="145"/>
      <c r="BR94" s="145"/>
      <c r="BS94" s="145"/>
      <c r="BT94" s="145"/>
      <c r="BU94" s="145"/>
      <c r="BV94" s="145"/>
      <c r="BW94" s="145"/>
      <c r="BX94" s="145"/>
      <c r="BY94" s="145"/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5"/>
      <c r="CK94" s="145"/>
      <c r="CL94" s="145"/>
      <c r="CM94" s="145"/>
    </row>
    <row r="95" spans="1:91" ht="17" thickBot="1">
      <c r="E95" s="19"/>
      <c r="F95" s="19"/>
      <c r="I95" s="19"/>
      <c r="J95" s="19"/>
      <c r="M95" s="19"/>
      <c r="Q95" s="19"/>
      <c r="T95" s="19"/>
      <c r="W95" s="19"/>
      <c r="Z95" s="9"/>
      <c r="AZ95" s="283"/>
      <c r="BA95" s="284"/>
    </row>
    <row r="96" spans="1:91">
      <c r="D96" s="9"/>
      <c r="E96" s="19"/>
      <c r="F96" s="19"/>
      <c r="H96" s="9"/>
      <c r="I96" s="19"/>
      <c r="J96" s="19"/>
      <c r="L96" s="9"/>
      <c r="M96" s="19"/>
      <c r="P96" s="9"/>
      <c r="Q96" s="19"/>
      <c r="S96" s="9"/>
      <c r="T96" s="19"/>
      <c r="V96" s="9"/>
      <c r="W96" s="19"/>
      <c r="Z96" s="9"/>
    </row>
    <row r="97" spans="4:91">
      <c r="E97" s="19"/>
      <c r="F97" s="19"/>
      <c r="I97" s="19"/>
      <c r="J97" s="19"/>
      <c r="M97" s="19"/>
      <c r="Q97" s="19"/>
      <c r="T97" s="19"/>
      <c r="W97" s="19"/>
      <c r="Z97" s="9"/>
      <c r="BA97" s="145"/>
      <c r="BB97" s="145"/>
      <c r="BC97" s="145"/>
      <c r="BD97" s="145"/>
      <c r="BE97" s="145"/>
      <c r="BF97" s="145"/>
      <c r="BG97" s="145"/>
      <c r="BH97" s="145"/>
      <c r="BI97" s="145"/>
      <c r="BJ97" s="145"/>
      <c r="BK97" s="145"/>
      <c r="BL97" s="145"/>
      <c r="BM97" s="145"/>
      <c r="BN97" s="145"/>
      <c r="BO97" s="145"/>
      <c r="BP97" s="145"/>
      <c r="BQ97" s="145"/>
      <c r="BR97" s="145"/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145"/>
      <c r="CF97" s="145"/>
      <c r="CG97" s="145"/>
      <c r="CH97" s="145"/>
      <c r="CI97" s="145"/>
      <c r="CJ97" s="145"/>
      <c r="CK97" s="145"/>
      <c r="CL97" s="145"/>
      <c r="CM97" s="145"/>
    </row>
    <row r="98" spans="4:91">
      <c r="E98" s="19"/>
      <c r="F98" s="19"/>
      <c r="I98" s="19"/>
      <c r="J98" s="19"/>
      <c r="M98" s="19"/>
      <c r="Q98" s="19"/>
      <c r="T98" s="19"/>
      <c r="W98" s="19"/>
      <c r="Z98" s="9"/>
    </row>
    <row r="99" spans="4:91">
      <c r="D99" s="9"/>
      <c r="E99" s="19"/>
      <c r="F99" s="19"/>
      <c r="H99" s="9"/>
      <c r="I99" s="19"/>
      <c r="J99" s="19"/>
      <c r="L99" s="9"/>
      <c r="M99" s="19"/>
      <c r="P99" s="9"/>
      <c r="Q99" s="19"/>
      <c r="S99" s="9"/>
      <c r="T99" s="19"/>
      <c r="V99" s="9"/>
      <c r="W99" s="19"/>
      <c r="Z99" s="9"/>
    </row>
    <row r="100" spans="4:91">
      <c r="E100" s="19"/>
      <c r="F100" s="19"/>
      <c r="I100" s="19"/>
      <c r="J100" s="19"/>
      <c r="M100" s="19"/>
      <c r="Q100" s="19"/>
      <c r="T100" s="19"/>
      <c r="W100" s="19"/>
      <c r="Z100" s="9"/>
    </row>
    <row r="101" spans="4:91">
      <c r="E101" s="19"/>
      <c r="F101" s="19"/>
      <c r="I101" s="19"/>
      <c r="J101" s="19"/>
      <c r="M101" s="19"/>
      <c r="Q101" s="19"/>
      <c r="T101" s="19"/>
      <c r="W101" s="19"/>
      <c r="Z101" s="9"/>
    </row>
    <row r="102" spans="4:91">
      <c r="D102" s="9"/>
      <c r="E102" s="19"/>
      <c r="F102" s="19"/>
      <c r="H102" s="9"/>
      <c r="I102" s="19"/>
      <c r="J102" s="19"/>
      <c r="L102" s="9"/>
      <c r="M102" s="19"/>
      <c r="P102" s="9"/>
      <c r="Q102" s="19"/>
      <c r="S102" s="9"/>
      <c r="T102" s="19"/>
      <c r="V102" s="9"/>
      <c r="W102" s="19"/>
      <c r="Z102" s="9"/>
    </row>
    <row r="103" spans="4:91" ht="27">
      <c r="E103" s="19"/>
      <c r="F103" s="19"/>
      <c r="I103" s="19"/>
      <c r="J103" s="19"/>
      <c r="M103" s="19"/>
      <c r="Q103" s="19"/>
      <c r="T103" s="19"/>
      <c r="W103" s="19"/>
      <c r="Z103" s="9"/>
      <c r="AZ103" s="285"/>
    </row>
    <row r="104" spans="4:91" ht="27">
      <c r="E104" s="19"/>
      <c r="F104" s="19"/>
      <c r="I104" s="19"/>
      <c r="J104" s="19"/>
      <c r="M104" s="19"/>
      <c r="Q104" s="19"/>
      <c r="T104" s="19"/>
      <c r="W104" s="19"/>
      <c r="Z104" s="9"/>
      <c r="AZ104" s="286"/>
    </row>
    <row r="105" spans="4:91">
      <c r="D105" s="9"/>
      <c r="E105" s="19"/>
      <c r="F105" s="19"/>
      <c r="H105" s="9"/>
      <c r="I105" s="19"/>
      <c r="J105" s="19"/>
      <c r="L105" s="9"/>
      <c r="M105" s="19"/>
      <c r="P105" s="9"/>
      <c r="Q105" s="19"/>
      <c r="S105" s="9"/>
      <c r="T105" s="19"/>
      <c r="V105" s="9"/>
      <c r="W105" s="19"/>
      <c r="Z105" s="9"/>
    </row>
    <row r="106" spans="4:91">
      <c r="E106" s="19"/>
      <c r="F106" s="19"/>
      <c r="I106" s="19"/>
      <c r="J106" s="19"/>
      <c r="M106" s="19"/>
      <c r="Q106" s="19"/>
      <c r="T106" s="19"/>
      <c r="W106" s="19"/>
      <c r="Z106" s="9"/>
    </row>
    <row r="107" spans="4:91">
      <c r="E107" s="19"/>
      <c r="F107" s="19"/>
      <c r="I107" s="19"/>
      <c r="J107" s="19"/>
      <c r="M107" s="19"/>
      <c r="Q107" s="19"/>
      <c r="T107" s="19"/>
      <c r="W107" s="19"/>
      <c r="Z107" s="9"/>
    </row>
    <row r="108" spans="4:91">
      <c r="D108" s="9"/>
      <c r="E108" s="19"/>
      <c r="F108" s="19"/>
      <c r="H108" s="9"/>
      <c r="I108" s="19"/>
      <c r="J108" s="19"/>
      <c r="L108" s="9"/>
      <c r="M108" s="19"/>
      <c r="P108" s="9"/>
      <c r="Q108" s="19"/>
      <c r="S108" s="9"/>
      <c r="T108" s="19"/>
      <c r="V108" s="9"/>
      <c r="W108" s="19"/>
      <c r="Z108" s="9"/>
    </row>
    <row r="109" spans="4:91">
      <c r="E109" s="19"/>
      <c r="F109" s="19"/>
      <c r="I109" s="19"/>
      <c r="J109" s="19"/>
      <c r="M109" s="19"/>
      <c r="Q109" s="19"/>
      <c r="T109" s="19"/>
      <c r="W109" s="19"/>
      <c r="Z109" s="9"/>
    </row>
    <row r="110" spans="4:91">
      <c r="E110" s="19"/>
      <c r="F110" s="19"/>
      <c r="I110" s="19"/>
      <c r="J110" s="19"/>
      <c r="M110" s="19"/>
      <c r="Q110" s="19"/>
      <c r="T110" s="19"/>
      <c r="W110" s="19"/>
      <c r="Z110" s="9"/>
    </row>
    <row r="111" spans="4:91">
      <c r="D111" s="9"/>
      <c r="E111" s="19"/>
      <c r="F111" s="19"/>
      <c r="H111" s="9"/>
      <c r="I111" s="19"/>
      <c r="J111" s="19"/>
      <c r="L111" s="9"/>
      <c r="M111" s="19"/>
      <c r="P111" s="9"/>
      <c r="Q111" s="19"/>
      <c r="S111" s="9"/>
      <c r="T111" s="19"/>
      <c r="V111" s="9"/>
      <c r="W111" s="19"/>
      <c r="Z111" s="9"/>
    </row>
    <row r="112" spans="4:91">
      <c r="Z112" s="9"/>
    </row>
    <row r="113" spans="3:70">
      <c r="C113" s="546"/>
      <c r="D113" s="546"/>
      <c r="E113" s="546"/>
      <c r="F113" s="546"/>
      <c r="G113" s="546"/>
      <c r="H113" s="546"/>
      <c r="I113" s="546"/>
      <c r="J113" s="546"/>
      <c r="K113" s="546"/>
      <c r="L113" s="546"/>
      <c r="M113" s="546"/>
      <c r="O113" s="546"/>
      <c r="P113" s="546"/>
      <c r="Q113" s="546"/>
      <c r="R113" s="546"/>
      <c r="S113" s="546"/>
      <c r="T113" s="546"/>
      <c r="U113" s="546"/>
      <c r="V113" s="546"/>
      <c r="W113" s="546"/>
      <c r="Z113" s="9"/>
    </row>
    <row r="114" spans="3:70">
      <c r="E114" s="19"/>
      <c r="F114" s="19"/>
      <c r="I114" s="19"/>
      <c r="J114" s="19"/>
      <c r="M114" s="19"/>
      <c r="Q114" s="19"/>
      <c r="T114" s="19"/>
      <c r="W114" s="19"/>
      <c r="Z114" s="9"/>
    </row>
    <row r="115" spans="3:70">
      <c r="C115" s="140"/>
      <c r="D115" s="9"/>
      <c r="E115" s="19"/>
      <c r="F115" s="19"/>
      <c r="G115" s="140"/>
      <c r="H115" s="9"/>
      <c r="I115" s="19"/>
      <c r="J115" s="19"/>
      <c r="K115" s="140"/>
      <c r="L115" s="9"/>
      <c r="M115" s="19"/>
      <c r="O115" s="140"/>
      <c r="P115" s="9"/>
      <c r="Q115" s="19"/>
      <c r="R115" s="140"/>
      <c r="S115" s="9"/>
      <c r="T115" s="19"/>
      <c r="U115" s="140"/>
      <c r="V115" s="9"/>
      <c r="W115" s="19"/>
      <c r="Z115" s="9"/>
    </row>
    <row r="116" spans="3:70">
      <c r="E116" s="19"/>
      <c r="F116" s="19"/>
      <c r="I116" s="19"/>
      <c r="J116" s="19"/>
      <c r="M116" s="19"/>
      <c r="Q116" s="19"/>
      <c r="T116" s="19"/>
      <c r="W116" s="19"/>
      <c r="Z116" s="9"/>
    </row>
    <row r="117" spans="3:70">
      <c r="E117" s="19"/>
      <c r="F117" s="19"/>
      <c r="I117" s="19"/>
      <c r="J117" s="19"/>
      <c r="M117" s="19"/>
      <c r="Q117" s="19"/>
      <c r="T117" s="19"/>
      <c r="W117" s="19"/>
      <c r="Z117" s="9"/>
      <c r="AY117" s="546"/>
      <c r="AZ117" s="546"/>
      <c r="BA117" s="546"/>
      <c r="BB117" s="546"/>
    </row>
    <row r="118" spans="3:70" ht="17">
      <c r="D118" s="9"/>
      <c r="E118" s="19"/>
      <c r="F118" s="19"/>
      <c r="H118" s="9"/>
      <c r="I118" s="19"/>
      <c r="J118" s="19"/>
      <c r="L118" s="9"/>
      <c r="M118" s="19"/>
      <c r="P118" s="9"/>
      <c r="Q118" s="19"/>
      <c r="S118" s="9"/>
      <c r="T118" s="19"/>
      <c r="V118" s="9"/>
      <c r="W118" s="19"/>
      <c r="Z118" s="9"/>
      <c r="BJ118" s="194"/>
      <c r="BL118" s="190"/>
      <c r="BM118" s="191"/>
      <c r="BR118" s="192"/>
    </row>
    <row r="119" spans="3:70" ht="17">
      <c r="E119" s="19"/>
      <c r="F119" s="19"/>
      <c r="I119" s="19"/>
      <c r="J119" s="19"/>
      <c r="M119" s="19"/>
      <c r="Q119" s="19"/>
      <c r="T119" s="19"/>
      <c r="W119" s="19"/>
      <c r="Z119" s="9"/>
      <c r="BJ119" s="194"/>
      <c r="BL119" s="190"/>
      <c r="BM119" s="191"/>
      <c r="BR119" s="192"/>
    </row>
    <row r="120" spans="3:70" ht="17">
      <c r="E120" s="19"/>
      <c r="F120" s="19"/>
      <c r="I120" s="19"/>
      <c r="J120" s="19"/>
      <c r="M120" s="19"/>
      <c r="Q120" s="19"/>
      <c r="T120" s="19"/>
      <c r="W120" s="19"/>
      <c r="Z120" s="9"/>
      <c r="BJ120" s="194"/>
      <c r="BL120" s="190"/>
      <c r="BM120" s="191"/>
      <c r="BR120" s="192"/>
    </row>
    <row r="121" spans="3:70" ht="17">
      <c r="D121" s="9"/>
      <c r="E121" s="19"/>
      <c r="F121" s="19"/>
      <c r="H121" s="9"/>
      <c r="I121" s="19"/>
      <c r="J121" s="19"/>
      <c r="L121" s="9"/>
      <c r="M121" s="19"/>
      <c r="P121" s="9"/>
      <c r="Q121" s="19"/>
      <c r="S121" s="9"/>
      <c r="T121" s="19"/>
      <c r="V121" s="9"/>
      <c r="W121" s="19"/>
      <c r="Z121" s="9"/>
      <c r="BJ121" s="194"/>
      <c r="BL121" s="190"/>
      <c r="BM121" s="191"/>
      <c r="BR121" s="192"/>
    </row>
    <row r="122" spans="3:70" ht="17">
      <c r="E122" s="19"/>
      <c r="F122" s="19"/>
      <c r="I122" s="19"/>
      <c r="J122" s="19"/>
      <c r="M122" s="19"/>
      <c r="Q122" s="19"/>
      <c r="T122" s="19"/>
      <c r="W122" s="19"/>
      <c r="Z122" s="9"/>
      <c r="BJ122" s="194"/>
      <c r="BL122" s="190"/>
      <c r="BM122" s="191"/>
      <c r="BR122" s="192"/>
    </row>
    <row r="123" spans="3:70" ht="17">
      <c r="E123" s="19"/>
      <c r="F123" s="19"/>
      <c r="I123" s="19"/>
      <c r="J123" s="19"/>
      <c r="M123" s="19"/>
      <c r="Q123" s="19"/>
      <c r="T123" s="19"/>
      <c r="W123" s="19"/>
      <c r="Z123" s="9"/>
      <c r="BJ123" s="194"/>
      <c r="BL123" s="190"/>
      <c r="BM123" s="191"/>
      <c r="BR123" s="192"/>
    </row>
    <row r="124" spans="3:70" ht="17">
      <c r="D124" s="9"/>
      <c r="E124" s="19"/>
      <c r="F124" s="19"/>
      <c r="H124" s="9"/>
      <c r="I124" s="19"/>
      <c r="J124" s="19"/>
      <c r="L124" s="9"/>
      <c r="M124" s="19"/>
      <c r="P124" s="9"/>
      <c r="Q124" s="19"/>
      <c r="S124" s="9"/>
      <c r="T124" s="19"/>
      <c r="V124" s="9"/>
      <c r="W124" s="19"/>
      <c r="Z124" s="9"/>
      <c r="BJ124" s="194"/>
      <c r="BL124" s="190"/>
      <c r="BM124" s="191"/>
      <c r="BR124" s="192"/>
    </row>
    <row r="125" spans="3:70" ht="17">
      <c r="E125" s="19"/>
      <c r="F125" s="19"/>
      <c r="I125" s="19"/>
      <c r="J125" s="19"/>
      <c r="M125" s="19"/>
      <c r="Q125" s="19"/>
      <c r="T125" s="19"/>
      <c r="W125" s="19"/>
      <c r="Z125" s="9"/>
      <c r="BJ125" s="194"/>
      <c r="BL125" s="190"/>
      <c r="BM125" s="191"/>
      <c r="BR125" s="192"/>
    </row>
    <row r="126" spans="3:70" ht="17">
      <c r="E126" s="19"/>
      <c r="F126" s="19"/>
      <c r="I126" s="19"/>
      <c r="J126" s="19"/>
      <c r="M126" s="19"/>
      <c r="Q126" s="19"/>
      <c r="T126" s="19"/>
      <c r="W126" s="19"/>
      <c r="Z126" s="9"/>
      <c r="BJ126" s="194"/>
      <c r="BL126" s="190"/>
      <c r="BM126" s="191"/>
      <c r="BR126" s="192"/>
    </row>
    <row r="127" spans="3:70" ht="17">
      <c r="D127" s="9"/>
      <c r="E127" s="19"/>
      <c r="F127" s="19"/>
      <c r="H127" s="9"/>
      <c r="I127" s="19"/>
      <c r="J127" s="19"/>
      <c r="L127" s="9"/>
      <c r="M127" s="19"/>
      <c r="P127" s="9"/>
      <c r="Q127" s="19"/>
      <c r="S127" s="9"/>
      <c r="T127" s="19"/>
      <c r="V127" s="9"/>
      <c r="W127" s="19"/>
      <c r="Z127" s="9"/>
      <c r="BJ127" s="194"/>
      <c r="BL127" s="190"/>
      <c r="BM127" s="191"/>
      <c r="BR127" s="192"/>
    </row>
    <row r="128" spans="3:70" ht="17">
      <c r="E128" s="19"/>
      <c r="F128" s="19"/>
      <c r="I128" s="19"/>
      <c r="J128" s="19"/>
      <c r="M128" s="19"/>
      <c r="Q128" s="19"/>
      <c r="T128" s="19"/>
      <c r="W128" s="19"/>
      <c r="Z128" s="9"/>
      <c r="BJ128" s="194"/>
      <c r="BL128" s="190"/>
      <c r="BM128" s="191"/>
      <c r="BR128" s="192"/>
    </row>
    <row r="129" spans="3:70" ht="17">
      <c r="E129" s="19"/>
      <c r="F129" s="19"/>
      <c r="I129" s="19"/>
      <c r="J129" s="19"/>
      <c r="M129" s="19"/>
      <c r="Q129" s="19"/>
      <c r="T129" s="19"/>
      <c r="W129" s="19"/>
      <c r="Z129" s="9"/>
      <c r="BJ129" s="194"/>
      <c r="BL129" s="190"/>
      <c r="BM129" s="191"/>
      <c r="BR129" s="192"/>
    </row>
    <row r="130" spans="3:70" ht="17">
      <c r="D130" s="9"/>
      <c r="E130" s="19"/>
      <c r="F130" s="19"/>
      <c r="H130" s="9"/>
      <c r="I130" s="19"/>
      <c r="J130" s="19"/>
      <c r="L130" s="9"/>
      <c r="M130" s="19"/>
      <c r="P130" s="9"/>
      <c r="Q130" s="19"/>
      <c r="S130" s="9"/>
      <c r="T130" s="19"/>
      <c r="V130" s="9"/>
      <c r="W130" s="19"/>
      <c r="Z130" s="9"/>
      <c r="BJ130" s="194"/>
      <c r="BL130" s="190"/>
      <c r="BM130" s="191"/>
      <c r="BR130" s="192"/>
    </row>
    <row r="131" spans="3:70" ht="17">
      <c r="E131" s="19"/>
      <c r="F131" s="19"/>
      <c r="I131" s="19"/>
      <c r="J131" s="19"/>
      <c r="M131" s="19"/>
      <c r="Q131" s="19"/>
      <c r="T131" s="19"/>
      <c r="W131" s="19"/>
      <c r="Z131" s="9"/>
      <c r="BJ131" s="194"/>
      <c r="BL131" s="190"/>
      <c r="BM131" s="191"/>
      <c r="BR131" s="192"/>
    </row>
    <row r="132" spans="3:70" ht="17">
      <c r="E132" s="19"/>
      <c r="F132" s="19"/>
      <c r="I132" s="19"/>
      <c r="J132" s="19"/>
      <c r="M132" s="19"/>
      <c r="Q132" s="19"/>
      <c r="T132" s="19"/>
      <c r="W132" s="19"/>
      <c r="Z132" s="9"/>
      <c r="BJ132" s="194"/>
      <c r="BL132" s="190"/>
      <c r="BM132" s="191"/>
      <c r="BR132" s="192"/>
    </row>
    <row r="133" spans="3:70" ht="17">
      <c r="D133" s="9"/>
      <c r="E133" s="19"/>
      <c r="F133" s="19"/>
      <c r="H133" s="9"/>
      <c r="I133" s="19"/>
      <c r="J133" s="19"/>
      <c r="L133" s="9"/>
      <c r="M133" s="19"/>
      <c r="P133" s="9"/>
      <c r="Q133" s="19"/>
      <c r="S133" s="9"/>
      <c r="T133" s="19"/>
      <c r="V133" s="9"/>
      <c r="W133" s="19"/>
      <c r="Z133" s="9"/>
      <c r="BJ133" s="194"/>
      <c r="BL133" s="190"/>
      <c r="BM133" s="191"/>
      <c r="BR133" s="192"/>
    </row>
    <row r="134" spans="3:70" ht="17">
      <c r="Z134" s="9"/>
      <c r="BJ134" s="194"/>
      <c r="BL134" s="190"/>
      <c r="BM134" s="191"/>
      <c r="BR134" s="192"/>
    </row>
    <row r="135" spans="3:70" ht="17">
      <c r="C135" s="546"/>
      <c r="D135" s="546"/>
      <c r="E135" s="546"/>
      <c r="F135" s="546"/>
      <c r="G135" s="546"/>
      <c r="H135" s="546"/>
      <c r="I135" s="546"/>
      <c r="J135" s="546"/>
      <c r="K135" s="546"/>
      <c r="L135" s="546"/>
      <c r="M135" s="546"/>
      <c r="O135" s="546"/>
      <c r="P135" s="546"/>
      <c r="Q135" s="546"/>
      <c r="R135" s="546"/>
      <c r="S135" s="546"/>
      <c r="T135" s="546"/>
      <c r="U135" s="546"/>
      <c r="V135" s="546"/>
      <c r="W135" s="546"/>
      <c r="Z135" s="9"/>
      <c r="BJ135" s="194"/>
      <c r="BL135" s="190"/>
      <c r="BM135" s="191"/>
      <c r="BR135" s="192"/>
    </row>
    <row r="136" spans="3:70" ht="17">
      <c r="E136" s="19"/>
      <c r="F136" s="19"/>
      <c r="I136" s="19"/>
      <c r="J136" s="19"/>
      <c r="M136" s="19"/>
      <c r="Q136" s="19"/>
      <c r="T136" s="19"/>
      <c r="W136" s="19"/>
      <c r="Z136" s="9"/>
      <c r="BJ136" s="194"/>
      <c r="BL136" s="190"/>
      <c r="BM136" s="191"/>
      <c r="BR136" s="192"/>
    </row>
    <row r="137" spans="3:70" ht="17">
      <c r="C137" s="140"/>
      <c r="D137" s="9"/>
      <c r="E137" s="19"/>
      <c r="F137" s="19"/>
      <c r="G137" s="140"/>
      <c r="H137" s="9"/>
      <c r="I137" s="19"/>
      <c r="J137" s="19"/>
      <c r="K137" s="140"/>
      <c r="L137" s="9"/>
      <c r="M137" s="19"/>
      <c r="O137" s="140"/>
      <c r="P137" s="9"/>
      <c r="Q137" s="19"/>
      <c r="R137" s="140"/>
      <c r="S137" s="9"/>
      <c r="T137" s="19"/>
      <c r="U137" s="140"/>
      <c r="V137" s="9"/>
      <c r="W137" s="19"/>
      <c r="Z137" s="9"/>
      <c r="BJ137" s="194"/>
      <c r="BL137" s="190"/>
      <c r="BM137" s="191"/>
      <c r="BR137" s="192"/>
    </row>
    <row r="138" spans="3:70" ht="17">
      <c r="E138" s="19"/>
      <c r="F138" s="19"/>
      <c r="I138" s="19"/>
      <c r="J138" s="19"/>
      <c r="M138" s="19"/>
      <c r="Q138" s="19"/>
      <c r="T138" s="19"/>
      <c r="W138" s="19"/>
      <c r="Z138" s="9"/>
      <c r="BJ138" s="194"/>
      <c r="BL138" s="190"/>
      <c r="BM138" s="191"/>
      <c r="BR138" s="192"/>
    </row>
    <row r="139" spans="3:70" ht="17">
      <c r="E139" s="19"/>
      <c r="F139" s="19"/>
      <c r="I139" s="19"/>
      <c r="J139" s="19"/>
      <c r="M139" s="19"/>
      <c r="Q139" s="19"/>
      <c r="T139" s="19"/>
      <c r="W139" s="19"/>
      <c r="Z139" s="9"/>
      <c r="BJ139" s="194"/>
      <c r="BL139" s="190"/>
      <c r="BM139" s="191"/>
      <c r="BR139" s="192"/>
    </row>
    <row r="140" spans="3:70" ht="17">
      <c r="D140" s="9"/>
      <c r="E140" s="19"/>
      <c r="F140" s="19"/>
      <c r="H140" s="9"/>
      <c r="I140" s="19"/>
      <c r="J140" s="19"/>
      <c r="L140" s="9"/>
      <c r="M140" s="19"/>
      <c r="P140" s="9"/>
      <c r="Q140" s="19"/>
      <c r="S140" s="9"/>
      <c r="T140" s="19"/>
      <c r="V140" s="9"/>
      <c r="W140" s="19"/>
      <c r="Z140" s="9"/>
      <c r="BJ140" s="194"/>
      <c r="BL140" s="190"/>
      <c r="BM140" s="191"/>
      <c r="BR140" s="192"/>
    </row>
    <row r="141" spans="3:70" ht="17">
      <c r="E141" s="19"/>
      <c r="F141" s="19"/>
      <c r="I141" s="19"/>
      <c r="J141" s="19"/>
      <c r="M141" s="19"/>
      <c r="Q141" s="19"/>
      <c r="T141" s="19"/>
      <c r="W141" s="19"/>
      <c r="Z141" s="9"/>
      <c r="BJ141" s="194"/>
      <c r="BL141" s="190"/>
      <c r="BM141" s="191"/>
      <c r="BR141" s="192"/>
    </row>
    <row r="142" spans="3:70" ht="17">
      <c r="E142" s="19"/>
      <c r="F142" s="19"/>
      <c r="I142" s="19"/>
      <c r="J142" s="19"/>
      <c r="M142" s="19"/>
      <c r="Q142" s="19"/>
      <c r="T142" s="19"/>
      <c r="W142" s="19"/>
      <c r="Z142" s="9"/>
      <c r="BJ142" s="194"/>
      <c r="BL142" s="190"/>
      <c r="BM142" s="191"/>
      <c r="BR142" s="192"/>
    </row>
    <row r="143" spans="3:70" ht="17">
      <c r="D143" s="9"/>
      <c r="E143" s="19"/>
      <c r="F143" s="19"/>
      <c r="H143" s="9"/>
      <c r="I143" s="19"/>
      <c r="J143" s="19"/>
      <c r="L143" s="9"/>
      <c r="M143" s="19"/>
      <c r="P143" s="9"/>
      <c r="Q143" s="19"/>
      <c r="S143" s="9"/>
      <c r="T143" s="19"/>
      <c r="V143" s="9"/>
      <c r="W143" s="19"/>
      <c r="Z143" s="9"/>
      <c r="BJ143" s="194"/>
      <c r="BL143" s="190"/>
      <c r="BM143" s="191"/>
      <c r="BR143" s="192"/>
    </row>
    <row r="144" spans="3:70" ht="17">
      <c r="E144" s="19"/>
      <c r="F144" s="19"/>
      <c r="I144" s="19"/>
      <c r="J144" s="19"/>
      <c r="M144" s="19"/>
      <c r="Q144" s="19"/>
      <c r="T144" s="19"/>
      <c r="W144" s="19"/>
      <c r="Z144" s="9"/>
      <c r="BJ144" s="194"/>
      <c r="BL144" s="190"/>
      <c r="BM144" s="191"/>
      <c r="BR144" s="192"/>
    </row>
    <row r="145" spans="3:70" ht="17">
      <c r="E145" s="19"/>
      <c r="F145" s="19"/>
      <c r="I145" s="19"/>
      <c r="J145" s="19"/>
      <c r="M145" s="19"/>
      <c r="Q145" s="19"/>
      <c r="T145" s="19"/>
      <c r="W145" s="19"/>
      <c r="Z145" s="9"/>
      <c r="BJ145" s="194"/>
      <c r="BL145" s="190"/>
      <c r="BM145" s="191"/>
      <c r="BR145" s="192"/>
    </row>
    <row r="146" spans="3:70" ht="17">
      <c r="D146" s="9"/>
      <c r="E146" s="19"/>
      <c r="F146" s="19"/>
      <c r="H146" s="9"/>
      <c r="I146" s="19"/>
      <c r="J146" s="19"/>
      <c r="L146" s="9"/>
      <c r="M146" s="19"/>
      <c r="P146" s="9"/>
      <c r="Q146" s="19"/>
      <c r="S146" s="9"/>
      <c r="T146" s="19"/>
      <c r="V146" s="9"/>
      <c r="W146" s="19"/>
      <c r="Z146" s="9"/>
      <c r="BJ146" s="194"/>
      <c r="BL146" s="190"/>
      <c r="BM146" s="191"/>
      <c r="BR146" s="192"/>
    </row>
    <row r="147" spans="3:70" ht="17">
      <c r="E147" s="19"/>
      <c r="F147" s="19"/>
      <c r="I147" s="19"/>
      <c r="J147" s="19"/>
      <c r="M147" s="19"/>
      <c r="Q147" s="19"/>
      <c r="T147" s="19"/>
      <c r="W147" s="19"/>
      <c r="Z147" s="9"/>
      <c r="BJ147" s="194"/>
      <c r="BL147" s="190"/>
      <c r="BM147" s="191"/>
      <c r="BR147" s="192"/>
    </row>
    <row r="148" spans="3:70" ht="17">
      <c r="E148" s="19"/>
      <c r="F148" s="19"/>
      <c r="I148" s="19"/>
      <c r="J148" s="19"/>
      <c r="M148" s="19"/>
      <c r="Q148" s="19"/>
      <c r="T148" s="19"/>
      <c r="W148" s="19"/>
      <c r="Z148" s="9"/>
      <c r="BJ148" s="194"/>
      <c r="BL148" s="190"/>
      <c r="BM148" s="191"/>
      <c r="BR148" s="192"/>
    </row>
    <row r="149" spans="3:70" ht="17">
      <c r="D149" s="9"/>
      <c r="E149" s="19"/>
      <c r="F149" s="19"/>
      <c r="H149" s="9"/>
      <c r="I149" s="19"/>
      <c r="J149" s="19"/>
      <c r="L149" s="9"/>
      <c r="M149" s="19"/>
      <c r="P149" s="9"/>
      <c r="Q149" s="19"/>
      <c r="S149" s="9"/>
      <c r="T149" s="19"/>
      <c r="V149" s="9"/>
      <c r="W149" s="19"/>
      <c r="Z149" s="9"/>
      <c r="BJ149" s="194"/>
      <c r="BL149" s="190"/>
      <c r="BM149" s="191"/>
      <c r="BR149" s="192"/>
    </row>
    <row r="150" spans="3:70" ht="17">
      <c r="E150" s="19"/>
      <c r="F150" s="19"/>
      <c r="I150" s="19"/>
      <c r="J150" s="19"/>
      <c r="M150" s="19"/>
      <c r="Q150" s="19"/>
      <c r="T150" s="19"/>
      <c r="W150" s="19"/>
      <c r="Z150" s="9"/>
      <c r="BJ150" s="194"/>
      <c r="BL150" s="190"/>
      <c r="BM150" s="191"/>
      <c r="BR150" s="192"/>
    </row>
    <row r="151" spans="3:70" ht="17">
      <c r="E151" s="19"/>
      <c r="F151" s="19"/>
      <c r="I151" s="19"/>
      <c r="J151" s="19"/>
      <c r="M151" s="19"/>
      <c r="Q151" s="19"/>
      <c r="T151" s="19"/>
      <c r="W151" s="19"/>
      <c r="Z151" s="9"/>
      <c r="BJ151" s="194"/>
      <c r="BL151" s="190"/>
      <c r="BM151" s="191"/>
      <c r="BR151" s="192"/>
    </row>
    <row r="152" spans="3:70" ht="17">
      <c r="D152" s="9"/>
      <c r="E152" s="19"/>
      <c r="F152" s="19"/>
      <c r="H152" s="9"/>
      <c r="I152" s="19"/>
      <c r="J152" s="19"/>
      <c r="L152" s="9"/>
      <c r="M152" s="19"/>
      <c r="P152" s="9"/>
      <c r="Q152" s="19"/>
      <c r="S152" s="9"/>
      <c r="T152" s="19"/>
      <c r="V152" s="9"/>
      <c r="W152" s="19"/>
      <c r="Z152" s="9"/>
      <c r="BJ152" s="194"/>
      <c r="BL152" s="190"/>
      <c r="BM152" s="191"/>
      <c r="BR152" s="192"/>
    </row>
    <row r="153" spans="3:70" ht="17">
      <c r="E153" s="19"/>
      <c r="F153" s="19"/>
      <c r="I153" s="19"/>
      <c r="J153" s="19"/>
      <c r="M153" s="19"/>
      <c r="Q153" s="19"/>
      <c r="T153" s="19"/>
      <c r="W153" s="19"/>
      <c r="Z153" s="9"/>
      <c r="BJ153" s="194"/>
      <c r="BL153" s="190"/>
      <c r="BM153" s="191"/>
      <c r="BR153" s="192"/>
    </row>
    <row r="154" spans="3:70" ht="17">
      <c r="E154" s="19"/>
      <c r="F154" s="19"/>
      <c r="I154" s="19"/>
      <c r="J154" s="19"/>
      <c r="M154" s="19"/>
      <c r="Q154" s="19"/>
      <c r="T154" s="19"/>
      <c r="W154" s="19"/>
      <c r="Z154" s="9"/>
      <c r="BJ154" s="194"/>
      <c r="BL154" s="190"/>
      <c r="BM154" s="191"/>
      <c r="BR154" s="192"/>
    </row>
    <row r="155" spans="3:70" ht="17">
      <c r="D155" s="9"/>
      <c r="E155" s="19"/>
      <c r="F155" s="19"/>
      <c r="H155" s="9"/>
      <c r="I155" s="19"/>
      <c r="J155" s="19"/>
      <c r="L155" s="9"/>
      <c r="M155" s="19"/>
      <c r="P155" s="9"/>
      <c r="Q155" s="19"/>
      <c r="S155" s="9"/>
      <c r="T155" s="19"/>
      <c r="V155" s="9"/>
      <c r="W155" s="19"/>
      <c r="Z155" s="9"/>
      <c r="BJ155" s="194"/>
      <c r="BL155" s="190"/>
      <c r="BM155" s="191"/>
      <c r="BR155" s="192"/>
    </row>
    <row r="156" spans="3:70" ht="17">
      <c r="Z156" s="9"/>
      <c r="BJ156" s="194"/>
      <c r="BL156" s="190"/>
      <c r="BM156" s="191"/>
      <c r="BR156" s="192"/>
    </row>
    <row r="157" spans="3:70" ht="17">
      <c r="C157" s="546"/>
      <c r="D157" s="546"/>
      <c r="E157" s="546"/>
      <c r="F157" s="546"/>
      <c r="G157" s="546"/>
      <c r="H157" s="546"/>
      <c r="I157" s="546"/>
      <c r="J157" s="546"/>
      <c r="K157" s="546"/>
      <c r="L157" s="546"/>
      <c r="M157" s="546"/>
      <c r="O157" s="546"/>
      <c r="P157" s="546"/>
      <c r="Q157" s="546"/>
      <c r="R157" s="546"/>
      <c r="S157" s="546"/>
      <c r="T157" s="546"/>
      <c r="U157" s="546"/>
      <c r="V157" s="546"/>
      <c r="W157" s="546"/>
      <c r="Z157" s="9"/>
      <c r="BJ157" s="194"/>
      <c r="BL157" s="190"/>
      <c r="BM157" s="191"/>
      <c r="BR157" s="192"/>
    </row>
    <row r="158" spans="3:70" ht="17">
      <c r="E158" s="19"/>
      <c r="F158" s="19"/>
      <c r="I158" s="19"/>
      <c r="J158" s="19"/>
      <c r="M158" s="19"/>
      <c r="Q158" s="19"/>
      <c r="T158" s="19"/>
      <c r="W158" s="19"/>
      <c r="Z158" s="9"/>
      <c r="BJ158" s="194"/>
      <c r="BL158" s="190"/>
      <c r="BM158" s="191"/>
      <c r="BR158" s="192"/>
    </row>
    <row r="159" spans="3:70" ht="17">
      <c r="C159" s="140"/>
      <c r="D159" s="9"/>
      <c r="E159" s="19"/>
      <c r="F159" s="19"/>
      <c r="G159" s="140"/>
      <c r="H159" s="9"/>
      <c r="I159" s="19"/>
      <c r="J159" s="19"/>
      <c r="K159" s="140"/>
      <c r="L159" s="9"/>
      <c r="M159" s="19"/>
      <c r="O159" s="140"/>
      <c r="P159" s="9"/>
      <c r="Q159" s="19"/>
      <c r="R159" s="140"/>
      <c r="S159" s="9"/>
      <c r="T159" s="19"/>
      <c r="U159" s="140"/>
      <c r="V159" s="9"/>
      <c r="W159" s="19"/>
      <c r="Z159" s="9"/>
      <c r="BJ159" s="194"/>
      <c r="BL159" s="190"/>
      <c r="BM159" s="191"/>
      <c r="BR159" s="192"/>
    </row>
    <row r="160" spans="3:70" ht="17">
      <c r="E160" s="19"/>
      <c r="F160" s="19"/>
      <c r="I160" s="19"/>
      <c r="J160" s="19"/>
      <c r="M160" s="19"/>
      <c r="Q160" s="19"/>
      <c r="T160" s="19"/>
      <c r="W160" s="19"/>
      <c r="Z160" s="9"/>
      <c r="BJ160" s="194"/>
      <c r="BL160" s="190"/>
      <c r="BM160" s="192"/>
      <c r="BR160" s="192"/>
    </row>
    <row r="161" spans="4:70" ht="17">
      <c r="E161" s="19"/>
      <c r="F161" s="19"/>
      <c r="I161" s="19"/>
      <c r="J161" s="19"/>
      <c r="M161" s="19"/>
      <c r="Q161" s="19"/>
      <c r="T161" s="19"/>
      <c r="W161" s="19"/>
      <c r="Z161" s="9"/>
      <c r="BJ161" s="194"/>
      <c r="BL161" s="190"/>
      <c r="BM161" s="192"/>
      <c r="BR161" s="192"/>
    </row>
    <row r="162" spans="4:70" ht="17">
      <c r="D162" s="9"/>
      <c r="E162" s="19"/>
      <c r="F162" s="19"/>
      <c r="H162" s="9"/>
      <c r="I162" s="19"/>
      <c r="J162" s="19"/>
      <c r="L162" s="9"/>
      <c r="M162" s="19"/>
      <c r="P162" s="9"/>
      <c r="Q162" s="19"/>
      <c r="S162" s="9"/>
      <c r="T162" s="19"/>
      <c r="V162" s="9"/>
      <c r="W162" s="19"/>
      <c r="Z162" s="9"/>
      <c r="BJ162" s="194"/>
      <c r="BL162" s="190"/>
      <c r="BM162" s="192"/>
      <c r="BR162" s="192"/>
    </row>
    <row r="163" spans="4:70" ht="17">
      <c r="E163" s="19"/>
      <c r="F163" s="19"/>
      <c r="I163" s="19"/>
      <c r="J163" s="19"/>
      <c r="M163" s="19"/>
      <c r="Q163" s="19"/>
      <c r="T163" s="19"/>
      <c r="W163" s="19"/>
      <c r="Z163" s="9"/>
      <c r="BJ163" s="194"/>
      <c r="BL163" s="190"/>
      <c r="BM163" s="192"/>
      <c r="BR163" s="192"/>
    </row>
    <row r="164" spans="4:70" ht="17">
      <c r="E164" s="19"/>
      <c r="F164" s="19"/>
      <c r="I164" s="19"/>
      <c r="J164" s="19"/>
      <c r="M164" s="19"/>
      <c r="Q164" s="19"/>
      <c r="T164" s="19"/>
      <c r="W164" s="19"/>
      <c r="Z164" s="9"/>
      <c r="BJ164" s="194"/>
      <c r="BL164" s="190"/>
      <c r="BM164" s="192"/>
      <c r="BR164" s="192"/>
    </row>
    <row r="165" spans="4:70" ht="17">
      <c r="D165" s="9"/>
      <c r="E165" s="19"/>
      <c r="F165" s="19"/>
      <c r="H165" s="9"/>
      <c r="I165" s="19"/>
      <c r="J165" s="19"/>
      <c r="L165" s="9"/>
      <c r="M165" s="19"/>
      <c r="P165" s="9"/>
      <c r="Q165" s="19"/>
      <c r="S165" s="9"/>
      <c r="T165" s="19"/>
      <c r="V165" s="9"/>
      <c r="W165" s="19"/>
      <c r="Z165" s="9"/>
      <c r="BJ165" s="194"/>
      <c r="BL165" s="190"/>
      <c r="BM165" s="192"/>
      <c r="BR165" s="192"/>
    </row>
    <row r="166" spans="4:70" ht="17">
      <c r="E166" s="19"/>
      <c r="F166" s="19"/>
      <c r="I166" s="19"/>
      <c r="J166" s="19"/>
      <c r="M166" s="19"/>
      <c r="Q166" s="19"/>
      <c r="T166" s="19"/>
      <c r="W166" s="19"/>
      <c r="Z166" s="9"/>
      <c r="BJ166" s="194"/>
      <c r="BL166" s="190"/>
      <c r="BM166" s="192"/>
      <c r="BR166" s="192"/>
    </row>
    <row r="167" spans="4:70" ht="17">
      <c r="E167" s="19"/>
      <c r="F167" s="19"/>
      <c r="I167" s="19"/>
      <c r="J167" s="19"/>
      <c r="M167" s="19"/>
      <c r="Q167" s="19"/>
      <c r="T167" s="19"/>
      <c r="W167" s="19"/>
      <c r="Z167" s="9"/>
      <c r="BJ167" s="194"/>
      <c r="BL167" s="190"/>
      <c r="BM167" s="192"/>
      <c r="BR167" s="192"/>
    </row>
    <row r="168" spans="4:70" ht="17">
      <c r="D168" s="9"/>
      <c r="E168" s="19"/>
      <c r="F168" s="19"/>
      <c r="H168" s="9"/>
      <c r="I168" s="19"/>
      <c r="J168" s="19"/>
      <c r="L168" s="9"/>
      <c r="M168" s="19"/>
      <c r="P168" s="9"/>
      <c r="Q168" s="19"/>
      <c r="S168" s="9"/>
      <c r="T168" s="19"/>
      <c r="V168" s="9"/>
      <c r="W168" s="19"/>
      <c r="Z168" s="9"/>
      <c r="BJ168" s="194"/>
      <c r="BL168" s="190"/>
      <c r="BM168" s="192"/>
      <c r="BR168" s="192"/>
    </row>
    <row r="169" spans="4:70" ht="17">
      <c r="E169" s="19"/>
      <c r="F169" s="19"/>
      <c r="I169" s="19"/>
      <c r="J169" s="19"/>
      <c r="M169" s="19"/>
      <c r="Q169" s="19"/>
      <c r="T169" s="19"/>
      <c r="W169" s="19"/>
      <c r="Z169" s="9"/>
      <c r="BJ169" s="194"/>
      <c r="BL169" s="190"/>
      <c r="BM169" s="192"/>
      <c r="BR169" s="192"/>
    </row>
    <row r="170" spans="4:70" ht="17">
      <c r="E170" s="19"/>
      <c r="F170" s="19"/>
      <c r="I170" s="19"/>
      <c r="J170" s="19"/>
      <c r="M170" s="19"/>
      <c r="Q170" s="19"/>
      <c r="T170" s="19"/>
      <c r="W170" s="19"/>
      <c r="Z170" s="9"/>
      <c r="BJ170" s="194"/>
      <c r="BL170" s="190"/>
      <c r="BM170" s="192"/>
      <c r="BR170" s="192"/>
    </row>
    <row r="171" spans="4:70" ht="17">
      <c r="D171" s="9"/>
      <c r="E171" s="19"/>
      <c r="F171" s="19"/>
      <c r="H171" s="9"/>
      <c r="I171" s="19"/>
      <c r="J171" s="19"/>
      <c r="L171" s="9"/>
      <c r="M171" s="19"/>
      <c r="P171" s="9"/>
      <c r="Q171" s="19"/>
      <c r="S171" s="9"/>
      <c r="T171" s="19"/>
      <c r="V171" s="9"/>
      <c r="W171" s="19"/>
      <c r="Z171" s="9"/>
      <c r="BJ171" s="194"/>
      <c r="BL171" s="190"/>
      <c r="BM171" s="192"/>
      <c r="BR171" s="192"/>
    </row>
    <row r="172" spans="4:70" ht="17">
      <c r="E172" s="19"/>
      <c r="F172" s="19"/>
      <c r="I172" s="19"/>
      <c r="J172" s="19"/>
      <c r="M172" s="19"/>
      <c r="Q172" s="19"/>
      <c r="T172" s="19"/>
      <c r="W172" s="19"/>
      <c r="Z172" s="9"/>
      <c r="BJ172" s="194"/>
      <c r="BL172" s="190"/>
      <c r="BM172" s="192"/>
      <c r="BO172" s="194"/>
      <c r="BQ172" s="190"/>
      <c r="BR172" s="191"/>
    </row>
    <row r="173" spans="4:70" ht="17">
      <c r="E173" s="19"/>
      <c r="F173" s="19"/>
      <c r="I173" s="19"/>
      <c r="J173" s="19"/>
      <c r="M173" s="19"/>
      <c r="Q173" s="19"/>
      <c r="T173" s="19"/>
      <c r="W173" s="19"/>
      <c r="Z173" s="9"/>
      <c r="BJ173" s="194"/>
      <c r="BL173" s="190"/>
      <c r="BM173" s="192"/>
      <c r="BO173" s="194"/>
      <c r="BQ173" s="190"/>
      <c r="BR173" s="191"/>
    </row>
    <row r="174" spans="4:70" ht="17">
      <c r="D174" s="9"/>
      <c r="E174" s="19"/>
      <c r="F174" s="19"/>
      <c r="H174" s="9"/>
      <c r="I174" s="19"/>
      <c r="J174" s="19"/>
      <c r="L174" s="9"/>
      <c r="M174" s="19"/>
      <c r="P174" s="9"/>
      <c r="Q174" s="19"/>
      <c r="S174" s="9"/>
      <c r="T174" s="19"/>
      <c r="V174" s="9"/>
      <c r="W174" s="19"/>
      <c r="Z174" s="9"/>
      <c r="BJ174" s="194"/>
      <c r="BL174" s="190"/>
      <c r="BM174" s="192"/>
      <c r="BO174" s="194"/>
      <c r="BQ174" s="190"/>
      <c r="BR174" s="191"/>
    </row>
    <row r="175" spans="4:70" ht="17">
      <c r="E175" s="19"/>
      <c r="F175" s="19"/>
      <c r="I175" s="19"/>
      <c r="J175" s="19"/>
      <c r="M175" s="19"/>
      <c r="Q175" s="19"/>
      <c r="T175" s="19"/>
      <c r="W175" s="19"/>
      <c r="Z175" s="9"/>
      <c r="BJ175" s="194"/>
      <c r="BL175" s="190"/>
      <c r="BM175" s="192"/>
      <c r="BO175" s="194"/>
      <c r="BQ175" s="190"/>
      <c r="BR175" s="191"/>
    </row>
    <row r="176" spans="4:70" ht="17">
      <c r="E176" s="19"/>
      <c r="F176" s="19"/>
      <c r="I176" s="19"/>
      <c r="J176" s="19"/>
      <c r="M176" s="19"/>
      <c r="Q176" s="19"/>
      <c r="T176" s="19"/>
      <c r="W176" s="19"/>
      <c r="Z176" s="9"/>
      <c r="BJ176" s="194"/>
      <c r="BL176" s="190"/>
      <c r="BM176" s="192"/>
      <c r="BO176" s="194"/>
      <c r="BQ176" s="190"/>
      <c r="BR176" s="191"/>
    </row>
    <row r="177" spans="3:70" ht="17">
      <c r="D177" s="9"/>
      <c r="E177" s="19"/>
      <c r="F177" s="19"/>
      <c r="H177" s="9"/>
      <c r="I177" s="19"/>
      <c r="J177" s="19"/>
      <c r="L177" s="9"/>
      <c r="M177" s="19"/>
      <c r="P177" s="9"/>
      <c r="Q177" s="19"/>
      <c r="S177" s="9"/>
      <c r="T177" s="19"/>
      <c r="V177" s="9"/>
      <c r="W177" s="19"/>
      <c r="Z177" s="9"/>
      <c r="BJ177" s="194"/>
      <c r="BL177" s="190"/>
      <c r="BM177" s="192"/>
      <c r="BO177" s="194"/>
      <c r="BQ177" s="190"/>
      <c r="BR177" s="191"/>
    </row>
    <row r="178" spans="3:70" ht="17">
      <c r="Z178" s="9"/>
      <c r="BJ178" s="194"/>
      <c r="BL178" s="190"/>
      <c r="BM178" s="192"/>
      <c r="BO178" s="194"/>
      <c r="BQ178" s="190"/>
      <c r="BR178" s="191"/>
    </row>
    <row r="179" spans="3:70" ht="17">
      <c r="C179" s="546"/>
      <c r="D179" s="546"/>
      <c r="E179" s="546"/>
      <c r="F179" s="546"/>
      <c r="G179" s="546"/>
      <c r="H179" s="546"/>
      <c r="I179" s="546"/>
      <c r="J179" s="546"/>
      <c r="K179" s="546"/>
      <c r="L179" s="546"/>
      <c r="M179" s="546"/>
      <c r="O179" s="546"/>
      <c r="P179" s="546"/>
      <c r="Q179" s="546"/>
      <c r="R179" s="546"/>
      <c r="S179" s="546"/>
      <c r="T179" s="546"/>
      <c r="U179" s="546"/>
      <c r="V179" s="546"/>
      <c r="W179" s="546"/>
      <c r="Z179" s="9"/>
      <c r="BJ179" s="194"/>
      <c r="BL179" s="190"/>
      <c r="BM179" s="192"/>
      <c r="BO179" s="194"/>
      <c r="BQ179" s="190"/>
      <c r="BR179" s="191"/>
    </row>
    <row r="180" spans="3:70" ht="17">
      <c r="E180" s="19"/>
      <c r="F180" s="19"/>
      <c r="I180" s="19"/>
      <c r="J180" s="19"/>
      <c r="M180" s="19"/>
      <c r="Q180" s="19"/>
      <c r="T180" s="19"/>
      <c r="W180" s="19"/>
      <c r="Z180" s="9"/>
      <c r="BJ180" s="194"/>
      <c r="BL180" s="190"/>
      <c r="BM180" s="192"/>
      <c r="BO180" s="194"/>
      <c r="BQ180" s="190"/>
      <c r="BR180" s="191"/>
    </row>
    <row r="181" spans="3:70" ht="17">
      <c r="C181" s="140"/>
      <c r="D181" s="9"/>
      <c r="E181" s="19"/>
      <c r="F181" s="19"/>
      <c r="G181" s="140"/>
      <c r="H181" s="9"/>
      <c r="I181" s="19"/>
      <c r="J181" s="19"/>
      <c r="K181" s="140"/>
      <c r="L181" s="9"/>
      <c r="M181" s="19"/>
      <c r="O181" s="140"/>
      <c r="P181" s="9"/>
      <c r="Q181" s="19"/>
      <c r="R181" s="140"/>
      <c r="S181" s="9"/>
      <c r="T181" s="19"/>
      <c r="U181" s="140"/>
      <c r="V181" s="9"/>
      <c r="W181" s="19"/>
      <c r="Z181" s="9"/>
      <c r="BJ181" s="194"/>
      <c r="BL181" s="190"/>
      <c r="BM181" s="192"/>
      <c r="BO181" s="194"/>
      <c r="BQ181" s="190"/>
      <c r="BR181" s="191"/>
    </row>
    <row r="182" spans="3:70" ht="17">
      <c r="E182" s="19"/>
      <c r="F182" s="19"/>
      <c r="I182" s="19"/>
      <c r="J182" s="19"/>
      <c r="M182" s="19"/>
      <c r="Q182" s="19"/>
      <c r="T182" s="19"/>
      <c r="W182" s="19"/>
      <c r="Z182" s="9"/>
      <c r="BJ182" s="194"/>
      <c r="BL182" s="190"/>
      <c r="BM182" s="192"/>
      <c r="BO182" s="194"/>
      <c r="BQ182" s="190"/>
      <c r="BR182" s="191"/>
    </row>
    <row r="183" spans="3:70" ht="17">
      <c r="E183" s="19"/>
      <c r="F183" s="19"/>
      <c r="I183" s="19"/>
      <c r="J183" s="19"/>
      <c r="M183" s="19"/>
      <c r="Q183" s="19"/>
      <c r="T183" s="19"/>
      <c r="W183" s="19"/>
      <c r="Z183" s="9"/>
      <c r="BJ183" s="194"/>
      <c r="BL183" s="190"/>
      <c r="BM183" s="192"/>
      <c r="BO183" s="194"/>
      <c r="BQ183" s="190"/>
      <c r="BR183" s="191"/>
    </row>
    <row r="184" spans="3:70" ht="17">
      <c r="D184" s="9"/>
      <c r="E184" s="19"/>
      <c r="F184" s="19"/>
      <c r="H184" s="9"/>
      <c r="I184" s="19"/>
      <c r="J184" s="19"/>
      <c r="L184" s="9"/>
      <c r="M184" s="19"/>
      <c r="P184" s="9"/>
      <c r="Q184" s="19"/>
      <c r="S184" s="9"/>
      <c r="T184" s="19"/>
      <c r="V184" s="9"/>
      <c r="W184" s="19"/>
      <c r="Z184" s="9"/>
      <c r="BJ184" s="194"/>
      <c r="BL184" s="190"/>
      <c r="BM184" s="192"/>
      <c r="BO184" s="194"/>
      <c r="BQ184" s="190"/>
      <c r="BR184" s="191"/>
    </row>
    <row r="185" spans="3:70" ht="17">
      <c r="E185" s="19"/>
      <c r="F185" s="19"/>
      <c r="I185" s="19"/>
      <c r="J185" s="19"/>
      <c r="M185" s="19"/>
      <c r="Q185" s="19"/>
      <c r="T185" s="19"/>
      <c r="W185" s="19"/>
      <c r="Z185" s="9"/>
      <c r="BJ185" s="194"/>
      <c r="BL185" s="190"/>
      <c r="BM185" s="192"/>
      <c r="BO185" s="194"/>
      <c r="BQ185" s="190"/>
      <c r="BR185" s="191"/>
    </row>
    <row r="186" spans="3:70" ht="17">
      <c r="E186" s="19"/>
      <c r="F186" s="19"/>
      <c r="I186" s="19"/>
      <c r="J186" s="19"/>
      <c r="M186" s="19"/>
      <c r="Q186" s="19"/>
      <c r="T186" s="19"/>
      <c r="W186" s="19"/>
      <c r="Z186" s="9"/>
      <c r="BJ186" s="194"/>
      <c r="BL186" s="190"/>
      <c r="BM186" s="192"/>
      <c r="BO186" s="194"/>
      <c r="BQ186" s="190"/>
      <c r="BR186" s="191"/>
    </row>
    <row r="187" spans="3:70" ht="17">
      <c r="D187" s="9"/>
      <c r="E187" s="19"/>
      <c r="F187" s="19"/>
      <c r="H187" s="9"/>
      <c r="I187" s="19"/>
      <c r="J187" s="19"/>
      <c r="L187" s="9"/>
      <c r="M187" s="19"/>
      <c r="P187" s="9"/>
      <c r="Q187" s="19"/>
      <c r="S187" s="9"/>
      <c r="T187" s="19"/>
      <c r="V187" s="9"/>
      <c r="W187" s="19"/>
      <c r="Z187" s="9"/>
      <c r="BJ187" s="194"/>
      <c r="BL187" s="190"/>
      <c r="BM187" s="192"/>
      <c r="BO187" s="194"/>
      <c r="BQ187" s="190"/>
      <c r="BR187" s="191"/>
    </row>
    <row r="188" spans="3:70" ht="17">
      <c r="E188" s="19"/>
      <c r="F188" s="19"/>
      <c r="I188" s="19"/>
      <c r="J188" s="19"/>
      <c r="M188" s="19"/>
      <c r="Q188" s="19"/>
      <c r="T188" s="19"/>
      <c r="W188" s="19"/>
      <c r="Z188" s="9"/>
      <c r="BJ188" s="194"/>
      <c r="BL188" s="190"/>
      <c r="BM188" s="192"/>
      <c r="BO188" s="194"/>
      <c r="BQ188" s="190"/>
      <c r="BR188" s="191"/>
    </row>
    <row r="189" spans="3:70" ht="17">
      <c r="E189" s="19"/>
      <c r="F189" s="19"/>
      <c r="I189" s="19"/>
      <c r="J189" s="19"/>
      <c r="M189" s="19"/>
      <c r="Q189" s="19"/>
      <c r="T189" s="19"/>
      <c r="W189" s="19"/>
      <c r="Z189" s="9"/>
      <c r="BJ189" s="194"/>
      <c r="BL189" s="190"/>
      <c r="BM189" s="192"/>
      <c r="BO189" s="194"/>
      <c r="BQ189" s="190"/>
      <c r="BR189" s="191"/>
    </row>
    <row r="190" spans="3:70" ht="17">
      <c r="D190" s="9"/>
      <c r="E190" s="19"/>
      <c r="F190" s="19"/>
      <c r="H190" s="9"/>
      <c r="I190" s="19"/>
      <c r="J190" s="19"/>
      <c r="L190" s="9"/>
      <c r="M190" s="19"/>
      <c r="P190" s="9"/>
      <c r="Q190" s="19"/>
      <c r="S190" s="9"/>
      <c r="T190" s="19"/>
      <c r="V190" s="9"/>
      <c r="W190" s="19"/>
      <c r="Z190" s="9"/>
      <c r="BJ190" s="194"/>
      <c r="BL190" s="190"/>
      <c r="BM190" s="192"/>
      <c r="BO190" s="194"/>
      <c r="BQ190" s="190"/>
      <c r="BR190" s="191"/>
    </row>
    <row r="191" spans="3:70" ht="17">
      <c r="E191" s="19"/>
      <c r="F191" s="19"/>
      <c r="I191" s="19"/>
      <c r="J191" s="19"/>
      <c r="M191" s="19"/>
      <c r="Q191" s="19"/>
      <c r="T191" s="19"/>
      <c r="W191" s="19"/>
      <c r="Z191" s="9"/>
      <c r="BJ191" s="194"/>
      <c r="BL191" s="190"/>
      <c r="BM191" s="192"/>
      <c r="BO191" s="194"/>
      <c r="BQ191" s="190"/>
      <c r="BR191" s="191"/>
    </row>
    <row r="192" spans="3:70" ht="17">
      <c r="E192" s="19"/>
      <c r="F192" s="19"/>
      <c r="I192" s="19"/>
      <c r="J192" s="19"/>
      <c r="M192" s="19"/>
      <c r="Q192" s="19"/>
      <c r="T192" s="19"/>
      <c r="W192" s="19"/>
      <c r="Z192" s="9"/>
      <c r="BJ192" s="194"/>
      <c r="BL192" s="190"/>
      <c r="BM192" s="192"/>
      <c r="BO192" s="194"/>
      <c r="BQ192" s="190"/>
      <c r="BR192" s="191"/>
    </row>
    <row r="193" spans="3:70" ht="17">
      <c r="D193" s="9"/>
      <c r="E193" s="19"/>
      <c r="F193" s="19"/>
      <c r="H193" s="9"/>
      <c r="I193" s="19"/>
      <c r="J193" s="19"/>
      <c r="L193" s="9"/>
      <c r="M193" s="19"/>
      <c r="P193" s="9"/>
      <c r="Q193" s="19"/>
      <c r="S193" s="9"/>
      <c r="T193" s="19"/>
      <c r="V193" s="9"/>
      <c r="W193" s="19"/>
      <c r="Z193" s="9"/>
      <c r="BJ193" s="194"/>
      <c r="BL193" s="190"/>
      <c r="BM193" s="192"/>
      <c r="BO193" s="194"/>
      <c r="BQ193" s="190"/>
      <c r="BR193" s="191"/>
    </row>
    <row r="194" spans="3:70" ht="17">
      <c r="E194" s="19"/>
      <c r="F194" s="19"/>
      <c r="I194" s="19"/>
      <c r="J194" s="19"/>
      <c r="M194" s="19"/>
      <c r="Q194" s="19"/>
      <c r="T194" s="19"/>
      <c r="W194" s="19"/>
      <c r="Z194" s="9"/>
      <c r="BJ194" s="194"/>
      <c r="BL194" s="190"/>
      <c r="BM194" s="192"/>
      <c r="BO194" s="194"/>
      <c r="BQ194" s="190"/>
      <c r="BR194" s="191"/>
    </row>
    <row r="195" spans="3:70" ht="17">
      <c r="E195" s="19"/>
      <c r="F195" s="19"/>
      <c r="I195" s="19"/>
      <c r="J195" s="19"/>
      <c r="M195" s="19"/>
      <c r="Q195" s="19"/>
      <c r="T195" s="19"/>
      <c r="W195" s="19"/>
      <c r="Z195" s="9"/>
      <c r="BJ195" s="194"/>
      <c r="BL195" s="190"/>
      <c r="BM195" s="192"/>
      <c r="BO195" s="194"/>
      <c r="BQ195" s="190"/>
      <c r="BR195" s="191"/>
    </row>
    <row r="196" spans="3:70" ht="17">
      <c r="D196" s="9"/>
      <c r="E196" s="19"/>
      <c r="F196" s="19"/>
      <c r="H196" s="9"/>
      <c r="I196" s="19"/>
      <c r="J196" s="19"/>
      <c r="L196" s="9"/>
      <c r="M196" s="19"/>
      <c r="P196" s="9"/>
      <c r="Q196" s="19"/>
      <c r="S196" s="9"/>
      <c r="T196" s="19"/>
      <c r="V196" s="9"/>
      <c r="W196" s="19"/>
      <c r="Z196" s="9"/>
      <c r="BJ196" s="194"/>
      <c r="BL196" s="190"/>
      <c r="BM196" s="192"/>
      <c r="BO196" s="194"/>
      <c r="BQ196" s="190"/>
      <c r="BR196" s="191"/>
    </row>
    <row r="197" spans="3:70" ht="17">
      <c r="E197" s="19"/>
      <c r="F197" s="19"/>
      <c r="I197" s="19"/>
      <c r="J197" s="19"/>
      <c r="M197" s="19"/>
      <c r="Q197" s="19"/>
      <c r="T197" s="19"/>
      <c r="W197" s="19"/>
      <c r="Z197" s="9"/>
      <c r="BJ197" s="194"/>
      <c r="BL197" s="190"/>
      <c r="BM197" s="192"/>
      <c r="BO197" s="194"/>
      <c r="BQ197" s="190"/>
      <c r="BR197" s="191"/>
    </row>
    <row r="198" spans="3:70" ht="17">
      <c r="E198" s="19"/>
      <c r="F198" s="19"/>
      <c r="I198" s="19"/>
      <c r="J198" s="19"/>
      <c r="M198" s="19"/>
      <c r="Q198" s="19"/>
      <c r="T198" s="19"/>
      <c r="W198" s="19"/>
      <c r="Z198" s="9"/>
      <c r="BJ198" s="194"/>
      <c r="BL198" s="190"/>
      <c r="BM198" s="192"/>
      <c r="BO198" s="194"/>
      <c r="BQ198" s="190"/>
      <c r="BR198" s="191"/>
    </row>
    <row r="199" spans="3:70" ht="17">
      <c r="D199" s="9"/>
      <c r="E199" s="19"/>
      <c r="F199" s="19"/>
      <c r="H199" s="9"/>
      <c r="I199" s="19"/>
      <c r="J199" s="19"/>
      <c r="L199" s="9"/>
      <c r="M199" s="19"/>
      <c r="P199" s="9"/>
      <c r="Q199" s="19"/>
      <c r="S199" s="9"/>
      <c r="T199" s="19"/>
      <c r="V199" s="9"/>
      <c r="W199" s="19"/>
      <c r="Z199" s="9"/>
      <c r="BJ199" s="194"/>
      <c r="BL199" s="190"/>
      <c r="BM199" s="192"/>
      <c r="BO199" s="194"/>
      <c r="BQ199" s="190"/>
      <c r="BR199" s="191"/>
    </row>
    <row r="200" spans="3:70" ht="17">
      <c r="Z200" s="9"/>
      <c r="BJ200" s="194"/>
      <c r="BL200" s="190"/>
      <c r="BM200" s="192"/>
      <c r="BO200" s="194"/>
      <c r="BQ200" s="190"/>
      <c r="BR200" s="191"/>
    </row>
    <row r="201" spans="3:70" ht="17">
      <c r="C201" s="546"/>
      <c r="D201" s="546"/>
      <c r="E201" s="546"/>
      <c r="F201" s="546"/>
      <c r="G201" s="546"/>
      <c r="H201" s="546"/>
      <c r="I201" s="546"/>
      <c r="J201" s="546"/>
      <c r="K201" s="546"/>
      <c r="L201" s="546"/>
      <c r="M201" s="546"/>
      <c r="O201" s="546"/>
      <c r="P201" s="546"/>
      <c r="Q201" s="546"/>
      <c r="R201" s="546"/>
      <c r="S201" s="546"/>
      <c r="T201" s="546"/>
      <c r="U201" s="546"/>
      <c r="V201" s="546"/>
      <c r="W201" s="546"/>
      <c r="Z201" s="9"/>
      <c r="BJ201" s="194"/>
      <c r="BL201" s="190"/>
      <c r="BM201" s="192"/>
      <c r="BO201" s="194"/>
      <c r="BQ201" s="190"/>
      <c r="BR201" s="191"/>
    </row>
    <row r="202" spans="3:70" ht="17">
      <c r="E202" s="19"/>
      <c r="F202" s="19"/>
      <c r="I202" s="19"/>
      <c r="J202" s="19"/>
      <c r="M202" s="19"/>
      <c r="Q202" s="19"/>
      <c r="T202" s="19"/>
      <c r="W202" s="19"/>
      <c r="Z202" s="9"/>
      <c r="BJ202" s="194"/>
      <c r="BL202" s="190"/>
      <c r="BM202" s="192"/>
      <c r="BO202" s="194"/>
      <c r="BQ202" s="190"/>
      <c r="BR202" s="191"/>
    </row>
    <row r="203" spans="3:70" ht="17">
      <c r="C203" s="140"/>
      <c r="D203" s="9"/>
      <c r="E203" s="19"/>
      <c r="F203" s="19"/>
      <c r="G203" s="140"/>
      <c r="H203" s="9"/>
      <c r="I203" s="19"/>
      <c r="J203" s="19"/>
      <c r="K203" s="140"/>
      <c r="L203" s="9"/>
      <c r="M203" s="19"/>
      <c r="O203" s="140"/>
      <c r="P203" s="9"/>
      <c r="Q203" s="19"/>
      <c r="R203" s="140"/>
      <c r="S203" s="9"/>
      <c r="T203" s="19"/>
      <c r="U203" s="140"/>
      <c r="V203" s="9"/>
      <c r="W203" s="19"/>
      <c r="Z203" s="9"/>
      <c r="BJ203" s="194"/>
      <c r="BL203" s="190"/>
      <c r="BM203" s="192"/>
      <c r="BO203" s="194"/>
      <c r="BQ203" s="190"/>
      <c r="BR203" s="191"/>
    </row>
    <row r="204" spans="3:70" ht="17">
      <c r="E204" s="19"/>
      <c r="F204" s="19"/>
      <c r="I204" s="19"/>
      <c r="J204" s="19"/>
      <c r="M204" s="19"/>
      <c r="Q204" s="19"/>
      <c r="T204" s="19"/>
      <c r="W204" s="19"/>
      <c r="Z204" s="9"/>
      <c r="BJ204" s="194"/>
      <c r="BL204" s="190"/>
      <c r="BM204" s="192"/>
      <c r="BO204" s="194"/>
      <c r="BQ204" s="190"/>
      <c r="BR204" s="191"/>
    </row>
    <row r="205" spans="3:70" ht="17">
      <c r="E205" s="19"/>
      <c r="F205" s="19"/>
      <c r="I205" s="19"/>
      <c r="J205" s="19"/>
      <c r="M205" s="19"/>
      <c r="Q205" s="19"/>
      <c r="T205" s="19"/>
      <c r="W205" s="19"/>
      <c r="Z205" s="9"/>
      <c r="BJ205" s="194"/>
      <c r="BL205" s="190"/>
      <c r="BM205" s="192"/>
      <c r="BO205" s="194"/>
      <c r="BQ205" s="190"/>
      <c r="BR205" s="191"/>
    </row>
    <row r="206" spans="3:70" ht="17">
      <c r="D206" s="9"/>
      <c r="E206" s="19"/>
      <c r="F206" s="19"/>
      <c r="H206" s="9"/>
      <c r="I206" s="19"/>
      <c r="J206" s="19"/>
      <c r="L206" s="9"/>
      <c r="M206" s="19"/>
      <c r="P206" s="9"/>
      <c r="Q206" s="19"/>
      <c r="S206" s="9"/>
      <c r="T206" s="19"/>
      <c r="V206" s="9"/>
      <c r="W206" s="19"/>
      <c r="Z206" s="9"/>
      <c r="BJ206" s="194"/>
      <c r="BL206" s="190"/>
      <c r="BM206" s="192"/>
      <c r="BO206" s="194"/>
      <c r="BQ206" s="190"/>
      <c r="BR206" s="191"/>
    </row>
    <row r="207" spans="3:70" ht="17">
      <c r="E207" s="19"/>
      <c r="F207" s="19"/>
      <c r="I207" s="19"/>
      <c r="J207" s="19"/>
      <c r="M207" s="19"/>
      <c r="Q207" s="19"/>
      <c r="T207" s="19"/>
      <c r="W207" s="19"/>
      <c r="Z207" s="9"/>
      <c r="BJ207" s="194"/>
      <c r="BL207" s="190"/>
      <c r="BM207" s="192"/>
      <c r="BO207" s="194"/>
      <c r="BQ207" s="190"/>
      <c r="BR207" s="191"/>
    </row>
    <row r="208" spans="3:70" ht="17">
      <c r="E208" s="19"/>
      <c r="F208" s="19"/>
      <c r="I208" s="19"/>
      <c r="J208" s="19"/>
      <c r="M208" s="19"/>
      <c r="Q208" s="19"/>
      <c r="T208" s="19"/>
      <c r="W208" s="19"/>
      <c r="Z208" s="9"/>
      <c r="BJ208" s="194"/>
      <c r="BL208" s="190"/>
      <c r="BM208" s="192"/>
      <c r="BO208" s="194"/>
      <c r="BQ208" s="190"/>
      <c r="BR208" s="191"/>
    </row>
    <row r="209" spans="3:70" ht="17">
      <c r="D209" s="9"/>
      <c r="E209" s="19"/>
      <c r="F209" s="19"/>
      <c r="H209" s="9"/>
      <c r="I209" s="19"/>
      <c r="J209" s="19"/>
      <c r="L209" s="9"/>
      <c r="M209" s="19"/>
      <c r="P209" s="9"/>
      <c r="Q209" s="19"/>
      <c r="S209" s="9"/>
      <c r="T209" s="19"/>
      <c r="V209" s="9"/>
      <c r="W209" s="19"/>
      <c r="Z209" s="9"/>
      <c r="BJ209" s="194"/>
      <c r="BL209" s="190"/>
      <c r="BM209" s="192"/>
      <c r="BO209" s="194"/>
      <c r="BQ209" s="190"/>
      <c r="BR209" s="191"/>
    </row>
    <row r="210" spans="3:70" ht="17">
      <c r="E210" s="19"/>
      <c r="F210" s="19"/>
      <c r="I210" s="19"/>
      <c r="J210" s="19"/>
      <c r="M210" s="19"/>
      <c r="Q210" s="19"/>
      <c r="T210" s="19"/>
      <c r="W210" s="19"/>
      <c r="Z210" s="9"/>
      <c r="BJ210" s="194"/>
      <c r="BL210" s="190"/>
      <c r="BM210" s="192"/>
      <c r="BO210" s="194"/>
      <c r="BQ210" s="190"/>
      <c r="BR210" s="191"/>
    </row>
    <row r="211" spans="3:70" ht="17">
      <c r="E211" s="19"/>
      <c r="F211" s="19"/>
      <c r="I211" s="19"/>
      <c r="J211" s="19"/>
      <c r="M211" s="19"/>
      <c r="Q211" s="19"/>
      <c r="T211" s="19"/>
      <c r="W211" s="19"/>
      <c r="Z211" s="9"/>
      <c r="BJ211" s="194"/>
      <c r="BL211" s="190"/>
      <c r="BM211" s="192"/>
      <c r="BO211" s="194"/>
      <c r="BQ211" s="190"/>
      <c r="BR211" s="191"/>
    </row>
    <row r="212" spans="3:70" ht="17">
      <c r="D212" s="9"/>
      <c r="E212" s="19"/>
      <c r="F212" s="19"/>
      <c r="H212" s="9"/>
      <c r="I212" s="19"/>
      <c r="J212" s="19"/>
      <c r="L212" s="9"/>
      <c r="M212" s="19"/>
      <c r="P212" s="9"/>
      <c r="Q212" s="19"/>
      <c r="S212" s="9"/>
      <c r="T212" s="19"/>
      <c r="V212" s="9"/>
      <c r="W212" s="19"/>
      <c r="Z212" s="9"/>
      <c r="BJ212" s="194"/>
      <c r="BL212" s="190"/>
      <c r="BM212" s="192"/>
      <c r="BO212" s="194"/>
      <c r="BQ212" s="190"/>
      <c r="BR212" s="191"/>
    </row>
    <row r="213" spans="3:70" ht="17">
      <c r="E213" s="19"/>
      <c r="F213" s="19"/>
      <c r="I213" s="19"/>
      <c r="J213" s="19"/>
      <c r="M213" s="19"/>
      <c r="Q213" s="19"/>
      <c r="T213" s="19"/>
      <c r="W213" s="19"/>
      <c r="Z213" s="9"/>
      <c r="BJ213" s="194"/>
      <c r="BL213" s="190"/>
      <c r="BM213" s="192"/>
      <c r="BO213" s="194"/>
      <c r="BQ213" s="190"/>
      <c r="BR213" s="191"/>
    </row>
    <row r="214" spans="3:70" ht="17">
      <c r="E214" s="19"/>
      <c r="F214" s="19"/>
      <c r="I214" s="19"/>
      <c r="J214" s="19"/>
      <c r="M214" s="19"/>
      <c r="Q214" s="19"/>
      <c r="T214" s="19"/>
      <c r="W214" s="19"/>
      <c r="BJ214" s="194"/>
      <c r="BL214" s="190"/>
      <c r="BM214" s="192"/>
      <c r="BO214" s="194"/>
      <c r="BQ214" s="190"/>
      <c r="BR214" s="192"/>
    </row>
    <row r="215" spans="3:70" ht="17">
      <c r="D215" s="9"/>
      <c r="E215" s="19"/>
      <c r="F215" s="19"/>
      <c r="H215" s="9"/>
      <c r="I215" s="19"/>
      <c r="J215" s="19"/>
      <c r="L215" s="9"/>
      <c r="M215" s="19"/>
      <c r="P215" s="9"/>
      <c r="Q215" s="19"/>
      <c r="S215" s="9"/>
      <c r="T215" s="19"/>
      <c r="V215" s="9"/>
      <c r="W215" s="19"/>
      <c r="BJ215" s="194"/>
      <c r="BL215" s="190"/>
      <c r="BM215" s="192"/>
      <c r="BO215" s="194"/>
      <c r="BQ215" s="190"/>
      <c r="BR215" s="192"/>
    </row>
    <row r="216" spans="3:70" ht="17">
      <c r="E216" s="19"/>
      <c r="F216" s="19"/>
      <c r="I216" s="19"/>
      <c r="J216" s="19"/>
      <c r="M216" s="19"/>
      <c r="Q216" s="19"/>
      <c r="T216" s="19"/>
      <c r="W216" s="19"/>
      <c r="BJ216" s="194"/>
      <c r="BL216" s="190"/>
      <c r="BM216" s="192"/>
      <c r="BO216" s="194"/>
      <c r="BQ216" s="190"/>
      <c r="BR216" s="192"/>
    </row>
    <row r="217" spans="3:70" ht="17">
      <c r="E217" s="19"/>
      <c r="F217" s="19"/>
      <c r="I217" s="19"/>
      <c r="J217" s="19"/>
      <c r="M217" s="19"/>
      <c r="Q217" s="19"/>
      <c r="T217" s="19"/>
      <c r="W217" s="19"/>
      <c r="BJ217" s="194"/>
      <c r="BL217" s="190"/>
      <c r="BM217" s="192"/>
      <c r="BO217" s="194"/>
      <c r="BQ217" s="190"/>
      <c r="BR217" s="192"/>
    </row>
    <row r="218" spans="3:70" ht="17">
      <c r="D218" s="9"/>
      <c r="E218" s="19"/>
      <c r="F218" s="19"/>
      <c r="H218" s="9"/>
      <c r="I218" s="19"/>
      <c r="J218" s="19"/>
      <c r="L218" s="9"/>
      <c r="M218" s="19"/>
      <c r="P218" s="9"/>
      <c r="Q218" s="19"/>
      <c r="S218" s="9"/>
      <c r="T218" s="19"/>
      <c r="V218" s="9"/>
      <c r="W218" s="19"/>
      <c r="BJ218" s="194"/>
      <c r="BL218" s="190"/>
      <c r="BM218" s="192"/>
      <c r="BO218" s="194"/>
      <c r="BQ218" s="190"/>
      <c r="BR218" s="192"/>
    </row>
    <row r="219" spans="3:70" ht="17">
      <c r="E219" s="19"/>
      <c r="F219" s="19"/>
      <c r="I219" s="19"/>
      <c r="J219" s="19"/>
      <c r="M219" s="19"/>
      <c r="Q219" s="19"/>
      <c r="T219" s="19"/>
      <c r="W219" s="19"/>
      <c r="BJ219" s="194"/>
      <c r="BL219" s="190"/>
      <c r="BM219" s="192"/>
      <c r="BO219" s="194"/>
      <c r="BQ219" s="190"/>
      <c r="BR219" s="192"/>
    </row>
    <row r="220" spans="3:70" ht="17">
      <c r="E220" s="19"/>
      <c r="F220" s="19"/>
      <c r="I220" s="19"/>
      <c r="J220" s="19"/>
      <c r="M220" s="19"/>
      <c r="Q220" s="19"/>
      <c r="T220" s="19"/>
      <c r="W220" s="19"/>
      <c r="BJ220" s="194"/>
      <c r="BL220" s="190"/>
      <c r="BM220" s="192"/>
      <c r="BO220" s="194"/>
      <c r="BQ220" s="190"/>
      <c r="BR220" s="192"/>
    </row>
    <row r="221" spans="3:70" ht="17">
      <c r="D221" s="9"/>
      <c r="E221" s="19"/>
      <c r="F221" s="19"/>
      <c r="H221" s="9"/>
      <c r="I221" s="19"/>
      <c r="J221" s="19"/>
      <c r="L221" s="9"/>
      <c r="M221" s="19"/>
      <c r="P221" s="9"/>
      <c r="Q221" s="19"/>
      <c r="S221" s="9"/>
      <c r="T221" s="19"/>
      <c r="V221" s="9"/>
      <c r="W221" s="19"/>
      <c r="BJ221" s="194"/>
      <c r="BL221" s="190"/>
      <c r="BM221" s="192"/>
      <c r="BO221" s="194"/>
      <c r="BQ221" s="190"/>
      <c r="BR221" s="192"/>
    </row>
    <row r="222" spans="3:70" ht="17">
      <c r="BJ222" s="194"/>
      <c r="BL222" s="190"/>
      <c r="BM222" s="192"/>
      <c r="BO222" s="194"/>
      <c r="BQ222" s="190"/>
      <c r="BR222" s="192"/>
    </row>
    <row r="223" spans="3:70" ht="17">
      <c r="C223" s="546"/>
      <c r="D223" s="546"/>
      <c r="E223" s="546"/>
      <c r="F223" s="546"/>
      <c r="G223" s="546"/>
      <c r="H223" s="546"/>
      <c r="I223" s="546"/>
      <c r="J223" s="546"/>
      <c r="K223" s="546"/>
      <c r="L223" s="546"/>
      <c r="M223" s="546"/>
      <c r="O223" s="546"/>
      <c r="P223" s="546"/>
      <c r="Q223" s="546"/>
      <c r="R223" s="546"/>
      <c r="S223" s="546"/>
      <c r="T223" s="546"/>
      <c r="U223" s="546"/>
      <c r="V223" s="546"/>
      <c r="W223" s="546"/>
      <c r="BJ223" s="194"/>
      <c r="BL223" s="190"/>
      <c r="BM223" s="192"/>
      <c r="BO223" s="194"/>
      <c r="BQ223" s="190"/>
      <c r="BR223" s="192"/>
    </row>
    <row r="224" spans="3:70" ht="17">
      <c r="E224" s="19"/>
      <c r="F224" s="19"/>
      <c r="I224" s="19"/>
      <c r="J224" s="19"/>
      <c r="M224" s="19"/>
      <c r="Q224" s="19"/>
      <c r="T224" s="19"/>
      <c r="W224" s="19"/>
      <c r="BJ224" s="194"/>
      <c r="BL224" s="190"/>
      <c r="BM224" s="192"/>
      <c r="BO224" s="194"/>
      <c r="BQ224" s="190"/>
      <c r="BR224" s="192"/>
    </row>
    <row r="225" spans="3:70" ht="17">
      <c r="C225" s="140"/>
      <c r="D225" s="9"/>
      <c r="E225" s="19"/>
      <c r="F225" s="19"/>
      <c r="G225" s="140"/>
      <c r="H225" s="9"/>
      <c r="I225" s="19"/>
      <c r="J225" s="19"/>
      <c r="K225" s="140"/>
      <c r="L225" s="9"/>
      <c r="M225" s="19"/>
      <c r="O225" s="140"/>
      <c r="P225" s="9"/>
      <c r="Q225" s="19"/>
      <c r="R225" s="140"/>
      <c r="S225" s="9"/>
      <c r="T225" s="19"/>
      <c r="U225" s="140"/>
      <c r="V225" s="9"/>
      <c r="W225" s="19"/>
      <c r="BJ225" s="194"/>
      <c r="BL225" s="190"/>
      <c r="BM225" s="192"/>
      <c r="BO225" s="194"/>
      <c r="BQ225" s="190"/>
      <c r="BR225" s="192"/>
    </row>
    <row r="226" spans="3:70" ht="17">
      <c r="E226" s="19"/>
      <c r="F226" s="19"/>
      <c r="I226" s="19"/>
      <c r="J226" s="19"/>
      <c r="M226" s="19"/>
      <c r="Q226" s="19"/>
      <c r="T226" s="19"/>
      <c r="W226" s="19"/>
      <c r="BJ226" s="194"/>
      <c r="BL226" s="190"/>
      <c r="BM226" s="192"/>
      <c r="BO226" s="194"/>
      <c r="BQ226" s="190"/>
      <c r="BR226" s="192"/>
    </row>
    <row r="227" spans="3:70" ht="17">
      <c r="E227" s="19"/>
      <c r="F227" s="19"/>
      <c r="I227" s="19"/>
      <c r="J227" s="19"/>
      <c r="M227" s="19"/>
      <c r="Q227" s="19"/>
      <c r="T227" s="19"/>
      <c r="W227" s="19"/>
      <c r="BJ227" s="194"/>
      <c r="BL227" s="190"/>
      <c r="BM227" s="192"/>
      <c r="BO227" s="194"/>
      <c r="BQ227" s="190"/>
      <c r="BR227" s="192"/>
    </row>
    <row r="228" spans="3:70" ht="17">
      <c r="D228" s="9"/>
      <c r="E228" s="19"/>
      <c r="F228" s="19"/>
      <c r="H228" s="9"/>
      <c r="I228" s="19"/>
      <c r="J228" s="19"/>
      <c r="L228" s="9"/>
      <c r="M228" s="19"/>
      <c r="P228" s="9"/>
      <c r="Q228" s="19"/>
      <c r="S228" s="9"/>
      <c r="T228" s="19"/>
      <c r="V228" s="9"/>
      <c r="W228" s="19"/>
      <c r="BJ228" s="194"/>
      <c r="BL228" s="190"/>
      <c r="BM228" s="192"/>
      <c r="BO228" s="194"/>
      <c r="BQ228" s="190"/>
      <c r="BR228" s="192"/>
    </row>
    <row r="229" spans="3:70" ht="17">
      <c r="BJ229" s="194"/>
      <c r="BL229" s="190"/>
      <c r="BM229" s="192"/>
      <c r="BO229" s="194"/>
      <c r="BQ229" s="190"/>
      <c r="BR229" s="192"/>
    </row>
    <row r="230" spans="3:70" ht="17">
      <c r="BJ230" s="194"/>
      <c r="BL230" s="190"/>
      <c r="BM230" s="192"/>
      <c r="BO230" s="194"/>
      <c r="BQ230" s="190"/>
      <c r="BR230" s="192"/>
    </row>
    <row r="231" spans="3:70" ht="17">
      <c r="BJ231" s="194"/>
      <c r="BL231" s="190"/>
      <c r="BM231" s="192"/>
      <c r="BO231" s="194"/>
      <c r="BQ231" s="190"/>
      <c r="BR231" s="192"/>
    </row>
    <row r="232" spans="3:70" ht="17">
      <c r="BJ232" s="194"/>
      <c r="BL232" s="190"/>
      <c r="BM232" s="192"/>
      <c r="BO232" s="194"/>
      <c r="BQ232" s="190"/>
      <c r="BR232" s="192"/>
    </row>
    <row r="233" spans="3:70" ht="17">
      <c r="BJ233" s="194"/>
      <c r="BL233" s="190"/>
      <c r="BM233" s="192"/>
      <c r="BO233" s="194"/>
      <c r="BQ233" s="190"/>
      <c r="BR233" s="192"/>
    </row>
    <row r="234" spans="3:70" ht="17">
      <c r="BJ234" s="194"/>
      <c r="BL234" s="190"/>
      <c r="BM234" s="192"/>
      <c r="BO234" s="194"/>
      <c r="BQ234" s="190"/>
      <c r="BR234" s="192"/>
    </row>
    <row r="235" spans="3:70" ht="17">
      <c r="BJ235" s="194"/>
      <c r="BL235" s="190"/>
      <c r="BM235" s="192"/>
      <c r="BO235" s="194"/>
      <c r="BQ235" s="190"/>
      <c r="BR235" s="192"/>
    </row>
    <row r="236" spans="3:70" ht="17">
      <c r="BJ236" s="194"/>
      <c r="BL236" s="190"/>
      <c r="BM236" s="192"/>
      <c r="BO236" s="194"/>
      <c r="BQ236" s="190"/>
      <c r="BR236" s="192"/>
    </row>
    <row r="237" spans="3:70" ht="17">
      <c r="BJ237" s="194"/>
      <c r="BL237" s="190"/>
      <c r="BM237" s="192"/>
      <c r="BO237" s="194"/>
      <c r="BQ237" s="190"/>
      <c r="BR237" s="192"/>
    </row>
    <row r="238" spans="3:70" ht="17">
      <c r="BJ238" s="194"/>
      <c r="BL238" s="190"/>
      <c r="BM238" s="192"/>
      <c r="BO238" s="194"/>
      <c r="BQ238" s="190"/>
      <c r="BR238" s="192"/>
    </row>
    <row r="239" spans="3:70" ht="17">
      <c r="BJ239" s="194"/>
      <c r="BL239" s="190"/>
      <c r="BM239" s="192"/>
      <c r="BO239" s="194"/>
      <c r="BQ239" s="190"/>
      <c r="BR239" s="192"/>
    </row>
    <row r="240" spans="3:70" ht="17">
      <c r="BJ240" s="194"/>
      <c r="BL240" s="190"/>
      <c r="BM240" s="192"/>
      <c r="BO240" s="194"/>
      <c r="BQ240" s="190"/>
      <c r="BR240" s="192"/>
    </row>
    <row r="241" spans="2:70" ht="17">
      <c r="BJ241" s="194"/>
      <c r="BL241" s="190"/>
      <c r="BM241" s="192"/>
      <c r="BO241" s="194"/>
      <c r="BQ241" s="190"/>
      <c r="BR241" s="192"/>
    </row>
    <row r="242" spans="2:70" ht="17">
      <c r="BJ242" s="194"/>
      <c r="BL242" s="190"/>
      <c r="BM242" s="192"/>
      <c r="BO242" s="194"/>
      <c r="BQ242" s="190"/>
      <c r="BR242" s="192"/>
    </row>
    <row r="243" spans="2:70" ht="17">
      <c r="C243" s="287"/>
      <c r="D243" s="287"/>
      <c r="E243" s="287"/>
      <c r="F243" s="287"/>
      <c r="G243" s="287"/>
      <c r="H243" s="287"/>
      <c r="I243" s="287"/>
      <c r="J243" s="287"/>
      <c r="K243" s="287"/>
      <c r="L243" s="287"/>
      <c r="M243" s="287"/>
      <c r="N243" s="287"/>
      <c r="O243" s="287"/>
      <c r="P243" s="287"/>
      <c r="Q243" s="287"/>
      <c r="R243" s="287"/>
      <c r="S243" s="287"/>
      <c r="T243" s="287"/>
      <c r="U243" s="287"/>
      <c r="V243" s="287"/>
      <c r="W243" s="287"/>
      <c r="X243" s="287"/>
      <c r="Y243" s="287"/>
      <c r="Z243" s="287"/>
      <c r="AA243" s="287"/>
      <c r="AB243" s="287"/>
      <c r="AC243" s="287"/>
      <c r="AD243" s="287"/>
      <c r="AE243" s="287"/>
      <c r="AF243" s="287"/>
      <c r="AG243" s="287"/>
      <c r="AH243" s="287"/>
      <c r="AI243" s="287"/>
      <c r="AJ243" s="287"/>
      <c r="AK243" s="287"/>
      <c r="AL243" s="287"/>
      <c r="AM243" s="287"/>
      <c r="AN243" s="287"/>
      <c r="AO243" s="287"/>
      <c r="AP243" s="287"/>
      <c r="AQ243" s="287"/>
      <c r="AR243" s="287"/>
      <c r="AS243" s="287"/>
      <c r="AT243" s="287"/>
      <c r="AU243" s="287"/>
      <c r="AV243" s="287"/>
      <c r="AW243" s="287"/>
      <c r="BJ243" s="194"/>
      <c r="BL243" s="190"/>
      <c r="BM243" s="192"/>
      <c r="BO243" s="194"/>
      <c r="BQ243" s="190"/>
      <c r="BR243" s="192"/>
    </row>
    <row r="244" spans="2:70" ht="17">
      <c r="B244" s="273"/>
      <c r="C244" s="287"/>
      <c r="D244" s="287"/>
      <c r="E244" s="287"/>
      <c r="F244" s="287"/>
      <c r="G244" s="287"/>
      <c r="H244" s="287"/>
      <c r="I244" s="287"/>
      <c r="J244" s="287"/>
      <c r="K244" s="287"/>
      <c r="L244" s="287"/>
      <c r="M244" s="287"/>
      <c r="N244" s="287"/>
      <c r="O244" s="287"/>
      <c r="P244" s="287"/>
      <c r="Q244" s="287"/>
      <c r="R244" s="287"/>
      <c r="S244" s="287"/>
      <c r="T244" s="287"/>
      <c r="U244" s="287"/>
      <c r="V244" s="287"/>
      <c r="W244" s="287"/>
      <c r="X244" s="287"/>
      <c r="Y244" s="287"/>
      <c r="Z244" s="287"/>
      <c r="AA244" s="287"/>
      <c r="AB244" s="287"/>
      <c r="AC244" s="287"/>
      <c r="AD244" s="287"/>
      <c r="AE244" s="287"/>
      <c r="AF244" s="287"/>
      <c r="AG244" s="287"/>
      <c r="AH244" s="287"/>
      <c r="AI244" s="287"/>
      <c r="AJ244" s="287"/>
      <c r="AK244" s="287"/>
      <c r="AL244" s="287"/>
      <c r="AM244" s="287"/>
      <c r="AN244" s="287"/>
      <c r="AO244" s="287"/>
      <c r="AP244" s="287"/>
      <c r="AQ244" s="287"/>
      <c r="AR244" s="287"/>
      <c r="AS244" s="287"/>
      <c r="AT244" s="287"/>
      <c r="AU244" s="287"/>
      <c r="AV244" s="287"/>
      <c r="AW244" s="287"/>
      <c r="BJ244" s="194"/>
      <c r="BL244" s="190"/>
      <c r="BM244" s="192"/>
      <c r="BO244" s="194"/>
      <c r="BQ244" s="190"/>
      <c r="BR244" s="192"/>
    </row>
    <row r="245" spans="2:70" ht="17">
      <c r="B245" s="273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287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287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BJ245" s="194"/>
      <c r="BL245" s="190"/>
      <c r="BM245" s="192"/>
      <c r="BO245" s="194"/>
      <c r="BQ245" s="190"/>
      <c r="BR245" s="192"/>
    </row>
    <row r="246" spans="2:70" ht="17">
      <c r="B246" s="273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  <c r="N246" s="170"/>
      <c r="O246" s="170"/>
      <c r="P246" s="170"/>
      <c r="Q246" s="170"/>
      <c r="R246" s="170"/>
      <c r="S246" s="170"/>
      <c r="T246" s="170"/>
      <c r="U246" s="170"/>
      <c r="V246" s="170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  <c r="AG246" s="170"/>
      <c r="AH246" s="170"/>
      <c r="AI246" s="170"/>
      <c r="AJ246" s="170"/>
      <c r="AK246" s="170"/>
      <c r="AL246" s="170"/>
      <c r="AM246" s="170"/>
      <c r="AN246" s="170"/>
      <c r="AO246" s="170"/>
      <c r="AP246" s="170"/>
      <c r="AQ246" s="170"/>
      <c r="AR246" s="170"/>
      <c r="AS246" s="170"/>
      <c r="AT246" s="170"/>
      <c r="AU246" s="170"/>
      <c r="AV246" s="170"/>
      <c r="AW246" s="170"/>
      <c r="BJ246" s="194"/>
      <c r="BL246" s="190"/>
      <c r="BM246" s="192"/>
      <c r="BO246" s="194"/>
      <c r="BQ246" s="190"/>
      <c r="BR246" s="192"/>
    </row>
    <row r="247" spans="2:70" ht="17">
      <c r="B247" s="273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/>
      <c r="AB247" s="170"/>
      <c r="AC247" s="170"/>
      <c r="AD247" s="170"/>
      <c r="AE247" s="170"/>
      <c r="AF247" s="170"/>
      <c r="AG247" s="170"/>
      <c r="AH247" s="170"/>
      <c r="AI247" s="170"/>
      <c r="AJ247" s="170"/>
      <c r="AK247" s="170"/>
      <c r="AL247" s="170"/>
      <c r="AM247" s="170"/>
      <c r="AN247" s="170"/>
      <c r="AO247" s="170"/>
      <c r="AP247" s="170"/>
      <c r="AQ247" s="170"/>
      <c r="AR247" s="170"/>
      <c r="AS247" s="170"/>
      <c r="AT247" s="170"/>
      <c r="AU247" s="170"/>
      <c r="AV247" s="170"/>
      <c r="AW247" s="170"/>
      <c r="BJ247" s="194"/>
      <c r="BL247" s="190"/>
      <c r="BM247" s="192"/>
      <c r="BO247" s="194"/>
      <c r="BQ247" s="190"/>
      <c r="BR247" s="192"/>
    </row>
    <row r="248" spans="2:70" ht="17">
      <c r="B248" s="273"/>
      <c r="C248" s="287"/>
      <c r="D248" s="287"/>
      <c r="E248" s="287"/>
      <c r="F248" s="287"/>
      <c r="G248" s="287"/>
      <c r="H248" s="287"/>
      <c r="I248" s="287"/>
      <c r="J248" s="287"/>
      <c r="K248" s="287"/>
      <c r="L248" s="287"/>
      <c r="M248" s="287"/>
      <c r="N248" s="287"/>
      <c r="O248" s="287"/>
      <c r="P248" s="287"/>
      <c r="Q248" s="287"/>
      <c r="R248" s="287"/>
      <c r="S248" s="287"/>
      <c r="T248" s="287"/>
      <c r="U248" s="287"/>
      <c r="V248" s="287"/>
      <c r="W248" s="287"/>
      <c r="X248" s="287"/>
      <c r="Y248" s="287"/>
      <c r="Z248" s="287"/>
      <c r="AA248" s="287"/>
      <c r="AB248" s="287"/>
      <c r="AC248" s="287"/>
      <c r="AD248" s="287"/>
      <c r="AE248" s="287"/>
      <c r="AF248" s="287"/>
      <c r="AG248" s="287"/>
      <c r="AH248" s="287"/>
      <c r="AI248" s="287"/>
      <c r="AJ248" s="287"/>
      <c r="AK248" s="287"/>
      <c r="AL248" s="287"/>
      <c r="AM248" s="287"/>
      <c r="AN248" s="287"/>
      <c r="AO248" s="287"/>
      <c r="AP248" s="287"/>
      <c r="AQ248" s="287"/>
      <c r="AR248" s="287"/>
      <c r="AS248" s="287"/>
      <c r="AT248" s="287"/>
      <c r="AU248" s="287"/>
      <c r="AV248" s="287"/>
      <c r="AW248" s="287"/>
      <c r="BJ248" s="194"/>
      <c r="BL248" s="190"/>
      <c r="BM248" s="192"/>
      <c r="BO248" s="194"/>
      <c r="BQ248" s="190"/>
      <c r="BR248" s="192"/>
    </row>
    <row r="249" spans="2:70" ht="17"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0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BJ249" s="194"/>
      <c r="BL249" s="190"/>
      <c r="BM249" s="192"/>
      <c r="BO249" s="194"/>
      <c r="BQ249" s="190"/>
      <c r="BR249" s="192"/>
    </row>
    <row r="250" spans="2:70" ht="17"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0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BJ250" s="194"/>
      <c r="BL250" s="190"/>
      <c r="BM250" s="192"/>
      <c r="BO250" s="194"/>
      <c r="BQ250" s="190"/>
      <c r="BR250" s="192"/>
    </row>
    <row r="251" spans="2:70" ht="17"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0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BJ251" s="194"/>
      <c r="BL251" s="190"/>
      <c r="BM251" s="192"/>
      <c r="BO251" s="194"/>
      <c r="BQ251" s="190"/>
      <c r="BR251" s="192"/>
    </row>
    <row r="252" spans="2:70" ht="17"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BJ252" s="194"/>
      <c r="BL252" s="190"/>
      <c r="BM252" s="192"/>
      <c r="BO252" s="194"/>
      <c r="BQ252" s="190"/>
      <c r="BR252" s="192"/>
    </row>
    <row r="253" spans="2:70" ht="17"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  <c r="N253" s="170"/>
      <c r="O253" s="170"/>
      <c r="P253" s="170"/>
      <c r="Q253" s="170"/>
      <c r="R253" s="170"/>
      <c r="S253" s="170"/>
      <c r="T253" s="170"/>
      <c r="U253" s="170"/>
      <c r="V253" s="170"/>
      <c r="W253" s="170"/>
      <c r="X253" s="170"/>
      <c r="Y253" s="170"/>
      <c r="Z253" s="170"/>
      <c r="AA253" s="170"/>
      <c r="AB253" s="170"/>
      <c r="AC253" s="170"/>
      <c r="AD253" s="170"/>
      <c r="AE253" s="170"/>
      <c r="AF253" s="170"/>
      <c r="AG253" s="170"/>
      <c r="AH253" s="170"/>
      <c r="AI253" s="170"/>
      <c r="AJ253" s="170"/>
      <c r="AK253" s="170"/>
      <c r="AL253" s="170"/>
      <c r="AM253" s="170"/>
      <c r="AN253" s="170"/>
      <c r="AO253" s="170"/>
      <c r="AP253" s="170"/>
      <c r="AQ253" s="170"/>
      <c r="AR253" s="170"/>
      <c r="AS253" s="170"/>
      <c r="AT253" s="170"/>
      <c r="AU253" s="170"/>
      <c r="AV253" s="170"/>
      <c r="AW253" s="170"/>
      <c r="BJ253" s="194"/>
      <c r="BL253" s="190"/>
      <c r="BM253" s="192"/>
      <c r="BO253" s="194"/>
      <c r="BQ253" s="190"/>
      <c r="BR253" s="192"/>
    </row>
    <row r="254" spans="2:70" ht="17"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0"/>
      <c r="P254" s="170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  <c r="AG254" s="170"/>
      <c r="AH254" s="170"/>
      <c r="AI254" s="170"/>
      <c r="AJ254" s="170"/>
      <c r="AK254" s="170"/>
      <c r="AL254" s="170"/>
      <c r="AM254" s="170"/>
      <c r="AN254" s="170"/>
      <c r="AO254" s="170"/>
      <c r="AP254" s="170"/>
      <c r="AQ254" s="170"/>
      <c r="AR254" s="170"/>
      <c r="AS254" s="170"/>
      <c r="AT254" s="170"/>
      <c r="AU254" s="170"/>
      <c r="AV254" s="170"/>
      <c r="AW254" s="170"/>
      <c r="BJ254" s="194"/>
      <c r="BL254" s="190"/>
      <c r="BM254" s="192"/>
      <c r="BO254" s="194"/>
      <c r="BQ254" s="190"/>
      <c r="BR254" s="192"/>
    </row>
    <row r="255" spans="2:70" ht="17"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  <c r="Y255" s="170"/>
      <c r="Z255" s="170"/>
      <c r="AA255" s="170"/>
      <c r="AB255" s="170"/>
      <c r="AC255" s="170"/>
      <c r="AD255" s="170"/>
      <c r="AE255" s="170"/>
      <c r="AF255" s="170"/>
      <c r="AG255" s="170"/>
      <c r="AH255" s="170"/>
      <c r="AI255" s="170"/>
      <c r="AJ255" s="170"/>
      <c r="AK255" s="170"/>
      <c r="AL255" s="170"/>
      <c r="AM255" s="170"/>
      <c r="AN255" s="170"/>
      <c r="AO255" s="170"/>
      <c r="AP255" s="170"/>
      <c r="AQ255" s="170"/>
      <c r="AR255" s="170"/>
      <c r="AS255" s="170"/>
      <c r="AT255" s="170"/>
      <c r="AU255" s="170"/>
      <c r="AV255" s="170"/>
      <c r="AW255" s="170"/>
      <c r="BJ255" s="194"/>
      <c r="BL255" s="190"/>
      <c r="BM255" s="192"/>
      <c r="BO255" s="194"/>
      <c r="BQ255" s="190"/>
      <c r="BR255" s="192"/>
    </row>
    <row r="256" spans="2:70" ht="17"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70"/>
      <c r="Z256" s="170"/>
      <c r="AA256" s="170"/>
      <c r="AB256" s="170"/>
      <c r="AC256" s="170"/>
      <c r="AD256" s="170"/>
      <c r="AE256" s="170"/>
      <c r="AF256" s="170"/>
      <c r="AG256" s="170"/>
      <c r="AH256" s="170"/>
      <c r="AI256" s="170"/>
      <c r="AJ256" s="170"/>
      <c r="AK256" s="170"/>
      <c r="AL256" s="170"/>
      <c r="AM256" s="170"/>
      <c r="AN256" s="170"/>
      <c r="AO256" s="170"/>
      <c r="AP256" s="170"/>
      <c r="AQ256" s="170"/>
      <c r="AR256" s="170"/>
      <c r="AS256" s="170"/>
      <c r="AT256" s="170"/>
      <c r="AU256" s="170"/>
      <c r="AV256" s="170"/>
      <c r="AW256" s="170"/>
      <c r="BJ256" s="194"/>
      <c r="BL256" s="190"/>
      <c r="BM256" s="192"/>
      <c r="BO256" s="194"/>
      <c r="BQ256" s="190"/>
      <c r="BR256" s="192"/>
    </row>
    <row r="257" spans="3:70" ht="17"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  <c r="N257" s="170"/>
      <c r="O257" s="170"/>
      <c r="P257" s="170"/>
      <c r="Q257" s="170"/>
      <c r="R257" s="170"/>
      <c r="S257" s="170"/>
      <c r="T257" s="170"/>
      <c r="U257" s="170"/>
      <c r="V257" s="170"/>
      <c r="W257" s="170"/>
      <c r="X257" s="170"/>
      <c r="Y257" s="170"/>
      <c r="Z257" s="170"/>
      <c r="AA257" s="170"/>
      <c r="AB257" s="170"/>
      <c r="AC257" s="170"/>
      <c r="AD257" s="170"/>
      <c r="AE257" s="170"/>
      <c r="AF257" s="170"/>
      <c r="AG257" s="170"/>
      <c r="AH257" s="170"/>
      <c r="AI257" s="170"/>
      <c r="AJ257" s="170"/>
      <c r="AK257" s="170"/>
      <c r="AL257" s="170"/>
      <c r="AM257" s="170"/>
      <c r="AN257" s="170"/>
      <c r="AO257" s="170"/>
      <c r="AP257" s="170"/>
      <c r="AQ257" s="170"/>
      <c r="AR257" s="170"/>
      <c r="AS257" s="170"/>
      <c r="AT257" s="170"/>
      <c r="AU257" s="170"/>
      <c r="AV257" s="170"/>
      <c r="BJ257" s="194"/>
      <c r="BL257" s="190"/>
      <c r="BM257" s="192"/>
      <c r="BO257" s="194"/>
      <c r="BQ257" s="190"/>
      <c r="BR257" s="192"/>
    </row>
    <row r="258" spans="3:70" ht="17">
      <c r="C258" s="170"/>
      <c r="D258" s="170"/>
      <c r="E258" s="170"/>
      <c r="F258" s="170"/>
      <c r="G258" s="170"/>
      <c r="H258" s="170"/>
      <c r="I258" s="170"/>
      <c r="J258" s="170"/>
      <c r="K258" s="170"/>
      <c r="L258" s="170"/>
      <c r="M258" s="170"/>
      <c r="N258" s="170"/>
      <c r="O258" s="170"/>
      <c r="P258" s="170"/>
      <c r="Q258" s="170"/>
      <c r="R258" s="170"/>
      <c r="S258" s="170"/>
      <c r="T258" s="170"/>
      <c r="U258" s="170"/>
      <c r="V258" s="170"/>
      <c r="W258" s="170"/>
      <c r="X258" s="170"/>
      <c r="Y258" s="170"/>
      <c r="Z258" s="170"/>
      <c r="AA258" s="170"/>
      <c r="AB258" s="170"/>
      <c r="AC258" s="170"/>
      <c r="AD258" s="170"/>
      <c r="AE258" s="170"/>
      <c r="AF258" s="170"/>
      <c r="AG258" s="170"/>
      <c r="AH258" s="170"/>
      <c r="AI258" s="170"/>
      <c r="AJ258" s="170"/>
      <c r="AK258" s="170"/>
      <c r="AL258" s="170"/>
      <c r="AM258" s="170"/>
      <c r="AN258" s="170"/>
      <c r="AO258" s="170"/>
      <c r="AP258" s="170"/>
      <c r="AQ258" s="170"/>
      <c r="AR258" s="170"/>
      <c r="AS258" s="170"/>
      <c r="AT258" s="170"/>
      <c r="AU258" s="170"/>
      <c r="AV258" s="170"/>
      <c r="BJ258" s="194"/>
      <c r="BL258" s="190"/>
      <c r="BM258" s="192"/>
      <c r="BO258" s="194"/>
      <c r="BQ258" s="190"/>
      <c r="BR258" s="192"/>
    </row>
    <row r="259" spans="3:70" ht="17">
      <c r="C259" s="170"/>
      <c r="D259" s="170"/>
      <c r="E259" s="170"/>
      <c r="F259" s="170"/>
      <c r="G259" s="170"/>
      <c r="H259" s="170"/>
      <c r="I259" s="170"/>
      <c r="J259" s="170"/>
      <c r="K259" s="170"/>
      <c r="L259" s="170"/>
      <c r="M259" s="170"/>
      <c r="N259" s="170"/>
      <c r="O259" s="170"/>
      <c r="P259" s="170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  <c r="AH259" s="170"/>
      <c r="AI259" s="170"/>
      <c r="AJ259" s="170"/>
      <c r="AK259" s="170"/>
      <c r="AL259" s="170"/>
      <c r="AM259" s="170"/>
      <c r="AN259" s="170"/>
      <c r="AO259" s="170"/>
      <c r="AP259" s="170"/>
      <c r="AQ259" s="170"/>
      <c r="AR259" s="170"/>
      <c r="AS259" s="170"/>
      <c r="AT259" s="170"/>
      <c r="AU259" s="170"/>
      <c r="AV259" s="170"/>
      <c r="BJ259" s="194"/>
      <c r="BL259" s="190"/>
      <c r="BM259" s="192"/>
      <c r="BO259" s="194"/>
      <c r="BQ259" s="190"/>
      <c r="BR259" s="192"/>
    </row>
    <row r="260" spans="3:70" ht="17"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170"/>
      <c r="T260" s="170"/>
      <c r="U260" s="170"/>
      <c r="V260" s="170"/>
      <c r="W260" s="170"/>
      <c r="X260" s="170"/>
      <c r="Y260" s="170"/>
      <c r="Z260" s="170"/>
      <c r="AA260" s="170"/>
      <c r="AB260" s="170"/>
      <c r="AC260" s="170"/>
      <c r="AD260" s="170"/>
      <c r="AE260" s="170"/>
      <c r="AF260" s="170"/>
      <c r="AG260" s="170"/>
      <c r="AH260" s="170"/>
      <c r="AI260" s="170"/>
      <c r="AJ260" s="170"/>
      <c r="AK260" s="170"/>
      <c r="AL260" s="170"/>
      <c r="AM260" s="170"/>
      <c r="AN260" s="170"/>
      <c r="AO260" s="170"/>
      <c r="AP260" s="170"/>
      <c r="AQ260" s="170"/>
      <c r="AR260" s="170"/>
      <c r="AS260" s="170"/>
      <c r="AT260" s="170"/>
      <c r="AU260" s="170"/>
      <c r="AV260" s="170"/>
      <c r="BJ260" s="194"/>
      <c r="BL260" s="190"/>
      <c r="BM260" s="192"/>
      <c r="BO260" s="194"/>
      <c r="BQ260" s="190"/>
      <c r="BR260" s="192"/>
    </row>
    <row r="261" spans="3:70" ht="17"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170"/>
      <c r="T261" s="170"/>
      <c r="U261" s="170"/>
      <c r="V261" s="170"/>
      <c r="W261" s="170"/>
      <c r="X261" s="170"/>
      <c r="Y261" s="170"/>
      <c r="Z261" s="170"/>
      <c r="AA261" s="170"/>
      <c r="AB261" s="170"/>
      <c r="AC261" s="170"/>
      <c r="AD261" s="170"/>
      <c r="AE261" s="170"/>
      <c r="AF261" s="170"/>
      <c r="AG261" s="170"/>
      <c r="AH261" s="170"/>
      <c r="AI261" s="170"/>
      <c r="AJ261" s="170"/>
      <c r="AK261" s="170"/>
      <c r="AL261" s="170"/>
      <c r="AM261" s="170"/>
      <c r="AN261" s="170"/>
      <c r="AO261" s="170"/>
      <c r="AP261" s="170"/>
      <c r="AQ261" s="170"/>
      <c r="AR261" s="170"/>
      <c r="AS261" s="170"/>
      <c r="AT261" s="170"/>
      <c r="AU261" s="170"/>
      <c r="AV261" s="170"/>
      <c r="BJ261" s="194"/>
      <c r="BL261" s="190"/>
      <c r="BM261" s="192"/>
      <c r="BO261" s="194"/>
      <c r="BQ261" s="190"/>
      <c r="BR261" s="192"/>
    </row>
    <row r="262" spans="3:70" ht="17">
      <c r="C262" s="170"/>
      <c r="D262" s="170"/>
      <c r="E262" s="170"/>
      <c r="F262" s="170"/>
      <c r="G262" s="170"/>
      <c r="H262" s="170"/>
      <c r="I262" s="170"/>
      <c r="J262" s="170"/>
      <c r="K262" s="170"/>
      <c r="L262" s="170"/>
      <c r="M262" s="170"/>
      <c r="N262" s="170"/>
      <c r="O262" s="170"/>
      <c r="P262" s="170"/>
      <c r="Q262" s="170"/>
      <c r="R262" s="170"/>
      <c r="S262" s="170"/>
      <c r="T262" s="170"/>
      <c r="U262" s="170"/>
      <c r="V262" s="170"/>
      <c r="W262" s="170"/>
      <c r="X262" s="170"/>
      <c r="Y262" s="170"/>
      <c r="Z262" s="170"/>
      <c r="AA262" s="170"/>
      <c r="AB262" s="170"/>
      <c r="AC262" s="170"/>
      <c r="AD262" s="170"/>
      <c r="AE262" s="170"/>
      <c r="AF262" s="170"/>
      <c r="AG262" s="170"/>
      <c r="AH262" s="170"/>
      <c r="AI262" s="170"/>
      <c r="AJ262" s="170"/>
      <c r="AK262" s="170"/>
      <c r="AL262" s="170"/>
      <c r="AM262" s="170"/>
      <c r="AN262" s="170"/>
      <c r="AO262" s="170"/>
      <c r="AP262" s="170"/>
      <c r="AQ262" s="170"/>
      <c r="AR262" s="170"/>
      <c r="AS262" s="170"/>
      <c r="AT262" s="170"/>
      <c r="AU262" s="170"/>
      <c r="AV262" s="170"/>
      <c r="BJ262" s="194"/>
      <c r="BL262" s="190"/>
      <c r="BM262" s="192"/>
      <c r="BO262" s="194"/>
      <c r="BQ262" s="190"/>
      <c r="BR262" s="192"/>
    </row>
    <row r="263" spans="3:70" ht="17">
      <c r="C263" s="170"/>
      <c r="D263" s="170"/>
      <c r="E263" s="170"/>
      <c r="F263" s="170"/>
      <c r="G263" s="170"/>
      <c r="H263" s="170"/>
      <c r="I263" s="170"/>
      <c r="J263" s="170"/>
      <c r="K263" s="170"/>
      <c r="L263" s="170"/>
      <c r="M263" s="170"/>
      <c r="N263" s="170"/>
      <c r="O263" s="170"/>
      <c r="P263" s="170"/>
      <c r="Q263" s="170"/>
      <c r="R263" s="170"/>
      <c r="S263" s="170"/>
      <c r="T263" s="170"/>
      <c r="U263" s="170"/>
      <c r="V263" s="170"/>
      <c r="W263" s="170"/>
      <c r="X263" s="170"/>
      <c r="Y263" s="170"/>
      <c r="Z263" s="170"/>
      <c r="AA263" s="170"/>
      <c r="AB263" s="170"/>
      <c r="AC263" s="170"/>
      <c r="AD263" s="170"/>
      <c r="AE263" s="170"/>
      <c r="AF263" s="170"/>
      <c r="AG263" s="170"/>
      <c r="AH263" s="170"/>
      <c r="AI263" s="170"/>
      <c r="AJ263" s="170"/>
      <c r="AK263" s="170"/>
      <c r="AL263" s="170"/>
      <c r="AM263" s="170"/>
      <c r="AN263" s="170"/>
      <c r="AO263" s="170"/>
      <c r="AP263" s="170"/>
      <c r="AQ263" s="170"/>
      <c r="AR263" s="170"/>
      <c r="AS263" s="170"/>
      <c r="AT263" s="170"/>
      <c r="AU263" s="170"/>
      <c r="AV263" s="170"/>
      <c r="BJ263" s="194"/>
      <c r="BL263" s="190"/>
      <c r="BM263" s="192"/>
      <c r="BO263" s="194"/>
      <c r="BQ263" s="190"/>
      <c r="BR263" s="192"/>
    </row>
    <row r="264" spans="3:70" ht="17">
      <c r="C264" s="170"/>
      <c r="D264" s="170"/>
      <c r="E264" s="170"/>
      <c r="F264" s="170"/>
      <c r="G264" s="170"/>
      <c r="H264" s="170"/>
      <c r="I264" s="170"/>
      <c r="J264" s="170"/>
      <c r="K264" s="170"/>
      <c r="L264" s="170"/>
      <c r="M264" s="170"/>
      <c r="N264" s="170"/>
      <c r="O264" s="170"/>
      <c r="P264" s="170"/>
      <c r="Q264" s="170"/>
      <c r="R264" s="170"/>
      <c r="S264" s="170"/>
      <c r="T264" s="170"/>
      <c r="U264" s="170"/>
      <c r="V264" s="170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  <c r="AG264" s="170"/>
      <c r="AH264" s="170"/>
      <c r="AI264" s="170"/>
      <c r="AJ264" s="170"/>
      <c r="AK264" s="170"/>
      <c r="AL264" s="170"/>
      <c r="AM264" s="170"/>
      <c r="AN264" s="170"/>
      <c r="AO264" s="170"/>
      <c r="AP264" s="170"/>
      <c r="AQ264" s="170"/>
      <c r="AR264" s="170"/>
      <c r="AS264" s="170"/>
      <c r="AT264" s="170"/>
      <c r="AU264" s="170"/>
      <c r="AV264" s="170"/>
      <c r="BJ264" s="194"/>
      <c r="BL264" s="190"/>
      <c r="BM264" s="192"/>
      <c r="BO264" s="194"/>
      <c r="BQ264" s="190"/>
      <c r="BR264" s="192"/>
    </row>
    <row r="265" spans="3:70" ht="17">
      <c r="C265" s="170"/>
      <c r="D265" s="170"/>
      <c r="E265" s="170"/>
      <c r="F265" s="170"/>
      <c r="G265" s="170"/>
      <c r="H265" s="170"/>
      <c r="I265" s="170"/>
      <c r="J265" s="170"/>
      <c r="K265" s="170"/>
      <c r="L265" s="170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  <c r="AG265" s="170"/>
      <c r="AH265" s="170"/>
      <c r="AI265" s="170"/>
      <c r="AJ265" s="170"/>
      <c r="AK265" s="170"/>
      <c r="AL265" s="170"/>
      <c r="AM265" s="170"/>
      <c r="AN265" s="170"/>
      <c r="AO265" s="170"/>
      <c r="AP265" s="170"/>
      <c r="AQ265" s="170"/>
      <c r="AR265" s="170"/>
      <c r="AW265" s="170"/>
      <c r="BJ265" s="194"/>
      <c r="BL265" s="190"/>
      <c r="BM265" s="192"/>
      <c r="BO265" s="194"/>
      <c r="BQ265" s="190"/>
      <c r="BR265" s="192"/>
    </row>
    <row r="266" spans="3:70" ht="17"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0"/>
      <c r="AM266" s="170"/>
      <c r="AN266" s="170"/>
      <c r="AO266" s="170"/>
      <c r="AP266" s="170"/>
      <c r="AQ266" s="170"/>
      <c r="AR266" s="170"/>
      <c r="AW266" s="170"/>
      <c r="BJ266" s="194"/>
      <c r="BL266" s="190"/>
      <c r="BM266" s="192"/>
      <c r="BO266" s="194"/>
      <c r="BQ266" s="190"/>
      <c r="BR266" s="192"/>
    </row>
    <row r="267" spans="3:70" ht="17"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0"/>
      <c r="AM267" s="170"/>
      <c r="AN267" s="170"/>
      <c r="AO267" s="170"/>
      <c r="AP267" s="170"/>
      <c r="AQ267" s="170"/>
      <c r="AR267" s="170"/>
      <c r="AW267" s="170"/>
      <c r="BJ267" s="194"/>
      <c r="BL267" s="190"/>
      <c r="BM267" s="192"/>
      <c r="BO267" s="194"/>
      <c r="BQ267" s="190"/>
      <c r="BR267" s="192"/>
    </row>
    <row r="268" spans="3:70" ht="17"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0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0"/>
      <c r="AF268" s="170"/>
      <c r="AG268" s="170"/>
      <c r="AH268" s="170"/>
      <c r="AI268" s="170"/>
      <c r="AJ268" s="170"/>
      <c r="AK268" s="170"/>
      <c r="AL268" s="170"/>
      <c r="AM268" s="170"/>
      <c r="AN268" s="170"/>
      <c r="AO268" s="170"/>
      <c r="AP268" s="170"/>
      <c r="AQ268" s="170"/>
      <c r="AR268" s="170"/>
      <c r="AW268" s="170"/>
      <c r="BJ268" s="194"/>
      <c r="BL268" s="190"/>
      <c r="BM268" s="192"/>
      <c r="BO268" s="194"/>
      <c r="BQ268" s="190"/>
      <c r="BR268" s="192"/>
    </row>
    <row r="269" spans="3:70" ht="17">
      <c r="C269" s="170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0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W269" s="170"/>
      <c r="BJ269" s="194"/>
      <c r="BL269" s="190"/>
      <c r="BM269" s="192"/>
      <c r="BO269" s="194"/>
      <c r="BQ269" s="190"/>
      <c r="BR269" s="192"/>
    </row>
    <row r="270" spans="3:70" ht="17">
      <c r="C270" s="170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W270" s="170"/>
      <c r="BJ270" s="194"/>
      <c r="BL270" s="190"/>
      <c r="BM270" s="192"/>
      <c r="BO270" s="194"/>
      <c r="BQ270" s="190"/>
      <c r="BR270" s="192"/>
    </row>
    <row r="271" spans="3:70" ht="17"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  <c r="N271" s="170"/>
      <c r="O271" s="170"/>
      <c r="P271" s="170"/>
      <c r="Q271" s="170"/>
      <c r="R271" s="170"/>
      <c r="S271" s="170"/>
      <c r="T271" s="170"/>
      <c r="U271" s="170"/>
      <c r="V271" s="170"/>
      <c r="W271" s="170"/>
      <c r="X271" s="170"/>
      <c r="Y271" s="170"/>
      <c r="Z271" s="170"/>
      <c r="AA271" s="170"/>
      <c r="AB271" s="170"/>
      <c r="AC271" s="170"/>
      <c r="AD271" s="170"/>
      <c r="AE271" s="170"/>
      <c r="AF271" s="170"/>
      <c r="AG271" s="170"/>
      <c r="AH271" s="170"/>
      <c r="AI271" s="170"/>
      <c r="AJ271" s="170"/>
      <c r="AK271" s="170"/>
      <c r="AL271" s="170"/>
      <c r="AM271" s="170"/>
      <c r="AN271" s="170"/>
      <c r="AO271" s="170"/>
      <c r="AP271" s="170"/>
      <c r="AQ271" s="170"/>
      <c r="AR271" s="170"/>
      <c r="AW271" s="170"/>
      <c r="BJ271" s="194"/>
      <c r="BL271" s="190"/>
      <c r="BM271" s="192"/>
      <c r="BO271" s="194"/>
      <c r="BQ271" s="190"/>
      <c r="BR271" s="192"/>
    </row>
    <row r="272" spans="3:70" ht="17"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  <c r="N272" s="170"/>
      <c r="O272" s="170"/>
      <c r="P272" s="170"/>
      <c r="Q272" s="170"/>
      <c r="R272" s="170"/>
      <c r="S272" s="170"/>
      <c r="T272" s="170"/>
      <c r="U272" s="170"/>
      <c r="V272" s="170"/>
      <c r="W272" s="170"/>
      <c r="X272" s="170"/>
      <c r="Y272" s="170"/>
      <c r="Z272" s="170"/>
      <c r="AA272" s="170"/>
      <c r="AB272" s="170"/>
      <c r="AC272" s="170"/>
      <c r="AD272" s="170"/>
      <c r="AE272" s="170"/>
      <c r="AF272" s="170"/>
      <c r="AG272" s="170"/>
      <c r="AH272" s="170"/>
      <c r="AI272" s="170"/>
      <c r="AJ272" s="170"/>
      <c r="AK272" s="170"/>
      <c r="AL272" s="170"/>
      <c r="AM272" s="170"/>
      <c r="AN272" s="170"/>
      <c r="AO272" s="170"/>
      <c r="AP272" s="170"/>
      <c r="AQ272" s="170"/>
      <c r="AR272" s="170"/>
      <c r="AW272" s="170"/>
      <c r="BJ272" s="194"/>
      <c r="BL272" s="190"/>
      <c r="BM272" s="192"/>
      <c r="BO272" s="194"/>
      <c r="BQ272" s="190"/>
      <c r="BR272" s="192"/>
    </row>
    <row r="273" spans="3:70" ht="17"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  <c r="N273" s="170"/>
      <c r="O273" s="170"/>
      <c r="P273" s="170"/>
      <c r="Q273" s="170"/>
      <c r="R273" s="170"/>
      <c r="S273" s="170"/>
      <c r="T273" s="170"/>
      <c r="U273" s="170"/>
      <c r="V273" s="170"/>
      <c r="W273" s="170"/>
      <c r="X273" s="170"/>
      <c r="Y273" s="170"/>
      <c r="Z273" s="170"/>
      <c r="AA273" s="170"/>
      <c r="AB273" s="170"/>
      <c r="AC273" s="170"/>
      <c r="AD273" s="170"/>
      <c r="AE273" s="170"/>
      <c r="AF273" s="170"/>
      <c r="AG273" s="170"/>
      <c r="AH273" s="170"/>
      <c r="AI273" s="170"/>
      <c r="AJ273" s="170"/>
      <c r="AK273" s="170"/>
      <c r="AL273" s="170"/>
      <c r="AM273" s="170"/>
      <c r="AN273" s="170"/>
      <c r="AO273" s="170"/>
      <c r="AP273" s="170"/>
      <c r="AQ273" s="170"/>
      <c r="AR273" s="170"/>
      <c r="AS273" s="170"/>
      <c r="AT273" s="170"/>
      <c r="AU273" s="170"/>
      <c r="AV273" s="170"/>
      <c r="AW273" s="170"/>
      <c r="BJ273" s="194"/>
      <c r="BL273" s="190"/>
      <c r="BM273" s="192"/>
      <c r="BO273" s="194"/>
      <c r="BQ273" s="190"/>
      <c r="BR273" s="192"/>
    </row>
    <row r="274" spans="3:70" ht="17"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70"/>
      <c r="AB274" s="170"/>
      <c r="AC274" s="170"/>
      <c r="AD274" s="170"/>
      <c r="AE274" s="170"/>
      <c r="AF274" s="170"/>
      <c r="AG274" s="170"/>
      <c r="AH274" s="170"/>
      <c r="AI274" s="170"/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70"/>
      <c r="AV274" s="170"/>
      <c r="AW274" s="170"/>
      <c r="BJ274" s="194"/>
      <c r="BL274" s="190"/>
      <c r="BM274" s="192"/>
      <c r="BO274" s="194"/>
      <c r="BQ274" s="190"/>
      <c r="BR274" s="192"/>
    </row>
    <row r="275" spans="3:70" ht="17">
      <c r="C275" s="170"/>
      <c r="D275" s="170"/>
      <c r="E275" s="170"/>
      <c r="F275" s="170"/>
      <c r="G275" s="170"/>
      <c r="H275" s="170"/>
      <c r="I275" s="170"/>
      <c r="J275" s="170"/>
      <c r="K275" s="170"/>
      <c r="L275" s="170"/>
      <c r="M275" s="170"/>
      <c r="N275" s="170"/>
      <c r="O275" s="170"/>
      <c r="P275" s="170"/>
      <c r="Q275" s="170"/>
      <c r="R275" s="170"/>
      <c r="S275" s="170"/>
      <c r="T275" s="170"/>
      <c r="U275" s="170"/>
      <c r="V275" s="170"/>
      <c r="W275" s="170"/>
      <c r="X275" s="170"/>
      <c r="Y275" s="170"/>
      <c r="Z275" s="170"/>
      <c r="AA275" s="170"/>
      <c r="AB275" s="170"/>
      <c r="AC275" s="170"/>
      <c r="AD275" s="170"/>
      <c r="AE275" s="170"/>
      <c r="AF275" s="170"/>
      <c r="AG275" s="170"/>
      <c r="AH275" s="170"/>
      <c r="AI275" s="170"/>
      <c r="AJ275" s="170"/>
      <c r="AK275" s="170"/>
      <c r="AL275" s="170"/>
      <c r="AM275" s="170"/>
      <c r="AN275" s="170"/>
      <c r="AO275" s="170"/>
      <c r="AP275" s="170"/>
      <c r="AQ275" s="170"/>
      <c r="AR275" s="170"/>
      <c r="AS275" s="170"/>
      <c r="AT275" s="170"/>
      <c r="AU275" s="170"/>
      <c r="AV275" s="170"/>
      <c r="AW275" s="170"/>
      <c r="BJ275" s="194"/>
      <c r="BL275" s="190"/>
      <c r="BM275" s="192"/>
      <c r="BO275" s="194"/>
      <c r="BQ275" s="190"/>
      <c r="BR275" s="192"/>
    </row>
    <row r="276" spans="3:70" ht="17"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170"/>
      <c r="Z276" s="170"/>
      <c r="AA276" s="170"/>
      <c r="AB276" s="170"/>
      <c r="AC276" s="170"/>
      <c r="AD276" s="170"/>
      <c r="AE276" s="170"/>
      <c r="AF276" s="170"/>
      <c r="AG276" s="170"/>
      <c r="AH276" s="170"/>
      <c r="AI276" s="170"/>
      <c r="AJ276" s="170"/>
      <c r="AK276" s="170"/>
      <c r="AL276" s="170"/>
      <c r="AM276" s="170"/>
      <c r="AN276" s="170"/>
      <c r="AO276" s="170"/>
      <c r="AP276" s="170"/>
      <c r="AQ276" s="170"/>
      <c r="AR276" s="170"/>
      <c r="AS276" s="170"/>
      <c r="AT276" s="170"/>
      <c r="AU276" s="170"/>
      <c r="AV276" s="170"/>
      <c r="AW276" s="170"/>
      <c r="BJ276" s="194"/>
      <c r="BL276" s="190"/>
      <c r="BM276" s="192"/>
      <c r="BO276" s="194"/>
      <c r="BQ276" s="190"/>
      <c r="BR276" s="192"/>
    </row>
    <row r="277" spans="3:70" ht="17">
      <c r="C277" s="170"/>
      <c r="D277" s="170"/>
      <c r="E277" s="170"/>
      <c r="F277" s="170"/>
      <c r="G277" s="170"/>
      <c r="H277" s="170"/>
      <c r="I277" s="170"/>
      <c r="J277" s="170"/>
      <c r="K277" s="170"/>
      <c r="L277" s="170"/>
      <c r="M277" s="170"/>
      <c r="N277" s="170"/>
      <c r="O277" s="170"/>
      <c r="P277" s="170"/>
      <c r="Q277" s="170"/>
      <c r="R277" s="170"/>
      <c r="S277" s="170"/>
      <c r="T277" s="170"/>
      <c r="U277" s="170"/>
      <c r="V277" s="170"/>
      <c r="W277" s="170"/>
      <c r="X277" s="170"/>
      <c r="Y277" s="170"/>
      <c r="Z277" s="170"/>
      <c r="AA277" s="170"/>
      <c r="AB277" s="170"/>
      <c r="AC277" s="170"/>
      <c r="AD277" s="170"/>
      <c r="AE277" s="170"/>
      <c r="AF277" s="170"/>
      <c r="AG277" s="170"/>
      <c r="AH277" s="170"/>
      <c r="AI277" s="170"/>
      <c r="AJ277" s="170"/>
      <c r="AK277" s="170"/>
      <c r="AL277" s="170"/>
      <c r="AM277" s="170"/>
      <c r="AN277" s="170"/>
      <c r="AO277" s="170"/>
      <c r="AP277" s="170"/>
      <c r="AQ277" s="170"/>
      <c r="AR277" s="170"/>
      <c r="AS277" s="170"/>
      <c r="AT277" s="170"/>
      <c r="AU277" s="170"/>
      <c r="AV277" s="170"/>
      <c r="AW277" s="170"/>
      <c r="BJ277" s="194"/>
      <c r="BL277" s="190"/>
      <c r="BM277" s="192"/>
      <c r="BO277" s="194"/>
      <c r="BQ277" s="190"/>
      <c r="BR277" s="192"/>
    </row>
    <row r="278" spans="3:70" ht="17">
      <c r="C278" s="170"/>
      <c r="D278" s="170"/>
      <c r="E278" s="170"/>
      <c r="F278" s="170"/>
      <c r="G278" s="170"/>
      <c r="H278" s="170"/>
      <c r="I278" s="170"/>
      <c r="J278" s="170"/>
      <c r="K278" s="170"/>
      <c r="L278" s="170"/>
      <c r="M278" s="170"/>
      <c r="N278" s="170"/>
      <c r="O278" s="170"/>
      <c r="P278" s="170"/>
      <c r="Q278" s="170"/>
      <c r="R278" s="170"/>
      <c r="S278" s="170"/>
      <c r="T278" s="170"/>
      <c r="U278" s="170"/>
      <c r="V278" s="170"/>
      <c r="W278" s="170"/>
      <c r="X278" s="170"/>
      <c r="Y278" s="170"/>
      <c r="Z278" s="170"/>
      <c r="AA278" s="170"/>
      <c r="AB278" s="170"/>
      <c r="AC278" s="170"/>
      <c r="AD278" s="170"/>
      <c r="AE278" s="170"/>
      <c r="AF278" s="170"/>
      <c r="AG278" s="170"/>
      <c r="AH278" s="170"/>
      <c r="AI278" s="170"/>
      <c r="AJ278" s="170"/>
      <c r="AK278" s="170"/>
      <c r="AL278" s="170"/>
      <c r="AM278" s="170"/>
      <c r="AN278" s="170"/>
      <c r="AO278" s="170"/>
      <c r="AP278" s="170"/>
      <c r="AQ278" s="170"/>
      <c r="AR278" s="170"/>
      <c r="AS278" s="170"/>
      <c r="AT278" s="170"/>
      <c r="AU278" s="170"/>
      <c r="AV278" s="170"/>
      <c r="AW278" s="170"/>
      <c r="BJ278" s="194"/>
      <c r="BL278" s="190"/>
      <c r="BM278" s="192"/>
      <c r="BO278" s="194"/>
      <c r="BQ278" s="190"/>
      <c r="BR278" s="192"/>
    </row>
    <row r="279" spans="3:70" ht="17"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BJ279" s="194"/>
      <c r="BL279" s="190"/>
      <c r="BM279" s="192"/>
      <c r="BO279" s="194"/>
      <c r="BQ279" s="190"/>
      <c r="BR279" s="192"/>
    </row>
    <row r="280" spans="3:70" ht="17">
      <c r="C280" s="170"/>
      <c r="D280" s="170"/>
      <c r="E280" s="170"/>
      <c r="F280" s="170"/>
      <c r="G280" s="170"/>
      <c r="H280" s="170"/>
      <c r="I280" s="170"/>
      <c r="J280" s="170"/>
      <c r="K280" s="170"/>
      <c r="L280" s="170"/>
      <c r="M280" s="170"/>
      <c r="N280" s="170"/>
      <c r="O280" s="170"/>
      <c r="P280" s="170"/>
      <c r="Q280" s="170"/>
      <c r="R280" s="170"/>
      <c r="S280" s="170"/>
      <c r="T280" s="170"/>
      <c r="U280" s="170"/>
      <c r="V280" s="170"/>
      <c r="W280" s="170"/>
      <c r="X280" s="170"/>
      <c r="Y280" s="170"/>
      <c r="Z280" s="170"/>
      <c r="AA280" s="170"/>
      <c r="AB280" s="170"/>
      <c r="AC280" s="170"/>
      <c r="AD280" s="170"/>
      <c r="AE280" s="170"/>
      <c r="AF280" s="170"/>
      <c r="AG280" s="170"/>
      <c r="AH280" s="170"/>
      <c r="AI280" s="170"/>
      <c r="AJ280" s="170"/>
      <c r="AK280" s="170"/>
      <c r="AL280" s="170"/>
      <c r="AM280" s="170"/>
      <c r="AN280" s="170"/>
      <c r="AO280" s="170"/>
      <c r="AP280" s="170"/>
      <c r="AQ280" s="170"/>
      <c r="AR280" s="170"/>
      <c r="AS280" s="170"/>
      <c r="AT280" s="170"/>
      <c r="AU280" s="170"/>
      <c r="AV280" s="170"/>
      <c r="AW280" s="170"/>
      <c r="BJ280" s="194"/>
      <c r="BL280" s="190"/>
      <c r="BM280" s="192"/>
      <c r="BO280" s="194"/>
      <c r="BQ280" s="190"/>
      <c r="BR280" s="192"/>
    </row>
    <row r="281" spans="3:70" ht="17"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70"/>
      <c r="Z281" s="170"/>
      <c r="AA281" s="170"/>
      <c r="AB281" s="170"/>
      <c r="AC281" s="170"/>
      <c r="AD281" s="170"/>
      <c r="AE281" s="170"/>
      <c r="AF281" s="170"/>
      <c r="AG281" s="170"/>
      <c r="AH281" s="170"/>
      <c r="AI281" s="170"/>
      <c r="AJ281" s="170"/>
      <c r="AK281" s="170"/>
      <c r="AL281" s="170"/>
      <c r="AM281" s="170"/>
      <c r="AN281" s="170"/>
      <c r="AO281" s="170"/>
      <c r="AP281" s="170"/>
      <c r="AQ281" s="170"/>
      <c r="AR281" s="170"/>
      <c r="AS281" s="170"/>
      <c r="AT281" s="170"/>
      <c r="AU281" s="170"/>
      <c r="AV281" s="170"/>
      <c r="AW281" s="170"/>
      <c r="BJ281" s="194"/>
      <c r="BL281" s="190"/>
      <c r="BM281" s="192"/>
      <c r="BO281" s="194"/>
      <c r="BQ281" s="190"/>
      <c r="BR281" s="192"/>
    </row>
    <row r="282" spans="3:70" ht="17">
      <c r="C282" s="170"/>
      <c r="D282" s="170"/>
      <c r="E282" s="170"/>
      <c r="F282" s="170"/>
      <c r="G282" s="170"/>
      <c r="H282" s="17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70"/>
      <c r="U282" s="170"/>
      <c r="V282" s="170"/>
      <c r="W282" s="170"/>
      <c r="X282" s="170"/>
      <c r="Y282" s="170"/>
      <c r="Z282" s="170"/>
      <c r="AA282" s="170"/>
      <c r="AB282" s="170"/>
      <c r="AC282" s="170"/>
      <c r="AD282" s="170"/>
      <c r="AE282" s="170"/>
      <c r="AF282" s="170"/>
      <c r="AG282" s="170"/>
      <c r="AH282" s="170"/>
      <c r="AI282" s="170"/>
      <c r="AJ282" s="170"/>
      <c r="AK282" s="170"/>
      <c r="AL282" s="170"/>
      <c r="AM282" s="170"/>
      <c r="AN282" s="170"/>
      <c r="AO282" s="170"/>
      <c r="AP282" s="170"/>
      <c r="AQ282" s="170"/>
      <c r="AR282" s="170"/>
      <c r="AS282" s="170"/>
      <c r="AT282" s="170"/>
      <c r="AU282" s="170"/>
      <c r="AV282" s="170"/>
      <c r="AW282" s="170"/>
      <c r="BJ282" s="194"/>
      <c r="BL282" s="190"/>
      <c r="BM282" s="192"/>
      <c r="BO282" s="194"/>
      <c r="BQ282" s="190"/>
      <c r="BR282" s="192"/>
    </row>
    <row r="283" spans="3:70" ht="17">
      <c r="C283" s="170"/>
      <c r="D283" s="170"/>
      <c r="E283" s="170"/>
      <c r="F283" s="170"/>
      <c r="G283" s="170"/>
      <c r="H283" s="170"/>
      <c r="I283" s="170"/>
      <c r="J283" s="170"/>
      <c r="K283" s="170"/>
      <c r="L283" s="170"/>
      <c r="M283" s="170"/>
      <c r="N283" s="170"/>
      <c r="O283" s="170"/>
      <c r="P283" s="170"/>
      <c r="Q283" s="170"/>
      <c r="R283" s="170"/>
      <c r="S283" s="170"/>
      <c r="T283" s="170"/>
      <c r="U283" s="170"/>
      <c r="V283" s="170"/>
      <c r="W283" s="170"/>
      <c r="X283" s="170"/>
      <c r="Y283" s="170"/>
      <c r="Z283" s="170"/>
      <c r="AA283" s="170"/>
      <c r="AB283" s="170"/>
      <c r="AC283" s="170"/>
      <c r="AD283" s="170"/>
      <c r="AE283" s="170"/>
      <c r="AF283" s="170"/>
      <c r="AG283" s="170"/>
      <c r="AH283" s="170"/>
      <c r="AI283" s="170"/>
      <c r="AJ283" s="170"/>
      <c r="AK283" s="170"/>
      <c r="AL283" s="170"/>
      <c r="AM283" s="170"/>
      <c r="AN283" s="170"/>
      <c r="AO283" s="170"/>
      <c r="AP283" s="170"/>
      <c r="AQ283" s="170"/>
      <c r="AR283" s="170"/>
      <c r="AS283" s="170"/>
      <c r="AT283" s="170"/>
      <c r="AU283" s="170"/>
      <c r="AV283" s="170"/>
      <c r="AW283" s="170"/>
      <c r="BJ283" s="194"/>
      <c r="BL283" s="190"/>
      <c r="BM283" s="192"/>
      <c r="BO283" s="194"/>
      <c r="BQ283" s="190"/>
      <c r="BR283" s="192"/>
    </row>
    <row r="284" spans="3:70" ht="17">
      <c r="C284" s="170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BJ284" s="194"/>
      <c r="BL284" s="190"/>
      <c r="BM284" s="192"/>
      <c r="BO284" s="194"/>
      <c r="BQ284" s="190"/>
      <c r="BR284" s="192"/>
    </row>
    <row r="285" spans="3:70" ht="17">
      <c r="C285" s="170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BJ285" s="194"/>
      <c r="BL285" s="190"/>
      <c r="BM285" s="192"/>
      <c r="BO285" s="194"/>
      <c r="BQ285" s="190"/>
      <c r="BR285" s="192"/>
    </row>
    <row r="286" spans="3:70" ht="17">
      <c r="C286" s="170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BJ286" s="194"/>
      <c r="BL286" s="190"/>
      <c r="BM286" s="192"/>
      <c r="BO286" s="194"/>
      <c r="BQ286" s="190"/>
      <c r="BR286" s="192"/>
    </row>
    <row r="287" spans="3:70" ht="17">
      <c r="C287" s="170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0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BJ287" s="194"/>
      <c r="BL287" s="190"/>
      <c r="BM287" s="192"/>
      <c r="BO287" s="194"/>
      <c r="BQ287" s="190"/>
      <c r="BR287" s="192"/>
    </row>
    <row r="288" spans="3:70" ht="17">
      <c r="C288" s="170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BJ288" s="194"/>
      <c r="BL288" s="190"/>
      <c r="BM288" s="192"/>
      <c r="BO288" s="194"/>
      <c r="BQ288" s="190"/>
      <c r="BR288" s="192"/>
    </row>
    <row r="289" spans="3:70" ht="17">
      <c r="C289" s="170"/>
      <c r="D289" s="170"/>
      <c r="E289" s="170"/>
      <c r="F289" s="170"/>
      <c r="G289" s="170"/>
      <c r="H289" s="170"/>
      <c r="I289" s="170"/>
      <c r="J289" s="170"/>
      <c r="K289" s="170"/>
      <c r="L289" s="170"/>
      <c r="M289" s="170"/>
      <c r="N289" s="170"/>
      <c r="O289" s="170"/>
      <c r="P289" s="170"/>
      <c r="Q289" s="170"/>
      <c r="R289" s="170"/>
      <c r="S289" s="170"/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  <c r="AN289" s="170"/>
      <c r="AO289" s="170"/>
      <c r="AP289" s="170"/>
      <c r="AQ289" s="170"/>
      <c r="AR289" s="170"/>
      <c r="AS289" s="170"/>
      <c r="AT289" s="170"/>
      <c r="AU289" s="170"/>
      <c r="AV289" s="170"/>
      <c r="AW289" s="170"/>
      <c r="BJ289" s="194"/>
      <c r="BL289" s="190"/>
      <c r="BM289" s="192"/>
      <c r="BO289" s="194"/>
      <c r="BQ289" s="190"/>
      <c r="BR289" s="192"/>
    </row>
    <row r="290" spans="3:70" ht="17">
      <c r="BJ290" s="194"/>
      <c r="BL290" s="190"/>
      <c r="BM290" s="192"/>
      <c r="BO290" s="194"/>
      <c r="BQ290" s="190"/>
      <c r="BR290" s="192"/>
    </row>
    <row r="291" spans="3:70" ht="17">
      <c r="BJ291" s="194"/>
      <c r="BL291" s="190"/>
      <c r="BM291" s="192"/>
      <c r="BO291" s="194"/>
      <c r="BQ291" s="190"/>
      <c r="BR291" s="192"/>
    </row>
    <row r="292" spans="3:70" ht="17">
      <c r="BJ292" s="194"/>
      <c r="BL292" s="190"/>
      <c r="BM292" s="192"/>
      <c r="BO292" s="194"/>
      <c r="BQ292" s="190"/>
      <c r="BR292" s="192"/>
    </row>
    <row r="293" spans="3:70" ht="17">
      <c r="BL293" s="190"/>
      <c r="BM293" s="192"/>
      <c r="BO293" s="194"/>
      <c r="BQ293" s="190"/>
      <c r="BR293" s="192"/>
    </row>
    <row r="294" spans="3:70" ht="17">
      <c r="BL294" s="190"/>
      <c r="BM294" s="192"/>
      <c r="BO294" s="194"/>
      <c r="BQ294" s="190"/>
      <c r="BR294" s="192"/>
    </row>
    <row r="295" spans="3:70" ht="17">
      <c r="BL295" s="190"/>
      <c r="BM295" s="192"/>
      <c r="BO295" s="194"/>
      <c r="BQ295" s="190"/>
      <c r="BR295" s="192"/>
    </row>
    <row r="296" spans="3:70" ht="17">
      <c r="BL296" s="190"/>
      <c r="BM296" s="192"/>
      <c r="BO296" s="194"/>
      <c r="BQ296" s="190"/>
      <c r="BR296" s="192"/>
    </row>
    <row r="297" spans="3:70" ht="17">
      <c r="BL297" s="190"/>
      <c r="BM297" s="192"/>
      <c r="BO297" s="194"/>
      <c r="BQ297" s="190"/>
      <c r="BR297" s="192"/>
    </row>
    <row r="298" spans="3:70" ht="17">
      <c r="BL298" s="190"/>
      <c r="BM298" s="192"/>
      <c r="BO298" s="194"/>
      <c r="BQ298" s="190"/>
      <c r="BR298" s="192"/>
    </row>
    <row r="299" spans="3:70" ht="17">
      <c r="BL299" s="190"/>
      <c r="BM299" s="192"/>
      <c r="BO299" s="194"/>
      <c r="BQ299" s="190"/>
      <c r="BR299" s="192"/>
    </row>
    <row r="300" spans="3:70" ht="17">
      <c r="BL300" s="190"/>
      <c r="BM300" s="192"/>
      <c r="BO300" s="194"/>
      <c r="BQ300" s="190"/>
      <c r="BR300" s="192"/>
    </row>
    <row r="301" spans="3:70" ht="17">
      <c r="BL301" s="190"/>
      <c r="BM301" s="192"/>
      <c r="BO301" s="194"/>
      <c r="BQ301" s="190"/>
      <c r="BR301" s="192"/>
    </row>
    <row r="302" spans="3:70" ht="17">
      <c r="BL302" s="190"/>
      <c r="BM302" s="192"/>
      <c r="BO302" s="194"/>
      <c r="BQ302" s="190"/>
      <c r="BR302" s="192"/>
    </row>
    <row r="303" spans="3:70" ht="17">
      <c r="BL303" s="190"/>
      <c r="BM303" s="192"/>
      <c r="BO303" s="194"/>
      <c r="BQ303" s="190"/>
      <c r="BR303" s="192"/>
    </row>
    <row r="304" spans="3:70" ht="17">
      <c r="BL304" s="190"/>
      <c r="BM304" s="192"/>
      <c r="BO304" s="194"/>
      <c r="BQ304" s="190"/>
      <c r="BR304" s="192"/>
    </row>
    <row r="305" spans="54:70" ht="17">
      <c r="BL305" s="190"/>
      <c r="BM305" s="192"/>
      <c r="BO305" s="194"/>
      <c r="BQ305" s="190"/>
      <c r="BR305" s="192"/>
    </row>
    <row r="306" spans="54:70" ht="17">
      <c r="BL306" s="190"/>
      <c r="BM306" s="192"/>
      <c r="BO306" s="194"/>
      <c r="BQ306" s="190"/>
      <c r="BR306" s="192"/>
    </row>
    <row r="307" spans="54:70" ht="17">
      <c r="BL307" s="190"/>
      <c r="BM307" s="192"/>
      <c r="BO307" s="194"/>
      <c r="BQ307" s="190"/>
      <c r="BR307" s="192"/>
    </row>
    <row r="308" spans="54:70" ht="17">
      <c r="BL308" s="190"/>
      <c r="BM308" s="192"/>
      <c r="BO308" s="194"/>
      <c r="BQ308" s="190"/>
      <c r="BR308" s="192"/>
    </row>
    <row r="309" spans="54:70" ht="17">
      <c r="BL309" s="190"/>
      <c r="BM309" s="192"/>
      <c r="BO309" s="194"/>
      <c r="BQ309" s="190"/>
      <c r="BR309" s="192"/>
    </row>
    <row r="310" spans="54:70" ht="17">
      <c r="BL310" s="190"/>
      <c r="BM310" s="192"/>
      <c r="BO310" s="194"/>
      <c r="BQ310" s="190"/>
      <c r="BR310" s="192"/>
    </row>
    <row r="311" spans="54:70" ht="17">
      <c r="BL311" s="190"/>
      <c r="BM311" s="192"/>
      <c r="BO311" s="194"/>
      <c r="BQ311" s="190"/>
      <c r="BR311" s="192"/>
    </row>
    <row r="312" spans="54:70" ht="17">
      <c r="BL312" s="190"/>
      <c r="BM312" s="192"/>
      <c r="BO312" s="194"/>
      <c r="BQ312" s="190"/>
      <c r="BR312" s="192"/>
    </row>
    <row r="313" spans="54:70" ht="17">
      <c r="BL313" s="190"/>
      <c r="BM313" s="192"/>
      <c r="BO313" s="194"/>
      <c r="BQ313" s="190"/>
      <c r="BR313" s="192"/>
    </row>
    <row r="314" spans="54:70" ht="17">
      <c r="BL314" s="190"/>
      <c r="BM314" s="192"/>
      <c r="BO314" s="194"/>
      <c r="BQ314" s="190"/>
      <c r="BR314" s="192"/>
    </row>
    <row r="315" spans="54:70" ht="17">
      <c r="BL315" s="190"/>
      <c r="BM315" s="192"/>
      <c r="BO315" s="194"/>
      <c r="BQ315" s="190"/>
      <c r="BR315" s="192"/>
    </row>
    <row r="316" spans="54:70" ht="17">
      <c r="BL316" s="190"/>
      <c r="BM316" s="192"/>
      <c r="BO316" s="194"/>
      <c r="BQ316" s="190"/>
      <c r="BR316" s="192"/>
    </row>
    <row r="317" spans="54:70" ht="17">
      <c r="BL317" s="190"/>
      <c r="BM317" s="192"/>
      <c r="BO317" s="194"/>
      <c r="BQ317" s="190"/>
      <c r="BR317" s="192"/>
    </row>
    <row r="318" spans="54:70">
      <c r="BG318" s="288"/>
      <c r="BL318" s="190"/>
      <c r="BM318" s="192"/>
    </row>
    <row r="319" spans="54:70">
      <c r="BL319" s="190"/>
      <c r="BM319" s="192"/>
      <c r="BR319" s="192"/>
    </row>
    <row r="320" spans="54:70">
      <c r="BB320" s="288"/>
      <c r="BL320" s="190"/>
      <c r="BM320" s="192"/>
      <c r="BR320" s="192"/>
    </row>
    <row r="321" spans="64:70">
      <c r="BL321" s="190"/>
      <c r="BM321" s="192"/>
      <c r="BR321" s="192"/>
    </row>
    <row r="322" spans="64:70">
      <c r="BL322" s="190"/>
      <c r="BM322" s="192"/>
      <c r="BR322" s="192"/>
    </row>
    <row r="323" spans="64:70">
      <c r="BL323" s="190"/>
      <c r="BM323" s="192"/>
      <c r="BR323" s="192"/>
    </row>
    <row r="324" spans="64:70">
      <c r="BL324" s="190"/>
      <c r="BM324" s="192"/>
      <c r="BR324" s="192"/>
    </row>
    <row r="325" spans="64:70">
      <c r="BL325" s="190"/>
      <c r="BM325" s="192"/>
      <c r="BR325" s="192"/>
    </row>
    <row r="326" spans="64:70">
      <c r="BL326" s="190"/>
      <c r="BM326" s="192"/>
      <c r="BR326" s="192"/>
    </row>
    <row r="327" spans="64:70" ht="17">
      <c r="BL327" s="190"/>
      <c r="BM327" s="192"/>
      <c r="BO327" s="194"/>
      <c r="BQ327" s="190"/>
      <c r="BR327" s="192"/>
    </row>
    <row r="328" spans="64:70" ht="17">
      <c r="BL328" s="190"/>
      <c r="BM328" s="192"/>
      <c r="BO328" s="194"/>
      <c r="BQ328" s="190"/>
      <c r="BR328" s="192"/>
    </row>
    <row r="329" spans="64:70" ht="17">
      <c r="BL329" s="190"/>
      <c r="BM329" s="192"/>
      <c r="BO329" s="194"/>
      <c r="BQ329" s="190"/>
      <c r="BR329" s="192"/>
    </row>
    <row r="330" spans="64:70" ht="17">
      <c r="BL330" s="190"/>
      <c r="BM330" s="192"/>
      <c r="BO330" s="194"/>
      <c r="BQ330" s="190"/>
      <c r="BR330" s="192"/>
    </row>
    <row r="331" spans="64:70" ht="17">
      <c r="BL331" s="190"/>
      <c r="BM331" s="192"/>
      <c r="BO331" s="194"/>
      <c r="BQ331" s="190"/>
      <c r="BR331" s="192"/>
    </row>
    <row r="332" spans="64:70" ht="17">
      <c r="BL332" s="190"/>
      <c r="BM332" s="192"/>
      <c r="BO332" s="194"/>
      <c r="BQ332" s="190"/>
      <c r="BR332" s="192"/>
    </row>
    <row r="333" spans="64:70" ht="17">
      <c r="BL333" s="190"/>
      <c r="BM333" s="192"/>
      <c r="BO333" s="194"/>
      <c r="BQ333" s="190"/>
      <c r="BR333" s="192"/>
    </row>
    <row r="334" spans="64:70" ht="17">
      <c r="BL334" s="190"/>
      <c r="BM334" s="192"/>
      <c r="BO334" s="194"/>
      <c r="BQ334" s="190"/>
      <c r="BR334" s="192"/>
    </row>
    <row r="335" spans="64:70" ht="17">
      <c r="BL335" s="190"/>
      <c r="BM335" s="192"/>
      <c r="BO335" s="194"/>
      <c r="BQ335" s="190"/>
      <c r="BR335" s="192"/>
    </row>
    <row r="336" spans="64:70" ht="17">
      <c r="BL336" s="190"/>
      <c r="BM336" s="192"/>
      <c r="BO336" s="194"/>
      <c r="BQ336" s="190"/>
      <c r="BR336" s="192"/>
    </row>
    <row r="337" spans="54:70" ht="17">
      <c r="BL337" s="190"/>
      <c r="BM337" s="192"/>
      <c r="BO337" s="194"/>
      <c r="BQ337" s="190"/>
      <c r="BR337" s="192"/>
    </row>
    <row r="338" spans="54:70" ht="17">
      <c r="BL338" s="190"/>
      <c r="BM338" s="192"/>
      <c r="BO338" s="194"/>
      <c r="BQ338" s="190"/>
      <c r="BR338" s="192"/>
    </row>
    <row r="339" spans="54:70" ht="17">
      <c r="BL339" s="190"/>
      <c r="BM339" s="192"/>
      <c r="BO339" s="194"/>
      <c r="BQ339" s="190"/>
      <c r="BR339" s="192"/>
    </row>
    <row r="340" spans="54:70" ht="17">
      <c r="BL340" s="190"/>
      <c r="BM340" s="192"/>
      <c r="BO340" s="194"/>
      <c r="BQ340" s="190"/>
      <c r="BR340" s="192"/>
    </row>
    <row r="341" spans="54:70" ht="17">
      <c r="BL341" s="190"/>
      <c r="BM341" s="192"/>
      <c r="BO341" s="194"/>
      <c r="BQ341" s="190"/>
      <c r="BR341" s="192"/>
    </row>
    <row r="342" spans="54:70" ht="17">
      <c r="BB342" s="288"/>
      <c r="BL342" s="190"/>
      <c r="BM342" s="192"/>
      <c r="BO342" s="194"/>
      <c r="BQ342" s="190"/>
      <c r="BR342" s="192"/>
    </row>
    <row r="343" spans="54:70" ht="17">
      <c r="BL343" s="190"/>
      <c r="BM343" s="192"/>
      <c r="BO343" s="194"/>
      <c r="BQ343" s="190"/>
      <c r="BR343" s="192"/>
    </row>
    <row r="344" spans="54:70" ht="17">
      <c r="BL344" s="190"/>
      <c r="BM344" s="192"/>
      <c r="BO344" s="194"/>
      <c r="BQ344" s="190"/>
      <c r="BR344" s="192"/>
    </row>
    <row r="345" spans="54:70" ht="17">
      <c r="BL345" s="190"/>
      <c r="BM345" s="192"/>
      <c r="BO345" s="194"/>
      <c r="BQ345" s="190"/>
      <c r="BR345" s="192"/>
    </row>
    <row r="346" spans="54:70" ht="17">
      <c r="BL346" s="190"/>
      <c r="BM346" s="192"/>
      <c r="BO346" s="194"/>
      <c r="BQ346" s="190"/>
      <c r="BR346" s="192"/>
    </row>
    <row r="347" spans="54:70" ht="17">
      <c r="BL347" s="190"/>
      <c r="BM347" s="192"/>
      <c r="BO347" s="194"/>
      <c r="BQ347" s="190"/>
      <c r="BR347" s="192"/>
    </row>
    <row r="348" spans="54:70" ht="17">
      <c r="BL348" s="190"/>
      <c r="BM348" s="192"/>
      <c r="BO348" s="194"/>
      <c r="BQ348" s="190"/>
      <c r="BR348" s="192"/>
    </row>
    <row r="349" spans="54:70" ht="17">
      <c r="BB349" s="288"/>
      <c r="BL349" s="190"/>
      <c r="BM349" s="192"/>
      <c r="BO349" s="194"/>
      <c r="BQ349" s="190"/>
      <c r="BR349" s="192"/>
    </row>
    <row r="350" spans="54:70" ht="17">
      <c r="BL350" s="190"/>
      <c r="BM350" s="192"/>
      <c r="BO350" s="194"/>
      <c r="BQ350" s="190"/>
      <c r="BR350" s="192"/>
    </row>
    <row r="351" spans="54:70" ht="17">
      <c r="BL351" s="190"/>
      <c r="BM351" s="192"/>
      <c r="BO351" s="194"/>
      <c r="BQ351" s="190"/>
      <c r="BR351" s="192"/>
    </row>
    <row r="352" spans="54:70" ht="17">
      <c r="BL352" s="190"/>
      <c r="BM352" s="192"/>
      <c r="BO352" s="194"/>
      <c r="BQ352" s="190"/>
      <c r="BR352" s="192"/>
    </row>
    <row r="353" spans="64:70" ht="17">
      <c r="BL353" s="190"/>
      <c r="BM353" s="192"/>
      <c r="BO353" s="194"/>
      <c r="BQ353" s="190"/>
      <c r="BR353" s="192"/>
    </row>
    <row r="354" spans="64:70" ht="17">
      <c r="BL354" s="190"/>
      <c r="BM354" s="192"/>
      <c r="BO354" s="194"/>
      <c r="BQ354" s="190"/>
      <c r="BR354" s="192"/>
    </row>
    <row r="355" spans="64:70" ht="17">
      <c r="BL355" s="190"/>
      <c r="BM355" s="192"/>
      <c r="BO355" s="194"/>
      <c r="BQ355" s="190"/>
      <c r="BR355" s="192"/>
    </row>
    <row r="356" spans="64:70">
      <c r="BL356" s="190"/>
      <c r="BM356" s="192"/>
      <c r="BQ356" s="190"/>
      <c r="BR356" s="192"/>
    </row>
    <row r="357" spans="64:70">
      <c r="BL357" s="190"/>
      <c r="BM357" s="192"/>
      <c r="BQ357" s="190"/>
      <c r="BR357" s="192"/>
    </row>
    <row r="358" spans="64:70">
      <c r="BL358" s="190"/>
      <c r="BM358" s="192"/>
      <c r="BQ358" s="190"/>
      <c r="BR358" s="192"/>
    </row>
    <row r="359" spans="64:70">
      <c r="BL359" s="190"/>
      <c r="BM359" s="192"/>
      <c r="BQ359" s="190"/>
      <c r="BR359" s="192"/>
    </row>
    <row r="360" spans="64:70">
      <c r="BL360" s="190"/>
      <c r="BM360" s="192"/>
      <c r="BQ360" s="190"/>
      <c r="BR360" s="192"/>
    </row>
    <row r="361" spans="64:70">
      <c r="BL361" s="190"/>
      <c r="BM361" s="192"/>
      <c r="BQ361" s="190"/>
      <c r="BR361" s="192"/>
    </row>
    <row r="362" spans="64:70">
      <c r="BL362" s="190"/>
      <c r="BM362" s="192"/>
      <c r="BQ362" s="190"/>
      <c r="BR362" s="192"/>
    </row>
    <row r="363" spans="64:70">
      <c r="BL363" s="190"/>
      <c r="BM363" s="192"/>
      <c r="BQ363" s="190"/>
      <c r="BR363" s="192"/>
    </row>
    <row r="364" spans="64:70">
      <c r="BL364" s="190"/>
      <c r="BM364" s="192"/>
      <c r="BQ364" s="190"/>
      <c r="BR364" s="192"/>
    </row>
    <row r="365" spans="64:70">
      <c r="BL365" s="190"/>
      <c r="BM365" s="192"/>
      <c r="BQ365" s="190"/>
      <c r="BR365" s="192"/>
    </row>
    <row r="366" spans="64:70">
      <c r="BL366" s="190"/>
      <c r="BM366" s="192"/>
      <c r="BQ366" s="190"/>
      <c r="BR366" s="192"/>
    </row>
    <row r="367" spans="64:70">
      <c r="BL367" s="190"/>
      <c r="BM367" s="192"/>
      <c r="BQ367" s="190"/>
      <c r="BR367" s="192"/>
    </row>
    <row r="368" spans="64:70">
      <c r="BL368" s="190"/>
      <c r="BM368" s="192"/>
      <c r="BQ368" s="190"/>
      <c r="BR368" s="192"/>
    </row>
    <row r="369" spans="64:70">
      <c r="BL369" s="190"/>
      <c r="BM369" s="192"/>
      <c r="BQ369" s="190"/>
      <c r="BR369" s="192"/>
    </row>
    <row r="370" spans="64:70">
      <c r="BL370" s="190"/>
      <c r="BM370" s="192"/>
      <c r="BQ370" s="190"/>
      <c r="BR370" s="192"/>
    </row>
    <row r="371" spans="64:70">
      <c r="BL371" s="190"/>
      <c r="BM371" s="192"/>
      <c r="BQ371" s="190"/>
      <c r="BR371" s="192"/>
    </row>
    <row r="372" spans="64:70">
      <c r="BL372" s="190"/>
      <c r="BM372" s="192"/>
      <c r="BQ372" s="190"/>
      <c r="BR372" s="192"/>
    </row>
    <row r="373" spans="64:70">
      <c r="BL373" s="190"/>
      <c r="BM373" s="192"/>
      <c r="BQ373" s="190"/>
      <c r="BR373" s="192"/>
    </row>
    <row r="374" spans="64:70">
      <c r="BL374" s="190"/>
      <c r="BM374" s="192"/>
      <c r="BQ374" s="190"/>
      <c r="BR374" s="192"/>
    </row>
    <row r="375" spans="64:70">
      <c r="BL375" s="190"/>
      <c r="BM375" s="192"/>
      <c r="BQ375" s="190"/>
      <c r="BR375" s="192"/>
    </row>
    <row r="376" spans="64:70">
      <c r="BL376" s="190"/>
      <c r="BM376" s="192"/>
      <c r="BQ376" s="190"/>
      <c r="BR376" s="192"/>
    </row>
    <row r="377" spans="64:70">
      <c r="BL377" s="190"/>
      <c r="BM377" s="192"/>
      <c r="BQ377" s="190"/>
      <c r="BR377" s="192"/>
    </row>
    <row r="378" spans="64:70">
      <c r="BL378" s="190"/>
      <c r="BM378" s="192"/>
      <c r="BQ378" s="190"/>
      <c r="BR378" s="192"/>
    </row>
    <row r="379" spans="64:70">
      <c r="BL379" s="190"/>
      <c r="BM379" s="192"/>
      <c r="BQ379" s="190"/>
      <c r="BR379" s="192"/>
    </row>
    <row r="380" spans="64:70">
      <c r="BL380" s="190"/>
      <c r="BM380" s="192"/>
      <c r="BQ380" s="190"/>
      <c r="BR380" s="192"/>
    </row>
    <row r="381" spans="64:70">
      <c r="BL381" s="190"/>
      <c r="BM381" s="192"/>
      <c r="BQ381" s="190"/>
      <c r="BR381" s="192"/>
    </row>
    <row r="382" spans="64:70">
      <c r="BL382" s="190"/>
      <c r="BM382" s="192"/>
      <c r="BQ382" s="190"/>
      <c r="BR382" s="192"/>
    </row>
    <row r="383" spans="64:70">
      <c r="BL383" s="190"/>
      <c r="BM383" s="192"/>
    </row>
    <row r="384" spans="64:70">
      <c r="BL384" s="190"/>
      <c r="BM384" s="192"/>
      <c r="BQ384" s="190"/>
      <c r="BR384" s="192"/>
    </row>
    <row r="385" spans="64:70">
      <c r="BL385" s="190"/>
      <c r="BM385" s="192"/>
      <c r="BQ385" s="190"/>
      <c r="BR385" s="192"/>
    </row>
    <row r="386" spans="64:70">
      <c r="BL386" s="190"/>
      <c r="BM386" s="192"/>
      <c r="BQ386" s="190"/>
      <c r="BR386" s="192"/>
    </row>
    <row r="387" spans="64:70">
      <c r="BL387" s="190"/>
      <c r="BM387" s="192"/>
      <c r="BQ387" s="190"/>
      <c r="BR387" s="192"/>
    </row>
    <row r="388" spans="64:70">
      <c r="BL388" s="190"/>
      <c r="BM388" s="192"/>
      <c r="BQ388" s="190"/>
      <c r="BR388" s="192"/>
    </row>
    <row r="389" spans="64:70">
      <c r="BL389" s="190"/>
      <c r="BM389" s="192"/>
      <c r="BQ389" s="190"/>
      <c r="BR389" s="192"/>
    </row>
    <row r="390" spans="64:70">
      <c r="BL390" s="190"/>
      <c r="BM390" s="192"/>
      <c r="BQ390" s="190"/>
      <c r="BR390" s="192"/>
    </row>
    <row r="391" spans="64:70">
      <c r="BL391" s="190"/>
      <c r="BM391" s="192"/>
      <c r="BQ391" s="190"/>
      <c r="BR391" s="192"/>
    </row>
    <row r="392" spans="64:70">
      <c r="BL392" s="190"/>
      <c r="BM392" s="192"/>
      <c r="BQ392" s="190"/>
      <c r="BR392" s="192"/>
    </row>
    <row r="393" spans="64:70">
      <c r="BL393" s="190"/>
      <c r="BM393" s="192"/>
      <c r="BQ393" s="190"/>
      <c r="BR393" s="192"/>
    </row>
    <row r="394" spans="64:70">
      <c r="BL394" s="190"/>
      <c r="BM394" s="192"/>
      <c r="BQ394" s="190"/>
      <c r="BR394" s="192"/>
    </row>
    <row r="395" spans="64:70">
      <c r="BL395" s="190"/>
      <c r="BM395" s="192"/>
      <c r="BQ395" s="190"/>
      <c r="BR395" s="192"/>
    </row>
    <row r="396" spans="64:70">
      <c r="BL396" s="190"/>
      <c r="BM396" s="192"/>
      <c r="BQ396" s="190"/>
      <c r="BR396" s="192"/>
    </row>
    <row r="397" spans="64:70">
      <c r="BL397" s="190"/>
      <c r="BM397" s="192"/>
      <c r="BQ397" s="190"/>
      <c r="BR397" s="192"/>
    </row>
    <row r="398" spans="64:70">
      <c r="BL398" s="190"/>
      <c r="BM398" s="192"/>
      <c r="BQ398" s="190"/>
      <c r="BR398" s="192"/>
    </row>
    <row r="399" spans="64:70">
      <c r="BL399" s="190"/>
      <c r="BM399" s="192"/>
      <c r="BQ399" s="190"/>
      <c r="BR399" s="192"/>
    </row>
    <row r="400" spans="64:70">
      <c r="BL400" s="190"/>
      <c r="BM400" s="192"/>
      <c r="BQ400" s="190"/>
      <c r="BR400" s="192"/>
    </row>
    <row r="401" spans="64:70">
      <c r="BL401" s="190"/>
      <c r="BM401" s="192"/>
      <c r="BQ401" s="190"/>
      <c r="BR401" s="192"/>
    </row>
    <row r="402" spans="64:70">
      <c r="BL402" s="190"/>
      <c r="BM402" s="192"/>
      <c r="BQ402" s="190"/>
      <c r="BR402" s="192"/>
    </row>
    <row r="403" spans="64:70">
      <c r="BL403" s="190"/>
      <c r="BM403" s="192"/>
      <c r="BQ403" s="190"/>
      <c r="BR403" s="192"/>
    </row>
    <row r="404" spans="64:70">
      <c r="BL404" s="190"/>
      <c r="BM404" s="192"/>
    </row>
    <row r="405" spans="64:70">
      <c r="BL405" s="190"/>
      <c r="BM405" s="192"/>
      <c r="BQ405" s="190"/>
      <c r="BR405" s="192"/>
    </row>
    <row r="406" spans="64:70">
      <c r="BL406" s="190"/>
      <c r="BM406" s="192"/>
      <c r="BQ406" s="190"/>
      <c r="BR406" s="192"/>
    </row>
    <row r="407" spans="64:70">
      <c r="BL407" s="190"/>
      <c r="BM407" s="192"/>
      <c r="BQ407" s="190"/>
      <c r="BR407" s="192"/>
    </row>
    <row r="408" spans="64:70">
      <c r="BL408" s="190"/>
      <c r="BM408" s="192"/>
      <c r="BQ408" s="190"/>
      <c r="BR408" s="192"/>
    </row>
    <row r="409" spans="64:70">
      <c r="BL409" s="190"/>
      <c r="BM409" s="192"/>
      <c r="BQ409" s="190"/>
      <c r="BR409" s="192"/>
    </row>
    <row r="410" spans="64:70">
      <c r="BL410" s="190"/>
      <c r="BM410" s="192"/>
      <c r="BQ410" s="190"/>
      <c r="BR410" s="192"/>
    </row>
    <row r="411" spans="64:70">
      <c r="BL411" s="190"/>
      <c r="BM411" s="192"/>
    </row>
    <row r="412" spans="64:70">
      <c r="BL412" s="190"/>
      <c r="BM412" s="192"/>
      <c r="BQ412" s="190"/>
      <c r="BR412" s="192"/>
    </row>
    <row r="413" spans="64:70">
      <c r="BL413" s="190"/>
      <c r="BM413" s="192"/>
      <c r="BQ413" s="190"/>
      <c r="BR413" s="192"/>
    </row>
    <row r="414" spans="64:70">
      <c r="BL414" s="190"/>
      <c r="BM414" s="192"/>
      <c r="BQ414" s="190"/>
      <c r="BR414" s="192"/>
    </row>
    <row r="415" spans="64:70">
      <c r="BL415" s="190"/>
      <c r="BM415" s="192"/>
      <c r="BQ415" s="190"/>
      <c r="BR415" s="192"/>
    </row>
    <row r="416" spans="64:70">
      <c r="BL416" s="190"/>
      <c r="BM416" s="192"/>
      <c r="BQ416" s="190"/>
      <c r="BR416" s="192"/>
    </row>
    <row r="417" spans="54:70">
      <c r="BL417" s="190"/>
      <c r="BM417" s="192"/>
      <c r="BQ417" s="190"/>
      <c r="BR417" s="192"/>
    </row>
    <row r="418" spans="54:70">
      <c r="BL418" s="190"/>
      <c r="BM418" s="192"/>
      <c r="BQ418" s="190"/>
      <c r="BR418" s="192"/>
    </row>
    <row r="419" spans="54:70">
      <c r="BL419" s="190"/>
      <c r="BM419" s="192"/>
      <c r="BQ419" s="190"/>
      <c r="BR419" s="192"/>
    </row>
    <row r="420" spans="54:70">
      <c r="BL420" s="190"/>
      <c r="BM420" s="192"/>
      <c r="BQ420" s="190"/>
      <c r="BR420" s="192"/>
    </row>
    <row r="421" spans="54:70">
      <c r="BL421" s="190"/>
      <c r="BM421" s="192"/>
      <c r="BQ421" s="190"/>
      <c r="BR421" s="192"/>
    </row>
    <row r="422" spans="54:70">
      <c r="BL422" s="190"/>
      <c r="BM422" s="192"/>
      <c r="BQ422" s="190"/>
      <c r="BR422" s="192"/>
    </row>
    <row r="423" spans="54:70">
      <c r="BL423" s="190"/>
      <c r="BM423" s="192"/>
      <c r="BQ423" s="190"/>
      <c r="BR423" s="192"/>
    </row>
    <row r="424" spans="54:70">
      <c r="BL424" s="190"/>
      <c r="BM424" s="192"/>
      <c r="BQ424" s="190"/>
      <c r="BR424" s="192"/>
    </row>
    <row r="425" spans="54:70">
      <c r="BL425" s="190"/>
      <c r="BM425" s="192"/>
      <c r="BQ425" s="190"/>
      <c r="BR425" s="192"/>
    </row>
    <row r="426" spans="54:70">
      <c r="BL426" s="190"/>
      <c r="BM426" s="192"/>
      <c r="BQ426" s="190"/>
      <c r="BR426" s="192"/>
    </row>
    <row r="427" spans="54:70">
      <c r="BL427" s="190"/>
      <c r="BM427" s="192"/>
      <c r="BQ427" s="190"/>
      <c r="BR427" s="192"/>
    </row>
    <row r="428" spans="54:70">
      <c r="BL428" s="190"/>
      <c r="BM428" s="192"/>
      <c r="BQ428" s="190"/>
      <c r="BR428" s="192"/>
    </row>
    <row r="429" spans="54:70">
      <c r="BL429" s="190"/>
      <c r="BM429" s="192"/>
      <c r="BQ429" s="190"/>
      <c r="BR429" s="192"/>
    </row>
    <row r="430" spans="54:70">
      <c r="BB430" s="288"/>
      <c r="BL430" s="190"/>
      <c r="BM430" s="192"/>
      <c r="BQ430" s="190"/>
      <c r="BR430" s="192"/>
    </row>
    <row r="431" spans="54:70">
      <c r="BL431" s="190"/>
      <c r="BM431" s="192"/>
      <c r="BQ431" s="190"/>
      <c r="BR431" s="192"/>
    </row>
    <row r="432" spans="54:70">
      <c r="BL432" s="190"/>
      <c r="BM432" s="192"/>
      <c r="BQ432" s="190"/>
      <c r="BR432" s="192"/>
    </row>
    <row r="433" spans="64:70">
      <c r="BL433" s="190"/>
      <c r="BM433" s="192"/>
      <c r="BQ433" s="190"/>
      <c r="BR433" s="192"/>
    </row>
    <row r="434" spans="64:70">
      <c r="BL434" s="190"/>
      <c r="BM434" s="192"/>
      <c r="BQ434" s="190"/>
      <c r="BR434" s="192"/>
    </row>
    <row r="435" spans="64:70">
      <c r="BL435" s="190"/>
      <c r="BM435" s="192"/>
      <c r="BQ435" s="190"/>
      <c r="BR435" s="192"/>
    </row>
    <row r="436" spans="64:70">
      <c r="BL436" s="190"/>
      <c r="BM436" s="192"/>
      <c r="BQ436" s="190"/>
      <c r="BR436" s="192"/>
    </row>
    <row r="437" spans="64:70">
      <c r="BL437" s="190"/>
      <c r="BM437" s="192"/>
      <c r="BQ437" s="190"/>
      <c r="BR437" s="192"/>
    </row>
    <row r="438" spans="64:70">
      <c r="BL438" s="190"/>
      <c r="BM438" s="192"/>
      <c r="BQ438" s="190"/>
      <c r="BR438" s="192"/>
    </row>
    <row r="439" spans="64:70">
      <c r="BL439" s="190"/>
      <c r="BM439" s="192"/>
      <c r="BQ439" s="190"/>
      <c r="BR439" s="192"/>
    </row>
    <row r="440" spans="64:70">
      <c r="BL440" s="190"/>
      <c r="BM440" s="192"/>
      <c r="BQ440" s="190"/>
      <c r="BR440" s="192"/>
    </row>
    <row r="441" spans="64:70">
      <c r="BL441" s="190"/>
      <c r="BM441" s="192"/>
      <c r="BQ441" s="190"/>
      <c r="BR441" s="192"/>
    </row>
    <row r="442" spans="64:70">
      <c r="BL442" s="190"/>
      <c r="BM442" s="192"/>
      <c r="BQ442" s="190"/>
      <c r="BR442" s="192"/>
    </row>
    <row r="443" spans="64:70">
      <c r="BL443" s="190"/>
      <c r="BM443" s="192"/>
      <c r="BQ443" s="190"/>
      <c r="BR443" s="192"/>
    </row>
    <row r="444" spans="64:70">
      <c r="BL444" s="190"/>
      <c r="BM444" s="192"/>
      <c r="BQ444" s="190"/>
      <c r="BR444" s="192"/>
    </row>
    <row r="445" spans="64:70">
      <c r="BL445" s="190"/>
      <c r="BM445" s="192"/>
      <c r="BQ445" s="190"/>
      <c r="BR445" s="192"/>
    </row>
    <row r="446" spans="64:70">
      <c r="BL446" s="190"/>
      <c r="BM446" s="192"/>
      <c r="BQ446" s="190"/>
      <c r="BR446" s="192"/>
    </row>
    <row r="447" spans="64:70">
      <c r="BL447" s="190"/>
      <c r="BM447" s="192"/>
      <c r="BQ447" s="190"/>
      <c r="BR447" s="192"/>
    </row>
    <row r="448" spans="64:70">
      <c r="BL448" s="190"/>
      <c r="BM448" s="192"/>
      <c r="BQ448" s="190"/>
      <c r="BR448" s="192"/>
    </row>
    <row r="449" spans="54:70">
      <c r="BL449" s="190"/>
      <c r="BM449" s="192"/>
      <c r="BQ449" s="190"/>
      <c r="BR449" s="192"/>
    </row>
    <row r="450" spans="54:70">
      <c r="BL450" s="190"/>
      <c r="BM450" s="192"/>
      <c r="BQ450" s="190"/>
      <c r="BR450" s="192"/>
    </row>
    <row r="451" spans="54:70">
      <c r="BB451" s="288"/>
      <c r="BL451" s="190"/>
      <c r="BM451" s="192"/>
      <c r="BQ451" s="190"/>
      <c r="BR451" s="192"/>
    </row>
    <row r="452" spans="54:70">
      <c r="BL452" s="190"/>
      <c r="BM452" s="192"/>
      <c r="BQ452" s="190"/>
      <c r="BR452" s="192"/>
    </row>
    <row r="453" spans="54:70">
      <c r="BL453" s="190"/>
      <c r="BM453" s="192"/>
      <c r="BQ453" s="190"/>
      <c r="BR453" s="192"/>
    </row>
    <row r="454" spans="54:70">
      <c r="BL454" s="190"/>
      <c r="BM454" s="192"/>
      <c r="BQ454" s="190"/>
      <c r="BR454" s="192"/>
    </row>
    <row r="455" spans="54:70">
      <c r="BL455" s="190"/>
      <c r="BM455" s="192"/>
      <c r="BQ455" s="190"/>
      <c r="BR455" s="192"/>
    </row>
    <row r="456" spans="54:70">
      <c r="BL456" s="190"/>
      <c r="BM456" s="192"/>
      <c r="BQ456" s="190"/>
      <c r="BR456" s="192"/>
    </row>
    <row r="457" spans="54:70">
      <c r="BL457" s="190"/>
      <c r="BM457" s="192"/>
      <c r="BQ457" s="190"/>
      <c r="BR457" s="192"/>
    </row>
    <row r="458" spans="54:70">
      <c r="BL458" s="190"/>
      <c r="BM458" s="192"/>
      <c r="BQ458" s="190"/>
      <c r="BR458" s="192"/>
    </row>
    <row r="459" spans="54:70">
      <c r="BL459" s="190"/>
      <c r="BM459" s="192"/>
      <c r="BQ459" s="190"/>
      <c r="BR459" s="192"/>
    </row>
    <row r="460" spans="54:70">
      <c r="BL460" s="190"/>
      <c r="BM460" s="192"/>
      <c r="BQ460" s="190"/>
      <c r="BR460" s="192"/>
    </row>
    <row r="461" spans="54:70">
      <c r="BL461" s="190"/>
      <c r="BM461" s="192"/>
      <c r="BQ461" s="190"/>
      <c r="BR461" s="192"/>
    </row>
    <row r="462" spans="54:70">
      <c r="BL462" s="190"/>
      <c r="BM462" s="192"/>
      <c r="BQ462" s="190"/>
      <c r="BR462" s="192"/>
    </row>
    <row r="463" spans="54:70">
      <c r="BB463" s="288"/>
      <c r="BL463" s="190"/>
      <c r="BM463" s="192"/>
      <c r="BQ463" s="190"/>
      <c r="BR463" s="192"/>
    </row>
    <row r="464" spans="54:70">
      <c r="BL464" s="19"/>
      <c r="BM464" s="192"/>
      <c r="BQ464" s="190"/>
      <c r="BR464" s="192"/>
    </row>
    <row r="465" spans="54:70">
      <c r="BL465" s="190"/>
      <c r="BM465" s="192"/>
      <c r="BQ465" s="190"/>
      <c r="BR465" s="192"/>
    </row>
    <row r="466" spans="54:70">
      <c r="BL466" s="190"/>
      <c r="BM466" s="192"/>
      <c r="BQ466" s="190"/>
      <c r="BR466" s="192"/>
    </row>
    <row r="467" spans="54:70">
      <c r="BL467" s="190"/>
      <c r="BM467" s="192"/>
      <c r="BQ467" s="190"/>
      <c r="BR467" s="192"/>
    </row>
    <row r="468" spans="54:70">
      <c r="BL468" s="190"/>
      <c r="BM468" s="192"/>
      <c r="BQ468" s="190"/>
      <c r="BR468" s="192"/>
    </row>
    <row r="469" spans="54:70">
      <c r="BL469" s="190"/>
      <c r="BM469" s="192"/>
      <c r="BQ469" s="190"/>
      <c r="BR469" s="192"/>
    </row>
    <row r="470" spans="54:70">
      <c r="BL470" s="190"/>
      <c r="BM470" s="192"/>
      <c r="BQ470" s="190"/>
      <c r="BR470" s="192"/>
    </row>
    <row r="471" spans="54:70">
      <c r="BB471" s="288"/>
      <c r="BL471" s="190"/>
      <c r="BM471" s="192"/>
      <c r="BQ471" s="190"/>
      <c r="BR471" s="192"/>
    </row>
    <row r="472" spans="54:70">
      <c r="BL472" s="190"/>
      <c r="BM472" s="192"/>
      <c r="BQ472" s="190"/>
      <c r="BR472" s="192"/>
    </row>
    <row r="473" spans="54:70">
      <c r="BL473" s="190"/>
      <c r="BM473" s="192"/>
      <c r="BQ473" s="190"/>
      <c r="BR473" s="192"/>
    </row>
    <row r="474" spans="54:70">
      <c r="BL474" s="190"/>
      <c r="BM474" s="192"/>
      <c r="BQ474" s="190"/>
      <c r="BR474" s="192"/>
    </row>
    <row r="475" spans="54:70">
      <c r="BL475" s="190"/>
      <c r="BM475" s="192"/>
      <c r="BQ475" s="190"/>
      <c r="BR475" s="192"/>
    </row>
    <row r="476" spans="54:70">
      <c r="BL476" s="190"/>
      <c r="BM476" s="192"/>
      <c r="BQ476" s="190"/>
      <c r="BR476" s="192"/>
    </row>
    <row r="477" spans="54:70">
      <c r="BL477" s="190"/>
      <c r="BM477" s="192"/>
      <c r="BQ477" s="190"/>
      <c r="BR477" s="192"/>
    </row>
    <row r="478" spans="54:70">
      <c r="BL478" s="190"/>
      <c r="BM478" s="192"/>
      <c r="BQ478" s="190"/>
      <c r="BR478" s="192"/>
    </row>
    <row r="479" spans="54:70">
      <c r="BL479" s="190"/>
      <c r="BM479" s="192"/>
      <c r="BQ479" s="190"/>
      <c r="BR479" s="192"/>
    </row>
    <row r="480" spans="54:70">
      <c r="BL480" s="190"/>
      <c r="BM480" s="192"/>
      <c r="BQ480" s="190"/>
      <c r="BR480" s="192"/>
    </row>
    <row r="481" spans="64:70">
      <c r="BL481" s="190"/>
      <c r="BM481" s="192"/>
      <c r="BQ481" s="190"/>
      <c r="BR481" s="192"/>
    </row>
    <row r="482" spans="64:70">
      <c r="BL482" s="190"/>
      <c r="BM482" s="192"/>
      <c r="BQ482" s="190"/>
      <c r="BR482" s="192"/>
    </row>
    <row r="483" spans="64:70">
      <c r="BL483" s="190"/>
      <c r="BM483" s="192"/>
      <c r="BQ483" s="190"/>
      <c r="BR483" s="192"/>
    </row>
    <row r="484" spans="64:70">
      <c r="BL484" s="190"/>
      <c r="BM484" s="192"/>
      <c r="BQ484" s="190"/>
      <c r="BR484" s="192"/>
    </row>
    <row r="485" spans="64:70">
      <c r="BL485" s="190"/>
      <c r="BM485" s="289"/>
      <c r="BQ485" s="190"/>
      <c r="BR485" s="192"/>
    </row>
    <row r="486" spans="64:70">
      <c r="BL486" s="190"/>
      <c r="BM486" s="289"/>
      <c r="BQ486" s="190"/>
      <c r="BR486" s="192"/>
    </row>
    <row r="487" spans="64:70">
      <c r="BL487" s="190"/>
      <c r="BM487" s="289"/>
      <c r="BQ487" s="190"/>
      <c r="BR487" s="192"/>
    </row>
    <row r="488" spans="64:70">
      <c r="BL488" s="190"/>
      <c r="BM488" s="289"/>
      <c r="BQ488" s="190"/>
      <c r="BR488" s="192"/>
    </row>
    <row r="489" spans="64:70">
      <c r="BL489" s="190"/>
      <c r="BM489" s="289"/>
      <c r="BQ489" s="190"/>
      <c r="BR489" s="192"/>
    </row>
    <row r="490" spans="64:70">
      <c r="BL490" s="190"/>
      <c r="BM490" s="289"/>
      <c r="BQ490" s="190"/>
      <c r="BR490" s="192"/>
    </row>
    <row r="491" spans="64:70">
      <c r="BL491" s="190"/>
      <c r="BM491" s="289"/>
      <c r="BQ491" s="190"/>
      <c r="BR491" s="192"/>
    </row>
    <row r="492" spans="64:70">
      <c r="BL492" s="190"/>
      <c r="BM492" s="289"/>
    </row>
    <row r="493" spans="64:70">
      <c r="BL493" s="190"/>
      <c r="BM493" s="289"/>
      <c r="BQ493" s="190"/>
      <c r="BR493" s="192"/>
    </row>
    <row r="494" spans="64:70">
      <c r="BL494" s="190"/>
      <c r="BM494" s="289"/>
      <c r="BQ494" s="190"/>
      <c r="BR494" s="192"/>
    </row>
    <row r="495" spans="64:70">
      <c r="BL495" s="190"/>
      <c r="BM495" s="289"/>
      <c r="BQ495" s="190"/>
      <c r="BR495" s="192"/>
    </row>
    <row r="496" spans="64:70">
      <c r="BL496" s="190"/>
      <c r="BM496" s="289"/>
      <c r="BQ496" s="190"/>
      <c r="BR496" s="192"/>
    </row>
    <row r="497" spans="64:70">
      <c r="BL497" s="190"/>
      <c r="BM497" s="289"/>
      <c r="BQ497" s="190"/>
      <c r="BR497" s="192"/>
    </row>
    <row r="498" spans="64:70">
      <c r="BL498" s="190"/>
      <c r="BM498" s="289"/>
      <c r="BQ498" s="190"/>
      <c r="BR498" s="192"/>
    </row>
    <row r="499" spans="64:70">
      <c r="BL499" s="190"/>
      <c r="BM499" s="289"/>
      <c r="BQ499" s="190"/>
      <c r="BR499" s="192"/>
    </row>
    <row r="500" spans="64:70">
      <c r="BL500" s="190"/>
      <c r="BM500" s="289"/>
      <c r="BQ500" s="190"/>
      <c r="BR500" s="192"/>
    </row>
    <row r="501" spans="64:70">
      <c r="BL501" s="190"/>
      <c r="BM501" s="289"/>
      <c r="BQ501" s="190"/>
      <c r="BR501" s="192"/>
    </row>
    <row r="502" spans="64:70">
      <c r="BL502" s="190"/>
      <c r="BM502" s="289"/>
      <c r="BQ502" s="190"/>
      <c r="BR502" s="192"/>
    </row>
    <row r="503" spans="64:70">
      <c r="BL503" s="190"/>
      <c r="BM503" s="289"/>
      <c r="BQ503" s="190"/>
      <c r="BR503" s="192"/>
    </row>
    <row r="504" spans="64:70">
      <c r="BL504" s="190"/>
      <c r="BM504" s="289"/>
      <c r="BQ504" s="190"/>
      <c r="BR504" s="192"/>
    </row>
    <row r="505" spans="64:70">
      <c r="BL505" s="190"/>
      <c r="BM505" s="289"/>
      <c r="BQ505" s="190"/>
      <c r="BR505" s="192"/>
    </row>
    <row r="506" spans="64:70">
      <c r="BL506" s="190"/>
      <c r="BM506" s="289"/>
      <c r="BQ506" s="190"/>
      <c r="BR506" s="192"/>
    </row>
    <row r="507" spans="64:70">
      <c r="BL507" s="190"/>
      <c r="BM507" s="289"/>
      <c r="BQ507" s="190"/>
      <c r="BR507" s="192"/>
    </row>
    <row r="508" spans="64:70">
      <c r="BL508" s="190"/>
      <c r="BM508" s="289"/>
      <c r="BQ508" s="190"/>
      <c r="BR508" s="192"/>
    </row>
    <row r="509" spans="64:70">
      <c r="BL509" s="190"/>
      <c r="BM509" s="289"/>
      <c r="BQ509" s="190"/>
      <c r="BR509" s="192"/>
    </row>
    <row r="510" spans="64:70">
      <c r="BL510" s="190"/>
      <c r="BM510" s="289"/>
      <c r="BQ510" s="190"/>
      <c r="BR510" s="192"/>
    </row>
    <row r="511" spans="64:70">
      <c r="BL511" s="190"/>
      <c r="BM511" s="289"/>
      <c r="BQ511" s="190"/>
      <c r="BR511" s="192"/>
    </row>
    <row r="512" spans="64:70">
      <c r="BL512" s="190"/>
      <c r="BM512" s="289"/>
      <c r="BQ512" s="190"/>
      <c r="BR512" s="192"/>
    </row>
    <row r="513" spans="64:70">
      <c r="BL513" s="190"/>
      <c r="BM513" s="289"/>
    </row>
    <row r="514" spans="64:70">
      <c r="BL514" s="190"/>
      <c r="BM514" s="289"/>
      <c r="BQ514" s="190"/>
      <c r="BR514" s="192"/>
    </row>
    <row r="515" spans="64:70">
      <c r="BL515" s="190"/>
      <c r="BM515" s="289"/>
      <c r="BQ515" s="190"/>
      <c r="BR515" s="192"/>
    </row>
    <row r="516" spans="64:70">
      <c r="BL516" s="190"/>
      <c r="BM516" s="289"/>
      <c r="BQ516" s="190"/>
      <c r="BR516" s="192"/>
    </row>
    <row r="517" spans="64:70">
      <c r="BL517" s="190"/>
      <c r="BM517" s="290"/>
      <c r="BQ517" s="190"/>
      <c r="BR517" s="192"/>
    </row>
    <row r="518" spans="64:70">
      <c r="BL518" s="190"/>
      <c r="BM518" s="290"/>
      <c r="BQ518" s="190"/>
      <c r="BR518" s="192"/>
    </row>
    <row r="519" spans="64:70">
      <c r="BL519" s="190"/>
      <c r="BM519" s="290"/>
      <c r="BQ519" s="190"/>
      <c r="BR519" s="192"/>
    </row>
    <row r="520" spans="64:70">
      <c r="BL520" s="190"/>
      <c r="BM520" s="290"/>
      <c r="BQ520" s="190"/>
      <c r="BR520" s="192"/>
    </row>
    <row r="521" spans="64:70">
      <c r="BL521" s="190"/>
      <c r="BM521" s="290"/>
      <c r="BQ521" s="190"/>
      <c r="BR521" s="192"/>
    </row>
    <row r="522" spans="64:70">
      <c r="BL522" s="190"/>
      <c r="BM522" s="290"/>
      <c r="BQ522" s="190"/>
      <c r="BR522" s="192"/>
    </row>
    <row r="523" spans="64:70">
      <c r="BL523" s="190"/>
      <c r="BM523" s="290"/>
      <c r="BQ523" s="190"/>
      <c r="BR523" s="192"/>
    </row>
    <row r="524" spans="64:70">
      <c r="BL524" s="190"/>
      <c r="BM524" s="290"/>
      <c r="BQ524" s="190"/>
      <c r="BR524" s="192"/>
    </row>
    <row r="525" spans="64:70">
      <c r="BL525" s="190"/>
      <c r="BM525" s="290"/>
    </row>
    <row r="526" spans="64:70">
      <c r="BL526" s="190"/>
      <c r="BM526" s="290"/>
      <c r="BQ526" s="190"/>
      <c r="BR526" s="192"/>
    </row>
    <row r="527" spans="64:70">
      <c r="BL527" s="190"/>
      <c r="BM527" s="290"/>
      <c r="BQ527" s="190"/>
      <c r="BR527" s="192"/>
    </row>
    <row r="528" spans="64:70">
      <c r="BL528" s="190"/>
      <c r="BM528" s="290"/>
      <c r="BQ528" s="190"/>
      <c r="BR528" s="192"/>
    </row>
    <row r="529" spans="64:70">
      <c r="BL529" s="190"/>
      <c r="BM529" s="290"/>
      <c r="BQ529" s="190"/>
      <c r="BR529" s="192"/>
    </row>
    <row r="530" spans="64:70">
      <c r="BL530" s="190"/>
      <c r="BM530" s="290"/>
      <c r="BQ530" s="190"/>
      <c r="BR530" s="192"/>
    </row>
    <row r="531" spans="64:70">
      <c r="BL531" s="190"/>
      <c r="BM531" s="290"/>
      <c r="BQ531" s="190"/>
      <c r="BR531" s="192"/>
    </row>
    <row r="532" spans="64:70">
      <c r="BL532" s="190"/>
      <c r="BM532" s="290"/>
      <c r="BQ532" s="190"/>
      <c r="BR532" s="192"/>
    </row>
    <row r="533" spans="64:70">
      <c r="BL533" s="190"/>
      <c r="BM533" s="290"/>
    </row>
    <row r="534" spans="64:70">
      <c r="BL534" s="190"/>
      <c r="BM534" s="290"/>
      <c r="BQ534" s="19"/>
      <c r="BR534" s="192"/>
    </row>
    <row r="535" spans="64:70">
      <c r="BL535" s="190"/>
      <c r="BM535" s="290"/>
      <c r="BQ535" s="190"/>
      <c r="BR535" s="192"/>
    </row>
    <row r="536" spans="64:70">
      <c r="BL536" s="190"/>
      <c r="BM536" s="290"/>
      <c r="BQ536" s="190"/>
      <c r="BR536" s="192"/>
    </row>
    <row r="537" spans="64:70">
      <c r="BL537" s="190"/>
      <c r="BM537" s="290"/>
      <c r="BQ537" s="190"/>
      <c r="BR537" s="192"/>
    </row>
    <row r="538" spans="64:70">
      <c r="BL538" s="190"/>
      <c r="BM538" s="290"/>
      <c r="BQ538" s="190"/>
      <c r="BR538" s="192"/>
    </row>
    <row r="539" spans="64:70">
      <c r="BL539" s="190"/>
      <c r="BM539" s="290"/>
      <c r="BQ539" s="190"/>
      <c r="BR539" s="192"/>
    </row>
    <row r="540" spans="64:70">
      <c r="BL540" s="190"/>
      <c r="BM540" s="290"/>
      <c r="BQ540" s="190"/>
      <c r="BR540" s="192"/>
    </row>
    <row r="541" spans="64:70">
      <c r="BL541" s="190"/>
      <c r="BM541" s="290"/>
      <c r="BQ541" s="190"/>
      <c r="BR541" s="192"/>
    </row>
    <row r="542" spans="64:70">
      <c r="BL542" s="190"/>
      <c r="BM542" s="290"/>
      <c r="BQ542" s="190"/>
      <c r="BR542" s="192"/>
    </row>
    <row r="543" spans="64:70">
      <c r="BL543" s="190"/>
      <c r="BM543" s="290"/>
      <c r="BQ543" s="190"/>
      <c r="BR543" s="192"/>
    </row>
    <row r="544" spans="64:70">
      <c r="BL544" s="190"/>
      <c r="BM544" s="290"/>
      <c r="BQ544" s="190"/>
      <c r="BR544" s="192"/>
    </row>
    <row r="545" spans="64:70">
      <c r="BL545" s="190"/>
      <c r="BM545" s="290"/>
      <c r="BQ545" s="190"/>
      <c r="BR545" s="192"/>
    </row>
    <row r="546" spans="64:70">
      <c r="BL546" s="190"/>
      <c r="BM546" s="290"/>
      <c r="BQ546" s="190"/>
      <c r="BR546" s="192"/>
    </row>
    <row r="547" spans="64:70">
      <c r="BL547" s="190"/>
      <c r="BM547" s="290"/>
      <c r="BQ547" s="190"/>
      <c r="BR547" s="192"/>
    </row>
    <row r="548" spans="64:70">
      <c r="BL548" s="190"/>
      <c r="BM548" s="290"/>
      <c r="BQ548" s="190"/>
      <c r="BR548" s="192"/>
    </row>
    <row r="549" spans="64:70">
      <c r="BL549" s="190"/>
      <c r="BM549" s="290"/>
      <c r="BQ549" s="190"/>
      <c r="BR549" s="192"/>
    </row>
    <row r="550" spans="64:70">
      <c r="BL550" s="190"/>
      <c r="BM550" s="290"/>
      <c r="BQ550" s="190"/>
      <c r="BR550" s="192"/>
    </row>
    <row r="551" spans="64:70">
      <c r="BL551" s="190"/>
      <c r="BM551" s="290"/>
      <c r="BQ551" s="190"/>
      <c r="BR551" s="192"/>
    </row>
    <row r="552" spans="64:70">
      <c r="BL552" s="190"/>
      <c r="BM552" s="290"/>
      <c r="BQ552" s="190"/>
      <c r="BR552" s="192"/>
    </row>
    <row r="553" spans="64:70">
      <c r="BL553" s="190"/>
      <c r="BM553" s="290"/>
      <c r="BQ553" s="190"/>
      <c r="BR553" s="192"/>
    </row>
    <row r="554" spans="64:70">
      <c r="BL554" s="190"/>
      <c r="BM554" s="290"/>
      <c r="BQ554" s="190"/>
      <c r="BR554" s="192"/>
    </row>
    <row r="555" spans="64:70">
      <c r="BL555" s="190"/>
      <c r="BM555" s="290"/>
      <c r="BQ555" s="190"/>
      <c r="BR555" s="289"/>
    </row>
    <row r="556" spans="64:70">
      <c r="BL556" s="190"/>
      <c r="BM556" s="290"/>
      <c r="BQ556" s="190"/>
      <c r="BR556" s="289"/>
    </row>
    <row r="557" spans="64:70">
      <c r="BL557" s="190"/>
      <c r="BM557" s="290"/>
      <c r="BQ557" s="190"/>
      <c r="BR557" s="289"/>
    </row>
    <row r="558" spans="64:70">
      <c r="BL558" s="190"/>
      <c r="BM558" s="290"/>
      <c r="BQ558" s="190"/>
      <c r="BR558" s="289"/>
    </row>
    <row r="559" spans="64:70">
      <c r="BL559" s="190"/>
      <c r="BM559" s="290"/>
      <c r="BQ559" s="190"/>
      <c r="BR559" s="289"/>
    </row>
    <row r="560" spans="64:70">
      <c r="BL560" s="190"/>
      <c r="BM560" s="290"/>
      <c r="BQ560" s="190"/>
      <c r="BR560" s="289"/>
    </row>
    <row r="561" spans="64:70">
      <c r="BL561" s="190"/>
      <c r="BM561" s="290"/>
      <c r="BQ561" s="190"/>
      <c r="BR561" s="289"/>
    </row>
    <row r="562" spans="64:70">
      <c r="BL562" s="190"/>
      <c r="BM562" s="290"/>
      <c r="BQ562" s="190"/>
      <c r="BR562" s="289"/>
    </row>
    <row r="563" spans="64:70">
      <c r="BL563" s="190"/>
      <c r="BM563" s="290"/>
      <c r="BQ563" s="190"/>
      <c r="BR563" s="289"/>
    </row>
    <row r="564" spans="64:70">
      <c r="BL564" s="190"/>
      <c r="BM564" s="290"/>
      <c r="BQ564" s="190"/>
      <c r="BR564" s="289"/>
    </row>
    <row r="565" spans="64:70">
      <c r="BL565" s="190"/>
      <c r="BM565" s="290"/>
      <c r="BQ565" s="190"/>
      <c r="BR565" s="289"/>
    </row>
    <row r="566" spans="64:70">
      <c r="BL566" s="190"/>
      <c r="BM566" s="290"/>
      <c r="BQ566" s="190"/>
      <c r="BR566" s="289"/>
    </row>
    <row r="567" spans="64:70">
      <c r="BL567" s="190"/>
      <c r="BM567" s="290"/>
      <c r="BQ567" s="190"/>
      <c r="BR567" s="289"/>
    </row>
    <row r="568" spans="64:70">
      <c r="BL568" s="190"/>
      <c r="BM568" s="290"/>
      <c r="BQ568" s="190"/>
      <c r="BR568" s="289"/>
    </row>
    <row r="569" spans="64:70">
      <c r="BL569" s="190"/>
      <c r="BM569" s="290"/>
      <c r="BQ569" s="190"/>
      <c r="BR569" s="289"/>
    </row>
    <row r="570" spans="64:70">
      <c r="BL570" s="190"/>
      <c r="BM570" s="290"/>
      <c r="BQ570" s="190"/>
      <c r="BR570" s="289"/>
    </row>
    <row r="571" spans="64:70">
      <c r="BL571" s="190"/>
      <c r="BM571" s="290"/>
      <c r="BQ571" s="190"/>
      <c r="BR571" s="289"/>
    </row>
    <row r="572" spans="64:70">
      <c r="BL572" s="190"/>
      <c r="BM572" s="290"/>
      <c r="BQ572" s="190"/>
      <c r="BR572" s="289"/>
    </row>
    <row r="573" spans="64:70">
      <c r="BL573" s="190"/>
      <c r="BM573" s="192"/>
      <c r="BQ573" s="190"/>
      <c r="BR573" s="289"/>
    </row>
    <row r="574" spans="64:70">
      <c r="BL574" s="190"/>
      <c r="BM574" s="192"/>
      <c r="BQ574" s="190"/>
      <c r="BR574" s="289"/>
    </row>
    <row r="575" spans="64:70">
      <c r="BL575" s="190"/>
      <c r="BM575" s="192"/>
      <c r="BQ575" s="190"/>
      <c r="BR575" s="289"/>
    </row>
    <row r="576" spans="64:70">
      <c r="BL576" s="190"/>
      <c r="BM576" s="192"/>
      <c r="BQ576" s="190"/>
      <c r="BR576" s="289"/>
    </row>
    <row r="577" spans="64:70">
      <c r="BL577" s="190"/>
      <c r="BM577" s="192"/>
      <c r="BQ577" s="190"/>
      <c r="BR577" s="289"/>
    </row>
    <row r="578" spans="64:70">
      <c r="BL578" s="190"/>
      <c r="BM578" s="192"/>
      <c r="BQ578" s="190"/>
      <c r="BR578" s="289"/>
    </row>
    <row r="579" spans="64:70">
      <c r="BL579" s="190"/>
      <c r="BM579" s="192"/>
      <c r="BQ579" s="190"/>
      <c r="BR579" s="289"/>
    </row>
    <row r="580" spans="64:70">
      <c r="BL580" s="190"/>
      <c r="BM580" s="192"/>
      <c r="BQ580" s="190"/>
      <c r="BR580" s="289"/>
    </row>
    <row r="581" spans="64:70">
      <c r="BL581" s="190"/>
      <c r="BM581" s="192"/>
      <c r="BQ581" s="190"/>
      <c r="BR581" s="289"/>
    </row>
    <row r="582" spans="64:70">
      <c r="BL582" s="190"/>
      <c r="BM582" s="192"/>
      <c r="BQ582" s="190"/>
      <c r="BR582" s="289"/>
    </row>
    <row r="583" spans="64:70">
      <c r="BL583" s="190"/>
      <c r="BM583" s="192"/>
      <c r="BQ583" s="190"/>
      <c r="BR583" s="289"/>
    </row>
    <row r="584" spans="64:70">
      <c r="BL584" s="190"/>
      <c r="BM584" s="192"/>
      <c r="BQ584" s="190"/>
      <c r="BR584" s="289"/>
    </row>
    <row r="585" spans="64:70">
      <c r="BL585" s="190"/>
      <c r="BM585" s="192"/>
      <c r="BQ585" s="190"/>
      <c r="BR585" s="289"/>
    </row>
    <row r="586" spans="64:70">
      <c r="BL586" s="190"/>
      <c r="BM586" s="192"/>
      <c r="BQ586" s="190"/>
      <c r="BR586" s="289"/>
    </row>
    <row r="587" spans="64:70">
      <c r="BL587" s="190"/>
      <c r="BM587" s="192"/>
      <c r="BQ587" s="190"/>
      <c r="BR587" s="290"/>
    </row>
    <row r="588" spans="64:70">
      <c r="BL588" s="190"/>
      <c r="BM588" s="192"/>
      <c r="BQ588" s="190"/>
      <c r="BR588" s="290"/>
    </row>
    <row r="589" spans="64:70">
      <c r="BL589" s="190"/>
      <c r="BM589" s="192"/>
      <c r="BQ589" s="190"/>
      <c r="BR589" s="290"/>
    </row>
    <row r="590" spans="64:70">
      <c r="BL590" s="190"/>
      <c r="BM590" s="192"/>
      <c r="BQ590" s="190"/>
      <c r="BR590" s="290"/>
    </row>
    <row r="591" spans="64:70">
      <c r="BL591" s="190"/>
      <c r="BM591" s="192"/>
      <c r="BQ591" s="190"/>
      <c r="BR591" s="290"/>
    </row>
    <row r="592" spans="64:70">
      <c r="BL592" s="190"/>
      <c r="BM592" s="192"/>
      <c r="BQ592" s="190"/>
      <c r="BR592" s="290"/>
    </row>
    <row r="593" spans="64:70">
      <c r="BL593" s="190"/>
      <c r="BM593" s="192"/>
      <c r="BQ593" s="190"/>
      <c r="BR593" s="290"/>
    </row>
    <row r="594" spans="64:70">
      <c r="BL594" s="190"/>
      <c r="BM594" s="192"/>
      <c r="BQ594" s="190"/>
      <c r="BR594" s="290"/>
    </row>
    <row r="595" spans="64:70">
      <c r="BL595" s="190"/>
      <c r="BM595" s="192"/>
      <c r="BQ595" s="190"/>
      <c r="BR595" s="290"/>
    </row>
    <row r="596" spans="64:70">
      <c r="BL596" s="190"/>
      <c r="BM596" s="192"/>
      <c r="BQ596" s="190"/>
      <c r="BR596" s="290"/>
    </row>
    <row r="597" spans="64:70">
      <c r="BL597" s="190"/>
      <c r="BM597" s="192"/>
      <c r="BQ597" s="190"/>
      <c r="BR597" s="290"/>
    </row>
    <row r="598" spans="64:70">
      <c r="BL598" s="190"/>
      <c r="BM598" s="192"/>
      <c r="BQ598" s="190"/>
      <c r="BR598" s="290"/>
    </row>
    <row r="599" spans="64:70">
      <c r="BL599" s="190"/>
      <c r="BM599" s="192"/>
      <c r="BQ599" s="190"/>
      <c r="BR599" s="290"/>
    </row>
    <row r="600" spans="64:70">
      <c r="BL600" s="190"/>
      <c r="BM600" s="192"/>
      <c r="BQ600" s="190"/>
      <c r="BR600" s="290"/>
    </row>
    <row r="601" spans="64:70">
      <c r="BL601" s="190"/>
      <c r="BM601" s="192"/>
      <c r="BQ601" s="190"/>
      <c r="BR601" s="290"/>
    </row>
    <row r="602" spans="64:70">
      <c r="BL602" s="190"/>
      <c r="BM602" s="192"/>
      <c r="BQ602" s="190"/>
      <c r="BR602" s="290"/>
    </row>
    <row r="603" spans="64:70">
      <c r="BL603" s="190"/>
      <c r="BM603" s="192"/>
      <c r="BQ603" s="190"/>
      <c r="BR603" s="290"/>
    </row>
    <row r="604" spans="64:70">
      <c r="BL604" s="190"/>
      <c r="BM604" s="192"/>
      <c r="BQ604" s="190"/>
      <c r="BR604" s="290"/>
    </row>
    <row r="605" spans="64:70">
      <c r="BL605" s="190"/>
      <c r="BM605" s="192"/>
      <c r="BQ605" s="190"/>
      <c r="BR605" s="290"/>
    </row>
    <row r="606" spans="64:70">
      <c r="BL606" s="190"/>
      <c r="BM606" s="192"/>
      <c r="BQ606" s="190"/>
      <c r="BR606" s="290"/>
    </row>
    <row r="607" spans="64:70">
      <c r="BL607" s="190"/>
      <c r="BM607" s="192"/>
      <c r="BQ607" s="190"/>
      <c r="BR607" s="290"/>
    </row>
    <row r="608" spans="64:70">
      <c r="BL608" s="190"/>
      <c r="BM608" s="192"/>
      <c r="BQ608" s="190"/>
      <c r="BR608" s="290"/>
    </row>
    <row r="609" spans="64:70">
      <c r="BL609" s="190"/>
      <c r="BM609" s="192"/>
      <c r="BQ609" s="190"/>
      <c r="BR609" s="290"/>
    </row>
    <row r="610" spans="64:70">
      <c r="BL610" s="190"/>
      <c r="BM610" s="192"/>
      <c r="BQ610" s="190"/>
      <c r="BR610" s="290"/>
    </row>
    <row r="611" spans="64:70">
      <c r="BL611" s="190"/>
      <c r="BM611" s="192"/>
      <c r="BQ611" s="190"/>
      <c r="BR611" s="290"/>
    </row>
    <row r="612" spans="64:70">
      <c r="BL612" s="190"/>
      <c r="BM612" s="192"/>
      <c r="BQ612" s="190"/>
      <c r="BR612" s="290"/>
    </row>
    <row r="613" spans="64:70">
      <c r="BL613" s="190"/>
      <c r="BM613" s="192"/>
      <c r="BQ613" s="190"/>
      <c r="BR613" s="290"/>
    </row>
    <row r="614" spans="64:70">
      <c r="BL614" s="190"/>
      <c r="BM614" s="192"/>
      <c r="BQ614" s="190"/>
      <c r="BR614" s="290"/>
    </row>
    <row r="615" spans="64:70">
      <c r="BL615" s="190"/>
      <c r="BM615" s="192"/>
      <c r="BQ615" s="190"/>
      <c r="BR615" s="290"/>
    </row>
    <row r="616" spans="64:70">
      <c r="BL616" s="190"/>
      <c r="BM616" s="192"/>
      <c r="BQ616" s="190"/>
      <c r="BR616" s="290"/>
    </row>
    <row r="617" spans="64:70">
      <c r="BL617" s="190"/>
      <c r="BM617" s="192"/>
      <c r="BQ617" s="190"/>
      <c r="BR617" s="290"/>
    </row>
    <row r="618" spans="64:70">
      <c r="BL618" s="190"/>
      <c r="BM618" s="192"/>
      <c r="BQ618" s="190"/>
      <c r="BR618" s="290"/>
    </row>
    <row r="619" spans="64:70">
      <c r="BL619" s="190"/>
      <c r="BM619" s="192"/>
      <c r="BQ619" s="190"/>
      <c r="BR619" s="290"/>
    </row>
    <row r="620" spans="64:70">
      <c r="BL620" s="190"/>
      <c r="BM620" s="192"/>
      <c r="BQ620" s="190"/>
      <c r="BR620" s="290"/>
    </row>
    <row r="621" spans="64:70">
      <c r="BL621" s="190"/>
      <c r="BM621" s="192"/>
      <c r="BQ621" s="190"/>
      <c r="BR621" s="290"/>
    </row>
    <row r="622" spans="64:70">
      <c r="BL622" s="190"/>
      <c r="BM622" s="192"/>
      <c r="BQ622" s="190"/>
      <c r="BR622" s="290"/>
    </row>
    <row r="623" spans="64:70">
      <c r="BL623" s="190"/>
      <c r="BM623" s="192"/>
      <c r="BQ623" s="190"/>
      <c r="BR623" s="290"/>
    </row>
    <row r="624" spans="64:70">
      <c r="BL624" s="190"/>
      <c r="BM624" s="192"/>
      <c r="BQ624" s="190"/>
      <c r="BR624" s="290"/>
    </row>
    <row r="625" spans="64:70">
      <c r="BL625" s="190"/>
      <c r="BM625" s="192"/>
      <c r="BQ625" s="190"/>
      <c r="BR625" s="290"/>
    </row>
    <row r="626" spans="64:70">
      <c r="BL626" s="190"/>
      <c r="BM626" s="192"/>
      <c r="BQ626" s="190"/>
      <c r="BR626" s="290"/>
    </row>
    <row r="627" spans="64:70">
      <c r="BL627" s="190"/>
      <c r="BM627" s="192"/>
      <c r="BQ627" s="190"/>
      <c r="BR627" s="290"/>
    </row>
    <row r="628" spans="64:70">
      <c r="BL628" s="190"/>
      <c r="BM628" s="192"/>
      <c r="BQ628" s="190"/>
      <c r="BR628" s="290"/>
    </row>
    <row r="629" spans="64:70">
      <c r="BL629" s="190"/>
      <c r="BM629" s="192"/>
      <c r="BQ629" s="190"/>
      <c r="BR629" s="290"/>
    </row>
    <row r="630" spans="64:70">
      <c r="BL630" s="190"/>
      <c r="BM630" s="192"/>
      <c r="BQ630" s="190"/>
      <c r="BR630" s="290"/>
    </row>
    <row r="631" spans="64:70">
      <c r="BL631" s="190"/>
      <c r="BM631" s="192"/>
      <c r="BQ631" s="190"/>
      <c r="BR631" s="290"/>
    </row>
    <row r="632" spans="64:70">
      <c r="BL632" s="190"/>
      <c r="BM632" s="192"/>
      <c r="BQ632" s="190"/>
      <c r="BR632" s="290"/>
    </row>
    <row r="633" spans="64:70">
      <c r="BL633" s="190"/>
      <c r="BM633" s="192"/>
      <c r="BQ633" s="190"/>
      <c r="BR633" s="290"/>
    </row>
    <row r="634" spans="64:70">
      <c r="BL634" s="190"/>
      <c r="BM634" s="192"/>
      <c r="BQ634" s="190"/>
      <c r="BR634" s="290"/>
    </row>
    <row r="635" spans="64:70">
      <c r="BL635" s="190"/>
      <c r="BM635" s="192"/>
      <c r="BQ635" s="190"/>
      <c r="BR635" s="290"/>
    </row>
    <row r="636" spans="64:70">
      <c r="BL636" s="190"/>
      <c r="BM636" s="192"/>
      <c r="BQ636" s="190"/>
      <c r="BR636" s="290"/>
    </row>
    <row r="637" spans="64:70">
      <c r="BL637" s="190"/>
      <c r="BM637" s="192"/>
      <c r="BQ637" s="190"/>
      <c r="BR637" s="290"/>
    </row>
    <row r="638" spans="64:70">
      <c r="BL638" s="190"/>
      <c r="BM638" s="192"/>
      <c r="BQ638" s="190"/>
      <c r="BR638" s="290"/>
    </row>
    <row r="639" spans="64:70">
      <c r="BL639" s="190"/>
      <c r="BM639" s="192"/>
      <c r="BQ639" s="190"/>
      <c r="BR639" s="290"/>
    </row>
    <row r="640" spans="64:70">
      <c r="BL640" s="190"/>
      <c r="BM640" s="192"/>
      <c r="BQ640" s="190"/>
      <c r="BR640" s="290"/>
    </row>
    <row r="641" spans="64:70">
      <c r="BL641" s="190"/>
      <c r="BM641" s="192"/>
      <c r="BQ641" s="190"/>
      <c r="BR641" s="290"/>
    </row>
    <row r="642" spans="64:70">
      <c r="BL642" s="190"/>
      <c r="BM642" s="192"/>
      <c r="BQ642" s="190"/>
      <c r="BR642" s="290"/>
    </row>
    <row r="643" spans="64:70">
      <c r="BL643" s="190"/>
      <c r="BM643" s="192"/>
    </row>
    <row r="644" spans="64:70">
      <c r="BL644" s="190"/>
      <c r="BM644" s="192"/>
      <c r="BR644" s="192"/>
    </row>
    <row r="645" spans="64:70">
      <c r="BL645" s="190"/>
      <c r="BM645" s="192"/>
      <c r="BR645" s="192"/>
    </row>
    <row r="646" spans="64:70">
      <c r="BL646" s="190"/>
      <c r="BM646" s="192"/>
      <c r="BR646" s="192"/>
    </row>
    <row r="647" spans="64:70">
      <c r="BL647" s="190"/>
      <c r="BM647" s="192"/>
      <c r="BR647" s="192"/>
    </row>
    <row r="648" spans="64:70">
      <c r="BL648" s="190"/>
      <c r="BM648" s="192"/>
      <c r="BR648" s="192"/>
    </row>
    <row r="649" spans="64:70">
      <c r="BL649" s="190"/>
      <c r="BM649" s="192"/>
      <c r="BR649" s="192"/>
    </row>
    <row r="650" spans="64:70">
      <c r="BL650" s="190"/>
      <c r="BM650" s="192"/>
      <c r="BR650" s="192"/>
    </row>
    <row r="651" spans="64:70">
      <c r="BL651" s="190"/>
      <c r="BM651" s="192"/>
      <c r="BR651" s="192"/>
    </row>
    <row r="652" spans="64:70">
      <c r="BL652" s="190"/>
      <c r="BM652" s="192"/>
      <c r="BR652" s="192"/>
    </row>
    <row r="653" spans="64:70">
      <c r="BL653" s="190"/>
      <c r="BM653" s="192"/>
      <c r="BR653" s="192"/>
    </row>
    <row r="654" spans="64:70">
      <c r="BL654" s="190"/>
      <c r="BM654" s="192"/>
      <c r="BR654" s="192"/>
    </row>
    <row r="655" spans="64:70">
      <c r="BL655" s="190"/>
      <c r="BM655" s="192"/>
      <c r="BR655" s="192"/>
    </row>
    <row r="656" spans="64:70">
      <c r="BL656" s="190"/>
      <c r="BM656" s="192"/>
      <c r="BR656" s="192"/>
    </row>
    <row r="657" spans="64:70">
      <c r="BL657" s="190"/>
      <c r="BM657" s="192"/>
      <c r="BR657" s="192"/>
    </row>
    <row r="658" spans="64:70">
      <c r="BL658" s="190"/>
      <c r="BM658" s="192"/>
      <c r="BR658" s="192"/>
    </row>
    <row r="659" spans="64:70">
      <c r="BL659" s="190"/>
      <c r="BM659" s="192"/>
      <c r="BR659" s="192"/>
    </row>
    <row r="660" spans="64:70">
      <c r="BL660" s="190"/>
      <c r="BM660" s="192"/>
      <c r="BR660" s="192"/>
    </row>
    <row r="661" spans="64:70">
      <c r="BL661" s="190"/>
      <c r="BM661" s="192"/>
      <c r="BR661" s="192"/>
    </row>
    <row r="662" spans="64:70">
      <c r="BL662" s="190"/>
      <c r="BM662" s="192"/>
      <c r="BR662" s="192"/>
    </row>
    <row r="663" spans="64:70">
      <c r="BL663" s="190"/>
      <c r="BM663" s="192"/>
      <c r="BR663" s="192"/>
    </row>
    <row r="664" spans="64:70">
      <c r="BL664" s="190"/>
      <c r="BM664" s="192"/>
      <c r="BR664" s="192"/>
    </row>
    <row r="665" spans="64:70">
      <c r="BL665" s="190"/>
      <c r="BM665" s="192"/>
      <c r="BR665" s="192"/>
    </row>
    <row r="666" spans="64:70">
      <c r="BL666" s="190"/>
      <c r="BM666" s="192"/>
      <c r="BR666" s="192"/>
    </row>
    <row r="667" spans="64:70">
      <c r="BL667" s="190"/>
      <c r="BM667" s="192"/>
      <c r="BQ667" s="190"/>
      <c r="BR667" s="192"/>
    </row>
    <row r="668" spans="64:70">
      <c r="BL668" s="190"/>
      <c r="BM668" s="192"/>
      <c r="BQ668" s="190"/>
      <c r="BR668" s="192"/>
    </row>
    <row r="669" spans="64:70">
      <c r="BL669" s="190"/>
      <c r="BM669" s="192"/>
      <c r="BQ669" s="190"/>
      <c r="BR669" s="192"/>
    </row>
    <row r="670" spans="64:70">
      <c r="BL670" s="190"/>
      <c r="BM670" s="192"/>
      <c r="BQ670" s="190"/>
      <c r="BR670" s="192"/>
    </row>
    <row r="671" spans="64:70">
      <c r="BL671" s="190"/>
      <c r="BM671" s="192"/>
      <c r="BQ671" s="190"/>
      <c r="BR671" s="192"/>
    </row>
    <row r="672" spans="64:70">
      <c r="BL672" s="190"/>
      <c r="BM672" s="192"/>
      <c r="BQ672" s="190"/>
      <c r="BR672" s="192"/>
    </row>
    <row r="673" spans="64:70">
      <c r="BL673" s="190"/>
      <c r="BM673" s="192"/>
      <c r="BQ673" s="190"/>
      <c r="BR673" s="192"/>
    </row>
    <row r="674" spans="64:70">
      <c r="BL674" s="190"/>
      <c r="BM674" s="192"/>
      <c r="BQ674" s="190"/>
      <c r="BR674" s="192"/>
    </row>
    <row r="675" spans="64:70">
      <c r="BL675" s="190"/>
      <c r="BM675" s="192"/>
      <c r="BQ675" s="190"/>
      <c r="BR675" s="192"/>
    </row>
    <row r="676" spans="64:70">
      <c r="BL676" s="190"/>
      <c r="BM676" s="192"/>
      <c r="BQ676" s="190"/>
      <c r="BR676" s="192"/>
    </row>
    <row r="677" spans="64:70">
      <c r="BL677" s="190"/>
      <c r="BM677" s="192"/>
      <c r="BQ677" s="190"/>
      <c r="BR677" s="192"/>
    </row>
    <row r="678" spans="64:70">
      <c r="BL678" s="190"/>
      <c r="BM678" s="192"/>
      <c r="BQ678" s="190"/>
      <c r="BR678" s="192"/>
    </row>
    <row r="679" spans="64:70">
      <c r="BL679" s="190"/>
      <c r="BM679" s="192"/>
      <c r="BQ679" s="190"/>
      <c r="BR679" s="192"/>
    </row>
    <row r="680" spans="64:70">
      <c r="BL680" s="190"/>
      <c r="BM680" s="192"/>
      <c r="BQ680" s="190"/>
      <c r="BR680" s="192"/>
    </row>
    <row r="681" spans="64:70">
      <c r="BL681" s="190"/>
      <c r="BM681" s="192"/>
      <c r="BQ681" s="190"/>
      <c r="BR681" s="192"/>
    </row>
    <row r="682" spans="64:70">
      <c r="BL682" s="190"/>
      <c r="BM682" s="192"/>
      <c r="BQ682" s="190"/>
      <c r="BR682" s="192"/>
    </row>
    <row r="683" spans="64:70">
      <c r="BL683" s="190"/>
      <c r="BM683" s="192"/>
      <c r="BQ683" s="190"/>
      <c r="BR683" s="192"/>
    </row>
    <row r="684" spans="64:70">
      <c r="BL684" s="190"/>
      <c r="BM684" s="192"/>
      <c r="BQ684" s="190"/>
      <c r="BR684" s="192"/>
    </row>
    <row r="685" spans="64:70">
      <c r="BL685" s="190"/>
      <c r="BM685" s="192"/>
      <c r="BQ685" s="190"/>
      <c r="BR685" s="192"/>
    </row>
    <row r="686" spans="64:70">
      <c r="BL686" s="190"/>
      <c r="BM686" s="192"/>
      <c r="BQ686" s="190"/>
      <c r="BR686" s="192"/>
    </row>
    <row r="687" spans="64:70">
      <c r="BL687" s="190"/>
      <c r="BM687" s="192"/>
      <c r="BQ687" s="190"/>
      <c r="BR687" s="192"/>
    </row>
    <row r="688" spans="64:70">
      <c r="BL688" s="190"/>
      <c r="BM688" s="192"/>
      <c r="BQ688" s="190"/>
      <c r="BR688" s="192"/>
    </row>
    <row r="689" spans="64:70">
      <c r="BL689" s="190"/>
      <c r="BM689" s="192"/>
      <c r="BQ689" s="190"/>
      <c r="BR689" s="192"/>
    </row>
    <row r="690" spans="64:70">
      <c r="BL690" s="190"/>
      <c r="BM690" s="192"/>
      <c r="BQ690" s="190"/>
      <c r="BR690" s="192"/>
    </row>
    <row r="691" spans="64:70">
      <c r="BL691" s="190"/>
      <c r="BM691" s="192"/>
      <c r="BQ691" s="190"/>
      <c r="BR691" s="192"/>
    </row>
    <row r="692" spans="64:70">
      <c r="BL692" s="190"/>
      <c r="BM692" s="192"/>
      <c r="BQ692" s="190"/>
      <c r="BR692" s="192"/>
    </row>
    <row r="693" spans="64:70">
      <c r="BL693" s="190"/>
      <c r="BM693" s="192"/>
      <c r="BQ693" s="190"/>
      <c r="BR693" s="192"/>
    </row>
    <row r="694" spans="64:70">
      <c r="BL694" s="190"/>
      <c r="BM694" s="192"/>
      <c r="BQ694" s="190"/>
      <c r="BR694" s="192"/>
    </row>
    <row r="695" spans="64:70">
      <c r="BL695" s="190"/>
      <c r="BM695" s="192"/>
      <c r="BQ695" s="190"/>
      <c r="BR695" s="192"/>
    </row>
    <row r="696" spans="64:70">
      <c r="BL696" s="190"/>
      <c r="BM696" s="192"/>
      <c r="BQ696" s="190"/>
      <c r="BR696" s="192"/>
    </row>
    <row r="697" spans="64:70">
      <c r="BL697" s="190"/>
      <c r="BM697" s="192"/>
      <c r="BQ697" s="190"/>
      <c r="BR697" s="192"/>
    </row>
    <row r="698" spans="64:70">
      <c r="BL698" s="190"/>
      <c r="BM698" s="192"/>
      <c r="BQ698" s="190"/>
      <c r="BR698" s="192"/>
    </row>
    <row r="699" spans="64:70">
      <c r="BL699" s="190"/>
      <c r="BM699" s="192"/>
      <c r="BQ699" s="190"/>
      <c r="BR699" s="192"/>
    </row>
    <row r="700" spans="64:70">
      <c r="BL700" s="190"/>
      <c r="BM700" s="192"/>
      <c r="BQ700" s="190"/>
      <c r="BR700" s="192"/>
    </row>
    <row r="701" spans="64:70">
      <c r="BL701" s="190"/>
      <c r="BM701" s="192"/>
      <c r="BQ701" s="190"/>
      <c r="BR701" s="192"/>
    </row>
    <row r="702" spans="64:70">
      <c r="BL702" s="190"/>
      <c r="BM702" s="192"/>
      <c r="BQ702" s="190"/>
      <c r="BR702" s="192"/>
    </row>
    <row r="703" spans="64:70">
      <c r="BL703" s="190"/>
      <c r="BM703" s="192"/>
      <c r="BQ703" s="190"/>
      <c r="BR703" s="192"/>
    </row>
    <row r="704" spans="64:70">
      <c r="BL704" s="190"/>
      <c r="BM704" s="192"/>
      <c r="BQ704" s="190"/>
      <c r="BR704" s="192"/>
    </row>
    <row r="705" spans="64:70">
      <c r="BL705" s="190"/>
      <c r="BM705" s="192"/>
      <c r="BQ705" s="190"/>
      <c r="BR705" s="192"/>
    </row>
    <row r="706" spans="64:70">
      <c r="BL706" s="190"/>
      <c r="BM706" s="192"/>
      <c r="BQ706" s="190"/>
      <c r="BR706" s="192"/>
    </row>
    <row r="707" spans="64:70">
      <c r="BL707" s="190"/>
      <c r="BM707" s="192"/>
      <c r="BQ707" s="190"/>
      <c r="BR707" s="192"/>
    </row>
    <row r="708" spans="64:70">
      <c r="BL708" s="190"/>
      <c r="BM708" s="192"/>
      <c r="BQ708" s="190"/>
      <c r="BR708" s="192"/>
    </row>
    <row r="709" spans="64:70">
      <c r="BL709" s="190"/>
      <c r="BM709" s="192"/>
      <c r="BQ709" s="190"/>
      <c r="BR709" s="192"/>
    </row>
    <row r="710" spans="64:70">
      <c r="BL710" s="190"/>
      <c r="BM710" s="192"/>
      <c r="BQ710" s="190"/>
      <c r="BR710" s="192"/>
    </row>
    <row r="711" spans="64:70">
      <c r="BL711" s="190"/>
      <c r="BM711" s="192"/>
      <c r="BQ711" s="190"/>
      <c r="BR711" s="192"/>
    </row>
    <row r="712" spans="64:70">
      <c r="BL712" s="190"/>
      <c r="BM712" s="192"/>
      <c r="BQ712" s="190"/>
      <c r="BR712" s="192"/>
    </row>
    <row r="713" spans="64:70">
      <c r="BL713" s="190"/>
      <c r="BM713" s="192"/>
      <c r="BQ713" s="190"/>
      <c r="BR713" s="192"/>
    </row>
    <row r="714" spans="64:70">
      <c r="BL714" s="190"/>
      <c r="BM714" s="192"/>
      <c r="BQ714" s="190"/>
      <c r="BR714" s="192"/>
    </row>
    <row r="715" spans="64:70">
      <c r="BL715" s="190"/>
      <c r="BM715" s="192"/>
      <c r="BQ715" s="190"/>
      <c r="BR715" s="192"/>
    </row>
    <row r="716" spans="64:70">
      <c r="BL716" s="190"/>
      <c r="BM716" s="192"/>
      <c r="BQ716" s="190"/>
      <c r="BR716" s="192"/>
    </row>
    <row r="717" spans="64:70">
      <c r="BL717" s="190"/>
      <c r="BM717" s="192"/>
      <c r="BQ717" s="190"/>
      <c r="BR717" s="192"/>
    </row>
    <row r="718" spans="64:70">
      <c r="BL718" s="190"/>
      <c r="BM718" s="192"/>
      <c r="BQ718" s="190"/>
      <c r="BR718" s="192"/>
    </row>
    <row r="719" spans="64:70">
      <c r="BL719" s="190"/>
      <c r="BM719" s="192"/>
      <c r="BQ719" s="190"/>
      <c r="BR719" s="192"/>
    </row>
    <row r="720" spans="64:70">
      <c r="BL720" s="190"/>
      <c r="BM720" s="192"/>
      <c r="BQ720" s="190"/>
      <c r="BR720" s="192"/>
    </row>
    <row r="721" spans="64:70">
      <c r="BL721" s="190"/>
      <c r="BM721" s="192"/>
      <c r="BQ721" s="190"/>
      <c r="BR721" s="192"/>
    </row>
    <row r="722" spans="64:70">
      <c r="BL722" s="190"/>
      <c r="BM722" s="192"/>
      <c r="BQ722" s="190"/>
      <c r="BR722" s="192"/>
    </row>
    <row r="723" spans="64:70">
      <c r="BL723" s="190"/>
      <c r="BM723" s="192"/>
      <c r="BQ723" s="190"/>
      <c r="BR723" s="192"/>
    </row>
    <row r="724" spans="64:70">
      <c r="BL724" s="190"/>
      <c r="BM724" s="192"/>
      <c r="BQ724" s="190"/>
      <c r="BR724" s="192"/>
    </row>
    <row r="725" spans="64:70">
      <c r="BL725" s="190"/>
      <c r="BM725" s="192"/>
      <c r="BQ725" s="190"/>
      <c r="BR725" s="192"/>
    </row>
    <row r="726" spans="64:70">
      <c r="BL726" s="190"/>
      <c r="BM726" s="192"/>
      <c r="BQ726" s="190"/>
      <c r="BR726" s="192"/>
    </row>
    <row r="727" spans="64:70">
      <c r="BL727" s="190"/>
      <c r="BM727" s="192"/>
      <c r="BQ727" s="190"/>
      <c r="BR727" s="192"/>
    </row>
    <row r="728" spans="64:70">
      <c r="BL728" s="190"/>
      <c r="BM728" s="192"/>
      <c r="BQ728" s="190"/>
      <c r="BR728" s="192"/>
    </row>
    <row r="729" spans="64:70">
      <c r="BL729" s="190"/>
      <c r="BM729" s="192"/>
      <c r="BQ729" s="190"/>
      <c r="BR729" s="192"/>
    </row>
    <row r="730" spans="64:70">
      <c r="BL730" s="190"/>
      <c r="BM730" s="192"/>
      <c r="BQ730" s="190"/>
      <c r="BR730" s="192"/>
    </row>
    <row r="731" spans="64:70">
      <c r="BL731" s="190"/>
      <c r="BM731" s="192"/>
      <c r="BQ731" s="190"/>
      <c r="BR731" s="192"/>
    </row>
    <row r="732" spans="64:70">
      <c r="BL732" s="190"/>
      <c r="BM732" s="192"/>
      <c r="BQ732" s="190"/>
      <c r="BR732" s="192"/>
    </row>
    <row r="733" spans="64:70">
      <c r="BL733" s="190"/>
      <c r="BM733" s="192"/>
      <c r="BQ733" s="190"/>
      <c r="BR733" s="192"/>
    </row>
    <row r="734" spans="64:70">
      <c r="BL734" s="190"/>
      <c r="BM734" s="192"/>
      <c r="BQ734" s="190"/>
      <c r="BR734" s="192"/>
    </row>
    <row r="735" spans="64:70">
      <c r="BL735" s="190"/>
      <c r="BM735" s="192"/>
      <c r="BQ735" s="190"/>
      <c r="BR735" s="192"/>
    </row>
    <row r="736" spans="64:70">
      <c r="BL736" s="190"/>
      <c r="BM736" s="192"/>
      <c r="BQ736" s="190"/>
      <c r="BR736" s="192"/>
    </row>
    <row r="737" spans="64:70">
      <c r="BL737" s="190"/>
      <c r="BM737" s="192"/>
      <c r="BQ737" s="190"/>
      <c r="BR737" s="192"/>
    </row>
    <row r="738" spans="64:70">
      <c r="BL738" s="190"/>
      <c r="BM738" s="192"/>
      <c r="BQ738" s="190"/>
      <c r="BR738" s="192"/>
    </row>
    <row r="739" spans="64:70">
      <c r="BL739" s="190"/>
      <c r="BM739" s="192"/>
      <c r="BQ739" s="190"/>
      <c r="BR739" s="192"/>
    </row>
    <row r="740" spans="64:70">
      <c r="BL740" s="190"/>
      <c r="BM740" s="192"/>
      <c r="BQ740" s="190"/>
      <c r="BR740" s="192"/>
    </row>
    <row r="741" spans="64:70">
      <c r="BL741" s="190"/>
      <c r="BM741" s="192"/>
      <c r="BQ741" s="190"/>
      <c r="BR741" s="192"/>
    </row>
    <row r="742" spans="64:70">
      <c r="BL742" s="190"/>
      <c r="BM742" s="192"/>
      <c r="BQ742" s="190"/>
      <c r="BR742" s="192"/>
    </row>
    <row r="743" spans="64:70">
      <c r="BL743" s="190"/>
      <c r="BM743" s="192"/>
      <c r="BQ743" s="190"/>
      <c r="BR743" s="192"/>
    </row>
    <row r="744" spans="64:70">
      <c r="BL744" s="190"/>
      <c r="BM744" s="192"/>
      <c r="BQ744" s="190"/>
      <c r="BR744" s="192"/>
    </row>
    <row r="745" spans="64:70">
      <c r="BL745" s="190"/>
      <c r="BM745" s="192"/>
      <c r="BQ745" s="190"/>
      <c r="BR745" s="192"/>
    </row>
    <row r="746" spans="64:70">
      <c r="BL746" s="190"/>
      <c r="BM746" s="192"/>
      <c r="BQ746" s="190"/>
      <c r="BR746" s="192"/>
    </row>
    <row r="747" spans="64:70">
      <c r="BL747" s="190"/>
      <c r="BM747" s="192"/>
      <c r="BQ747" s="190"/>
      <c r="BR747" s="192"/>
    </row>
    <row r="748" spans="64:70">
      <c r="BL748" s="190"/>
      <c r="BM748" s="192"/>
      <c r="BQ748" s="190"/>
      <c r="BR748" s="192"/>
    </row>
    <row r="749" spans="64:70">
      <c r="BL749" s="190"/>
      <c r="BM749" s="192"/>
      <c r="BQ749" s="190"/>
      <c r="BR749" s="192"/>
    </row>
    <row r="750" spans="64:70">
      <c r="BL750" s="190"/>
      <c r="BM750" s="192"/>
      <c r="BQ750" s="190"/>
      <c r="BR750" s="192"/>
    </row>
    <row r="751" spans="64:70">
      <c r="BL751" s="190"/>
      <c r="BM751" s="192"/>
      <c r="BQ751" s="190"/>
      <c r="BR751" s="192"/>
    </row>
    <row r="752" spans="64:70">
      <c r="BL752" s="190"/>
      <c r="BM752" s="192"/>
      <c r="BQ752" s="190"/>
      <c r="BR752" s="192"/>
    </row>
    <row r="753" spans="64:70">
      <c r="BL753" s="190"/>
      <c r="BM753" s="192"/>
      <c r="BQ753" s="190"/>
      <c r="BR753" s="192"/>
    </row>
    <row r="754" spans="64:70">
      <c r="BL754" s="190"/>
      <c r="BM754" s="192"/>
      <c r="BQ754" s="190"/>
      <c r="BR754" s="192"/>
    </row>
    <row r="755" spans="64:70">
      <c r="BL755" s="190"/>
      <c r="BM755" s="192"/>
      <c r="BQ755" s="190"/>
      <c r="BR755" s="192"/>
    </row>
    <row r="756" spans="64:70">
      <c r="BL756" s="190"/>
      <c r="BM756" s="192"/>
      <c r="BQ756" s="190"/>
      <c r="BR756" s="192"/>
    </row>
    <row r="757" spans="64:70">
      <c r="BL757" s="190"/>
      <c r="BM757" s="192"/>
      <c r="BQ757" s="190"/>
      <c r="BR757" s="192"/>
    </row>
    <row r="758" spans="64:70">
      <c r="BL758" s="190"/>
      <c r="BM758" s="192"/>
      <c r="BQ758" s="190"/>
      <c r="BR758" s="192"/>
    </row>
    <row r="759" spans="64:70">
      <c r="BL759" s="190"/>
      <c r="BM759" s="192"/>
      <c r="BQ759" s="190"/>
      <c r="BR759" s="192"/>
    </row>
    <row r="760" spans="64:70">
      <c r="BL760" s="190"/>
      <c r="BM760" s="192"/>
      <c r="BQ760" s="190"/>
      <c r="BR760" s="192"/>
    </row>
    <row r="761" spans="64:70">
      <c r="BL761" s="190"/>
      <c r="BM761" s="192"/>
      <c r="BQ761" s="190"/>
      <c r="BR761" s="192"/>
    </row>
    <row r="762" spans="64:70">
      <c r="BL762" s="190"/>
      <c r="BM762" s="192"/>
      <c r="BQ762" s="190"/>
      <c r="BR762" s="192"/>
    </row>
    <row r="763" spans="64:70">
      <c r="BL763" s="190"/>
      <c r="BM763" s="192"/>
      <c r="BQ763" s="190"/>
      <c r="BR763" s="192"/>
    </row>
    <row r="764" spans="64:70">
      <c r="BL764" s="190"/>
      <c r="BM764" s="192"/>
      <c r="BQ764" s="190"/>
      <c r="BR764" s="192"/>
    </row>
    <row r="765" spans="64:70">
      <c r="BL765" s="190"/>
      <c r="BM765" s="192"/>
      <c r="BQ765" s="190"/>
      <c r="BR765" s="192"/>
    </row>
    <row r="766" spans="64:70">
      <c r="BL766" s="190"/>
      <c r="BM766" s="192"/>
      <c r="BQ766" s="190"/>
      <c r="BR766" s="192"/>
    </row>
    <row r="767" spans="64:70">
      <c r="BL767" s="190"/>
      <c r="BM767" s="192"/>
      <c r="BQ767" s="190"/>
      <c r="BR767" s="192"/>
    </row>
    <row r="768" spans="64:70">
      <c r="BL768" s="190"/>
      <c r="BM768" s="192"/>
      <c r="BQ768" s="190"/>
      <c r="BR768" s="192"/>
    </row>
    <row r="769" spans="64:70">
      <c r="BL769" s="190"/>
      <c r="BM769" s="192"/>
      <c r="BQ769" s="190"/>
      <c r="BR769" s="192"/>
    </row>
    <row r="770" spans="64:70">
      <c r="BL770" s="190"/>
      <c r="BM770" s="192"/>
      <c r="BQ770" s="190"/>
      <c r="BR770" s="192"/>
    </row>
    <row r="771" spans="64:70">
      <c r="BL771" s="190"/>
      <c r="BM771" s="192"/>
      <c r="BQ771" s="190"/>
      <c r="BR771" s="192"/>
    </row>
    <row r="772" spans="64:70">
      <c r="BL772" s="190"/>
      <c r="BM772" s="192"/>
      <c r="BQ772" s="190"/>
      <c r="BR772" s="192"/>
    </row>
    <row r="773" spans="64:70">
      <c r="BL773" s="190"/>
      <c r="BM773" s="192"/>
      <c r="BQ773" s="190"/>
      <c r="BR773" s="192"/>
    </row>
    <row r="774" spans="64:70">
      <c r="BL774" s="190"/>
      <c r="BM774" s="192"/>
      <c r="BQ774" s="190"/>
      <c r="BR774" s="192"/>
    </row>
    <row r="775" spans="64:70">
      <c r="BL775" s="190"/>
      <c r="BM775" s="192"/>
      <c r="BQ775" s="190"/>
      <c r="BR775" s="192"/>
    </row>
    <row r="776" spans="64:70">
      <c r="BL776" s="190"/>
      <c r="BM776" s="192"/>
      <c r="BQ776" s="190"/>
      <c r="BR776" s="192"/>
    </row>
    <row r="777" spans="64:70">
      <c r="BL777" s="190"/>
      <c r="BM777" s="192"/>
      <c r="BQ777" s="190"/>
      <c r="BR777" s="192"/>
    </row>
    <row r="778" spans="64:70">
      <c r="BL778" s="190"/>
      <c r="BM778" s="192"/>
      <c r="BQ778" s="190"/>
      <c r="BR778" s="192"/>
    </row>
    <row r="779" spans="64:70">
      <c r="BL779" s="190"/>
      <c r="BM779" s="192"/>
      <c r="BQ779" s="190"/>
      <c r="BR779" s="192"/>
    </row>
    <row r="780" spans="64:70">
      <c r="BL780" s="190"/>
      <c r="BM780" s="192"/>
      <c r="BQ780" s="190"/>
      <c r="BR780" s="192"/>
    </row>
    <row r="781" spans="64:70">
      <c r="BL781" s="190"/>
      <c r="BM781" s="192"/>
      <c r="BQ781" s="190"/>
      <c r="BR781" s="192"/>
    </row>
    <row r="782" spans="64:70">
      <c r="BL782" s="190"/>
      <c r="BM782" s="192"/>
      <c r="BQ782" s="190"/>
      <c r="BR782" s="192"/>
    </row>
    <row r="783" spans="64:70">
      <c r="BL783" s="190"/>
      <c r="BM783" s="192"/>
      <c r="BQ783" s="190"/>
      <c r="BR783" s="192"/>
    </row>
    <row r="784" spans="64:70">
      <c r="BL784" s="190"/>
      <c r="BM784" s="192"/>
      <c r="BQ784" s="190"/>
      <c r="BR784" s="192"/>
    </row>
    <row r="785" spans="64:70">
      <c r="BL785" s="190"/>
      <c r="BM785" s="192"/>
      <c r="BQ785" s="190"/>
      <c r="BR785" s="192"/>
    </row>
    <row r="786" spans="64:70">
      <c r="BL786" s="190"/>
      <c r="BM786" s="192"/>
      <c r="BQ786" s="190"/>
      <c r="BR786" s="192"/>
    </row>
    <row r="787" spans="64:70">
      <c r="BL787" s="190"/>
      <c r="BM787" s="192"/>
      <c r="BQ787" s="190"/>
      <c r="BR787" s="192"/>
    </row>
    <row r="788" spans="64:70">
      <c r="BL788" s="190"/>
      <c r="BM788" s="192"/>
      <c r="BQ788" s="190"/>
      <c r="BR788" s="192"/>
    </row>
    <row r="789" spans="64:70">
      <c r="BL789" s="190"/>
      <c r="BM789" s="192"/>
      <c r="BQ789" s="190"/>
      <c r="BR789" s="192"/>
    </row>
    <row r="790" spans="64:70">
      <c r="BL790" s="190"/>
      <c r="BM790" s="192"/>
      <c r="BQ790" s="190"/>
      <c r="BR790" s="192"/>
    </row>
    <row r="791" spans="64:70">
      <c r="BL791" s="190"/>
      <c r="BM791" s="192"/>
      <c r="BQ791" s="190"/>
      <c r="BR791" s="192"/>
    </row>
    <row r="792" spans="64:70">
      <c r="BL792" s="190"/>
      <c r="BM792" s="192"/>
      <c r="BQ792" s="190"/>
      <c r="BR792" s="192"/>
    </row>
    <row r="793" spans="64:70">
      <c r="BL793" s="190"/>
      <c r="BM793" s="192"/>
      <c r="BQ793" s="190"/>
      <c r="BR793" s="192"/>
    </row>
    <row r="794" spans="64:70">
      <c r="BL794" s="190"/>
      <c r="BM794" s="192"/>
      <c r="BQ794" s="190"/>
      <c r="BR794" s="192"/>
    </row>
    <row r="795" spans="64:70">
      <c r="BL795" s="190"/>
      <c r="BM795" s="192"/>
      <c r="BQ795" s="190"/>
      <c r="BR795" s="192"/>
    </row>
    <row r="796" spans="64:70">
      <c r="BL796" s="190"/>
      <c r="BM796" s="192"/>
      <c r="BQ796" s="190"/>
      <c r="BR796" s="192"/>
    </row>
    <row r="797" spans="64:70">
      <c r="BL797" s="190"/>
      <c r="BM797" s="192"/>
      <c r="BQ797" s="190"/>
      <c r="BR797" s="192"/>
    </row>
    <row r="798" spans="64:70">
      <c r="BL798" s="190"/>
      <c r="BM798" s="192"/>
      <c r="BQ798" s="190"/>
      <c r="BR798" s="192"/>
    </row>
    <row r="799" spans="64:70">
      <c r="BL799" s="190"/>
      <c r="BM799" s="192"/>
      <c r="BQ799" s="190"/>
      <c r="BR799" s="192"/>
    </row>
    <row r="800" spans="64:70">
      <c r="BL800" s="190"/>
      <c r="BM800" s="192"/>
      <c r="BQ800" s="190"/>
      <c r="BR800" s="192"/>
    </row>
    <row r="801" spans="64:70">
      <c r="BL801" s="190"/>
      <c r="BM801" s="192"/>
      <c r="BQ801" s="190"/>
      <c r="BR801" s="192"/>
    </row>
    <row r="802" spans="64:70">
      <c r="BL802" s="190"/>
      <c r="BM802" s="192"/>
      <c r="BQ802" s="190"/>
      <c r="BR802" s="192"/>
    </row>
    <row r="803" spans="64:70">
      <c r="BL803" s="190"/>
      <c r="BM803" s="192"/>
      <c r="BQ803" s="190"/>
      <c r="BR803" s="192"/>
    </row>
    <row r="804" spans="64:70">
      <c r="BL804" s="190"/>
      <c r="BM804" s="192"/>
      <c r="BQ804" s="190"/>
      <c r="BR804" s="192"/>
    </row>
    <row r="805" spans="64:70">
      <c r="BL805" s="190"/>
      <c r="BM805" s="192"/>
      <c r="BQ805" s="190"/>
      <c r="BR805" s="192"/>
    </row>
    <row r="806" spans="64:70">
      <c r="BL806" s="190"/>
      <c r="BM806" s="192"/>
      <c r="BQ806" s="190"/>
      <c r="BR806" s="192"/>
    </row>
    <row r="807" spans="64:70">
      <c r="BL807" s="190"/>
      <c r="BM807" s="192"/>
      <c r="BQ807" s="190"/>
      <c r="BR807" s="192"/>
    </row>
    <row r="808" spans="64:70">
      <c r="BL808" s="190"/>
      <c r="BM808" s="192"/>
      <c r="BQ808" s="190"/>
      <c r="BR808" s="192"/>
    </row>
    <row r="809" spans="64:70">
      <c r="BL809" s="190"/>
      <c r="BM809" s="192"/>
      <c r="BQ809" s="190"/>
      <c r="BR809" s="192"/>
    </row>
    <row r="810" spans="64:70">
      <c r="BL810" s="190"/>
      <c r="BM810" s="192"/>
      <c r="BQ810" s="190"/>
      <c r="BR810" s="192"/>
    </row>
    <row r="811" spans="64:70">
      <c r="BL811" s="190"/>
      <c r="BM811" s="192"/>
      <c r="BQ811" s="190"/>
      <c r="BR811" s="192"/>
    </row>
    <row r="812" spans="64:70">
      <c r="BL812" s="190"/>
      <c r="BM812" s="192"/>
      <c r="BQ812" s="190"/>
      <c r="BR812" s="192"/>
    </row>
    <row r="813" spans="64:70">
      <c r="BL813" s="190"/>
      <c r="BM813" s="192"/>
      <c r="BQ813" s="190"/>
      <c r="BR813" s="192"/>
    </row>
    <row r="814" spans="64:70">
      <c r="BL814" s="190"/>
      <c r="BM814" s="192"/>
      <c r="BQ814" s="190"/>
      <c r="BR814" s="192"/>
    </row>
    <row r="815" spans="64:70">
      <c r="BL815" s="190"/>
      <c r="BM815" s="192"/>
      <c r="BQ815" s="190"/>
      <c r="BR815" s="192"/>
    </row>
    <row r="816" spans="64:70">
      <c r="BL816" s="190"/>
      <c r="BM816" s="192"/>
      <c r="BQ816" s="190"/>
      <c r="BR816" s="192"/>
    </row>
    <row r="817" spans="64:70">
      <c r="BL817" s="190"/>
      <c r="BM817" s="192"/>
      <c r="BQ817" s="190"/>
      <c r="BR817" s="192"/>
    </row>
    <row r="818" spans="64:70">
      <c r="BL818" s="190"/>
      <c r="BM818" s="192"/>
      <c r="BQ818" s="190"/>
      <c r="BR818" s="192"/>
    </row>
    <row r="819" spans="64:70">
      <c r="BL819" s="190"/>
      <c r="BM819" s="192"/>
      <c r="BQ819" s="190"/>
      <c r="BR819" s="192"/>
    </row>
    <row r="820" spans="64:70">
      <c r="BL820" s="190"/>
      <c r="BM820" s="192"/>
      <c r="BQ820" s="190"/>
      <c r="BR820" s="192"/>
    </row>
    <row r="821" spans="64:70">
      <c r="BL821" s="190"/>
      <c r="BM821" s="192"/>
      <c r="BQ821" s="190"/>
      <c r="BR821" s="192"/>
    </row>
    <row r="822" spans="64:70">
      <c r="BL822" s="190"/>
      <c r="BM822" s="192"/>
      <c r="BQ822" s="190"/>
      <c r="BR822" s="192"/>
    </row>
    <row r="823" spans="64:70">
      <c r="BL823" s="190"/>
      <c r="BM823" s="192"/>
      <c r="BQ823" s="190"/>
      <c r="BR823" s="192"/>
    </row>
    <row r="824" spans="64:70">
      <c r="BL824" s="190"/>
      <c r="BM824" s="192"/>
      <c r="BQ824" s="190"/>
      <c r="BR824" s="192"/>
    </row>
    <row r="825" spans="64:70">
      <c r="BL825" s="190"/>
      <c r="BM825" s="192"/>
      <c r="BQ825" s="190"/>
      <c r="BR825" s="192"/>
    </row>
    <row r="826" spans="64:70">
      <c r="BL826" s="190"/>
      <c r="BM826" s="192"/>
      <c r="BQ826" s="190"/>
      <c r="BR826" s="192"/>
    </row>
    <row r="827" spans="64:70">
      <c r="BL827" s="190"/>
      <c r="BM827" s="192"/>
      <c r="BQ827" s="190"/>
      <c r="BR827" s="192"/>
    </row>
    <row r="828" spans="64:70">
      <c r="BL828" s="190"/>
      <c r="BM828" s="192"/>
      <c r="BQ828" s="190"/>
      <c r="BR828" s="192"/>
    </row>
    <row r="829" spans="64:70">
      <c r="BL829" s="190"/>
      <c r="BM829" s="192"/>
      <c r="BQ829" s="190"/>
      <c r="BR829" s="192"/>
    </row>
    <row r="830" spans="64:70">
      <c r="BL830" s="190"/>
      <c r="BM830" s="192"/>
      <c r="BQ830" s="190"/>
      <c r="BR830" s="192"/>
    </row>
    <row r="831" spans="64:70">
      <c r="BL831" s="190"/>
      <c r="BM831" s="192"/>
      <c r="BQ831" s="190"/>
      <c r="BR831" s="192"/>
    </row>
    <row r="832" spans="64:70">
      <c r="BL832" s="190"/>
      <c r="BM832" s="192"/>
      <c r="BQ832" s="190"/>
      <c r="BR832" s="192"/>
    </row>
    <row r="833" spans="64:70">
      <c r="BL833" s="190"/>
      <c r="BM833" s="192"/>
      <c r="BQ833" s="190"/>
      <c r="BR833" s="192"/>
    </row>
    <row r="834" spans="64:70">
      <c r="BL834" s="190"/>
      <c r="BM834" s="192"/>
      <c r="BQ834" s="190"/>
      <c r="BR834" s="192"/>
    </row>
    <row r="835" spans="64:70">
      <c r="BL835" s="190"/>
      <c r="BM835" s="192"/>
      <c r="BQ835" s="190"/>
      <c r="BR835" s="192"/>
    </row>
    <row r="836" spans="64:70">
      <c r="BL836" s="190"/>
      <c r="BM836" s="192"/>
      <c r="BQ836" s="190"/>
      <c r="BR836" s="192"/>
    </row>
    <row r="837" spans="64:70">
      <c r="BL837" s="190"/>
      <c r="BM837" s="192"/>
      <c r="BQ837" s="190"/>
      <c r="BR837" s="192"/>
    </row>
    <row r="838" spans="64:70">
      <c r="BL838" s="190"/>
      <c r="BM838" s="192"/>
      <c r="BQ838" s="190"/>
      <c r="BR838" s="192"/>
    </row>
    <row r="839" spans="64:70">
      <c r="BL839" s="190"/>
      <c r="BM839" s="192"/>
      <c r="BQ839" s="190"/>
      <c r="BR839" s="192"/>
    </row>
    <row r="840" spans="64:70">
      <c r="BL840" s="190"/>
      <c r="BM840" s="192"/>
      <c r="BQ840" s="190"/>
      <c r="BR840" s="192"/>
    </row>
    <row r="841" spans="64:70">
      <c r="BL841" s="190"/>
      <c r="BM841" s="192"/>
      <c r="BQ841" s="190"/>
      <c r="BR841" s="192"/>
    </row>
    <row r="842" spans="64:70">
      <c r="BL842" s="190"/>
      <c r="BM842" s="192"/>
      <c r="BQ842" s="190"/>
      <c r="BR842" s="192"/>
    </row>
    <row r="843" spans="64:70">
      <c r="BL843" s="190"/>
      <c r="BM843" s="192"/>
      <c r="BQ843" s="190"/>
      <c r="BR843" s="192"/>
    </row>
    <row r="844" spans="64:70">
      <c r="BL844" s="190"/>
      <c r="BM844" s="192"/>
      <c r="BQ844" s="190"/>
      <c r="BR844" s="192"/>
    </row>
    <row r="845" spans="64:70">
      <c r="BL845" s="190"/>
      <c r="BM845" s="192"/>
      <c r="BQ845" s="190"/>
      <c r="BR845" s="192"/>
    </row>
    <row r="846" spans="64:70">
      <c r="BL846" s="190"/>
      <c r="BM846" s="192"/>
      <c r="BQ846" s="190"/>
      <c r="BR846" s="192"/>
    </row>
    <row r="847" spans="64:70">
      <c r="BL847" s="190"/>
      <c r="BM847" s="192"/>
      <c r="BQ847" s="190"/>
      <c r="BR847" s="192"/>
    </row>
    <row r="848" spans="64:70">
      <c r="BL848" s="190"/>
      <c r="BM848" s="192"/>
      <c r="BQ848" s="190"/>
      <c r="BR848" s="192"/>
    </row>
    <row r="849" spans="64:70">
      <c r="BL849" s="190"/>
      <c r="BM849" s="192"/>
      <c r="BQ849" s="190"/>
      <c r="BR849" s="192"/>
    </row>
    <row r="850" spans="64:70">
      <c r="BL850" s="190"/>
      <c r="BM850" s="192"/>
      <c r="BQ850" s="190"/>
      <c r="BR850" s="192"/>
    </row>
    <row r="851" spans="64:70">
      <c r="BL851" s="190"/>
      <c r="BM851" s="192"/>
      <c r="BQ851" s="190"/>
      <c r="BR851" s="192"/>
    </row>
    <row r="852" spans="64:70">
      <c r="BL852" s="190"/>
      <c r="BM852" s="192"/>
      <c r="BQ852" s="190"/>
      <c r="BR852" s="192"/>
    </row>
    <row r="853" spans="64:70">
      <c r="BL853" s="190"/>
      <c r="BM853" s="192"/>
      <c r="BQ853" s="190"/>
      <c r="BR853" s="192"/>
    </row>
    <row r="854" spans="64:70">
      <c r="BL854" s="190"/>
      <c r="BM854" s="192"/>
      <c r="BQ854" s="190"/>
      <c r="BR854" s="192"/>
    </row>
    <row r="855" spans="64:70">
      <c r="BL855" s="190"/>
      <c r="BM855" s="192"/>
      <c r="BQ855" s="190"/>
      <c r="BR855" s="192"/>
    </row>
    <row r="856" spans="64:70">
      <c r="BL856" s="190"/>
      <c r="BM856" s="192"/>
      <c r="BQ856" s="190"/>
      <c r="BR856" s="192"/>
    </row>
    <row r="857" spans="64:70">
      <c r="BL857" s="190"/>
      <c r="BM857" s="192"/>
      <c r="BQ857" s="190"/>
      <c r="BR857" s="192"/>
    </row>
    <row r="858" spans="64:70">
      <c r="BL858" s="190"/>
      <c r="BM858" s="192"/>
      <c r="BQ858" s="190"/>
      <c r="BR858" s="192"/>
    </row>
    <row r="859" spans="64:70">
      <c r="BL859" s="190"/>
      <c r="BM859" s="192"/>
      <c r="BQ859" s="190"/>
      <c r="BR859" s="192"/>
    </row>
    <row r="860" spans="64:70">
      <c r="BL860" s="190"/>
      <c r="BM860" s="192"/>
      <c r="BQ860" s="190"/>
      <c r="BR860" s="192"/>
    </row>
    <row r="861" spans="64:70">
      <c r="BL861" s="190"/>
      <c r="BM861" s="192"/>
      <c r="BQ861" s="190"/>
      <c r="BR861" s="192"/>
    </row>
    <row r="862" spans="64:70">
      <c r="BL862" s="190"/>
      <c r="BM862" s="192"/>
      <c r="BQ862" s="190"/>
      <c r="BR862" s="192"/>
    </row>
    <row r="863" spans="64:70">
      <c r="BL863" s="190"/>
      <c r="BM863" s="192"/>
      <c r="BQ863" s="190"/>
      <c r="BR863" s="192"/>
    </row>
    <row r="864" spans="64:70">
      <c r="BL864" s="190"/>
      <c r="BM864" s="192"/>
      <c r="BQ864" s="190"/>
      <c r="BR864" s="192"/>
    </row>
    <row r="865" spans="49:70">
      <c r="BL865" s="190"/>
      <c r="BM865" s="192"/>
      <c r="BQ865" s="190"/>
      <c r="BR865" s="192"/>
    </row>
    <row r="866" spans="49:70">
      <c r="BL866" s="190"/>
      <c r="BM866" s="192"/>
      <c r="BQ866" s="190"/>
      <c r="BR866" s="192"/>
    </row>
    <row r="867" spans="49:70">
      <c r="BL867" s="190"/>
      <c r="BM867" s="192"/>
      <c r="BQ867" s="190"/>
      <c r="BR867" s="192"/>
    </row>
    <row r="868" spans="49:70">
      <c r="BB868" s="288"/>
      <c r="BL868" s="190"/>
      <c r="BM868" s="192"/>
      <c r="BQ868" s="190"/>
      <c r="BR868" s="192"/>
    </row>
    <row r="869" spans="49:70">
      <c r="BA869" s="190"/>
      <c r="BB869" s="192"/>
      <c r="BL869" s="190"/>
      <c r="BM869" s="192"/>
      <c r="BQ869" s="190"/>
      <c r="BR869" s="192"/>
    </row>
    <row r="870" spans="49:70">
      <c r="AW870" s="192"/>
      <c r="BA870" s="190"/>
      <c r="BB870" s="192"/>
      <c r="BL870" s="190"/>
      <c r="BM870" s="192"/>
      <c r="BQ870" s="190"/>
      <c r="BR870" s="192"/>
    </row>
    <row r="871" spans="49:70">
      <c r="AW871" s="192"/>
      <c r="BA871" s="190"/>
      <c r="BB871" s="192"/>
      <c r="BL871" s="190"/>
      <c r="BM871" s="192"/>
      <c r="BQ871" s="190"/>
      <c r="BR871" s="192"/>
    </row>
    <row r="872" spans="49:70">
      <c r="AW872" s="192"/>
      <c r="BA872" s="190"/>
      <c r="BB872" s="192"/>
      <c r="BL872" s="190"/>
      <c r="BM872" s="192"/>
      <c r="BQ872" s="190"/>
      <c r="BR872" s="192"/>
    </row>
    <row r="873" spans="49:70">
      <c r="AW873" s="192"/>
      <c r="BA873" s="190"/>
      <c r="BB873" s="192"/>
      <c r="BL873" s="190"/>
      <c r="BM873" s="192"/>
      <c r="BQ873" s="190"/>
      <c r="BR873" s="192"/>
    </row>
    <row r="874" spans="49:70">
      <c r="AW874" s="19"/>
      <c r="BA874" s="190"/>
      <c r="BB874" s="192"/>
      <c r="BL874" s="190"/>
      <c r="BM874" s="192"/>
      <c r="BQ874" s="190"/>
      <c r="BR874" s="192"/>
    </row>
    <row r="875" spans="49:70">
      <c r="AW875" s="192"/>
      <c r="BA875" s="190"/>
      <c r="BB875" s="192"/>
      <c r="BL875" s="190"/>
      <c r="BM875" s="192"/>
      <c r="BQ875" s="190"/>
      <c r="BR875" s="192"/>
    </row>
    <row r="876" spans="49:70">
      <c r="AW876" s="192"/>
      <c r="BA876" s="190"/>
      <c r="BB876" s="192"/>
      <c r="BL876" s="190"/>
      <c r="BM876" s="192"/>
      <c r="BQ876" s="190"/>
      <c r="BR876" s="192"/>
    </row>
    <row r="877" spans="49:70">
      <c r="AW877" s="192"/>
      <c r="BA877" s="190"/>
      <c r="BB877" s="192"/>
      <c r="BL877" s="190"/>
      <c r="BM877" s="192"/>
      <c r="BQ877" s="190"/>
      <c r="BR877" s="192"/>
    </row>
    <row r="878" spans="49:70">
      <c r="AW878" s="192"/>
      <c r="BA878" s="190"/>
      <c r="BB878" s="192"/>
      <c r="BL878" s="190"/>
      <c r="BM878" s="192"/>
      <c r="BQ878" s="190"/>
      <c r="BR878" s="192"/>
    </row>
    <row r="879" spans="49:70">
      <c r="AW879" s="192"/>
      <c r="BA879" s="190"/>
      <c r="BB879" s="192"/>
      <c r="BL879" s="190"/>
      <c r="BM879" s="192"/>
      <c r="BQ879" s="190"/>
      <c r="BR879" s="192"/>
    </row>
    <row r="880" spans="49:70">
      <c r="AW880" s="192"/>
      <c r="BA880" s="190"/>
      <c r="BB880" s="192"/>
      <c r="BL880" s="190"/>
      <c r="BM880" s="192"/>
      <c r="BQ880" s="190"/>
      <c r="BR880" s="192"/>
    </row>
    <row r="881" spans="49:70">
      <c r="AW881" s="192"/>
      <c r="BA881" s="190"/>
      <c r="BB881" s="192"/>
      <c r="BL881" s="190"/>
      <c r="BM881" s="192"/>
      <c r="BQ881" s="190"/>
      <c r="BR881" s="192"/>
    </row>
    <row r="882" spans="49:70">
      <c r="AW882" s="192"/>
      <c r="BA882" s="190"/>
      <c r="BB882" s="192"/>
      <c r="BL882" s="190"/>
      <c r="BM882" s="192"/>
      <c r="BQ882" s="190"/>
      <c r="BR882" s="192"/>
    </row>
    <row r="883" spans="49:70">
      <c r="AW883" s="192"/>
      <c r="BA883" s="190"/>
      <c r="BB883" s="192"/>
      <c r="BL883" s="190"/>
      <c r="BM883" s="192"/>
      <c r="BQ883" s="190"/>
      <c r="BR883" s="192"/>
    </row>
    <row r="884" spans="49:70">
      <c r="AW884" s="192"/>
      <c r="BA884" s="190"/>
      <c r="BB884" s="192"/>
      <c r="BL884" s="190"/>
      <c r="BM884" s="192"/>
      <c r="BQ884" s="190"/>
      <c r="BR884" s="192"/>
    </row>
    <row r="885" spans="49:70">
      <c r="AW885" s="192"/>
      <c r="BA885" s="190"/>
      <c r="BB885" s="192"/>
      <c r="BL885" s="190"/>
      <c r="BM885" s="192"/>
      <c r="BQ885" s="190"/>
      <c r="BR885" s="192"/>
    </row>
    <row r="886" spans="49:70">
      <c r="AW886" s="192"/>
      <c r="BA886" s="190"/>
      <c r="BB886" s="192"/>
      <c r="BL886" s="190"/>
      <c r="BM886" s="192"/>
      <c r="BQ886" s="190"/>
      <c r="BR886" s="192"/>
    </row>
    <row r="887" spans="49:70">
      <c r="AW887" s="19"/>
      <c r="BA887" s="190"/>
      <c r="BB887" s="192"/>
      <c r="BL887" s="190"/>
      <c r="BM887" s="192"/>
      <c r="BQ887" s="190"/>
      <c r="BR887" s="192"/>
    </row>
    <row r="888" spans="49:70">
      <c r="AW888" s="192"/>
      <c r="BA888" s="190"/>
      <c r="BB888" s="192"/>
      <c r="BL888" s="190"/>
      <c r="BM888" s="192"/>
      <c r="BQ888" s="190"/>
      <c r="BR888" s="192"/>
    </row>
    <row r="889" spans="49:70">
      <c r="AW889" s="192"/>
      <c r="BA889" s="190"/>
      <c r="BB889" s="192"/>
      <c r="BL889" s="190"/>
      <c r="BM889" s="192"/>
      <c r="BQ889" s="190"/>
      <c r="BR889" s="192"/>
    </row>
    <row r="890" spans="49:70">
      <c r="AW890" s="192"/>
      <c r="BA890" s="190"/>
      <c r="BB890" s="192"/>
      <c r="BL890" s="190"/>
      <c r="BM890" s="192"/>
      <c r="BQ890" s="190"/>
      <c r="BR890" s="192"/>
    </row>
    <row r="891" spans="49:70">
      <c r="AW891" s="192"/>
      <c r="BA891" s="190"/>
      <c r="BB891" s="192"/>
      <c r="BL891" s="190"/>
      <c r="BM891" s="192"/>
      <c r="BQ891" s="190"/>
      <c r="BR891" s="192"/>
    </row>
    <row r="892" spans="49:70">
      <c r="AW892" s="192"/>
      <c r="BA892" s="190"/>
      <c r="BB892" s="192"/>
      <c r="BL892" s="190"/>
      <c r="BM892" s="192"/>
      <c r="BQ892" s="190"/>
      <c r="BR892" s="192"/>
    </row>
    <row r="893" spans="49:70">
      <c r="AW893" s="192"/>
      <c r="BA893" s="190"/>
      <c r="BB893" s="192"/>
      <c r="BL893" s="190"/>
      <c r="BM893" s="192"/>
      <c r="BQ893" s="190"/>
      <c r="BR893" s="192"/>
    </row>
    <row r="894" spans="49:70">
      <c r="AW894" s="192"/>
      <c r="BA894" s="190"/>
      <c r="BB894" s="192"/>
      <c r="BL894" s="190"/>
      <c r="BM894" s="192"/>
      <c r="BQ894" s="190"/>
      <c r="BR894" s="192"/>
    </row>
    <row r="895" spans="49:70">
      <c r="AW895" s="192"/>
      <c r="BA895" s="190"/>
      <c r="BB895" s="192"/>
      <c r="BL895" s="190"/>
      <c r="BM895" s="192"/>
      <c r="BQ895" s="190"/>
      <c r="BR895" s="192"/>
    </row>
    <row r="896" spans="49:70">
      <c r="BA896" s="190"/>
      <c r="BB896" s="192"/>
      <c r="BL896" s="190"/>
      <c r="BM896" s="192"/>
      <c r="BQ896" s="190"/>
      <c r="BR896" s="192"/>
    </row>
    <row r="897" spans="53:70">
      <c r="BA897" s="190"/>
      <c r="BB897" s="192"/>
      <c r="BL897" s="190"/>
      <c r="BM897" s="192"/>
      <c r="BQ897" s="190"/>
      <c r="BR897" s="192"/>
    </row>
    <row r="898" spans="53:70">
      <c r="BA898" s="190"/>
      <c r="BB898" s="192"/>
      <c r="BL898" s="190"/>
      <c r="BM898" s="192"/>
      <c r="BQ898" s="190"/>
      <c r="BR898" s="192"/>
    </row>
    <row r="899" spans="53:70">
      <c r="BA899" s="190"/>
      <c r="BB899" s="192"/>
      <c r="BL899" s="190"/>
      <c r="BM899" s="192"/>
      <c r="BQ899" s="190"/>
      <c r="BR899" s="192"/>
    </row>
    <row r="900" spans="53:70">
      <c r="BA900" s="190"/>
      <c r="BB900" s="192"/>
      <c r="BL900" s="190"/>
      <c r="BM900" s="192"/>
      <c r="BQ900" s="190"/>
      <c r="BR900" s="192"/>
    </row>
    <row r="901" spans="53:70">
      <c r="BA901" s="190"/>
      <c r="BB901" s="192"/>
      <c r="BL901" s="190"/>
      <c r="BM901" s="192"/>
      <c r="BQ901" s="190"/>
      <c r="BR901" s="192"/>
    </row>
    <row r="902" spans="53:70">
      <c r="BA902" s="190"/>
      <c r="BB902" s="192"/>
      <c r="BL902" s="190"/>
      <c r="BM902" s="192"/>
      <c r="BQ902" s="190"/>
      <c r="BR902" s="192"/>
    </row>
    <row r="903" spans="53:70">
      <c r="BA903" s="190"/>
      <c r="BB903" s="192"/>
      <c r="BL903" s="190"/>
      <c r="BM903" s="192"/>
      <c r="BQ903" s="190"/>
      <c r="BR903" s="192"/>
    </row>
    <row r="904" spans="53:70">
      <c r="BA904" s="190"/>
      <c r="BB904" s="192"/>
      <c r="BL904" s="190"/>
      <c r="BM904" s="192"/>
      <c r="BQ904" s="190"/>
      <c r="BR904" s="192"/>
    </row>
    <row r="905" spans="53:70">
      <c r="BA905" s="190"/>
      <c r="BB905" s="192"/>
      <c r="BL905" s="190"/>
      <c r="BM905" s="192"/>
      <c r="BQ905" s="190"/>
      <c r="BR905" s="192"/>
    </row>
    <row r="906" spans="53:70">
      <c r="BA906" s="190"/>
      <c r="BB906" s="192"/>
      <c r="BL906" s="190"/>
      <c r="BM906" s="192"/>
      <c r="BQ906" s="190"/>
      <c r="BR906" s="192"/>
    </row>
    <row r="907" spans="53:70">
      <c r="BA907" s="190"/>
      <c r="BB907" s="192"/>
      <c r="BL907" s="190"/>
      <c r="BM907" s="192"/>
      <c r="BQ907" s="190"/>
      <c r="BR907" s="192"/>
    </row>
    <row r="908" spans="53:70">
      <c r="BA908" s="190"/>
      <c r="BB908" s="192"/>
      <c r="BL908" s="190"/>
      <c r="BM908" s="192"/>
      <c r="BQ908" s="190"/>
      <c r="BR908" s="192"/>
    </row>
    <row r="909" spans="53:70">
      <c r="BA909" s="190"/>
      <c r="BB909" s="192"/>
      <c r="BL909" s="190"/>
      <c r="BM909" s="192"/>
      <c r="BQ909" s="190"/>
      <c r="BR909" s="192"/>
    </row>
    <row r="910" spans="53:70">
      <c r="BA910" s="190"/>
      <c r="BB910" s="192"/>
      <c r="BL910" s="190"/>
      <c r="BM910" s="192"/>
      <c r="BQ910" s="190"/>
      <c r="BR910" s="192"/>
    </row>
    <row r="911" spans="53:70">
      <c r="BA911" s="190"/>
      <c r="BB911" s="192"/>
      <c r="BL911" s="190"/>
      <c r="BM911" s="192"/>
      <c r="BQ911" s="190"/>
      <c r="BR911" s="192"/>
    </row>
    <row r="912" spans="53:70">
      <c r="BA912" s="190"/>
      <c r="BB912" s="192"/>
      <c r="BL912" s="190"/>
      <c r="BM912" s="192"/>
      <c r="BQ912" s="190"/>
      <c r="BR912" s="192"/>
    </row>
    <row r="913" spans="53:70">
      <c r="BA913" s="190"/>
      <c r="BB913" s="192"/>
      <c r="BL913" s="190"/>
      <c r="BM913" s="192"/>
      <c r="BQ913" s="190"/>
      <c r="BR913" s="192"/>
    </row>
    <row r="914" spans="53:70">
      <c r="BA914" s="190"/>
      <c r="BB914" s="192"/>
      <c r="BL914" s="190"/>
      <c r="BM914" s="192"/>
      <c r="BQ914" s="190"/>
      <c r="BR914" s="192"/>
    </row>
    <row r="915" spans="53:70">
      <c r="BA915" s="190"/>
      <c r="BB915" s="192"/>
      <c r="BL915" s="190"/>
      <c r="BM915" s="192"/>
      <c r="BQ915" s="190"/>
      <c r="BR915" s="192"/>
    </row>
    <row r="916" spans="53:70">
      <c r="BA916" s="190"/>
      <c r="BB916" s="192"/>
      <c r="BL916" s="190"/>
      <c r="BM916" s="192"/>
      <c r="BQ916" s="190"/>
      <c r="BR916" s="192"/>
    </row>
    <row r="917" spans="53:70">
      <c r="BA917" s="190"/>
      <c r="BB917" s="192"/>
      <c r="BL917" s="190"/>
      <c r="BM917" s="192"/>
      <c r="BQ917" s="190"/>
      <c r="BR917" s="192"/>
    </row>
    <row r="918" spans="53:70">
      <c r="BA918" s="190"/>
      <c r="BB918" s="192"/>
      <c r="BL918" s="190"/>
      <c r="BM918" s="192"/>
      <c r="BQ918" s="190"/>
      <c r="BR918" s="192"/>
    </row>
    <row r="919" spans="53:70">
      <c r="BA919" s="190"/>
      <c r="BB919" s="192"/>
      <c r="BL919" s="190"/>
      <c r="BM919" s="192"/>
      <c r="BQ919" s="190"/>
      <c r="BR919" s="192"/>
    </row>
    <row r="920" spans="53:70">
      <c r="BA920" s="190"/>
      <c r="BB920" s="192"/>
      <c r="BL920" s="190"/>
      <c r="BM920" s="192"/>
      <c r="BQ920" s="190"/>
      <c r="BR920" s="192"/>
    </row>
    <row r="921" spans="53:70">
      <c r="BA921" s="190"/>
      <c r="BB921" s="192"/>
      <c r="BL921" s="190"/>
      <c r="BM921" s="192"/>
      <c r="BQ921" s="190"/>
      <c r="BR921" s="192"/>
    </row>
    <row r="922" spans="53:70">
      <c r="BA922" s="190"/>
      <c r="BB922" s="192"/>
      <c r="BL922" s="190"/>
      <c r="BM922" s="192"/>
      <c r="BQ922" s="190"/>
      <c r="BR922" s="192"/>
    </row>
    <row r="923" spans="53:70">
      <c r="BA923" s="190"/>
      <c r="BB923" s="192"/>
      <c r="BL923" s="190"/>
      <c r="BM923" s="192"/>
      <c r="BQ923" s="190"/>
      <c r="BR923" s="192"/>
    </row>
    <row r="924" spans="53:70">
      <c r="BA924" s="190"/>
      <c r="BB924" s="192"/>
      <c r="BL924" s="190"/>
      <c r="BM924" s="192"/>
      <c r="BQ924" s="190"/>
      <c r="BR924" s="192"/>
    </row>
    <row r="925" spans="53:70">
      <c r="BA925" s="190"/>
      <c r="BB925" s="192"/>
      <c r="BL925" s="190"/>
      <c r="BM925" s="192"/>
      <c r="BQ925" s="190"/>
      <c r="BR925" s="192"/>
    </row>
    <row r="926" spans="53:70">
      <c r="BA926" s="190"/>
      <c r="BB926" s="192"/>
      <c r="BL926" s="190"/>
      <c r="BM926" s="192"/>
      <c r="BQ926" s="190"/>
      <c r="BR926" s="192"/>
    </row>
    <row r="927" spans="53:70">
      <c r="BA927" s="190"/>
      <c r="BB927" s="192"/>
      <c r="BL927" s="190"/>
      <c r="BM927" s="192"/>
      <c r="BQ927" s="190"/>
      <c r="BR927" s="192"/>
    </row>
    <row r="928" spans="53:70">
      <c r="BA928" s="190"/>
      <c r="BB928" s="192"/>
      <c r="BL928" s="190"/>
      <c r="BM928" s="192"/>
      <c r="BQ928" s="190"/>
      <c r="BR928" s="192"/>
    </row>
    <row r="929" spans="53:70">
      <c r="BA929" s="190"/>
      <c r="BB929" s="192"/>
      <c r="BL929" s="190"/>
      <c r="BM929" s="192"/>
      <c r="BQ929" s="190"/>
      <c r="BR929" s="192"/>
    </row>
    <row r="930" spans="53:70">
      <c r="BA930" s="190"/>
      <c r="BB930" s="192"/>
      <c r="BL930" s="190"/>
      <c r="BM930" s="192"/>
      <c r="BQ930" s="190"/>
      <c r="BR930" s="192"/>
    </row>
    <row r="931" spans="53:70">
      <c r="BA931" s="190"/>
      <c r="BB931" s="192"/>
      <c r="BL931" s="190"/>
      <c r="BM931" s="192"/>
      <c r="BQ931" s="190"/>
      <c r="BR931" s="192"/>
    </row>
    <row r="932" spans="53:70">
      <c r="BA932" s="190"/>
      <c r="BB932" s="192"/>
      <c r="BL932" s="190"/>
      <c r="BM932" s="192"/>
      <c r="BQ932" s="190"/>
      <c r="BR932" s="192"/>
    </row>
    <row r="933" spans="53:70">
      <c r="BA933" s="190"/>
      <c r="BB933" s="192"/>
      <c r="BL933" s="190"/>
      <c r="BM933" s="192"/>
      <c r="BQ933" s="190"/>
      <c r="BR933" s="192"/>
    </row>
    <row r="934" spans="53:70">
      <c r="BA934" s="190"/>
      <c r="BB934" s="192"/>
      <c r="BL934" s="190"/>
      <c r="BM934" s="192"/>
      <c r="BQ934" s="190"/>
      <c r="BR934" s="192"/>
    </row>
    <row r="935" spans="53:70">
      <c r="BA935" s="190"/>
      <c r="BB935" s="192"/>
      <c r="BL935" s="190"/>
      <c r="BM935" s="192"/>
      <c r="BQ935" s="190"/>
      <c r="BR935" s="192"/>
    </row>
    <row r="936" spans="53:70">
      <c r="BA936" s="190"/>
      <c r="BB936" s="192"/>
      <c r="BL936" s="190"/>
      <c r="BM936" s="192"/>
      <c r="BQ936" s="190"/>
      <c r="BR936" s="192"/>
    </row>
    <row r="937" spans="53:70">
      <c r="BA937" s="190"/>
      <c r="BB937" s="192"/>
      <c r="BL937" s="190"/>
      <c r="BM937" s="192"/>
      <c r="BQ937" s="190"/>
      <c r="BR937" s="192"/>
    </row>
    <row r="938" spans="53:70">
      <c r="BA938" s="190"/>
      <c r="BB938" s="192"/>
      <c r="BL938" s="190"/>
      <c r="BM938" s="192"/>
      <c r="BQ938" s="190"/>
      <c r="BR938" s="192"/>
    </row>
    <row r="939" spans="53:70">
      <c r="BA939" s="190"/>
      <c r="BB939" s="192"/>
      <c r="BL939" s="190"/>
      <c r="BM939" s="192"/>
      <c r="BQ939" s="190"/>
      <c r="BR939" s="192"/>
    </row>
    <row r="940" spans="53:70">
      <c r="BA940" s="190"/>
      <c r="BB940" s="192"/>
      <c r="BL940" s="190"/>
      <c r="BM940" s="192"/>
      <c r="BQ940" s="190"/>
      <c r="BR940" s="192"/>
    </row>
    <row r="941" spans="53:70">
      <c r="BA941" s="190"/>
      <c r="BB941" s="192"/>
      <c r="BL941" s="190"/>
      <c r="BM941" s="192"/>
      <c r="BQ941" s="190"/>
      <c r="BR941" s="192"/>
    </row>
    <row r="942" spans="53:70">
      <c r="BA942" s="190"/>
      <c r="BB942" s="192"/>
      <c r="BL942" s="190"/>
      <c r="BM942" s="192"/>
      <c r="BQ942" s="190"/>
      <c r="BR942" s="192"/>
    </row>
    <row r="943" spans="53:70">
      <c r="BA943" s="190"/>
      <c r="BB943" s="192"/>
      <c r="BL943" s="190"/>
      <c r="BM943" s="192"/>
      <c r="BQ943" s="190"/>
      <c r="BR943" s="192"/>
    </row>
    <row r="944" spans="53:70">
      <c r="BA944" s="190"/>
      <c r="BB944" s="192"/>
      <c r="BL944" s="190"/>
      <c r="BM944" s="192"/>
      <c r="BQ944" s="190"/>
      <c r="BR944" s="192"/>
    </row>
    <row r="945" spans="53:70">
      <c r="BA945" s="190"/>
      <c r="BB945" s="192"/>
      <c r="BL945" s="190"/>
      <c r="BM945" s="192"/>
      <c r="BQ945" s="190"/>
      <c r="BR945" s="192"/>
    </row>
    <row r="946" spans="53:70">
      <c r="BA946" s="190"/>
      <c r="BB946" s="192"/>
      <c r="BL946" s="190"/>
      <c r="BM946" s="192"/>
      <c r="BQ946" s="190"/>
      <c r="BR946" s="192"/>
    </row>
    <row r="947" spans="53:70">
      <c r="BA947" s="190"/>
      <c r="BB947" s="192"/>
      <c r="BL947" s="190"/>
      <c r="BM947" s="192"/>
      <c r="BQ947" s="190"/>
      <c r="BR947" s="192"/>
    </row>
    <row r="948" spans="53:70">
      <c r="BA948" s="190"/>
      <c r="BB948" s="192"/>
      <c r="BL948" s="190"/>
      <c r="BM948" s="192"/>
      <c r="BQ948" s="190"/>
      <c r="BR948" s="192"/>
    </row>
    <row r="949" spans="53:70">
      <c r="BA949" s="190"/>
      <c r="BB949" s="192"/>
      <c r="BL949" s="190"/>
      <c r="BM949" s="192"/>
      <c r="BQ949" s="190"/>
      <c r="BR949" s="192"/>
    </row>
    <row r="950" spans="53:70">
      <c r="BA950" s="190"/>
      <c r="BB950" s="192"/>
      <c r="BL950" s="190"/>
      <c r="BM950" s="192"/>
      <c r="BQ950" s="190"/>
      <c r="BR950" s="192"/>
    </row>
    <row r="951" spans="53:70">
      <c r="BA951" s="190"/>
      <c r="BB951" s="192"/>
      <c r="BL951" s="190"/>
      <c r="BM951" s="192"/>
      <c r="BQ951" s="190"/>
      <c r="BR951" s="192"/>
    </row>
    <row r="952" spans="53:70">
      <c r="BA952" s="190"/>
      <c r="BB952" s="192"/>
      <c r="BL952" s="190"/>
      <c r="BM952" s="192"/>
      <c r="BQ952" s="190"/>
      <c r="BR952" s="192"/>
    </row>
    <row r="953" spans="53:70">
      <c r="BA953" s="190"/>
      <c r="BB953" s="192"/>
      <c r="BL953" s="190"/>
      <c r="BM953" s="192"/>
    </row>
    <row r="954" spans="53:70">
      <c r="BA954" s="190"/>
      <c r="BB954" s="192"/>
      <c r="BL954" s="190"/>
      <c r="BM954" s="192"/>
    </row>
    <row r="955" spans="53:70">
      <c r="BA955" s="190"/>
      <c r="BB955" s="192"/>
      <c r="BL955" s="190"/>
      <c r="BM955" s="192"/>
    </row>
    <row r="956" spans="53:70">
      <c r="BA956" s="190"/>
      <c r="BB956" s="192"/>
      <c r="BL956" s="190"/>
      <c r="BM956" s="192"/>
    </row>
    <row r="957" spans="53:70">
      <c r="BA957" s="190"/>
      <c r="BB957" s="192"/>
      <c r="BL957" s="190"/>
      <c r="BM957" s="192"/>
    </row>
    <row r="958" spans="53:70">
      <c r="BA958" s="190"/>
      <c r="BB958" s="192"/>
      <c r="BL958" s="190"/>
      <c r="BM958" s="192"/>
    </row>
    <row r="959" spans="53:70">
      <c r="BA959" s="190"/>
      <c r="BB959" s="192"/>
      <c r="BL959" s="190"/>
      <c r="BM959" s="192"/>
    </row>
    <row r="960" spans="53:70">
      <c r="BA960" s="190"/>
      <c r="BB960" s="192"/>
      <c r="BL960" s="190"/>
      <c r="BM960" s="192"/>
    </row>
    <row r="961" spans="53:65">
      <c r="BA961" s="190"/>
      <c r="BB961" s="192"/>
      <c r="BL961" s="190"/>
      <c r="BM961" s="192"/>
    </row>
    <row r="962" spans="53:65">
      <c r="BA962" s="190"/>
      <c r="BB962" s="192"/>
      <c r="BL962" s="190"/>
      <c r="BM962" s="192"/>
    </row>
    <row r="963" spans="53:65">
      <c r="BA963" s="190"/>
      <c r="BB963" s="192"/>
      <c r="BL963" s="190"/>
      <c r="BM963" s="192"/>
    </row>
    <row r="964" spans="53:65">
      <c r="BA964" s="190"/>
      <c r="BB964" s="192"/>
      <c r="BL964" s="190"/>
      <c r="BM964" s="192"/>
    </row>
    <row r="965" spans="53:65">
      <c r="BA965" s="190"/>
      <c r="BB965" s="192"/>
      <c r="BL965" s="190"/>
      <c r="BM965" s="192"/>
    </row>
    <row r="966" spans="53:65">
      <c r="BA966" s="190"/>
      <c r="BB966" s="192"/>
      <c r="BL966" s="190"/>
      <c r="BM966" s="192"/>
    </row>
    <row r="967" spans="53:65">
      <c r="BA967" s="190"/>
      <c r="BB967" s="192"/>
      <c r="BL967" s="190"/>
      <c r="BM967" s="192"/>
    </row>
    <row r="968" spans="53:65">
      <c r="BA968" s="190"/>
      <c r="BB968" s="192"/>
      <c r="BL968" s="190"/>
      <c r="BM968" s="192"/>
    </row>
    <row r="969" spans="53:65">
      <c r="BA969" s="190"/>
      <c r="BB969" s="192"/>
      <c r="BL969" s="190"/>
      <c r="BM969" s="192"/>
    </row>
    <row r="970" spans="53:65">
      <c r="BA970" s="190"/>
      <c r="BB970" s="192"/>
      <c r="BL970" s="190"/>
      <c r="BM970" s="192"/>
    </row>
    <row r="971" spans="53:65">
      <c r="BA971" s="190"/>
      <c r="BB971" s="192"/>
      <c r="BL971" s="190"/>
      <c r="BM971" s="192"/>
    </row>
    <row r="972" spans="53:65">
      <c r="BA972" s="190"/>
      <c r="BB972" s="192"/>
      <c r="BL972" s="190"/>
      <c r="BM972" s="192"/>
    </row>
    <row r="973" spans="53:65">
      <c r="BA973" s="190"/>
      <c r="BB973" s="192"/>
      <c r="BL973" s="190"/>
      <c r="BM973" s="192"/>
    </row>
    <row r="974" spans="53:65">
      <c r="BA974" s="190"/>
      <c r="BB974" s="192"/>
      <c r="BL974" s="190"/>
      <c r="BM974" s="192"/>
    </row>
    <row r="975" spans="53:65">
      <c r="BA975" s="190"/>
      <c r="BB975" s="192"/>
      <c r="BL975" s="190"/>
      <c r="BM975" s="192"/>
    </row>
    <row r="976" spans="53:65">
      <c r="BA976" s="190"/>
      <c r="BB976" s="192"/>
      <c r="BL976" s="190"/>
      <c r="BM976" s="192"/>
    </row>
    <row r="977" spans="53:65">
      <c r="BA977" s="190"/>
      <c r="BB977" s="192"/>
      <c r="BL977" s="190"/>
      <c r="BM977" s="192"/>
    </row>
    <row r="978" spans="53:65">
      <c r="BA978" s="190"/>
      <c r="BB978" s="192"/>
      <c r="BL978" s="190"/>
      <c r="BM978" s="192"/>
    </row>
    <row r="979" spans="53:65">
      <c r="BA979" s="190"/>
      <c r="BB979" s="192"/>
      <c r="BL979" s="190"/>
      <c r="BM979" s="192"/>
    </row>
    <row r="980" spans="53:65">
      <c r="BA980" s="190"/>
      <c r="BB980" s="192"/>
      <c r="BL980" s="190"/>
      <c r="BM980" s="192"/>
    </row>
    <row r="981" spans="53:65">
      <c r="BA981" s="190"/>
      <c r="BB981" s="192"/>
      <c r="BL981" s="190"/>
      <c r="BM981" s="192"/>
    </row>
    <row r="982" spans="53:65">
      <c r="BA982" s="190"/>
      <c r="BB982" s="192"/>
      <c r="BL982" s="190"/>
      <c r="BM982" s="192"/>
    </row>
    <row r="983" spans="53:65">
      <c r="BA983" s="190"/>
      <c r="BB983" s="192"/>
      <c r="BL983" s="190"/>
      <c r="BM983" s="192"/>
    </row>
    <row r="984" spans="53:65">
      <c r="BA984" s="190"/>
      <c r="BB984" s="192"/>
      <c r="BL984" s="190"/>
      <c r="BM984" s="192"/>
    </row>
    <row r="985" spans="53:65">
      <c r="BA985" s="190"/>
      <c r="BB985" s="192"/>
      <c r="BL985" s="190"/>
      <c r="BM985" s="192"/>
    </row>
    <row r="986" spans="53:65">
      <c r="BA986" s="190"/>
      <c r="BB986" s="192"/>
      <c r="BL986" s="190"/>
      <c r="BM986" s="192"/>
    </row>
    <row r="987" spans="53:65">
      <c r="BA987" s="190"/>
      <c r="BB987" s="192"/>
      <c r="BL987" s="190"/>
      <c r="BM987" s="192"/>
    </row>
    <row r="988" spans="53:65">
      <c r="BA988" s="190"/>
      <c r="BB988" s="192"/>
      <c r="BL988" s="190"/>
      <c r="BM988" s="192"/>
    </row>
    <row r="989" spans="53:65">
      <c r="BA989" s="190"/>
      <c r="BB989" s="192"/>
      <c r="BL989" s="190"/>
      <c r="BM989" s="192"/>
    </row>
    <row r="990" spans="53:65">
      <c r="BA990" s="190"/>
      <c r="BB990" s="192"/>
      <c r="BL990" s="190"/>
      <c r="BM990" s="192"/>
    </row>
    <row r="991" spans="53:65">
      <c r="BA991" s="190"/>
      <c r="BB991" s="192"/>
      <c r="BL991" s="190"/>
      <c r="BM991" s="192"/>
    </row>
    <row r="992" spans="53:65">
      <c r="BA992" s="190"/>
      <c r="BB992" s="192"/>
      <c r="BL992" s="190"/>
      <c r="BM992" s="192"/>
    </row>
    <row r="993" spans="53:65">
      <c r="BA993" s="190"/>
      <c r="BB993" s="192"/>
      <c r="BL993" s="190"/>
      <c r="BM993" s="192"/>
    </row>
    <row r="994" spans="53:65">
      <c r="BA994" s="190"/>
      <c r="BB994" s="192"/>
      <c r="BL994" s="190"/>
      <c r="BM994" s="192"/>
    </row>
    <row r="995" spans="53:65">
      <c r="BA995" s="190"/>
      <c r="BB995" s="192"/>
      <c r="BL995" s="190"/>
      <c r="BM995" s="192"/>
    </row>
    <row r="996" spans="53:65">
      <c r="BA996" s="190"/>
      <c r="BB996" s="192"/>
      <c r="BL996" s="190"/>
      <c r="BM996" s="192"/>
    </row>
    <row r="997" spans="53:65">
      <c r="BA997" s="190"/>
      <c r="BB997" s="192"/>
      <c r="BL997" s="190"/>
      <c r="BM997" s="192"/>
    </row>
    <row r="998" spans="53:65">
      <c r="BA998" s="190"/>
      <c r="BB998" s="192"/>
      <c r="BL998" s="190"/>
      <c r="BM998" s="192"/>
    </row>
    <row r="999" spans="53:65">
      <c r="BA999" s="190"/>
      <c r="BB999" s="192"/>
      <c r="BL999" s="190"/>
      <c r="BM999" s="192"/>
    </row>
    <row r="1000" spans="53:65">
      <c r="BA1000" s="190"/>
      <c r="BB1000" s="192"/>
      <c r="BL1000" s="190"/>
      <c r="BM1000" s="192"/>
    </row>
    <row r="1001" spans="53:65">
      <c r="BA1001" s="190"/>
      <c r="BB1001" s="192"/>
      <c r="BL1001" s="190"/>
      <c r="BM1001" s="192"/>
    </row>
    <row r="1002" spans="53:65">
      <c r="BA1002" s="190"/>
      <c r="BB1002" s="192"/>
      <c r="BL1002" s="190"/>
      <c r="BM1002" s="192"/>
    </row>
    <row r="1003" spans="53:65">
      <c r="BA1003" s="190"/>
      <c r="BB1003" s="192"/>
      <c r="BL1003" s="190"/>
      <c r="BM1003" s="192"/>
    </row>
    <row r="1004" spans="53:65">
      <c r="BA1004" s="190"/>
      <c r="BB1004" s="192"/>
      <c r="BL1004" s="190"/>
      <c r="BM1004" s="192"/>
    </row>
    <row r="1005" spans="53:65">
      <c r="BA1005" s="190"/>
      <c r="BB1005" s="192"/>
      <c r="BL1005" s="190"/>
      <c r="BM1005" s="192"/>
    </row>
    <row r="1006" spans="53:65">
      <c r="BA1006" s="190"/>
      <c r="BB1006" s="192"/>
      <c r="BL1006" s="190"/>
      <c r="BM1006" s="192"/>
    </row>
    <row r="1007" spans="53:65">
      <c r="BA1007" s="190"/>
      <c r="BB1007" s="192"/>
      <c r="BL1007" s="190"/>
      <c r="BM1007" s="192"/>
    </row>
    <row r="1008" spans="53:65">
      <c r="BA1008" s="190"/>
      <c r="BB1008" s="192"/>
      <c r="BL1008" s="190"/>
      <c r="BM1008" s="192"/>
    </row>
    <row r="1009" spans="53:65">
      <c r="BA1009" s="190"/>
      <c r="BB1009" s="192"/>
      <c r="BL1009" s="190"/>
      <c r="BM1009" s="192"/>
    </row>
    <row r="1010" spans="53:65">
      <c r="BA1010" s="190"/>
      <c r="BB1010" s="192"/>
      <c r="BL1010" s="190"/>
      <c r="BM1010" s="192"/>
    </row>
    <row r="1011" spans="53:65">
      <c r="BA1011" s="190"/>
      <c r="BB1011" s="192"/>
      <c r="BL1011" s="190"/>
      <c r="BM1011" s="192"/>
    </row>
    <row r="1012" spans="53:65">
      <c r="BA1012" s="190"/>
      <c r="BB1012" s="192"/>
      <c r="BL1012" s="190"/>
      <c r="BM1012" s="192"/>
    </row>
    <row r="1013" spans="53:65">
      <c r="BA1013" s="190"/>
      <c r="BB1013" s="192"/>
      <c r="BL1013" s="190"/>
      <c r="BM1013" s="192"/>
    </row>
    <row r="1014" spans="53:65">
      <c r="BA1014" s="190"/>
      <c r="BB1014" s="192"/>
      <c r="BL1014" s="190"/>
      <c r="BM1014" s="192"/>
    </row>
    <row r="1015" spans="53:65">
      <c r="BA1015" s="190"/>
      <c r="BB1015" s="192"/>
      <c r="BL1015" s="190"/>
      <c r="BM1015" s="192"/>
    </row>
    <row r="1016" spans="53:65">
      <c r="BA1016" s="190"/>
      <c r="BB1016" s="192"/>
      <c r="BL1016" s="190"/>
      <c r="BM1016" s="192"/>
    </row>
    <row r="1017" spans="53:65">
      <c r="BA1017" s="190"/>
      <c r="BB1017" s="192"/>
      <c r="BL1017" s="190"/>
      <c r="BM1017" s="192"/>
    </row>
    <row r="1018" spans="53:65">
      <c r="BA1018" s="190"/>
      <c r="BB1018" s="192"/>
      <c r="BL1018" s="190"/>
      <c r="BM1018" s="192"/>
    </row>
    <row r="1019" spans="53:65">
      <c r="BA1019" s="190"/>
      <c r="BB1019" s="192"/>
      <c r="BL1019" s="190"/>
      <c r="BM1019" s="192"/>
    </row>
    <row r="1020" spans="53:65">
      <c r="BA1020" s="190"/>
      <c r="BB1020" s="192"/>
      <c r="BL1020" s="190"/>
      <c r="BM1020" s="192"/>
    </row>
    <row r="1021" spans="53:65">
      <c r="BA1021" s="190"/>
      <c r="BB1021" s="192"/>
      <c r="BL1021" s="190"/>
      <c r="BM1021" s="192"/>
    </row>
    <row r="1022" spans="53:65">
      <c r="BA1022" s="190"/>
      <c r="BB1022" s="192"/>
      <c r="BL1022" s="190"/>
      <c r="BM1022" s="192"/>
    </row>
    <row r="1023" spans="53:65">
      <c r="BA1023" s="190"/>
      <c r="BB1023" s="192"/>
      <c r="BL1023" s="190"/>
      <c r="BM1023" s="192"/>
    </row>
    <row r="1024" spans="53:65">
      <c r="BA1024" s="190"/>
      <c r="BB1024" s="192"/>
      <c r="BL1024" s="190"/>
      <c r="BM1024" s="192"/>
    </row>
    <row r="1025" spans="53:65">
      <c r="BA1025" s="190"/>
      <c r="BB1025" s="192"/>
      <c r="BL1025" s="190"/>
      <c r="BM1025" s="192"/>
    </row>
    <row r="1026" spans="53:65">
      <c r="BA1026" s="190"/>
      <c r="BB1026" s="192"/>
      <c r="BL1026" s="190"/>
      <c r="BM1026" s="192"/>
    </row>
    <row r="1027" spans="53:65">
      <c r="BA1027" s="190"/>
      <c r="BB1027" s="192"/>
      <c r="BL1027" s="190"/>
      <c r="BM1027" s="192"/>
    </row>
    <row r="1028" spans="53:65">
      <c r="BA1028" s="190"/>
      <c r="BB1028" s="192"/>
      <c r="BL1028" s="190"/>
      <c r="BM1028" s="192"/>
    </row>
    <row r="1029" spans="53:65">
      <c r="BA1029" s="190"/>
      <c r="BB1029" s="192"/>
      <c r="BL1029" s="190"/>
      <c r="BM1029" s="192"/>
    </row>
    <row r="1030" spans="53:65">
      <c r="BA1030" s="190"/>
      <c r="BB1030" s="192"/>
      <c r="BL1030" s="190"/>
      <c r="BM1030" s="192"/>
    </row>
    <row r="1031" spans="53:65">
      <c r="BA1031" s="190"/>
      <c r="BB1031" s="192"/>
      <c r="BL1031" s="190"/>
      <c r="BM1031" s="192"/>
    </row>
    <row r="1032" spans="53:65">
      <c r="BA1032" s="190"/>
      <c r="BB1032" s="192"/>
      <c r="BL1032" s="190"/>
      <c r="BM1032" s="192"/>
    </row>
    <row r="1033" spans="53:65">
      <c r="BA1033" s="190"/>
      <c r="BB1033" s="192"/>
      <c r="BL1033" s="190"/>
      <c r="BM1033" s="192"/>
    </row>
    <row r="1034" spans="53:65">
      <c r="BA1034" s="190"/>
      <c r="BB1034" s="192"/>
      <c r="BL1034" s="190"/>
      <c r="BM1034" s="192"/>
    </row>
    <row r="1035" spans="53:65">
      <c r="BA1035" s="190"/>
      <c r="BB1035" s="192"/>
      <c r="BL1035" s="190"/>
      <c r="BM1035" s="192"/>
    </row>
    <row r="1036" spans="53:65">
      <c r="BA1036" s="190"/>
      <c r="BB1036" s="192"/>
      <c r="BL1036" s="190"/>
      <c r="BM1036" s="192"/>
    </row>
    <row r="1037" spans="53:65">
      <c r="BA1037" s="190"/>
      <c r="BB1037" s="192"/>
      <c r="BL1037" s="190"/>
      <c r="BM1037" s="192"/>
    </row>
    <row r="1038" spans="53:65">
      <c r="BA1038" s="190"/>
      <c r="BB1038" s="192"/>
      <c r="BL1038" s="190"/>
      <c r="BM1038" s="192"/>
    </row>
    <row r="1039" spans="53:65">
      <c r="BA1039" s="190"/>
      <c r="BB1039" s="192"/>
      <c r="BL1039" s="190"/>
      <c r="BM1039" s="192"/>
    </row>
    <row r="1040" spans="53:65">
      <c r="BA1040" s="190"/>
      <c r="BB1040" s="192"/>
      <c r="BL1040" s="190"/>
      <c r="BM1040" s="192"/>
    </row>
    <row r="1041" spans="53:65">
      <c r="BA1041" s="190"/>
      <c r="BB1041" s="192"/>
      <c r="BL1041" s="190"/>
      <c r="BM1041" s="192"/>
    </row>
    <row r="1042" spans="53:65">
      <c r="BA1042" s="190"/>
      <c r="BB1042" s="192"/>
      <c r="BL1042" s="190"/>
      <c r="BM1042" s="192"/>
    </row>
    <row r="1043" spans="53:65">
      <c r="BA1043" s="190"/>
      <c r="BB1043" s="192"/>
      <c r="BL1043" s="190"/>
      <c r="BM1043" s="192"/>
    </row>
    <row r="1044" spans="53:65">
      <c r="BA1044" s="190"/>
      <c r="BB1044" s="192"/>
      <c r="BL1044" s="190"/>
      <c r="BM1044" s="192"/>
    </row>
    <row r="1045" spans="53:65">
      <c r="BA1045" s="190"/>
      <c r="BB1045" s="192"/>
      <c r="BL1045" s="190"/>
      <c r="BM1045" s="192"/>
    </row>
    <row r="1046" spans="53:65">
      <c r="BA1046" s="190"/>
      <c r="BB1046" s="192"/>
      <c r="BL1046" s="190"/>
      <c r="BM1046" s="192"/>
    </row>
    <row r="1047" spans="53:65">
      <c r="BA1047" s="190"/>
      <c r="BB1047" s="192"/>
      <c r="BL1047" s="190"/>
      <c r="BM1047" s="192"/>
    </row>
    <row r="1048" spans="53:65">
      <c r="BA1048" s="190"/>
      <c r="BB1048" s="192"/>
      <c r="BL1048" s="190"/>
      <c r="BM1048" s="192"/>
    </row>
    <row r="1049" spans="53:65">
      <c r="BA1049" s="190"/>
      <c r="BB1049" s="192"/>
      <c r="BL1049" s="190"/>
      <c r="BM1049" s="192"/>
    </row>
    <row r="1050" spans="53:65">
      <c r="BA1050" s="190"/>
      <c r="BB1050" s="192"/>
      <c r="BL1050" s="190"/>
      <c r="BM1050" s="192"/>
    </row>
    <row r="1051" spans="53:65">
      <c r="BA1051" s="190"/>
      <c r="BB1051" s="192"/>
      <c r="BL1051" s="190"/>
      <c r="BM1051" s="192"/>
    </row>
    <row r="1052" spans="53:65">
      <c r="BA1052" s="190"/>
      <c r="BB1052" s="192"/>
      <c r="BL1052" s="190"/>
      <c r="BM1052" s="192"/>
    </row>
    <row r="1053" spans="53:65">
      <c r="BA1053" s="190"/>
      <c r="BB1053" s="192"/>
      <c r="BL1053" s="190"/>
      <c r="BM1053" s="192"/>
    </row>
    <row r="1054" spans="53:65">
      <c r="BA1054" s="190"/>
      <c r="BB1054" s="192"/>
      <c r="BL1054" s="190"/>
      <c r="BM1054" s="192"/>
    </row>
    <row r="1055" spans="53:65">
      <c r="BA1055" s="190"/>
      <c r="BB1055" s="192"/>
      <c r="BL1055" s="190"/>
      <c r="BM1055" s="192"/>
    </row>
    <row r="1056" spans="53:65">
      <c r="BA1056" s="190"/>
      <c r="BB1056" s="192"/>
      <c r="BL1056" s="190"/>
      <c r="BM1056" s="192"/>
    </row>
    <row r="1057" spans="53:65">
      <c r="BA1057" s="190"/>
      <c r="BB1057" s="192"/>
      <c r="BL1057" s="190"/>
      <c r="BM1057" s="192"/>
    </row>
    <row r="1058" spans="53:65">
      <c r="BA1058" s="190"/>
      <c r="BB1058" s="192"/>
      <c r="BL1058" s="190"/>
      <c r="BM1058" s="192"/>
    </row>
    <row r="1059" spans="53:65">
      <c r="BA1059" s="190"/>
      <c r="BB1059" s="192"/>
      <c r="BL1059" s="190"/>
      <c r="BM1059" s="192"/>
    </row>
    <row r="1060" spans="53:65">
      <c r="BA1060" s="190"/>
      <c r="BB1060" s="192"/>
      <c r="BL1060" s="190"/>
      <c r="BM1060" s="192"/>
    </row>
    <row r="1061" spans="53:65">
      <c r="BA1061" s="190"/>
      <c r="BB1061" s="192"/>
      <c r="BL1061" s="190"/>
      <c r="BM1061" s="192"/>
    </row>
    <row r="1062" spans="53:65">
      <c r="BA1062" s="190"/>
      <c r="BB1062" s="192"/>
      <c r="BL1062" s="190"/>
      <c r="BM1062" s="192"/>
    </row>
    <row r="1063" spans="53:65">
      <c r="BA1063" s="190"/>
      <c r="BB1063" s="192"/>
      <c r="BL1063" s="190"/>
      <c r="BM1063" s="192"/>
    </row>
    <row r="1064" spans="53:65">
      <c r="BA1064" s="190"/>
      <c r="BB1064" s="192"/>
      <c r="BL1064" s="190"/>
      <c r="BM1064" s="192"/>
    </row>
    <row r="1065" spans="53:65">
      <c r="BA1065" s="190"/>
      <c r="BB1065" s="192"/>
      <c r="BL1065" s="190"/>
      <c r="BM1065" s="192"/>
    </row>
    <row r="1066" spans="53:65">
      <c r="BA1066" s="190"/>
      <c r="BB1066" s="192"/>
      <c r="BL1066" s="190"/>
      <c r="BM1066" s="192"/>
    </row>
    <row r="1067" spans="53:65">
      <c r="BA1067" s="190"/>
      <c r="BB1067" s="192"/>
      <c r="BL1067" s="190"/>
      <c r="BM1067" s="192"/>
    </row>
    <row r="1068" spans="53:65">
      <c r="BA1068" s="190"/>
      <c r="BB1068" s="192"/>
      <c r="BL1068" s="190"/>
      <c r="BM1068" s="192"/>
    </row>
    <row r="1069" spans="53:65">
      <c r="BA1069" s="190"/>
      <c r="BB1069" s="192"/>
      <c r="BL1069" s="190"/>
      <c r="BM1069" s="192"/>
    </row>
    <row r="1070" spans="53:65">
      <c r="BA1070" s="190"/>
      <c r="BB1070" s="192"/>
      <c r="BL1070" s="190"/>
      <c r="BM1070" s="192"/>
    </row>
    <row r="1071" spans="53:65">
      <c r="BA1071" s="190"/>
      <c r="BB1071" s="192"/>
      <c r="BL1071" s="190"/>
      <c r="BM1071" s="192"/>
    </row>
    <row r="1072" spans="53:65">
      <c r="BA1072" s="190"/>
      <c r="BB1072" s="192"/>
      <c r="BL1072" s="190"/>
      <c r="BM1072" s="192"/>
    </row>
    <row r="1073" spans="53:65">
      <c r="BA1073" s="190"/>
      <c r="BB1073" s="192"/>
      <c r="BL1073" s="190"/>
      <c r="BM1073" s="192"/>
    </row>
    <row r="1074" spans="53:65">
      <c r="BA1074" s="190"/>
      <c r="BB1074" s="192"/>
      <c r="BL1074" s="190"/>
      <c r="BM1074" s="192"/>
    </row>
    <row r="1075" spans="53:65">
      <c r="BA1075" s="190"/>
      <c r="BB1075" s="192"/>
      <c r="BL1075" s="190"/>
      <c r="BM1075" s="192"/>
    </row>
    <row r="1076" spans="53:65">
      <c r="BA1076" s="190"/>
      <c r="BB1076" s="192"/>
      <c r="BL1076" s="190"/>
      <c r="BM1076" s="192"/>
    </row>
    <row r="1077" spans="53:65">
      <c r="BA1077" s="190"/>
      <c r="BB1077" s="192"/>
      <c r="BL1077" s="190"/>
      <c r="BM1077" s="192"/>
    </row>
    <row r="1078" spans="53:65">
      <c r="BA1078" s="190"/>
      <c r="BB1078" s="192"/>
      <c r="BL1078" s="190"/>
      <c r="BM1078" s="192"/>
    </row>
    <row r="1079" spans="53:65">
      <c r="BA1079" s="190"/>
      <c r="BB1079" s="192"/>
      <c r="BL1079" s="190"/>
      <c r="BM1079" s="192"/>
    </row>
    <row r="1080" spans="53:65">
      <c r="BA1080" s="190"/>
      <c r="BB1080" s="192"/>
      <c r="BL1080" s="190"/>
      <c r="BM1080" s="192"/>
    </row>
    <row r="1081" spans="53:65">
      <c r="BA1081" s="190"/>
      <c r="BB1081" s="192"/>
      <c r="BL1081" s="190"/>
      <c r="BM1081" s="192"/>
    </row>
    <row r="1082" spans="53:65">
      <c r="BA1082" s="190"/>
      <c r="BB1082" s="192"/>
      <c r="BL1082" s="190"/>
      <c r="BM1082" s="192"/>
    </row>
    <row r="1083" spans="53:65">
      <c r="BA1083" s="190"/>
      <c r="BB1083" s="192"/>
      <c r="BL1083" s="190"/>
      <c r="BM1083" s="192"/>
    </row>
    <row r="1084" spans="53:65">
      <c r="BA1084" s="190"/>
      <c r="BB1084" s="192"/>
      <c r="BL1084" s="190"/>
      <c r="BM1084" s="192"/>
    </row>
    <row r="1085" spans="53:65">
      <c r="BA1085" s="190"/>
      <c r="BB1085" s="192"/>
      <c r="BL1085" s="190"/>
      <c r="BM1085" s="192"/>
    </row>
    <row r="1086" spans="53:65">
      <c r="BA1086" s="190"/>
      <c r="BB1086" s="192"/>
      <c r="BL1086" s="190"/>
      <c r="BM1086" s="192"/>
    </row>
    <row r="1087" spans="53:65">
      <c r="BA1087" s="190"/>
      <c r="BB1087" s="192"/>
      <c r="BL1087" s="190"/>
      <c r="BM1087" s="192"/>
    </row>
    <row r="1088" spans="53:65">
      <c r="BA1088" s="190"/>
      <c r="BB1088" s="192"/>
      <c r="BL1088" s="190"/>
      <c r="BM1088" s="192"/>
    </row>
    <row r="1089" spans="53:65">
      <c r="BA1089" s="190"/>
      <c r="BB1089" s="192"/>
      <c r="BL1089" s="190"/>
      <c r="BM1089" s="192"/>
    </row>
    <row r="1090" spans="53:65">
      <c r="BA1090" s="190"/>
      <c r="BB1090" s="192"/>
      <c r="BL1090" s="190"/>
      <c r="BM1090" s="192"/>
    </row>
    <row r="1091" spans="53:65">
      <c r="BA1091" s="190"/>
      <c r="BB1091" s="192"/>
      <c r="BL1091" s="190"/>
      <c r="BM1091" s="192"/>
    </row>
    <row r="1092" spans="53:65">
      <c r="BA1092" s="190"/>
      <c r="BB1092" s="192"/>
      <c r="BL1092" s="190"/>
      <c r="BM1092" s="192"/>
    </row>
    <row r="1093" spans="53:65">
      <c r="BA1093" s="190"/>
      <c r="BB1093" s="192"/>
      <c r="BL1093" s="190"/>
      <c r="BM1093" s="192"/>
    </row>
    <row r="1094" spans="53:65">
      <c r="BA1094" s="190"/>
      <c r="BB1094" s="192"/>
      <c r="BL1094" s="190"/>
      <c r="BM1094" s="192"/>
    </row>
    <row r="1095" spans="53:65">
      <c r="BA1095" s="190"/>
      <c r="BB1095" s="192"/>
      <c r="BL1095" s="190"/>
      <c r="BM1095" s="192"/>
    </row>
    <row r="1096" spans="53:65">
      <c r="BA1096" s="190"/>
      <c r="BB1096" s="192"/>
      <c r="BL1096" s="190"/>
      <c r="BM1096" s="192"/>
    </row>
    <row r="1097" spans="53:65">
      <c r="BA1097" s="190"/>
      <c r="BB1097" s="192"/>
      <c r="BL1097" s="190"/>
      <c r="BM1097" s="192"/>
    </row>
    <row r="1098" spans="53:65">
      <c r="BA1098" s="190"/>
      <c r="BB1098" s="192"/>
      <c r="BL1098" s="190"/>
      <c r="BM1098" s="192"/>
    </row>
    <row r="1099" spans="53:65">
      <c r="BA1099" s="190"/>
      <c r="BB1099" s="192"/>
      <c r="BL1099" s="190"/>
      <c r="BM1099" s="192"/>
    </row>
    <row r="1100" spans="53:65">
      <c r="BA1100" s="190"/>
      <c r="BB1100" s="192"/>
      <c r="BL1100" s="190"/>
      <c r="BM1100" s="192"/>
    </row>
    <row r="1101" spans="53:65">
      <c r="BA1101" s="190"/>
      <c r="BB1101" s="192"/>
      <c r="BL1101" s="190"/>
      <c r="BM1101" s="192"/>
    </row>
    <row r="1102" spans="53:65">
      <c r="BA1102" s="190"/>
      <c r="BB1102" s="192"/>
      <c r="BL1102" s="190"/>
      <c r="BM1102" s="192"/>
    </row>
    <row r="1103" spans="53:65">
      <c r="BA1103" s="190"/>
      <c r="BB1103" s="192"/>
      <c r="BL1103" s="190"/>
      <c r="BM1103" s="192"/>
    </row>
    <row r="1104" spans="53:65">
      <c r="BA1104" s="190"/>
      <c r="BB1104" s="192"/>
      <c r="BL1104" s="190"/>
      <c r="BM1104" s="192"/>
    </row>
    <row r="1105" spans="53:65">
      <c r="BA1105" s="190"/>
      <c r="BB1105" s="192"/>
      <c r="BL1105" s="190"/>
      <c r="BM1105" s="192"/>
    </row>
    <row r="1106" spans="53:65">
      <c r="BA1106" s="190"/>
      <c r="BB1106" s="192"/>
      <c r="BL1106" s="190"/>
      <c r="BM1106" s="192"/>
    </row>
    <row r="1107" spans="53:65">
      <c r="BA1107" s="190"/>
      <c r="BB1107" s="192"/>
      <c r="BL1107" s="190"/>
      <c r="BM1107" s="192"/>
    </row>
    <row r="1108" spans="53:65">
      <c r="BA1108" s="190"/>
      <c r="BB1108" s="192"/>
      <c r="BL1108" s="190"/>
      <c r="BM1108" s="192"/>
    </row>
    <row r="1109" spans="53:65">
      <c r="BA1109" s="190"/>
      <c r="BB1109" s="192"/>
      <c r="BL1109" s="190"/>
      <c r="BM1109" s="192"/>
    </row>
    <row r="1110" spans="53:65">
      <c r="BA1110" s="190"/>
      <c r="BB1110" s="192"/>
      <c r="BL1110" s="190"/>
      <c r="BM1110" s="192"/>
    </row>
    <row r="1111" spans="53:65">
      <c r="BA1111" s="190"/>
      <c r="BB1111" s="192"/>
      <c r="BL1111" s="190"/>
      <c r="BM1111" s="192"/>
    </row>
    <row r="1112" spans="53:65">
      <c r="BA1112" s="190"/>
      <c r="BB1112" s="192"/>
      <c r="BL1112" s="190"/>
      <c r="BM1112" s="192"/>
    </row>
    <row r="1113" spans="53:65">
      <c r="BA1113" s="190"/>
      <c r="BB1113" s="192"/>
      <c r="BL1113" s="190"/>
      <c r="BM1113" s="192"/>
    </row>
    <row r="1114" spans="53:65">
      <c r="BA1114" s="190"/>
      <c r="BB1114" s="192"/>
      <c r="BL1114" s="190"/>
      <c r="BM1114" s="192"/>
    </row>
    <row r="1115" spans="53:65">
      <c r="BA1115" s="190"/>
      <c r="BB1115" s="192"/>
      <c r="BL1115" s="190"/>
      <c r="BM1115" s="192"/>
    </row>
    <row r="1116" spans="53:65">
      <c r="BA1116" s="190"/>
      <c r="BB1116" s="192"/>
      <c r="BL1116" s="190"/>
      <c r="BM1116" s="192"/>
    </row>
    <row r="1117" spans="53:65">
      <c r="BA1117" s="190"/>
      <c r="BB1117" s="192"/>
      <c r="BL1117" s="190"/>
      <c r="BM1117" s="192"/>
    </row>
    <row r="1118" spans="53:65">
      <c r="BA1118" s="190"/>
      <c r="BB1118" s="192"/>
      <c r="BL1118" s="190"/>
      <c r="BM1118" s="192"/>
    </row>
    <row r="1119" spans="53:65">
      <c r="BA1119" s="190"/>
      <c r="BB1119" s="192"/>
      <c r="BL1119" s="190"/>
      <c r="BM1119" s="192"/>
    </row>
    <row r="1120" spans="53:65">
      <c r="BA1120" s="190"/>
      <c r="BB1120" s="192"/>
      <c r="BL1120" s="190"/>
      <c r="BM1120" s="192"/>
    </row>
    <row r="1121" spans="53:65">
      <c r="BA1121" s="190"/>
      <c r="BB1121" s="192"/>
      <c r="BL1121" s="190"/>
      <c r="BM1121" s="192"/>
    </row>
    <row r="1122" spans="53:65">
      <c r="BA1122" s="190"/>
      <c r="BB1122" s="192"/>
      <c r="BL1122" s="190"/>
      <c r="BM1122" s="192"/>
    </row>
    <row r="1123" spans="53:65">
      <c r="BA1123" s="190"/>
      <c r="BB1123" s="192"/>
      <c r="BL1123" s="190"/>
      <c r="BM1123" s="192"/>
    </row>
    <row r="1124" spans="53:65">
      <c r="BA1124" s="190"/>
      <c r="BB1124" s="192"/>
      <c r="BL1124" s="190"/>
      <c r="BM1124" s="192"/>
    </row>
    <row r="1125" spans="53:65">
      <c r="BA1125" s="190"/>
      <c r="BB1125" s="192"/>
      <c r="BL1125" s="190"/>
      <c r="BM1125" s="192"/>
    </row>
    <row r="1126" spans="53:65">
      <c r="BA1126" s="190"/>
      <c r="BB1126" s="192"/>
      <c r="BL1126" s="190"/>
      <c r="BM1126" s="192"/>
    </row>
    <row r="1127" spans="53:65">
      <c r="BA1127" s="190"/>
      <c r="BB1127" s="192"/>
      <c r="BL1127" s="190"/>
      <c r="BM1127" s="192"/>
    </row>
    <row r="1128" spans="53:65">
      <c r="BA1128" s="190"/>
      <c r="BB1128" s="192"/>
      <c r="BL1128" s="190"/>
      <c r="BM1128" s="192"/>
    </row>
    <row r="1129" spans="53:65">
      <c r="BA1129" s="190"/>
      <c r="BB1129" s="192"/>
      <c r="BL1129" s="190"/>
      <c r="BM1129" s="192"/>
    </row>
    <row r="1130" spans="53:65">
      <c r="BA1130" s="190"/>
      <c r="BB1130" s="192"/>
      <c r="BL1130" s="190"/>
      <c r="BM1130" s="192"/>
    </row>
    <row r="1131" spans="53:65">
      <c r="BA1131" s="190"/>
      <c r="BB1131" s="192"/>
      <c r="BL1131" s="190"/>
      <c r="BM1131" s="192"/>
    </row>
    <row r="1132" spans="53:65">
      <c r="BA1132" s="190"/>
      <c r="BB1132" s="192"/>
      <c r="BL1132" s="190"/>
      <c r="BM1132" s="192"/>
    </row>
    <row r="1133" spans="53:65">
      <c r="BA1133" s="190"/>
      <c r="BB1133" s="192"/>
      <c r="BL1133" s="190"/>
      <c r="BM1133" s="192"/>
    </row>
    <row r="1134" spans="53:65">
      <c r="BA1134" s="190"/>
      <c r="BB1134" s="192"/>
      <c r="BL1134" s="190"/>
      <c r="BM1134" s="192"/>
    </row>
    <row r="1135" spans="53:65">
      <c r="BA1135" s="190"/>
      <c r="BB1135" s="192"/>
      <c r="BL1135" s="190"/>
      <c r="BM1135" s="192"/>
    </row>
    <row r="1136" spans="53:65">
      <c r="BA1136" s="190"/>
      <c r="BB1136" s="192"/>
      <c r="BL1136" s="190"/>
      <c r="BM1136" s="192"/>
    </row>
    <row r="1137" spans="53:65">
      <c r="BA1137" s="190"/>
      <c r="BB1137" s="192"/>
      <c r="BL1137" s="190"/>
      <c r="BM1137" s="192"/>
    </row>
    <row r="1138" spans="53:65">
      <c r="BA1138" s="190"/>
      <c r="BB1138" s="192"/>
      <c r="BL1138" s="190"/>
      <c r="BM1138" s="192"/>
    </row>
    <row r="1139" spans="53:65">
      <c r="BA1139" s="190"/>
      <c r="BB1139" s="192"/>
      <c r="BL1139" s="190"/>
      <c r="BM1139" s="192"/>
    </row>
    <row r="1140" spans="53:65">
      <c r="BA1140" s="190"/>
      <c r="BB1140" s="192"/>
      <c r="BL1140" s="190"/>
      <c r="BM1140" s="192"/>
    </row>
    <row r="1141" spans="53:65">
      <c r="BA1141" s="190"/>
      <c r="BB1141" s="192"/>
      <c r="BL1141" s="190"/>
      <c r="BM1141" s="192"/>
    </row>
    <row r="1142" spans="53:65">
      <c r="BA1142" s="190"/>
      <c r="BB1142" s="192"/>
      <c r="BL1142" s="190"/>
      <c r="BM1142" s="192"/>
    </row>
    <row r="1143" spans="53:65">
      <c r="BA1143" s="190"/>
      <c r="BB1143" s="192"/>
      <c r="BL1143" s="190"/>
      <c r="BM1143" s="192"/>
    </row>
    <row r="1144" spans="53:65">
      <c r="BA1144" s="190"/>
      <c r="BB1144" s="192"/>
      <c r="BL1144" s="190"/>
      <c r="BM1144" s="192"/>
    </row>
    <row r="1145" spans="53:65">
      <c r="BA1145" s="190"/>
      <c r="BB1145" s="192"/>
      <c r="BL1145" s="190"/>
      <c r="BM1145" s="192"/>
    </row>
    <row r="1146" spans="53:65">
      <c r="BA1146" s="190"/>
      <c r="BB1146" s="192"/>
      <c r="BL1146" s="190"/>
      <c r="BM1146" s="192"/>
    </row>
    <row r="1147" spans="53:65">
      <c r="BA1147" s="190"/>
      <c r="BB1147" s="192"/>
      <c r="BL1147" s="190"/>
      <c r="BM1147" s="192"/>
    </row>
    <row r="1148" spans="53:65">
      <c r="BA1148" s="190"/>
      <c r="BB1148" s="192"/>
      <c r="BL1148" s="190"/>
      <c r="BM1148" s="192"/>
    </row>
    <row r="1149" spans="53:65">
      <c r="BA1149" s="190"/>
      <c r="BB1149" s="192"/>
      <c r="BL1149" s="190"/>
      <c r="BM1149" s="192"/>
    </row>
    <row r="1150" spans="53:65">
      <c r="BA1150" s="190"/>
      <c r="BB1150" s="192"/>
      <c r="BL1150" s="190"/>
      <c r="BM1150" s="192"/>
    </row>
    <row r="1151" spans="53:65">
      <c r="BA1151" s="190"/>
      <c r="BB1151" s="192"/>
      <c r="BL1151" s="190"/>
      <c r="BM1151" s="192"/>
    </row>
    <row r="1152" spans="53:65">
      <c r="BA1152" s="190"/>
      <c r="BB1152" s="192"/>
      <c r="BL1152" s="190"/>
      <c r="BM1152" s="192"/>
    </row>
    <row r="1153" spans="53:65">
      <c r="BA1153" s="190"/>
      <c r="BB1153" s="192"/>
      <c r="BL1153" s="190"/>
      <c r="BM1153" s="192"/>
    </row>
    <row r="1154" spans="53:65">
      <c r="BA1154" s="190"/>
      <c r="BB1154" s="192"/>
      <c r="BL1154" s="190"/>
      <c r="BM1154" s="192"/>
    </row>
    <row r="1155" spans="53:65">
      <c r="BA1155" s="190"/>
      <c r="BB1155" s="192"/>
      <c r="BL1155" s="190"/>
      <c r="BM1155" s="192"/>
    </row>
    <row r="1156" spans="53:65">
      <c r="BA1156" s="190"/>
      <c r="BB1156" s="192"/>
      <c r="BL1156" s="190"/>
      <c r="BM1156" s="192"/>
    </row>
    <row r="1157" spans="53:65">
      <c r="BA1157" s="190"/>
      <c r="BB1157" s="192"/>
      <c r="BL1157" s="190"/>
      <c r="BM1157" s="192"/>
    </row>
    <row r="1158" spans="53:65">
      <c r="BA1158" s="190"/>
      <c r="BB1158" s="192"/>
      <c r="BL1158" s="190"/>
      <c r="BM1158" s="192"/>
    </row>
    <row r="1159" spans="53:65">
      <c r="BA1159" s="190"/>
      <c r="BB1159" s="192"/>
      <c r="BL1159" s="190"/>
      <c r="BM1159" s="191"/>
    </row>
    <row r="1160" spans="53:65">
      <c r="BA1160" s="190"/>
      <c r="BB1160" s="192"/>
      <c r="BL1160" s="190"/>
      <c r="BM1160" s="191"/>
    </row>
    <row r="1161" spans="53:65">
      <c r="BA1161" s="190"/>
      <c r="BB1161" s="192"/>
      <c r="BL1161" s="190"/>
      <c r="BM1161" s="191"/>
    </row>
    <row r="1162" spans="53:65">
      <c r="BA1162" s="190"/>
      <c r="BB1162" s="192"/>
      <c r="BL1162" s="190"/>
      <c r="BM1162" s="191"/>
    </row>
    <row r="1163" spans="53:65">
      <c r="BA1163" s="190"/>
      <c r="BB1163" s="192"/>
      <c r="BL1163" s="190"/>
      <c r="BM1163" s="191"/>
    </row>
    <row r="1164" spans="53:65">
      <c r="BA1164" s="190"/>
      <c r="BB1164" s="192"/>
      <c r="BL1164" s="190"/>
      <c r="BM1164" s="191"/>
    </row>
    <row r="1165" spans="53:65">
      <c r="BA1165" s="190"/>
      <c r="BB1165" s="192"/>
      <c r="BL1165" s="190"/>
      <c r="BM1165" s="191"/>
    </row>
    <row r="1166" spans="53:65">
      <c r="BA1166" s="190"/>
      <c r="BB1166" s="192"/>
      <c r="BL1166" s="190"/>
      <c r="BM1166" s="191"/>
    </row>
    <row r="1167" spans="53:65">
      <c r="BA1167" s="190"/>
      <c r="BB1167" s="192"/>
      <c r="BL1167" s="190"/>
      <c r="BM1167" s="191"/>
    </row>
    <row r="1168" spans="53:65">
      <c r="BA1168" s="190"/>
      <c r="BB1168" s="192"/>
      <c r="BL1168" s="190"/>
      <c r="BM1168" s="191"/>
    </row>
    <row r="1169" spans="53:65">
      <c r="BA1169" s="190"/>
      <c r="BB1169" s="191"/>
      <c r="BL1169" s="190"/>
      <c r="BM1169" s="191"/>
    </row>
    <row r="1170" spans="53:65">
      <c r="BA1170" s="190"/>
      <c r="BB1170" s="191"/>
      <c r="BL1170" s="190"/>
      <c r="BM1170" s="191"/>
    </row>
    <row r="1171" spans="53:65">
      <c r="BA1171" s="190"/>
      <c r="BB1171" s="191"/>
      <c r="BL1171" s="190"/>
      <c r="BM1171" s="191"/>
    </row>
    <row r="1172" spans="53:65">
      <c r="BA1172" s="190"/>
      <c r="BB1172" s="191"/>
      <c r="BL1172" s="190"/>
      <c r="BM1172" s="191"/>
    </row>
    <row r="1173" spans="53:65">
      <c r="BA1173" s="190"/>
      <c r="BB1173" s="191"/>
      <c r="BL1173" s="190"/>
      <c r="BM1173" s="191"/>
    </row>
    <row r="1174" spans="53:65">
      <c r="BA1174" s="190"/>
      <c r="BB1174" s="191"/>
      <c r="BL1174" s="190"/>
      <c r="BM1174" s="191"/>
    </row>
    <row r="1175" spans="53:65">
      <c r="BA1175" s="190"/>
      <c r="BB1175" s="191"/>
      <c r="BL1175" s="190"/>
      <c r="BM1175" s="191"/>
    </row>
    <row r="1176" spans="53:65">
      <c r="BA1176" s="190"/>
      <c r="BB1176" s="191"/>
      <c r="BL1176" s="190"/>
      <c r="BM1176" s="191"/>
    </row>
    <row r="1177" spans="53:65">
      <c r="BA1177" s="190"/>
      <c r="BB1177" s="191"/>
      <c r="BL1177" s="190"/>
      <c r="BM1177" s="191"/>
    </row>
    <row r="1178" spans="53:65">
      <c r="BA1178" s="190"/>
      <c r="BB1178" s="191"/>
      <c r="BL1178" s="190"/>
      <c r="BM1178" s="191"/>
    </row>
    <row r="1179" spans="53:65">
      <c r="BA1179" s="190"/>
      <c r="BB1179" s="191"/>
      <c r="BL1179" s="190"/>
      <c r="BM1179" s="191"/>
    </row>
    <row r="1180" spans="53:65">
      <c r="BA1180" s="190"/>
      <c r="BB1180" s="191"/>
      <c r="BL1180" s="190"/>
      <c r="BM1180" s="191"/>
    </row>
    <row r="1181" spans="53:65">
      <c r="BA1181" s="190"/>
      <c r="BB1181" s="191"/>
      <c r="BL1181" s="190"/>
      <c r="BM1181" s="191"/>
    </row>
    <row r="1182" spans="53:65">
      <c r="BA1182" s="190"/>
      <c r="BB1182" s="191"/>
      <c r="BL1182" s="190"/>
      <c r="BM1182" s="191"/>
    </row>
    <row r="1183" spans="53:65">
      <c r="BA1183" s="190"/>
      <c r="BB1183" s="191"/>
      <c r="BL1183" s="190"/>
      <c r="BM1183" s="191"/>
    </row>
    <row r="1184" spans="53:65">
      <c r="BA1184" s="190"/>
      <c r="BB1184" s="191"/>
      <c r="BL1184" s="190"/>
      <c r="BM1184" s="191"/>
    </row>
    <row r="1185" spans="53:65">
      <c r="BA1185" s="190"/>
      <c r="BB1185" s="191"/>
      <c r="BL1185" s="190"/>
      <c r="BM1185" s="191"/>
    </row>
    <row r="1186" spans="53:65">
      <c r="BA1186" s="190"/>
      <c r="BB1186" s="191"/>
      <c r="BL1186" s="190"/>
      <c r="BM1186" s="191"/>
    </row>
    <row r="1187" spans="53:65">
      <c r="BA1187" s="190"/>
      <c r="BB1187" s="191"/>
      <c r="BL1187" s="190"/>
      <c r="BM1187" s="191"/>
    </row>
    <row r="1188" spans="53:65">
      <c r="BA1188" s="190"/>
      <c r="BB1188" s="191"/>
      <c r="BL1188" s="190"/>
      <c r="BM1188" s="191"/>
    </row>
    <row r="1189" spans="53:65">
      <c r="BA1189" s="190"/>
      <c r="BB1189" s="191"/>
      <c r="BL1189" s="190"/>
      <c r="BM1189" s="191"/>
    </row>
    <row r="1190" spans="53:65">
      <c r="BA1190" s="190"/>
      <c r="BB1190" s="191"/>
      <c r="BL1190" s="190"/>
      <c r="BM1190" s="191"/>
    </row>
    <row r="1191" spans="53:65">
      <c r="BA1191" s="190"/>
      <c r="BB1191" s="191"/>
      <c r="BL1191" s="190"/>
      <c r="BM1191" s="191"/>
    </row>
    <row r="1192" spans="53:65">
      <c r="BA1192" s="190"/>
      <c r="BB1192" s="191"/>
      <c r="BL1192" s="190"/>
      <c r="BM1192" s="191"/>
    </row>
    <row r="1193" spans="53:65">
      <c r="BA1193" s="190"/>
      <c r="BB1193" s="191"/>
      <c r="BL1193" s="190"/>
      <c r="BM1193" s="191"/>
    </row>
    <row r="1194" spans="53:65">
      <c r="BA1194" s="190"/>
      <c r="BB1194" s="191"/>
      <c r="BL1194" s="190"/>
      <c r="BM1194" s="191"/>
    </row>
    <row r="1195" spans="53:65">
      <c r="BA1195" s="190"/>
      <c r="BB1195" s="191"/>
      <c r="BL1195" s="190"/>
      <c r="BM1195" s="191"/>
    </row>
    <row r="1196" spans="53:65">
      <c r="BA1196" s="190"/>
      <c r="BB1196" s="191"/>
      <c r="BL1196" s="190"/>
      <c r="BM1196" s="191"/>
    </row>
    <row r="1197" spans="53:65">
      <c r="BA1197" s="190"/>
      <c r="BB1197" s="191"/>
      <c r="BL1197" s="190"/>
      <c r="BM1197" s="191"/>
    </row>
    <row r="1198" spans="53:65">
      <c r="BA1198" s="190"/>
      <c r="BB1198" s="191"/>
      <c r="BL1198" s="190"/>
      <c r="BM1198" s="191"/>
    </row>
    <row r="1199" spans="53:65">
      <c r="BA1199" s="190"/>
      <c r="BB1199" s="191"/>
      <c r="BL1199" s="190"/>
      <c r="BM1199" s="191"/>
    </row>
    <row r="1200" spans="53:65">
      <c r="BA1200" s="190"/>
      <c r="BB1200" s="191"/>
      <c r="BL1200" s="190"/>
      <c r="BM1200" s="191"/>
    </row>
    <row r="1201" spans="53:65">
      <c r="BA1201" s="190"/>
      <c r="BB1201" s="191"/>
      <c r="BL1201" s="190"/>
      <c r="BM1201" s="191"/>
    </row>
    <row r="1202" spans="53:65">
      <c r="BA1202" s="190"/>
      <c r="BB1202" s="191"/>
      <c r="BL1202" s="190"/>
      <c r="BM1202" s="191"/>
    </row>
    <row r="1203" spans="53:65">
      <c r="BA1203" s="190"/>
      <c r="BB1203" s="191"/>
      <c r="BL1203" s="190"/>
      <c r="BM1203" s="191"/>
    </row>
    <row r="1204" spans="53:65">
      <c r="BA1204" s="190"/>
      <c r="BB1204" s="191"/>
      <c r="BL1204" s="190"/>
      <c r="BM1204" s="191"/>
    </row>
    <row r="1205" spans="53:65">
      <c r="BA1205" s="190"/>
      <c r="BB1205" s="191"/>
      <c r="BL1205" s="190"/>
      <c r="BM1205" s="191"/>
    </row>
    <row r="1206" spans="53:65">
      <c r="BA1206" s="190"/>
      <c r="BB1206" s="191"/>
      <c r="BL1206" s="190"/>
      <c r="BM1206" s="191"/>
    </row>
    <row r="1207" spans="53:65">
      <c r="BA1207" s="190"/>
      <c r="BB1207" s="191"/>
      <c r="BL1207" s="190"/>
      <c r="BM1207" s="191"/>
    </row>
    <row r="1208" spans="53:65">
      <c r="BA1208" s="190"/>
      <c r="BB1208" s="191"/>
      <c r="BL1208" s="190"/>
      <c r="BM1208" s="191"/>
    </row>
    <row r="1209" spans="53:65">
      <c r="BL1209" s="190"/>
      <c r="BM1209" s="191"/>
    </row>
    <row r="1210" spans="53:65">
      <c r="BA1210" s="190"/>
      <c r="BB1210" s="191"/>
      <c r="BL1210" s="190"/>
      <c r="BM1210" s="191"/>
    </row>
    <row r="1211" spans="53:65">
      <c r="BA1211" s="190"/>
      <c r="BB1211" s="191"/>
      <c r="BL1211" s="190"/>
      <c r="BM1211" s="191"/>
    </row>
    <row r="1212" spans="53:65">
      <c r="BA1212" s="190"/>
      <c r="BB1212" s="191"/>
      <c r="BL1212" s="190"/>
      <c r="BM1212" s="191"/>
    </row>
    <row r="1213" spans="53:65">
      <c r="BA1213" s="190"/>
      <c r="BB1213" s="191"/>
      <c r="BL1213" s="190"/>
      <c r="BM1213" s="191"/>
    </row>
    <row r="1214" spans="53:65">
      <c r="BA1214" s="190"/>
      <c r="BB1214" s="191"/>
      <c r="BL1214" s="190"/>
      <c r="BM1214" s="191"/>
    </row>
    <row r="1215" spans="53:65">
      <c r="BA1215" s="190"/>
      <c r="BB1215" s="191"/>
      <c r="BL1215" s="190"/>
      <c r="BM1215" s="191"/>
    </row>
    <row r="1216" spans="53:65">
      <c r="BA1216" s="190"/>
      <c r="BB1216" s="191"/>
      <c r="BL1216" s="190"/>
      <c r="BM1216" s="191"/>
    </row>
    <row r="1217" spans="53:65">
      <c r="BA1217" s="190"/>
      <c r="BB1217" s="191"/>
      <c r="BL1217" s="190"/>
      <c r="BM1217" s="191"/>
    </row>
    <row r="1218" spans="53:65">
      <c r="BA1218" s="190"/>
      <c r="BB1218" s="191"/>
      <c r="BL1218" s="190"/>
      <c r="BM1218" s="191"/>
    </row>
    <row r="1219" spans="53:65">
      <c r="BA1219" s="190"/>
      <c r="BB1219" s="191"/>
      <c r="BL1219" s="190"/>
      <c r="BM1219" s="191"/>
    </row>
    <row r="1220" spans="53:65">
      <c r="BA1220" s="190"/>
      <c r="BB1220" s="191"/>
      <c r="BL1220" s="190"/>
      <c r="BM1220" s="191"/>
    </row>
    <row r="1221" spans="53:65">
      <c r="BA1221" s="190"/>
      <c r="BB1221" s="191"/>
      <c r="BL1221" s="190"/>
      <c r="BM1221" s="191"/>
    </row>
    <row r="1222" spans="53:65">
      <c r="BA1222" s="190"/>
      <c r="BB1222" s="191"/>
      <c r="BL1222" s="190"/>
      <c r="BM1222" s="191"/>
    </row>
    <row r="1223" spans="53:65">
      <c r="BA1223" s="190"/>
      <c r="BB1223" s="191"/>
      <c r="BL1223" s="190"/>
      <c r="BM1223" s="191"/>
    </row>
    <row r="1224" spans="53:65">
      <c r="BA1224" s="190"/>
      <c r="BB1224" s="191"/>
      <c r="BL1224" s="190"/>
      <c r="BM1224" s="191"/>
    </row>
    <row r="1225" spans="53:65">
      <c r="BA1225" s="190"/>
      <c r="BB1225" s="191"/>
      <c r="BL1225" s="190"/>
      <c r="BM1225" s="191"/>
    </row>
    <row r="1226" spans="53:65">
      <c r="BA1226" s="190"/>
      <c r="BB1226" s="191"/>
      <c r="BL1226" s="190"/>
      <c r="BM1226" s="191"/>
    </row>
    <row r="1227" spans="53:65">
      <c r="BA1227" s="190"/>
      <c r="BB1227" s="191"/>
      <c r="BL1227" s="190"/>
      <c r="BM1227" s="191"/>
    </row>
    <row r="1228" spans="53:65">
      <c r="BA1228" s="190"/>
      <c r="BB1228" s="191"/>
      <c r="BL1228" s="190"/>
      <c r="BM1228" s="191"/>
    </row>
    <row r="1229" spans="53:65">
      <c r="BA1229" s="190"/>
      <c r="BB1229" s="191"/>
      <c r="BL1229" s="190"/>
      <c r="BM1229" s="191"/>
    </row>
    <row r="1230" spans="53:65">
      <c r="BA1230" s="190"/>
      <c r="BB1230" s="191"/>
      <c r="BL1230" s="190"/>
      <c r="BM1230" s="191"/>
    </row>
    <row r="1231" spans="53:65">
      <c r="BA1231" s="190"/>
      <c r="BB1231" s="191"/>
      <c r="BL1231" s="190"/>
      <c r="BM1231" s="191"/>
    </row>
    <row r="1232" spans="53:65">
      <c r="BA1232" s="190"/>
      <c r="BB1232" s="191"/>
      <c r="BL1232" s="190"/>
      <c r="BM1232" s="191"/>
    </row>
    <row r="1233" spans="53:65">
      <c r="BA1233" s="190"/>
      <c r="BB1233" s="191"/>
      <c r="BL1233" s="190"/>
      <c r="BM1233" s="191"/>
    </row>
    <row r="1234" spans="53:65">
      <c r="BA1234" s="190"/>
      <c r="BB1234" s="191"/>
      <c r="BL1234" s="190"/>
      <c r="BM1234" s="191"/>
    </row>
    <row r="1235" spans="53:65">
      <c r="BA1235" s="190"/>
      <c r="BB1235" s="191"/>
      <c r="BL1235" s="190"/>
      <c r="BM1235" s="191"/>
    </row>
    <row r="1236" spans="53:65">
      <c r="BA1236" s="190"/>
      <c r="BB1236" s="191"/>
      <c r="BL1236" s="190"/>
      <c r="BM1236" s="191"/>
    </row>
    <row r="1237" spans="53:65">
      <c r="BA1237" s="190"/>
      <c r="BB1237" s="191"/>
      <c r="BL1237" s="190"/>
      <c r="BM1237" s="191"/>
    </row>
    <row r="1238" spans="53:65">
      <c r="BA1238" s="190"/>
      <c r="BB1238" s="191"/>
      <c r="BL1238" s="190"/>
      <c r="BM1238" s="191"/>
    </row>
    <row r="1239" spans="53:65">
      <c r="BA1239" s="190"/>
      <c r="BB1239" s="191"/>
      <c r="BL1239" s="190"/>
      <c r="BM1239" s="191"/>
    </row>
    <row r="1240" spans="53:65">
      <c r="BA1240" s="190"/>
      <c r="BB1240" s="191"/>
      <c r="BL1240" s="190"/>
      <c r="BM1240" s="191"/>
    </row>
    <row r="1241" spans="53:65">
      <c r="BA1241" s="190"/>
      <c r="BB1241" s="191"/>
      <c r="BL1241" s="190"/>
      <c r="BM1241" s="191"/>
    </row>
    <row r="1242" spans="53:65">
      <c r="BA1242" s="190"/>
      <c r="BB1242" s="191"/>
      <c r="BL1242" s="190"/>
      <c r="BM1242" s="191"/>
    </row>
    <row r="1243" spans="53:65">
      <c r="BA1243" s="190"/>
      <c r="BB1243" s="191"/>
      <c r="BL1243" s="190"/>
      <c r="BM1243" s="191"/>
    </row>
    <row r="1244" spans="53:65">
      <c r="BA1244" s="190"/>
      <c r="BB1244" s="191"/>
      <c r="BL1244" s="190"/>
      <c r="BM1244" s="191"/>
    </row>
    <row r="1245" spans="53:65">
      <c r="BA1245" s="190"/>
      <c r="BB1245" s="191"/>
      <c r="BL1245" s="190"/>
      <c r="BM1245" s="191"/>
    </row>
    <row r="1246" spans="53:65">
      <c r="BA1246" s="190"/>
      <c r="BB1246" s="191"/>
      <c r="BL1246" s="190"/>
      <c r="BM1246" s="191"/>
    </row>
    <row r="1247" spans="53:65">
      <c r="BA1247" s="190"/>
      <c r="BB1247" s="191"/>
      <c r="BL1247" s="190"/>
      <c r="BM1247" s="191"/>
    </row>
    <row r="1248" spans="53:65">
      <c r="BA1248" s="190"/>
      <c r="BB1248" s="191"/>
      <c r="BL1248" s="190"/>
      <c r="BM1248" s="191"/>
    </row>
    <row r="1249" spans="53:65">
      <c r="BA1249" s="190"/>
      <c r="BB1249" s="191"/>
      <c r="BL1249" s="190"/>
      <c r="BM1249" s="191"/>
    </row>
    <row r="1250" spans="53:65">
      <c r="BA1250" s="190"/>
      <c r="BB1250" s="191"/>
      <c r="BL1250" s="190"/>
      <c r="BM1250" s="191"/>
    </row>
    <row r="1251" spans="53:65">
      <c r="BA1251" s="190"/>
      <c r="BB1251" s="191"/>
      <c r="BL1251" s="190"/>
      <c r="BM1251" s="191"/>
    </row>
    <row r="1252" spans="53:65">
      <c r="BA1252" s="190"/>
      <c r="BB1252" s="191"/>
      <c r="BL1252" s="190"/>
      <c r="BM1252" s="191"/>
    </row>
    <row r="1253" spans="53:65">
      <c r="BA1253" s="190"/>
      <c r="BB1253" s="191"/>
      <c r="BL1253" s="190"/>
      <c r="BM1253" s="191"/>
    </row>
    <row r="1254" spans="53:65">
      <c r="BA1254" s="190"/>
      <c r="BB1254" s="191"/>
      <c r="BL1254" s="190"/>
      <c r="BM1254" s="191"/>
    </row>
    <row r="1255" spans="53:65">
      <c r="BA1255" s="190"/>
      <c r="BB1255" s="191"/>
      <c r="BL1255" s="190"/>
      <c r="BM1255" s="191"/>
    </row>
    <row r="1256" spans="53:65">
      <c r="BA1256" s="190"/>
      <c r="BB1256" s="191"/>
      <c r="BL1256" s="190"/>
      <c r="BM1256" s="191"/>
    </row>
    <row r="1257" spans="53:65">
      <c r="BA1257" s="190"/>
      <c r="BB1257" s="191"/>
      <c r="BL1257" s="190"/>
      <c r="BM1257" s="191"/>
    </row>
    <row r="1258" spans="53:65">
      <c r="BA1258" s="190"/>
      <c r="BB1258" s="191"/>
      <c r="BL1258" s="190"/>
      <c r="BM1258" s="191"/>
    </row>
    <row r="1259" spans="53:65">
      <c r="BA1259" s="190"/>
      <c r="BB1259" s="191"/>
      <c r="BL1259" s="190"/>
      <c r="BM1259" s="191"/>
    </row>
    <row r="1260" spans="53:65">
      <c r="BA1260" s="190"/>
      <c r="BB1260" s="191"/>
      <c r="BL1260" s="190"/>
      <c r="BM1260" s="191"/>
    </row>
    <row r="1261" spans="53:65">
      <c r="BA1261" s="190"/>
      <c r="BB1261" s="191"/>
      <c r="BL1261" s="190"/>
      <c r="BM1261" s="191"/>
    </row>
    <row r="1262" spans="53:65">
      <c r="BA1262" s="190"/>
      <c r="BB1262" s="191"/>
      <c r="BL1262" s="190"/>
      <c r="BM1262" s="191"/>
    </row>
    <row r="1263" spans="53:65">
      <c r="BA1263" s="190"/>
      <c r="BB1263" s="191"/>
      <c r="BL1263" s="190"/>
      <c r="BM1263" s="191"/>
    </row>
    <row r="1264" spans="53:65">
      <c r="BA1264" s="190"/>
      <c r="BB1264" s="191"/>
      <c r="BL1264" s="190"/>
      <c r="BM1264" s="191"/>
    </row>
    <row r="1265" spans="53:65">
      <c r="BA1265" s="190"/>
      <c r="BB1265" s="191"/>
      <c r="BL1265" s="190"/>
      <c r="BM1265" s="191"/>
    </row>
    <row r="1266" spans="53:65">
      <c r="BA1266" s="190"/>
      <c r="BB1266" s="191"/>
      <c r="BL1266" s="190"/>
      <c r="BM1266" s="191"/>
    </row>
    <row r="1267" spans="53:65">
      <c r="BA1267" s="190"/>
      <c r="BB1267" s="191"/>
      <c r="BL1267" s="190"/>
      <c r="BM1267" s="191"/>
    </row>
    <row r="1268" spans="53:65">
      <c r="BA1268" s="190"/>
      <c r="BB1268" s="191"/>
      <c r="BL1268" s="190"/>
      <c r="BM1268" s="191"/>
    </row>
    <row r="1269" spans="53:65">
      <c r="BA1269" s="190"/>
      <c r="BB1269" s="191"/>
      <c r="BL1269" s="190"/>
      <c r="BM1269" s="191"/>
    </row>
    <row r="1270" spans="53:65">
      <c r="BA1270" s="190"/>
      <c r="BB1270" s="191"/>
      <c r="BL1270" s="190"/>
      <c r="BM1270" s="191"/>
    </row>
    <row r="1271" spans="53:65">
      <c r="BA1271" s="190"/>
      <c r="BB1271" s="191"/>
      <c r="BL1271" s="190"/>
      <c r="BM1271" s="191"/>
    </row>
    <row r="1272" spans="53:65">
      <c r="BA1272" s="190"/>
      <c r="BB1272" s="191"/>
      <c r="BL1272" s="190"/>
      <c r="BM1272" s="191"/>
    </row>
    <row r="1273" spans="53:65">
      <c r="BA1273" s="190"/>
      <c r="BB1273" s="191"/>
      <c r="BL1273" s="190"/>
      <c r="BM1273" s="191"/>
    </row>
    <row r="1274" spans="53:65">
      <c r="BA1274" s="190"/>
      <c r="BB1274" s="191"/>
      <c r="BL1274" s="190"/>
      <c r="BM1274" s="191"/>
    </row>
    <row r="1275" spans="53:65">
      <c r="BA1275" s="190"/>
      <c r="BB1275" s="191"/>
      <c r="BL1275" s="190"/>
      <c r="BM1275" s="191"/>
    </row>
    <row r="1276" spans="53:65">
      <c r="BA1276" s="190"/>
      <c r="BB1276" s="191"/>
      <c r="BL1276" s="190"/>
      <c r="BM1276" s="191"/>
    </row>
    <row r="1277" spans="53:65">
      <c r="BA1277" s="190"/>
      <c r="BB1277" s="191"/>
      <c r="BL1277" s="190"/>
      <c r="BM1277" s="191"/>
    </row>
    <row r="1278" spans="53:65">
      <c r="BA1278" s="190"/>
      <c r="BB1278" s="191"/>
      <c r="BL1278" s="190"/>
      <c r="BM1278" s="191"/>
    </row>
    <row r="1279" spans="53:65">
      <c r="BA1279" s="190"/>
      <c r="BB1279" s="191"/>
      <c r="BL1279" s="190"/>
      <c r="BM1279" s="191"/>
    </row>
    <row r="1280" spans="53:65">
      <c r="BA1280" s="190"/>
      <c r="BB1280" s="191"/>
      <c r="BL1280" s="190"/>
      <c r="BM1280" s="191"/>
    </row>
    <row r="1281" spans="53:65">
      <c r="BA1281" s="190"/>
      <c r="BB1281" s="191"/>
      <c r="BL1281" s="190"/>
      <c r="BM1281" s="191"/>
    </row>
    <row r="1282" spans="53:65">
      <c r="BA1282" s="190"/>
      <c r="BB1282" s="191"/>
      <c r="BL1282" s="190"/>
      <c r="BM1282" s="191"/>
    </row>
    <row r="1283" spans="53:65">
      <c r="BA1283" s="190"/>
      <c r="BB1283" s="191"/>
      <c r="BL1283" s="190"/>
      <c r="BM1283" s="191"/>
    </row>
    <row r="1284" spans="53:65">
      <c r="BA1284" s="190"/>
      <c r="BB1284" s="191"/>
      <c r="BL1284" s="190"/>
      <c r="BM1284" s="191"/>
    </row>
    <row r="1285" spans="53:65">
      <c r="BA1285" s="190"/>
      <c r="BB1285" s="191"/>
      <c r="BL1285" s="190"/>
      <c r="BM1285" s="191"/>
    </row>
    <row r="1286" spans="53:65">
      <c r="BA1286" s="190"/>
      <c r="BB1286" s="191"/>
      <c r="BL1286" s="190"/>
      <c r="BM1286" s="191"/>
    </row>
    <row r="1287" spans="53:65">
      <c r="BA1287" s="190"/>
      <c r="BB1287" s="191"/>
      <c r="BL1287" s="190"/>
      <c r="BM1287" s="191"/>
    </row>
    <row r="1288" spans="53:65">
      <c r="BA1288" s="190"/>
      <c r="BB1288" s="191"/>
      <c r="BL1288" s="190"/>
      <c r="BM1288" s="191"/>
    </row>
    <row r="1289" spans="53:65">
      <c r="BA1289" s="190"/>
      <c r="BB1289" s="191"/>
      <c r="BL1289" s="190"/>
      <c r="BM1289" s="191"/>
    </row>
    <row r="1290" spans="53:65">
      <c r="BA1290" s="190"/>
      <c r="BB1290" s="191"/>
      <c r="BL1290" s="190"/>
      <c r="BM1290" s="191"/>
    </row>
    <row r="1291" spans="53:65">
      <c r="BA1291" s="190"/>
      <c r="BB1291" s="191"/>
      <c r="BL1291" s="190"/>
      <c r="BM1291" s="191"/>
    </row>
    <row r="1292" spans="53:65">
      <c r="BA1292" s="190"/>
      <c r="BB1292" s="191"/>
      <c r="BL1292" s="190"/>
      <c r="BM1292" s="191"/>
    </row>
    <row r="1293" spans="53:65">
      <c r="BA1293" s="190"/>
      <c r="BB1293" s="191"/>
      <c r="BL1293" s="190"/>
      <c r="BM1293" s="191"/>
    </row>
    <row r="1294" spans="53:65">
      <c r="BA1294" s="190"/>
      <c r="BB1294" s="191"/>
      <c r="BL1294" s="190"/>
      <c r="BM1294" s="191"/>
    </row>
    <row r="1295" spans="53:65">
      <c r="BA1295" s="190"/>
      <c r="BB1295" s="191"/>
      <c r="BL1295" s="190"/>
      <c r="BM1295" s="191"/>
    </row>
    <row r="1296" spans="53:65">
      <c r="BA1296" s="190"/>
      <c r="BB1296" s="191"/>
      <c r="BL1296" s="190"/>
      <c r="BM1296" s="191"/>
    </row>
    <row r="1297" spans="53:65">
      <c r="BA1297" s="190"/>
      <c r="BB1297" s="191"/>
      <c r="BL1297" s="190"/>
      <c r="BM1297" s="191"/>
    </row>
    <row r="1298" spans="53:65">
      <c r="BA1298" s="190"/>
      <c r="BB1298" s="191"/>
      <c r="BL1298" s="190"/>
      <c r="BM1298" s="191"/>
    </row>
    <row r="1299" spans="53:65">
      <c r="BA1299" s="190"/>
      <c r="BB1299" s="191"/>
      <c r="BL1299" s="190"/>
      <c r="BM1299" s="191"/>
    </row>
    <row r="1300" spans="53:65">
      <c r="BA1300" s="190"/>
      <c r="BB1300" s="191"/>
      <c r="BL1300" s="190"/>
      <c r="BM1300" s="191"/>
    </row>
    <row r="1301" spans="53:65">
      <c r="BA1301" s="190"/>
      <c r="BB1301" s="191"/>
      <c r="BL1301" s="190"/>
      <c r="BM1301" s="191"/>
    </row>
    <row r="1302" spans="53:65">
      <c r="BA1302" s="190"/>
      <c r="BB1302" s="191"/>
      <c r="BL1302" s="190"/>
      <c r="BM1302" s="191"/>
    </row>
    <row r="1303" spans="53:65">
      <c r="BA1303" s="190"/>
      <c r="BB1303" s="191"/>
      <c r="BL1303" s="190"/>
      <c r="BM1303" s="191"/>
    </row>
    <row r="1304" spans="53:65">
      <c r="BA1304" s="190"/>
      <c r="BB1304" s="191"/>
      <c r="BL1304" s="190"/>
      <c r="BM1304" s="191"/>
    </row>
    <row r="1305" spans="53:65">
      <c r="BA1305" s="190"/>
      <c r="BB1305" s="191"/>
      <c r="BL1305" s="190"/>
      <c r="BM1305" s="191"/>
    </row>
    <row r="1306" spans="53:65">
      <c r="BA1306" s="190"/>
      <c r="BB1306" s="191"/>
      <c r="BL1306" s="190"/>
      <c r="BM1306" s="191"/>
    </row>
    <row r="1307" spans="53:65">
      <c r="BA1307" s="190"/>
      <c r="BB1307" s="191"/>
      <c r="BL1307" s="190"/>
      <c r="BM1307" s="191"/>
    </row>
    <row r="1308" spans="53:65">
      <c r="BA1308" s="190"/>
      <c r="BB1308" s="191"/>
      <c r="BL1308" s="190"/>
      <c r="BM1308" s="191"/>
    </row>
    <row r="1309" spans="53:65">
      <c r="BA1309" s="190"/>
      <c r="BB1309" s="191"/>
      <c r="BL1309" s="190"/>
      <c r="BM1309" s="191"/>
    </row>
    <row r="1310" spans="53:65">
      <c r="BA1310" s="190"/>
      <c r="BB1310" s="191"/>
      <c r="BL1310" s="190"/>
      <c r="BM1310" s="191"/>
    </row>
    <row r="1311" spans="53:65">
      <c r="BA1311" s="190"/>
      <c r="BB1311" s="191"/>
      <c r="BL1311" s="190"/>
      <c r="BM1311" s="191"/>
    </row>
    <row r="1312" spans="53:65">
      <c r="BA1312" s="190"/>
      <c r="BB1312" s="191"/>
      <c r="BL1312" s="190"/>
      <c r="BM1312" s="191"/>
    </row>
    <row r="1313" spans="53:65">
      <c r="BA1313" s="190"/>
      <c r="BB1313" s="191"/>
      <c r="BL1313" s="190"/>
      <c r="BM1313" s="191"/>
    </row>
    <row r="1314" spans="53:65">
      <c r="BA1314" s="190"/>
      <c r="BB1314" s="191"/>
      <c r="BL1314" s="190"/>
      <c r="BM1314" s="191"/>
    </row>
    <row r="1315" spans="53:65">
      <c r="BA1315" s="190"/>
      <c r="BB1315" s="191"/>
      <c r="BL1315" s="190"/>
      <c r="BM1315" s="191"/>
    </row>
    <row r="1316" spans="53:65">
      <c r="BA1316" s="190"/>
      <c r="BB1316" s="191"/>
      <c r="BL1316" s="190"/>
      <c r="BM1316" s="191"/>
    </row>
    <row r="1317" spans="53:65">
      <c r="BA1317" s="190"/>
      <c r="BB1317" s="191"/>
      <c r="BL1317" s="190"/>
      <c r="BM1317" s="191"/>
    </row>
    <row r="1318" spans="53:65">
      <c r="BA1318" s="190"/>
      <c r="BB1318" s="191"/>
      <c r="BL1318" s="190"/>
      <c r="BM1318" s="191"/>
    </row>
    <row r="1319" spans="53:65">
      <c r="BA1319" s="190"/>
      <c r="BB1319" s="191"/>
      <c r="BL1319" s="190"/>
      <c r="BM1319" s="191"/>
    </row>
    <row r="1320" spans="53:65">
      <c r="BA1320" s="190"/>
      <c r="BB1320" s="191"/>
      <c r="BL1320" s="190"/>
      <c r="BM1320" s="191"/>
    </row>
    <row r="1321" spans="53:65">
      <c r="BA1321" s="190"/>
      <c r="BB1321" s="191"/>
      <c r="BL1321" s="190"/>
      <c r="BM1321" s="191"/>
    </row>
    <row r="1322" spans="53:65">
      <c r="BA1322" s="190"/>
      <c r="BB1322" s="191"/>
      <c r="BL1322" s="190"/>
      <c r="BM1322" s="191"/>
    </row>
    <row r="1323" spans="53:65">
      <c r="BA1323" s="190"/>
      <c r="BB1323" s="191"/>
      <c r="BL1323" s="190"/>
      <c r="BM1323" s="191"/>
    </row>
    <row r="1324" spans="53:65">
      <c r="BA1324" s="190"/>
      <c r="BB1324" s="191"/>
      <c r="BL1324" s="190"/>
      <c r="BM1324" s="191"/>
    </row>
    <row r="1325" spans="53:65">
      <c r="BA1325" s="190"/>
      <c r="BB1325" s="191"/>
      <c r="BL1325" s="190"/>
      <c r="BM1325" s="191"/>
    </row>
    <row r="1326" spans="53:65">
      <c r="BA1326" s="190"/>
      <c r="BB1326" s="191"/>
      <c r="BL1326" s="190"/>
      <c r="BM1326" s="191"/>
    </row>
    <row r="1327" spans="53:65">
      <c r="BA1327" s="190"/>
      <c r="BB1327" s="191"/>
      <c r="BL1327" s="190"/>
      <c r="BM1327" s="191"/>
    </row>
    <row r="1328" spans="53:65">
      <c r="BA1328" s="190"/>
      <c r="BB1328" s="191"/>
      <c r="BL1328" s="190"/>
      <c r="BM1328" s="191"/>
    </row>
    <row r="1329" spans="53:65">
      <c r="BA1329" s="190"/>
      <c r="BB1329" s="191"/>
      <c r="BL1329" s="190"/>
      <c r="BM1329" s="191"/>
    </row>
    <row r="1330" spans="53:65">
      <c r="BA1330" s="190"/>
      <c r="BB1330" s="191"/>
      <c r="BL1330" s="190"/>
      <c r="BM1330" s="191"/>
    </row>
    <row r="1331" spans="53:65">
      <c r="BA1331" s="190"/>
      <c r="BB1331" s="191"/>
      <c r="BL1331" s="190"/>
      <c r="BM1331" s="191"/>
    </row>
    <row r="1332" spans="53:65">
      <c r="BA1332" s="190"/>
      <c r="BB1332" s="191"/>
      <c r="BL1332" s="190"/>
      <c r="BM1332" s="191"/>
    </row>
    <row r="1333" spans="53:65">
      <c r="BA1333" s="190"/>
      <c r="BB1333" s="191"/>
      <c r="BL1333" s="190"/>
      <c r="BM1333" s="191"/>
    </row>
    <row r="1334" spans="53:65">
      <c r="BA1334" s="190"/>
      <c r="BB1334" s="191"/>
      <c r="BL1334" s="190"/>
      <c r="BM1334" s="191"/>
    </row>
    <row r="1335" spans="53:65">
      <c r="BA1335" s="190"/>
      <c r="BB1335" s="191"/>
      <c r="BL1335" s="190"/>
      <c r="BM1335" s="191"/>
    </row>
    <row r="1336" spans="53:65">
      <c r="BA1336" s="190"/>
      <c r="BB1336" s="191"/>
      <c r="BL1336" s="190"/>
      <c r="BM1336" s="191"/>
    </row>
    <row r="1337" spans="53:65">
      <c r="BA1337" s="190"/>
      <c r="BB1337" s="191"/>
      <c r="BL1337" s="190"/>
      <c r="BM1337" s="191"/>
    </row>
    <row r="1338" spans="53:65">
      <c r="BA1338" s="190"/>
      <c r="BB1338" s="191"/>
      <c r="BL1338" s="190"/>
      <c r="BM1338" s="191"/>
    </row>
    <row r="1339" spans="53:65">
      <c r="BA1339" s="190"/>
      <c r="BB1339" s="191"/>
      <c r="BL1339" s="190"/>
      <c r="BM1339" s="191"/>
    </row>
    <row r="1340" spans="53:65">
      <c r="BA1340" s="190"/>
      <c r="BB1340" s="191"/>
      <c r="BL1340" s="190"/>
      <c r="BM1340" s="191"/>
    </row>
    <row r="1341" spans="53:65">
      <c r="BA1341" s="190"/>
      <c r="BB1341" s="191"/>
      <c r="BL1341" s="190"/>
      <c r="BM1341" s="191"/>
    </row>
    <row r="1342" spans="53:65">
      <c r="BA1342" s="190"/>
      <c r="BB1342" s="191"/>
      <c r="BL1342" s="190"/>
      <c r="BM1342" s="191"/>
    </row>
    <row r="1343" spans="53:65">
      <c r="BA1343" s="190"/>
      <c r="BB1343" s="191"/>
      <c r="BL1343" s="190"/>
      <c r="BM1343" s="191"/>
    </row>
    <row r="1344" spans="53:65">
      <c r="BA1344" s="190"/>
      <c r="BB1344" s="191"/>
      <c r="BL1344" s="190"/>
      <c r="BM1344" s="191"/>
    </row>
    <row r="1345" spans="53:65">
      <c r="BA1345" s="190"/>
      <c r="BB1345" s="191"/>
      <c r="BL1345" s="190"/>
      <c r="BM1345" s="191"/>
    </row>
    <row r="1346" spans="53:65">
      <c r="BA1346" s="190"/>
      <c r="BB1346" s="191"/>
      <c r="BL1346" s="190"/>
      <c r="BM1346" s="191"/>
    </row>
    <row r="1347" spans="53:65">
      <c r="BA1347" s="190"/>
      <c r="BB1347" s="191"/>
      <c r="BL1347" s="190"/>
      <c r="BM1347" s="191"/>
    </row>
    <row r="1348" spans="53:65">
      <c r="BA1348" s="190"/>
      <c r="BB1348" s="191"/>
      <c r="BL1348" s="190"/>
      <c r="BM1348" s="191"/>
    </row>
    <row r="1349" spans="53:65">
      <c r="BA1349" s="190"/>
      <c r="BB1349" s="191"/>
      <c r="BL1349" s="190"/>
      <c r="BM1349" s="191"/>
    </row>
    <row r="1350" spans="53:65">
      <c r="BA1350" s="190"/>
      <c r="BB1350" s="191"/>
      <c r="BL1350" s="190"/>
      <c r="BM1350" s="191"/>
    </row>
    <row r="1351" spans="53:65">
      <c r="BA1351" s="190"/>
      <c r="BB1351" s="191"/>
      <c r="BL1351" s="190"/>
      <c r="BM1351" s="191"/>
    </row>
    <row r="1352" spans="53:65">
      <c r="BA1352" s="190"/>
      <c r="BB1352" s="191"/>
      <c r="BL1352" s="190"/>
      <c r="BM1352" s="191"/>
    </row>
    <row r="1353" spans="53:65">
      <c r="BA1353" s="190"/>
      <c r="BB1353" s="191"/>
      <c r="BL1353" s="190"/>
      <c r="BM1353" s="191"/>
    </row>
    <row r="1354" spans="53:65">
      <c r="BA1354" s="190"/>
      <c r="BB1354" s="191"/>
      <c r="BL1354" s="190"/>
      <c r="BM1354" s="191"/>
    </row>
    <row r="1355" spans="53:65">
      <c r="BA1355" s="190"/>
      <c r="BB1355" s="191"/>
      <c r="BL1355" s="190"/>
      <c r="BM1355" s="191"/>
    </row>
    <row r="1356" spans="53:65">
      <c r="BA1356" s="190"/>
      <c r="BB1356" s="191"/>
      <c r="BL1356" s="190"/>
      <c r="BM1356" s="191"/>
    </row>
    <row r="1357" spans="53:65">
      <c r="BA1357" s="190"/>
      <c r="BB1357" s="191"/>
      <c r="BL1357" s="190"/>
      <c r="BM1357" s="191"/>
    </row>
    <row r="1358" spans="53:65">
      <c r="BA1358" s="190"/>
      <c r="BB1358" s="191"/>
      <c r="BL1358" s="190"/>
      <c r="BM1358" s="191"/>
    </row>
    <row r="1359" spans="53:65">
      <c r="BA1359" s="190"/>
      <c r="BB1359" s="191"/>
      <c r="BL1359" s="190"/>
      <c r="BM1359" s="191"/>
    </row>
    <row r="1360" spans="53:65">
      <c r="BA1360" s="190"/>
      <c r="BB1360" s="191"/>
      <c r="BL1360" s="190"/>
      <c r="BM1360" s="191"/>
    </row>
    <row r="1361" spans="53:65">
      <c r="BA1361" s="190"/>
      <c r="BB1361" s="191"/>
      <c r="BL1361" s="190"/>
      <c r="BM1361" s="191"/>
    </row>
    <row r="1362" spans="53:65">
      <c r="BA1362" s="190"/>
      <c r="BB1362" s="191"/>
      <c r="BL1362" s="190"/>
      <c r="BM1362" s="191"/>
    </row>
    <row r="1363" spans="53:65">
      <c r="BA1363" s="190"/>
      <c r="BB1363" s="191"/>
      <c r="BL1363" s="190"/>
      <c r="BM1363" s="191"/>
    </row>
    <row r="1364" spans="53:65">
      <c r="BA1364" s="190"/>
      <c r="BB1364" s="191"/>
      <c r="BL1364" s="190"/>
      <c r="BM1364" s="191"/>
    </row>
    <row r="1365" spans="53:65">
      <c r="BA1365" s="190"/>
      <c r="BB1365" s="191"/>
      <c r="BL1365" s="190"/>
      <c r="BM1365" s="191"/>
    </row>
    <row r="1366" spans="53:65">
      <c r="BA1366" s="190"/>
      <c r="BB1366" s="191"/>
      <c r="BL1366" s="190"/>
      <c r="BM1366" s="191"/>
    </row>
    <row r="1367" spans="53:65">
      <c r="BA1367" s="190"/>
      <c r="BB1367" s="191"/>
      <c r="BL1367" s="190"/>
      <c r="BM1367" s="191"/>
    </row>
    <row r="1368" spans="53:65">
      <c r="BA1368" s="190"/>
      <c r="BB1368" s="191"/>
      <c r="BL1368" s="190"/>
      <c r="BM1368" s="191"/>
    </row>
    <row r="1369" spans="53:65">
      <c r="BA1369" s="190"/>
      <c r="BB1369" s="191"/>
      <c r="BL1369" s="190"/>
      <c r="BM1369" s="191"/>
    </row>
    <row r="1370" spans="53:65">
      <c r="BA1370" s="190"/>
      <c r="BB1370" s="191"/>
      <c r="BL1370" s="190"/>
      <c r="BM1370" s="191"/>
    </row>
    <row r="1371" spans="53:65">
      <c r="BA1371" s="190"/>
      <c r="BB1371" s="191"/>
      <c r="BL1371" s="190"/>
      <c r="BM1371" s="191"/>
    </row>
    <row r="1372" spans="53:65">
      <c r="BA1372" s="190"/>
      <c r="BB1372" s="191"/>
      <c r="BL1372" s="190"/>
      <c r="BM1372" s="191"/>
    </row>
    <row r="1373" spans="53:65">
      <c r="BA1373" s="190"/>
      <c r="BB1373" s="191"/>
      <c r="BL1373" s="190"/>
      <c r="BM1373" s="191"/>
    </row>
    <row r="1374" spans="53:65">
      <c r="BA1374" s="190"/>
      <c r="BB1374" s="191"/>
      <c r="BL1374" s="190"/>
      <c r="BM1374" s="191"/>
    </row>
    <row r="1375" spans="53:65">
      <c r="BA1375" s="190"/>
      <c r="BB1375" s="191"/>
      <c r="BL1375" s="190"/>
      <c r="BM1375" s="191"/>
    </row>
    <row r="1376" spans="53:65">
      <c r="BA1376" s="190"/>
      <c r="BB1376" s="191"/>
      <c r="BL1376" s="190"/>
      <c r="BM1376" s="191"/>
    </row>
    <row r="1377" spans="53:65">
      <c r="BA1377" s="190"/>
      <c r="BB1377" s="191"/>
      <c r="BL1377" s="190"/>
      <c r="BM1377" s="191"/>
    </row>
    <row r="1378" spans="53:65">
      <c r="BA1378" s="190"/>
      <c r="BB1378" s="191"/>
      <c r="BL1378" s="190"/>
      <c r="BM1378" s="191"/>
    </row>
    <row r="1379" spans="53:65">
      <c r="BA1379" s="190"/>
      <c r="BB1379" s="191"/>
      <c r="BL1379" s="190"/>
      <c r="BM1379" s="191"/>
    </row>
    <row r="1380" spans="53:65">
      <c r="BA1380" s="190"/>
      <c r="BB1380" s="191"/>
      <c r="BL1380" s="190"/>
      <c r="BM1380" s="191"/>
    </row>
    <row r="1381" spans="53:65">
      <c r="BA1381" s="190"/>
      <c r="BB1381" s="191"/>
      <c r="BL1381" s="190"/>
      <c r="BM1381" s="191"/>
    </row>
    <row r="1382" spans="53:65">
      <c r="BA1382" s="190"/>
      <c r="BB1382" s="191"/>
      <c r="BL1382" s="190"/>
      <c r="BM1382" s="191"/>
    </row>
    <row r="1383" spans="53:65">
      <c r="BA1383" s="190"/>
      <c r="BB1383" s="191"/>
      <c r="BL1383" s="190"/>
      <c r="BM1383" s="191"/>
    </row>
    <row r="1384" spans="53:65">
      <c r="BA1384" s="190"/>
      <c r="BB1384" s="191"/>
      <c r="BL1384" s="190"/>
      <c r="BM1384" s="191"/>
    </row>
    <row r="1385" spans="53:65">
      <c r="BA1385" s="190"/>
      <c r="BB1385" s="191"/>
      <c r="BL1385" s="190"/>
      <c r="BM1385" s="191"/>
    </row>
    <row r="1386" spans="53:65">
      <c r="BA1386" s="190"/>
      <c r="BB1386" s="191"/>
      <c r="BL1386" s="190"/>
      <c r="BM1386" s="191"/>
    </row>
    <row r="1387" spans="53:65">
      <c r="BA1387" s="190"/>
      <c r="BB1387" s="191"/>
      <c r="BL1387" s="190"/>
      <c r="BM1387" s="191"/>
    </row>
    <row r="1388" spans="53:65">
      <c r="BA1388" s="190"/>
      <c r="BB1388" s="191"/>
      <c r="BL1388" s="190"/>
      <c r="BM1388" s="191"/>
    </row>
    <row r="1389" spans="53:65">
      <c r="BA1389" s="190"/>
      <c r="BB1389" s="191"/>
      <c r="BL1389" s="190"/>
      <c r="BM1389" s="191"/>
    </row>
    <row r="1390" spans="53:65">
      <c r="BA1390" s="190"/>
      <c r="BB1390" s="191"/>
      <c r="BL1390" s="190"/>
      <c r="BM1390" s="191"/>
    </row>
    <row r="1391" spans="53:65">
      <c r="BA1391" s="190"/>
      <c r="BB1391" s="191"/>
      <c r="BL1391" s="190"/>
      <c r="BM1391" s="191"/>
    </row>
    <row r="1392" spans="53:65">
      <c r="BA1392" s="190"/>
      <c r="BB1392" s="191"/>
      <c r="BL1392" s="190"/>
      <c r="BM1392" s="191"/>
    </row>
    <row r="1393" spans="53:65">
      <c r="BA1393" s="190"/>
      <c r="BB1393" s="191"/>
      <c r="BL1393" s="190"/>
      <c r="BM1393" s="191"/>
    </row>
    <row r="1394" spans="53:65">
      <c r="BA1394" s="190"/>
      <c r="BB1394" s="191"/>
      <c r="BL1394" s="190"/>
      <c r="BM1394" s="191"/>
    </row>
    <row r="1395" spans="53:65">
      <c r="BA1395" s="190"/>
      <c r="BB1395" s="191"/>
      <c r="BL1395" s="190"/>
      <c r="BM1395" s="191"/>
    </row>
    <row r="1396" spans="53:65">
      <c r="BA1396" s="190"/>
      <c r="BB1396" s="191"/>
      <c r="BL1396" s="190"/>
      <c r="BM1396" s="191"/>
    </row>
    <row r="1397" spans="53:65">
      <c r="BA1397" s="190"/>
      <c r="BB1397" s="191"/>
      <c r="BL1397" s="190"/>
      <c r="BM1397" s="191"/>
    </row>
    <row r="1398" spans="53:65">
      <c r="BA1398" s="190"/>
      <c r="BB1398" s="191"/>
      <c r="BL1398" s="190"/>
      <c r="BM1398" s="191"/>
    </row>
    <row r="1399" spans="53:65">
      <c r="BA1399" s="190"/>
      <c r="BB1399" s="191"/>
      <c r="BL1399" s="190"/>
      <c r="BM1399" s="191"/>
    </row>
    <row r="1400" spans="53:65">
      <c r="BA1400" s="190"/>
      <c r="BB1400" s="191"/>
      <c r="BL1400" s="190"/>
      <c r="BM1400" s="191"/>
    </row>
    <row r="1401" spans="53:65">
      <c r="BA1401" s="190"/>
      <c r="BB1401" s="191"/>
      <c r="BL1401" s="190"/>
      <c r="BM1401" s="191"/>
    </row>
    <row r="1402" spans="53:65">
      <c r="BA1402" s="190"/>
      <c r="BB1402" s="191"/>
      <c r="BL1402" s="190"/>
      <c r="BM1402" s="191"/>
    </row>
    <row r="1403" spans="53:65">
      <c r="BA1403" s="190"/>
      <c r="BB1403" s="191"/>
      <c r="BL1403" s="190"/>
      <c r="BM1403" s="191"/>
    </row>
    <row r="1404" spans="53:65">
      <c r="BA1404" s="190"/>
      <c r="BB1404" s="191"/>
      <c r="BL1404" s="190"/>
      <c r="BM1404" s="191"/>
    </row>
    <row r="1405" spans="53:65">
      <c r="BA1405" s="190"/>
      <c r="BB1405" s="191"/>
      <c r="BL1405" s="190"/>
      <c r="BM1405" s="191"/>
    </row>
    <row r="1406" spans="53:65">
      <c r="BA1406" s="190"/>
      <c r="BB1406" s="191"/>
      <c r="BL1406" s="190"/>
      <c r="BM1406" s="191"/>
    </row>
    <row r="1407" spans="53:65">
      <c r="BA1407" s="190"/>
      <c r="BB1407" s="191"/>
      <c r="BL1407" s="190"/>
      <c r="BM1407" s="191"/>
    </row>
    <row r="1408" spans="53:65">
      <c r="BA1408" s="190"/>
      <c r="BB1408" s="191"/>
      <c r="BL1408" s="190"/>
      <c r="BM1408" s="191"/>
    </row>
    <row r="1409" spans="53:65">
      <c r="BA1409" s="190"/>
      <c r="BB1409" s="191"/>
      <c r="BL1409" s="190"/>
      <c r="BM1409" s="191"/>
    </row>
    <row r="1410" spans="53:65">
      <c r="BA1410" s="190"/>
      <c r="BB1410" s="191"/>
      <c r="BL1410" s="190"/>
      <c r="BM1410" s="191"/>
    </row>
    <row r="1411" spans="53:65">
      <c r="BA1411" s="190"/>
      <c r="BB1411" s="191"/>
      <c r="BL1411" s="190"/>
      <c r="BM1411" s="191"/>
    </row>
    <row r="1412" spans="53:65">
      <c r="BL1412" s="190"/>
      <c r="BM1412" s="191"/>
    </row>
    <row r="1413" spans="53:65">
      <c r="BA1413" s="190"/>
      <c r="BB1413" s="191"/>
      <c r="BL1413" s="190"/>
      <c r="BM1413" s="191"/>
    </row>
    <row r="1414" spans="53:65">
      <c r="BA1414" s="190"/>
      <c r="BB1414" s="191"/>
      <c r="BL1414" s="190"/>
      <c r="BM1414" s="191"/>
    </row>
    <row r="1415" spans="53:65">
      <c r="BA1415" s="190"/>
      <c r="BB1415" s="191"/>
      <c r="BL1415" s="190"/>
      <c r="BM1415" s="191"/>
    </row>
    <row r="1416" spans="53:65">
      <c r="BA1416" s="190"/>
      <c r="BB1416" s="191"/>
      <c r="BL1416" s="190"/>
      <c r="BM1416" s="191"/>
    </row>
    <row r="1417" spans="53:65">
      <c r="BA1417" s="190"/>
      <c r="BB1417" s="191"/>
      <c r="BL1417" s="190"/>
      <c r="BM1417" s="191"/>
    </row>
    <row r="1418" spans="53:65">
      <c r="BA1418" s="190"/>
      <c r="BB1418" s="191"/>
      <c r="BL1418" s="190"/>
      <c r="BM1418" s="191"/>
    </row>
    <row r="1419" spans="53:65">
      <c r="BA1419" s="190"/>
      <c r="BB1419" s="191"/>
      <c r="BL1419" s="190"/>
      <c r="BM1419" s="191"/>
    </row>
    <row r="1420" spans="53:65">
      <c r="BA1420" s="190"/>
      <c r="BB1420" s="191"/>
      <c r="BL1420" s="190"/>
      <c r="BM1420" s="191"/>
    </row>
    <row r="1421" spans="53:65">
      <c r="BA1421" s="190"/>
      <c r="BB1421" s="191"/>
      <c r="BL1421" s="190"/>
      <c r="BM1421" s="191"/>
    </row>
    <row r="1422" spans="53:65">
      <c r="BA1422" s="190"/>
      <c r="BB1422" s="191"/>
      <c r="BL1422" s="190"/>
      <c r="BM1422" s="191"/>
    </row>
    <row r="1423" spans="53:65">
      <c r="BA1423" s="190"/>
      <c r="BB1423" s="191"/>
      <c r="BL1423" s="190"/>
      <c r="BM1423" s="191"/>
    </row>
    <row r="1424" spans="53:65">
      <c r="BA1424" s="190"/>
      <c r="BB1424" s="191"/>
      <c r="BL1424" s="190"/>
      <c r="BM1424" s="191"/>
    </row>
    <row r="1425" spans="53:65">
      <c r="BA1425" s="190"/>
      <c r="BB1425" s="191"/>
      <c r="BL1425" s="190"/>
      <c r="BM1425" s="191"/>
    </row>
    <row r="1426" spans="53:65">
      <c r="BA1426" s="190"/>
      <c r="BB1426" s="191"/>
      <c r="BL1426" s="190"/>
      <c r="BM1426" s="191"/>
    </row>
    <row r="1427" spans="53:65">
      <c r="BA1427" s="190"/>
      <c r="BB1427" s="191"/>
      <c r="BL1427" s="190"/>
      <c r="BM1427" s="191"/>
    </row>
    <row r="1428" spans="53:65">
      <c r="BA1428" s="190"/>
      <c r="BB1428" s="191"/>
      <c r="BL1428" s="190"/>
      <c r="BM1428" s="191"/>
    </row>
    <row r="1429" spans="53:65">
      <c r="BA1429" s="190"/>
      <c r="BB1429" s="191"/>
      <c r="BL1429" s="190"/>
      <c r="BM1429" s="191"/>
    </row>
    <row r="1430" spans="53:65">
      <c r="BA1430" s="190"/>
      <c r="BB1430" s="191"/>
      <c r="BL1430" s="190"/>
      <c r="BM1430" s="191"/>
    </row>
    <row r="1431" spans="53:65">
      <c r="BA1431" s="190"/>
      <c r="BB1431" s="191"/>
      <c r="BL1431" s="190"/>
      <c r="BM1431" s="191"/>
    </row>
    <row r="1432" spans="53:65">
      <c r="BA1432" s="190"/>
      <c r="BB1432" s="191"/>
      <c r="BL1432" s="190"/>
      <c r="BM1432" s="191"/>
    </row>
    <row r="1433" spans="53:65">
      <c r="BA1433" s="190"/>
      <c r="BB1433" s="191"/>
      <c r="BL1433" s="190"/>
      <c r="BM1433" s="191"/>
    </row>
    <row r="1434" spans="53:65">
      <c r="BA1434" s="190"/>
      <c r="BB1434" s="191"/>
      <c r="BL1434" s="190"/>
      <c r="BM1434" s="191"/>
    </row>
    <row r="1435" spans="53:65">
      <c r="BA1435" s="190"/>
      <c r="BB1435" s="191"/>
      <c r="BL1435" s="190"/>
      <c r="BM1435" s="191"/>
    </row>
    <row r="1436" spans="53:65">
      <c r="BA1436" s="190"/>
      <c r="BB1436" s="191"/>
      <c r="BL1436" s="190"/>
      <c r="BM1436" s="191"/>
    </row>
    <row r="1437" spans="53:65">
      <c r="BA1437" s="190"/>
      <c r="BB1437" s="191"/>
      <c r="BL1437" s="190"/>
      <c r="BM1437" s="191"/>
    </row>
    <row r="1438" spans="53:65">
      <c r="BA1438" s="190"/>
      <c r="BB1438" s="191"/>
      <c r="BL1438" s="190"/>
      <c r="BM1438" s="191"/>
    </row>
    <row r="1439" spans="53:65">
      <c r="BA1439" s="190"/>
      <c r="BB1439" s="191"/>
      <c r="BL1439" s="190"/>
      <c r="BM1439" s="191"/>
    </row>
    <row r="1440" spans="53:65">
      <c r="BA1440" s="190"/>
      <c r="BB1440" s="191"/>
      <c r="BL1440" s="190"/>
      <c r="BM1440" s="191"/>
    </row>
    <row r="1441" spans="53:65">
      <c r="BA1441" s="190"/>
      <c r="BB1441" s="191"/>
      <c r="BL1441" s="190"/>
      <c r="BM1441" s="191"/>
    </row>
    <row r="1442" spans="53:65">
      <c r="BA1442" s="190"/>
      <c r="BB1442" s="191"/>
      <c r="BL1442" s="190"/>
      <c r="BM1442" s="191"/>
    </row>
    <row r="1443" spans="53:65">
      <c r="BA1443" s="190"/>
      <c r="BB1443" s="191"/>
      <c r="BL1443" s="190"/>
      <c r="BM1443" s="191"/>
    </row>
    <row r="1444" spans="53:65">
      <c r="BA1444" s="190"/>
      <c r="BB1444" s="191"/>
      <c r="BL1444" s="190"/>
      <c r="BM1444" s="191"/>
    </row>
    <row r="1445" spans="53:65">
      <c r="BA1445" s="190"/>
      <c r="BB1445" s="191"/>
      <c r="BL1445" s="190"/>
      <c r="BM1445" s="191"/>
    </row>
    <row r="1446" spans="53:65">
      <c r="BA1446" s="190"/>
      <c r="BB1446" s="191"/>
      <c r="BL1446" s="190"/>
      <c r="BM1446" s="191"/>
    </row>
    <row r="1447" spans="53:65">
      <c r="BA1447" s="190"/>
      <c r="BB1447" s="191"/>
      <c r="BL1447" s="190"/>
      <c r="BM1447" s="191"/>
    </row>
    <row r="1448" spans="53:65">
      <c r="BA1448" s="190"/>
      <c r="BB1448" s="191"/>
      <c r="BL1448" s="190"/>
      <c r="BM1448" s="191"/>
    </row>
    <row r="1449" spans="53:65">
      <c r="BA1449" s="190"/>
      <c r="BB1449" s="191"/>
      <c r="BL1449" s="190"/>
      <c r="BM1449" s="191"/>
    </row>
    <row r="1450" spans="53:65">
      <c r="BA1450" s="190"/>
      <c r="BB1450" s="191"/>
      <c r="BL1450" s="190"/>
      <c r="BM1450" s="191"/>
    </row>
    <row r="1451" spans="53:65">
      <c r="BA1451" s="190"/>
      <c r="BB1451" s="191"/>
      <c r="BL1451" s="190"/>
      <c r="BM1451" s="191"/>
    </row>
    <row r="1452" spans="53:65">
      <c r="BA1452" s="190"/>
      <c r="BB1452" s="191"/>
      <c r="BL1452" s="190"/>
      <c r="BM1452" s="191"/>
    </row>
    <row r="1453" spans="53:65">
      <c r="BA1453" s="190"/>
      <c r="BB1453" s="191"/>
      <c r="BL1453" s="190"/>
      <c r="BM1453" s="191"/>
    </row>
    <row r="1454" spans="53:65">
      <c r="BA1454" s="190"/>
      <c r="BB1454" s="191"/>
      <c r="BL1454" s="190"/>
      <c r="BM1454" s="191"/>
    </row>
    <row r="1455" spans="53:65">
      <c r="BA1455" s="190"/>
      <c r="BB1455" s="191"/>
      <c r="BL1455" s="190"/>
      <c r="BM1455" s="191"/>
    </row>
    <row r="1456" spans="53:65">
      <c r="BA1456" s="190"/>
      <c r="BB1456" s="191"/>
      <c r="BL1456" s="190"/>
      <c r="BM1456" s="191"/>
    </row>
    <row r="1457" spans="53:65">
      <c r="BA1457" s="190"/>
      <c r="BB1457" s="191"/>
      <c r="BL1457" s="190"/>
      <c r="BM1457" s="191"/>
    </row>
    <row r="1458" spans="53:65">
      <c r="BA1458" s="190"/>
      <c r="BB1458" s="191"/>
      <c r="BL1458" s="190"/>
      <c r="BM1458" s="191"/>
    </row>
    <row r="1459" spans="53:65">
      <c r="BA1459" s="190"/>
      <c r="BB1459" s="191"/>
      <c r="BL1459" s="190"/>
      <c r="BM1459" s="191"/>
    </row>
    <row r="1460" spans="53:65">
      <c r="BA1460" s="190"/>
      <c r="BB1460" s="191"/>
      <c r="BL1460" s="190"/>
      <c r="BM1460" s="191"/>
    </row>
    <row r="1461" spans="53:65">
      <c r="BA1461" s="190"/>
      <c r="BB1461" s="191"/>
      <c r="BL1461" s="190"/>
      <c r="BM1461" s="191"/>
    </row>
    <row r="1462" spans="53:65">
      <c r="BA1462" s="190"/>
      <c r="BB1462" s="191"/>
      <c r="BL1462" s="190"/>
      <c r="BM1462" s="191"/>
    </row>
    <row r="1463" spans="53:65">
      <c r="BA1463" s="190"/>
      <c r="BB1463" s="191"/>
      <c r="BL1463" s="190"/>
      <c r="BM1463" s="191"/>
    </row>
    <row r="1464" spans="53:65">
      <c r="BA1464" s="190"/>
      <c r="BB1464" s="191"/>
      <c r="BL1464" s="190"/>
      <c r="BM1464" s="191"/>
    </row>
    <row r="1465" spans="53:65">
      <c r="BA1465" s="190"/>
      <c r="BB1465" s="191"/>
      <c r="BL1465" s="190"/>
      <c r="BM1465" s="191"/>
    </row>
    <row r="1466" spans="53:65">
      <c r="BA1466" s="190"/>
      <c r="BB1466" s="191"/>
      <c r="BL1466" s="190"/>
      <c r="BM1466" s="191"/>
    </row>
    <row r="1467" spans="53:65">
      <c r="BA1467" s="190"/>
      <c r="BB1467" s="191"/>
      <c r="BL1467" s="190"/>
      <c r="BM1467" s="191"/>
    </row>
    <row r="1468" spans="53:65">
      <c r="BA1468" s="190"/>
      <c r="BB1468" s="191"/>
      <c r="BL1468" s="190"/>
      <c r="BM1468" s="191"/>
    </row>
    <row r="1469" spans="53:65">
      <c r="BA1469" s="190"/>
      <c r="BB1469" s="191"/>
      <c r="BL1469" s="190"/>
      <c r="BM1469" s="191"/>
    </row>
    <row r="1470" spans="53:65">
      <c r="BA1470" s="190"/>
      <c r="BB1470" s="191"/>
      <c r="BL1470" s="190"/>
      <c r="BM1470" s="191"/>
    </row>
    <row r="1471" spans="53:65">
      <c r="BA1471" s="190"/>
      <c r="BB1471" s="191"/>
      <c r="BL1471" s="190"/>
      <c r="BM1471" s="191"/>
    </row>
    <row r="1472" spans="53:65">
      <c r="BA1472" s="190"/>
      <c r="BB1472" s="191"/>
      <c r="BL1472" s="190"/>
      <c r="BM1472" s="191"/>
    </row>
    <row r="1473" spans="53:65">
      <c r="BA1473" s="190"/>
      <c r="BB1473" s="191"/>
      <c r="BL1473" s="190"/>
      <c r="BM1473" s="191"/>
    </row>
    <row r="1474" spans="53:65">
      <c r="BA1474" s="190"/>
      <c r="BB1474" s="191"/>
      <c r="BL1474" s="190"/>
      <c r="BM1474" s="191"/>
    </row>
    <row r="1475" spans="53:65">
      <c r="BA1475" s="190"/>
      <c r="BB1475" s="191"/>
      <c r="BL1475" s="190"/>
      <c r="BM1475" s="191"/>
    </row>
    <row r="1476" spans="53:65">
      <c r="BA1476" s="190"/>
      <c r="BB1476" s="191"/>
      <c r="BL1476" s="190"/>
      <c r="BM1476" s="191"/>
    </row>
    <row r="1477" spans="53:65">
      <c r="BA1477" s="190"/>
      <c r="BB1477" s="191"/>
      <c r="BL1477" s="190"/>
      <c r="BM1477" s="191"/>
    </row>
    <row r="1478" spans="53:65">
      <c r="BA1478" s="190"/>
      <c r="BB1478" s="191"/>
      <c r="BL1478" s="190"/>
      <c r="BM1478" s="191"/>
    </row>
    <row r="1479" spans="53:65">
      <c r="BA1479" s="190"/>
      <c r="BB1479" s="191"/>
      <c r="BL1479" s="190"/>
      <c r="BM1479" s="191"/>
    </row>
    <row r="1480" spans="53:65">
      <c r="BA1480" s="190"/>
      <c r="BB1480" s="191"/>
      <c r="BL1480" s="190"/>
      <c r="BM1480" s="191"/>
    </row>
    <row r="1481" spans="53:65">
      <c r="BA1481" s="190"/>
      <c r="BB1481" s="191"/>
      <c r="BL1481" s="190"/>
      <c r="BM1481" s="191"/>
    </row>
    <row r="1482" spans="53:65">
      <c r="BA1482" s="190"/>
      <c r="BB1482" s="191"/>
      <c r="BL1482" s="190"/>
      <c r="BM1482" s="191"/>
    </row>
    <row r="1483" spans="53:65">
      <c r="BA1483" s="190"/>
      <c r="BB1483" s="191"/>
      <c r="BL1483" s="190"/>
      <c r="BM1483" s="191"/>
    </row>
    <row r="1484" spans="53:65">
      <c r="BA1484" s="190"/>
      <c r="BB1484" s="191"/>
      <c r="BL1484" s="190"/>
      <c r="BM1484" s="191"/>
    </row>
    <row r="1485" spans="53:65">
      <c r="BA1485" s="190"/>
      <c r="BB1485" s="191"/>
      <c r="BL1485" s="190"/>
      <c r="BM1485" s="191"/>
    </row>
    <row r="1486" spans="53:65">
      <c r="BA1486" s="190"/>
      <c r="BB1486" s="191"/>
      <c r="BL1486" s="190"/>
      <c r="BM1486" s="191"/>
    </row>
    <row r="1487" spans="53:65">
      <c r="BA1487" s="190"/>
      <c r="BB1487" s="191"/>
      <c r="BL1487" s="190"/>
      <c r="BM1487" s="191"/>
    </row>
    <row r="1488" spans="53:65">
      <c r="BA1488" s="190"/>
      <c r="BB1488" s="191"/>
      <c r="BL1488" s="190"/>
      <c r="BM1488" s="191"/>
    </row>
    <row r="1489" spans="53:65">
      <c r="BA1489" s="190"/>
      <c r="BB1489" s="191"/>
      <c r="BL1489" s="190"/>
      <c r="BM1489" s="191"/>
    </row>
    <row r="1490" spans="53:65">
      <c r="BA1490" s="190"/>
      <c r="BB1490" s="191"/>
      <c r="BL1490" s="190"/>
      <c r="BM1490" s="191"/>
    </row>
    <row r="1491" spans="53:65">
      <c r="BA1491" s="190"/>
      <c r="BB1491" s="191"/>
      <c r="BL1491" s="190"/>
      <c r="BM1491" s="191"/>
    </row>
    <row r="1492" spans="53:65">
      <c r="BA1492" s="190"/>
      <c r="BB1492" s="191"/>
      <c r="BL1492" s="190"/>
      <c r="BM1492" s="191"/>
    </row>
    <row r="1493" spans="53:65">
      <c r="BA1493" s="190"/>
      <c r="BB1493" s="191"/>
      <c r="BL1493" s="190"/>
      <c r="BM1493" s="191"/>
    </row>
    <row r="1494" spans="53:65">
      <c r="BA1494" s="190"/>
      <c r="BB1494" s="191"/>
      <c r="BL1494" s="190"/>
      <c r="BM1494" s="191"/>
    </row>
    <row r="1495" spans="53:65">
      <c r="BA1495" s="190"/>
      <c r="BB1495" s="191"/>
      <c r="BL1495" s="190"/>
      <c r="BM1495" s="191"/>
    </row>
    <row r="1496" spans="53:65">
      <c r="BA1496" s="190"/>
      <c r="BB1496" s="191"/>
      <c r="BL1496" s="190"/>
      <c r="BM1496" s="191"/>
    </row>
    <row r="1497" spans="53:65">
      <c r="BA1497" s="190"/>
      <c r="BB1497" s="191"/>
      <c r="BL1497" s="190"/>
      <c r="BM1497" s="191"/>
    </row>
    <row r="1498" spans="53:65">
      <c r="BA1498" s="190"/>
      <c r="BB1498" s="191"/>
      <c r="BL1498" s="190"/>
      <c r="BM1498" s="191"/>
    </row>
    <row r="1499" spans="53:65">
      <c r="BA1499" s="190"/>
      <c r="BB1499" s="191"/>
      <c r="BL1499" s="190"/>
      <c r="BM1499" s="191"/>
    </row>
    <row r="1500" spans="53:65">
      <c r="BA1500" s="190"/>
      <c r="BB1500" s="191"/>
      <c r="BL1500" s="190"/>
      <c r="BM1500" s="191"/>
    </row>
    <row r="1501" spans="53:65">
      <c r="BA1501" s="190"/>
      <c r="BB1501" s="191"/>
      <c r="BL1501" s="190"/>
      <c r="BM1501" s="191"/>
    </row>
    <row r="1502" spans="53:65">
      <c r="BA1502" s="190"/>
      <c r="BB1502" s="191"/>
      <c r="BL1502" s="190"/>
      <c r="BM1502" s="191"/>
    </row>
    <row r="1503" spans="53:65">
      <c r="BA1503" s="190"/>
      <c r="BB1503" s="191"/>
      <c r="BL1503" s="190"/>
      <c r="BM1503" s="191"/>
    </row>
    <row r="1504" spans="53:65">
      <c r="BA1504" s="190"/>
      <c r="BB1504" s="191"/>
      <c r="BL1504" s="190"/>
      <c r="BM1504" s="191"/>
    </row>
    <row r="1505" spans="53:65">
      <c r="BA1505" s="190"/>
      <c r="BB1505" s="191"/>
      <c r="BL1505" s="190"/>
      <c r="BM1505" s="191"/>
    </row>
    <row r="1506" spans="53:65">
      <c r="BA1506" s="190"/>
      <c r="BB1506" s="191"/>
      <c r="BL1506" s="190"/>
      <c r="BM1506" s="191"/>
    </row>
    <row r="1507" spans="53:65">
      <c r="BA1507" s="190"/>
      <c r="BB1507" s="191"/>
      <c r="BL1507" s="190"/>
      <c r="BM1507" s="191"/>
    </row>
    <row r="1508" spans="53:65">
      <c r="BA1508" s="190"/>
      <c r="BB1508" s="191"/>
      <c r="BL1508" s="190"/>
      <c r="BM1508" s="191"/>
    </row>
    <row r="1509" spans="53:65">
      <c r="BA1509" s="190"/>
      <c r="BB1509" s="191"/>
      <c r="BL1509" s="190"/>
      <c r="BM1509" s="191"/>
    </row>
    <row r="1510" spans="53:65">
      <c r="BA1510" s="190"/>
      <c r="BB1510" s="191"/>
      <c r="BL1510" s="190"/>
      <c r="BM1510" s="191"/>
    </row>
    <row r="1511" spans="53:65">
      <c r="BA1511" s="190"/>
      <c r="BB1511" s="191"/>
      <c r="BL1511" s="190"/>
      <c r="BM1511" s="191"/>
    </row>
    <row r="1512" spans="53:65">
      <c r="BA1512" s="190"/>
      <c r="BB1512" s="191"/>
      <c r="BL1512" s="190"/>
      <c r="BM1512" s="191"/>
    </row>
    <row r="1513" spans="53:65">
      <c r="BA1513" s="190"/>
      <c r="BB1513" s="191"/>
      <c r="BL1513" s="190"/>
      <c r="BM1513" s="191"/>
    </row>
    <row r="1514" spans="53:65">
      <c r="BA1514" s="190"/>
      <c r="BB1514" s="191"/>
      <c r="BL1514" s="190"/>
      <c r="BM1514" s="191"/>
    </row>
    <row r="1515" spans="53:65">
      <c r="BA1515" s="190"/>
      <c r="BB1515" s="191"/>
      <c r="BL1515" s="190"/>
      <c r="BM1515" s="191"/>
    </row>
    <row r="1516" spans="53:65">
      <c r="BA1516" s="190"/>
      <c r="BB1516" s="191"/>
      <c r="BL1516" s="190"/>
      <c r="BM1516" s="191"/>
    </row>
    <row r="1517" spans="53:65">
      <c r="BA1517" s="190"/>
      <c r="BB1517" s="191"/>
      <c r="BL1517" s="190"/>
      <c r="BM1517" s="191"/>
    </row>
    <row r="1518" spans="53:65">
      <c r="BA1518" s="190"/>
      <c r="BB1518" s="191"/>
      <c r="BL1518" s="190"/>
      <c r="BM1518" s="191"/>
    </row>
    <row r="1519" spans="53:65">
      <c r="BA1519" s="190"/>
      <c r="BB1519" s="191"/>
      <c r="BL1519" s="190"/>
      <c r="BM1519" s="191"/>
    </row>
    <row r="1520" spans="53:65">
      <c r="BA1520" s="190"/>
      <c r="BB1520" s="191"/>
      <c r="BL1520" s="190"/>
      <c r="BM1520" s="191"/>
    </row>
    <row r="1521" spans="49:65">
      <c r="BA1521" s="190"/>
      <c r="BB1521" s="191"/>
      <c r="BL1521" s="190"/>
      <c r="BM1521" s="191"/>
    </row>
    <row r="1522" spans="49:65">
      <c r="BA1522" s="190"/>
      <c r="BB1522" s="191"/>
      <c r="BL1522" s="190"/>
      <c r="BM1522" s="191"/>
    </row>
    <row r="1523" spans="49:65">
      <c r="BA1523" s="190"/>
      <c r="BB1523" s="191"/>
      <c r="BL1523" s="190"/>
      <c r="BM1523" s="191"/>
    </row>
    <row r="1524" spans="49:65">
      <c r="BA1524" s="190"/>
      <c r="BB1524" s="191"/>
      <c r="BL1524" s="190"/>
      <c r="BM1524" s="191"/>
    </row>
    <row r="1525" spans="49:65">
      <c r="BA1525" s="190"/>
      <c r="BB1525" s="191"/>
      <c r="BL1525" s="190"/>
      <c r="BM1525" s="191"/>
    </row>
    <row r="1526" spans="49:65">
      <c r="BA1526" s="190"/>
      <c r="BB1526" s="191"/>
      <c r="BL1526" s="190"/>
      <c r="BM1526" s="191"/>
    </row>
    <row r="1527" spans="49:65">
      <c r="BA1527" s="190"/>
      <c r="BB1527" s="191"/>
      <c r="BL1527" s="190"/>
      <c r="BM1527" s="191"/>
    </row>
    <row r="1528" spans="49:65">
      <c r="BL1528" s="190"/>
      <c r="BM1528" s="191"/>
    </row>
    <row r="1529" spans="49:65">
      <c r="BA1529" s="190"/>
      <c r="BB1529" s="191"/>
      <c r="BL1529" s="190"/>
      <c r="BM1529" s="191"/>
    </row>
    <row r="1530" spans="49:65">
      <c r="AW1530" s="192"/>
      <c r="BA1530" s="190"/>
      <c r="BB1530" s="191"/>
      <c r="BL1530" s="190"/>
      <c r="BM1530" s="191"/>
    </row>
    <row r="1531" spans="49:65">
      <c r="AW1531" s="192"/>
      <c r="BA1531" s="190"/>
      <c r="BB1531" s="191"/>
      <c r="BL1531" s="190"/>
      <c r="BM1531" s="191"/>
    </row>
    <row r="1532" spans="49:65">
      <c r="AW1532" s="192"/>
      <c r="BA1532" s="190"/>
      <c r="BB1532" s="191"/>
      <c r="BL1532" s="190"/>
      <c r="BM1532" s="191"/>
    </row>
    <row r="1533" spans="49:65">
      <c r="AW1533" s="192"/>
      <c r="BA1533" s="190"/>
      <c r="BB1533" s="191"/>
      <c r="BL1533" s="190"/>
      <c r="BM1533" s="191"/>
    </row>
    <row r="1534" spans="49:65">
      <c r="AW1534" s="192"/>
      <c r="BA1534" s="190"/>
      <c r="BB1534" s="191"/>
      <c r="BL1534" s="190"/>
      <c r="BM1534" s="191"/>
    </row>
    <row r="1535" spans="49:65">
      <c r="AW1535" s="192"/>
      <c r="BA1535" s="190"/>
      <c r="BB1535" s="191"/>
      <c r="BL1535" s="190"/>
      <c r="BM1535" s="191"/>
    </row>
    <row r="1536" spans="49:65">
      <c r="AW1536" s="192"/>
      <c r="BA1536" s="190"/>
      <c r="BB1536" s="191"/>
      <c r="BL1536" s="190"/>
      <c r="BM1536" s="191"/>
    </row>
    <row r="1537" spans="53:65">
      <c r="BA1537" s="190"/>
      <c r="BB1537" s="191"/>
      <c r="BL1537" s="190"/>
      <c r="BM1537" s="191"/>
    </row>
    <row r="1538" spans="53:65">
      <c r="BA1538" s="190"/>
      <c r="BB1538" s="191"/>
      <c r="BL1538" s="190"/>
      <c r="BM1538" s="191"/>
    </row>
    <row r="1539" spans="53:65">
      <c r="BA1539" s="190"/>
      <c r="BB1539" s="191"/>
      <c r="BL1539" s="190"/>
      <c r="BM1539" s="191"/>
    </row>
    <row r="1540" spans="53:65">
      <c r="BA1540" s="190"/>
      <c r="BB1540" s="191"/>
      <c r="BL1540" s="190"/>
      <c r="BM1540" s="191"/>
    </row>
    <row r="1541" spans="53:65">
      <c r="BA1541" s="190"/>
      <c r="BB1541" s="191"/>
      <c r="BL1541" s="190"/>
      <c r="BM1541" s="191"/>
    </row>
    <row r="1542" spans="53:65">
      <c r="BA1542" s="190"/>
      <c r="BB1542" s="191"/>
      <c r="BL1542" s="190"/>
      <c r="BM1542" s="191"/>
    </row>
    <row r="1543" spans="53:65">
      <c r="BA1543" s="190"/>
      <c r="BB1543" s="191"/>
      <c r="BL1543" s="190"/>
      <c r="BM1543" s="191"/>
    </row>
    <row r="1544" spans="53:65">
      <c r="BA1544" s="190"/>
      <c r="BB1544" s="191"/>
      <c r="BL1544" s="190"/>
      <c r="BM1544" s="191"/>
    </row>
    <row r="1545" spans="53:65">
      <c r="BA1545" s="190"/>
      <c r="BB1545" s="191"/>
      <c r="BL1545" s="190"/>
      <c r="BM1545" s="191"/>
    </row>
    <row r="1546" spans="53:65">
      <c r="BA1546" s="190"/>
      <c r="BB1546" s="191"/>
      <c r="BL1546" s="190"/>
      <c r="BM1546" s="191"/>
    </row>
    <row r="1547" spans="53:65">
      <c r="BA1547" s="190"/>
      <c r="BB1547" s="191"/>
      <c r="BL1547" s="190"/>
      <c r="BM1547" s="191"/>
    </row>
    <row r="1548" spans="53:65">
      <c r="BA1548" s="190"/>
      <c r="BB1548" s="191"/>
      <c r="BL1548" s="190"/>
      <c r="BM1548" s="191"/>
    </row>
    <row r="1549" spans="53:65">
      <c r="BA1549" s="190"/>
      <c r="BB1549" s="191"/>
      <c r="BL1549" s="190"/>
      <c r="BM1549" s="191"/>
    </row>
    <row r="1550" spans="53:65">
      <c r="BA1550" s="190"/>
      <c r="BB1550" s="191"/>
      <c r="BL1550" s="190"/>
      <c r="BM1550" s="191"/>
    </row>
    <row r="1551" spans="53:65">
      <c r="BA1551" s="190"/>
      <c r="BB1551" s="191"/>
      <c r="BL1551" s="190"/>
      <c r="BM1551" s="191"/>
    </row>
    <row r="1552" spans="53:65">
      <c r="BA1552" s="190"/>
      <c r="BB1552" s="191"/>
      <c r="BL1552" s="190"/>
      <c r="BM1552" s="191"/>
    </row>
    <row r="1553" spans="53:65">
      <c r="BA1553" s="190"/>
      <c r="BB1553" s="191"/>
      <c r="BL1553" s="190"/>
      <c r="BM1553" s="191"/>
    </row>
    <row r="1554" spans="53:65">
      <c r="BA1554" s="190"/>
      <c r="BB1554" s="191"/>
      <c r="BL1554" s="190"/>
      <c r="BM1554" s="191"/>
    </row>
    <row r="1555" spans="53:65">
      <c r="BA1555" s="190"/>
      <c r="BB1555" s="191"/>
      <c r="BL1555" s="190"/>
      <c r="BM1555" s="191"/>
    </row>
    <row r="1556" spans="53:65">
      <c r="BA1556" s="190"/>
      <c r="BB1556" s="191"/>
      <c r="BL1556" s="190"/>
      <c r="BM1556" s="191"/>
    </row>
    <row r="1557" spans="53:65">
      <c r="BA1557" s="190"/>
      <c r="BB1557" s="191"/>
      <c r="BL1557" s="190"/>
      <c r="BM1557" s="191"/>
    </row>
    <row r="1558" spans="53:65">
      <c r="BA1558" s="190"/>
      <c r="BB1558" s="191"/>
      <c r="BL1558" s="190"/>
      <c r="BM1558" s="191"/>
    </row>
    <row r="1559" spans="53:65">
      <c r="BA1559" s="190"/>
      <c r="BB1559" s="191"/>
      <c r="BL1559" s="190"/>
      <c r="BM1559" s="191"/>
    </row>
    <row r="1560" spans="53:65">
      <c r="BA1560" s="190"/>
      <c r="BB1560" s="191"/>
      <c r="BL1560" s="190"/>
      <c r="BM1560" s="191"/>
    </row>
    <row r="1561" spans="53:65">
      <c r="BA1561" s="190"/>
      <c r="BB1561" s="191"/>
      <c r="BL1561" s="190"/>
      <c r="BM1561" s="191"/>
    </row>
    <row r="1562" spans="53:65">
      <c r="BA1562" s="190"/>
      <c r="BB1562" s="191"/>
      <c r="BL1562" s="190"/>
      <c r="BM1562" s="191"/>
    </row>
    <row r="1563" spans="53:65">
      <c r="BA1563" s="190"/>
      <c r="BB1563" s="191"/>
      <c r="BL1563" s="190"/>
      <c r="BM1563" s="191"/>
    </row>
    <row r="1564" spans="53:65">
      <c r="BA1564" s="190"/>
      <c r="BB1564" s="191"/>
      <c r="BL1564" s="190"/>
      <c r="BM1564" s="191"/>
    </row>
    <row r="1565" spans="53:65">
      <c r="BA1565" s="190"/>
      <c r="BB1565" s="191"/>
      <c r="BL1565" s="190"/>
      <c r="BM1565" s="191"/>
    </row>
    <row r="1566" spans="53:65">
      <c r="BA1566" s="190"/>
      <c r="BB1566" s="191"/>
      <c r="BL1566" s="190"/>
      <c r="BM1566" s="191"/>
    </row>
    <row r="1567" spans="53:65">
      <c r="BA1567" s="190"/>
      <c r="BB1567" s="191"/>
      <c r="BL1567" s="190"/>
      <c r="BM1567" s="191"/>
    </row>
    <row r="1568" spans="53:65">
      <c r="BA1568" s="190"/>
      <c r="BB1568" s="191"/>
      <c r="BL1568" s="190"/>
      <c r="BM1568" s="191"/>
    </row>
    <row r="1569" spans="53:65">
      <c r="BA1569" s="190"/>
      <c r="BB1569" s="191"/>
      <c r="BL1569" s="190"/>
      <c r="BM1569" s="191"/>
    </row>
    <row r="1570" spans="53:65">
      <c r="BA1570" s="190"/>
      <c r="BB1570" s="191"/>
      <c r="BL1570" s="190"/>
      <c r="BM1570" s="191"/>
    </row>
    <row r="1571" spans="53:65">
      <c r="BA1571" s="190"/>
      <c r="BB1571" s="191"/>
      <c r="BL1571" s="190"/>
      <c r="BM1571" s="191"/>
    </row>
    <row r="1572" spans="53:65">
      <c r="BA1572" s="190"/>
      <c r="BB1572" s="191"/>
      <c r="BL1572" s="190"/>
      <c r="BM1572" s="191"/>
    </row>
    <row r="1573" spans="53:65">
      <c r="BA1573" s="190"/>
      <c r="BB1573" s="191"/>
      <c r="BL1573" s="190"/>
      <c r="BM1573" s="191"/>
    </row>
    <row r="1574" spans="53:65">
      <c r="BL1574" s="190"/>
      <c r="BM1574" s="191"/>
    </row>
    <row r="1575" spans="53:65">
      <c r="BA1575" s="190"/>
      <c r="BB1575" s="191"/>
      <c r="BL1575" s="190"/>
      <c r="BM1575" s="191"/>
    </row>
    <row r="1576" spans="53:65">
      <c r="BA1576" s="190"/>
      <c r="BB1576" s="191"/>
      <c r="BL1576" s="190"/>
      <c r="BM1576" s="191"/>
    </row>
    <row r="1577" spans="53:65">
      <c r="BA1577" s="190"/>
      <c r="BB1577" s="191"/>
      <c r="BL1577" s="190"/>
      <c r="BM1577" s="191"/>
    </row>
    <row r="1578" spans="53:65">
      <c r="BA1578" s="190"/>
      <c r="BB1578" s="191"/>
      <c r="BL1578" s="190"/>
      <c r="BM1578" s="191"/>
    </row>
    <row r="1579" spans="53:65">
      <c r="BA1579" s="190"/>
      <c r="BB1579" s="191"/>
      <c r="BL1579" s="190"/>
      <c r="BM1579" s="191"/>
    </row>
    <row r="1580" spans="53:65">
      <c r="BA1580" s="190"/>
      <c r="BB1580" s="191"/>
      <c r="BL1580" s="190"/>
      <c r="BM1580" s="191"/>
    </row>
    <row r="1581" spans="53:65">
      <c r="BA1581" s="190"/>
      <c r="BB1581" s="191"/>
      <c r="BL1581" s="190"/>
      <c r="BM1581" s="191"/>
    </row>
    <row r="1582" spans="53:65">
      <c r="BA1582" s="190"/>
      <c r="BB1582" s="191"/>
      <c r="BL1582" s="190"/>
      <c r="BM1582" s="191"/>
    </row>
    <row r="1583" spans="53:65">
      <c r="BA1583" s="190"/>
      <c r="BB1583" s="191"/>
      <c r="BL1583" s="190"/>
      <c r="BM1583" s="191"/>
    </row>
    <row r="1584" spans="53:65">
      <c r="BA1584" s="190"/>
      <c r="BB1584" s="191"/>
      <c r="BL1584" s="190"/>
      <c r="BM1584" s="191"/>
    </row>
    <row r="1585" spans="53:65">
      <c r="BA1585" s="190"/>
      <c r="BB1585" s="191"/>
      <c r="BL1585" s="190"/>
      <c r="BM1585" s="191"/>
    </row>
    <row r="1586" spans="53:65">
      <c r="BA1586" s="190"/>
      <c r="BB1586" s="191"/>
      <c r="BL1586" s="190"/>
      <c r="BM1586" s="191"/>
    </row>
    <row r="1587" spans="53:65">
      <c r="BA1587" s="190"/>
      <c r="BB1587" s="191"/>
      <c r="BL1587" s="190"/>
      <c r="BM1587" s="191"/>
    </row>
    <row r="1588" spans="53:65">
      <c r="BA1588" s="190"/>
      <c r="BB1588" s="191"/>
      <c r="BL1588" s="190"/>
      <c r="BM1588" s="191"/>
    </row>
    <row r="1589" spans="53:65">
      <c r="BA1589" s="190"/>
      <c r="BB1589" s="191"/>
      <c r="BL1589" s="190"/>
      <c r="BM1589" s="191"/>
    </row>
    <row r="1590" spans="53:65">
      <c r="BA1590" s="190"/>
      <c r="BB1590" s="191"/>
      <c r="BL1590" s="190"/>
      <c r="BM1590" s="191"/>
    </row>
    <row r="1591" spans="53:65">
      <c r="BA1591" s="190"/>
      <c r="BB1591" s="191"/>
      <c r="BL1591" s="190"/>
      <c r="BM1591" s="191"/>
    </row>
    <row r="1592" spans="53:65">
      <c r="BA1592" s="190"/>
      <c r="BB1592" s="191"/>
      <c r="BL1592" s="190"/>
      <c r="BM1592" s="191"/>
    </row>
    <row r="1593" spans="53:65">
      <c r="BA1593" s="190"/>
      <c r="BB1593" s="191"/>
      <c r="BL1593" s="190"/>
      <c r="BM1593" s="191"/>
    </row>
    <row r="1594" spans="53:65">
      <c r="BA1594" s="190"/>
      <c r="BB1594" s="191"/>
      <c r="BL1594" s="190"/>
      <c r="BM1594" s="191"/>
    </row>
    <row r="1595" spans="53:65">
      <c r="BA1595" s="190"/>
      <c r="BB1595" s="191"/>
      <c r="BL1595" s="190"/>
      <c r="BM1595" s="191"/>
    </row>
    <row r="1596" spans="53:65">
      <c r="BA1596" s="190"/>
      <c r="BB1596" s="191"/>
      <c r="BL1596" s="190"/>
      <c r="BM1596" s="191"/>
    </row>
    <row r="1597" spans="53:65">
      <c r="BA1597" s="190"/>
      <c r="BB1597" s="191"/>
      <c r="BL1597" s="190"/>
      <c r="BM1597" s="191"/>
    </row>
    <row r="1598" spans="53:65">
      <c r="BA1598" s="190"/>
      <c r="BB1598" s="191"/>
      <c r="BL1598" s="190"/>
      <c r="BM1598" s="191"/>
    </row>
    <row r="1599" spans="53:65">
      <c r="BA1599" s="190"/>
      <c r="BB1599" s="191"/>
      <c r="BL1599" s="190"/>
      <c r="BM1599" s="191"/>
    </row>
    <row r="1600" spans="53:65">
      <c r="BA1600" s="190"/>
      <c r="BB1600" s="191"/>
      <c r="BL1600" s="190"/>
      <c r="BM1600" s="191"/>
    </row>
    <row r="1601" spans="53:65">
      <c r="BA1601" s="190"/>
      <c r="BB1601" s="191"/>
      <c r="BL1601" s="190"/>
      <c r="BM1601" s="191"/>
    </row>
    <row r="1602" spans="53:65">
      <c r="BA1602" s="190"/>
      <c r="BB1602" s="191"/>
      <c r="BL1602" s="190"/>
      <c r="BM1602" s="191"/>
    </row>
    <row r="1603" spans="53:65">
      <c r="BA1603" s="190"/>
      <c r="BB1603" s="191"/>
      <c r="BL1603" s="190"/>
      <c r="BM1603" s="191"/>
    </row>
    <row r="1604" spans="53:65">
      <c r="BA1604" s="190"/>
      <c r="BB1604" s="191"/>
      <c r="BL1604" s="190"/>
      <c r="BM1604" s="191"/>
    </row>
    <row r="1605" spans="53:65">
      <c r="BA1605" s="190"/>
      <c r="BB1605" s="191"/>
      <c r="BL1605" s="190"/>
      <c r="BM1605" s="191"/>
    </row>
    <row r="1606" spans="53:65">
      <c r="BA1606" s="190"/>
      <c r="BB1606" s="191"/>
      <c r="BL1606" s="190"/>
      <c r="BM1606" s="191"/>
    </row>
    <row r="1607" spans="53:65">
      <c r="BA1607" s="190"/>
      <c r="BB1607" s="191"/>
      <c r="BL1607" s="190"/>
      <c r="BM1607" s="191"/>
    </row>
    <row r="1608" spans="53:65">
      <c r="BA1608" s="190"/>
      <c r="BB1608" s="191"/>
      <c r="BL1608" s="190"/>
      <c r="BM1608" s="191"/>
    </row>
    <row r="1609" spans="53:65">
      <c r="BA1609" s="190"/>
      <c r="BB1609" s="191"/>
      <c r="BL1609" s="190"/>
      <c r="BM1609" s="191"/>
    </row>
    <row r="1610" spans="53:65">
      <c r="BA1610" s="190"/>
      <c r="BB1610" s="191"/>
      <c r="BL1610" s="190"/>
      <c r="BM1610" s="191"/>
    </row>
    <row r="1611" spans="53:65">
      <c r="BA1611" s="190"/>
      <c r="BB1611" s="191"/>
      <c r="BL1611" s="190"/>
      <c r="BM1611" s="191"/>
    </row>
    <row r="1612" spans="53:65">
      <c r="BA1612" s="190"/>
      <c r="BB1612" s="191"/>
      <c r="BL1612" s="190"/>
      <c r="BM1612" s="191"/>
    </row>
    <row r="1613" spans="53:65">
      <c r="BA1613" s="190"/>
      <c r="BB1613" s="191"/>
      <c r="BL1613" s="190"/>
      <c r="BM1613" s="191"/>
    </row>
    <row r="1614" spans="53:65">
      <c r="BA1614" s="190"/>
      <c r="BB1614" s="191"/>
      <c r="BL1614" s="190"/>
      <c r="BM1614" s="191"/>
    </row>
    <row r="1615" spans="53:65">
      <c r="BA1615" s="190"/>
      <c r="BB1615" s="191"/>
      <c r="BL1615" s="190"/>
      <c r="BM1615" s="191"/>
    </row>
    <row r="1616" spans="53:65">
      <c r="BA1616" s="190"/>
      <c r="BB1616" s="191"/>
      <c r="BL1616" s="190"/>
      <c r="BM1616" s="191"/>
    </row>
    <row r="1617" spans="53:65">
      <c r="BA1617" s="190"/>
      <c r="BB1617" s="191"/>
      <c r="BL1617" s="190"/>
      <c r="BM1617" s="191"/>
    </row>
    <row r="1618" spans="53:65">
      <c r="BA1618" s="190"/>
      <c r="BB1618" s="191"/>
      <c r="BL1618" s="190"/>
      <c r="BM1618" s="191"/>
    </row>
    <row r="1619" spans="53:65">
      <c r="BA1619" s="190"/>
      <c r="BB1619" s="191"/>
      <c r="BL1619" s="190"/>
      <c r="BM1619" s="191"/>
    </row>
    <row r="1620" spans="53:65">
      <c r="BA1620" s="190"/>
      <c r="BB1620" s="191"/>
      <c r="BL1620" s="190"/>
      <c r="BM1620" s="191"/>
    </row>
    <row r="1621" spans="53:65">
      <c r="BA1621" s="190"/>
      <c r="BB1621" s="191"/>
      <c r="BL1621" s="190"/>
      <c r="BM1621" s="191"/>
    </row>
    <row r="1622" spans="53:65">
      <c r="BA1622" s="190"/>
      <c r="BB1622" s="191"/>
      <c r="BL1622" s="190"/>
      <c r="BM1622" s="191"/>
    </row>
    <row r="1623" spans="53:65">
      <c r="BA1623" s="190"/>
      <c r="BB1623" s="191"/>
      <c r="BL1623" s="190"/>
      <c r="BM1623" s="191"/>
    </row>
    <row r="1624" spans="53:65">
      <c r="BA1624" s="190"/>
      <c r="BB1624" s="191"/>
      <c r="BL1624" s="190"/>
      <c r="BM1624" s="191"/>
    </row>
    <row r="1625" spans="53:65">
      <c r="BA1625" s="190"/>
      <c r="BB1625" s="191"/>
      <c r="BL1625" s="190"/>
      <c r="BM1625" s="191"/>
    </row>
    <row r="1626" spans="53:65">
      <c r="BA1626" s="190"/>
      <c r="BB1626" s="191"/>
      <c r="BL1626" s="190"/>
      <c r="BM1626" s="191"/>
    </row>
    <row r="1627" spans="53:65">
      <c r="BA1627" s="190"/>
      <c r="BB1627" s="191"/>
      <c r="BL1627" s="190"/>
      <c r="BM1627" s="191"/>
    </row>
    <row r="1628" spans="53:65">
      <c r="BA1628" s="190"/>
      <c r="BB1628" s="191"/>
      <c r="BL1628" s="190"/>
      <c r="BM1628" s="191"/>
    </row>
    <row r="1629" spans="53:65">
      <c r="BA1629" s="190"/>
      <c r="BB1629" s="191"/>
      <c r="BL1629" s="190"/>
      <c r="BM1629" s="191"/>
    </row>
    <row r="1630" spans="53:65">
      <c r="BA1630" s="190"/>
      <c r="BB1630" s="191"/>
      <c r="BL1630" s="190"/>
      <c r="BM1630" s="191"/>
    </row>
    <row r="1631" spans="53:65">
      <c r="BA1631" s="190"/>
      <c r="BB1631" s="191"/>
      <c r="BL1631" s="190"/>
      <c r="BM1631" s="191"/>
    </row>
    <row r="1632" spans="53:65">
      <c r="BA1632" s="190"/>
      <c r="BB1632" s="191"/>
      <c r="BL1632" s="190"/>
      <c r="BM1632" s="191"/>
    </row>
    <row r="1633" spans="53:65">
      <c r="BA1633" s="190"/>
      <c r="BB1633" s="191"/>
      <c r="BL1633" s="190"/>
      <c r="BM1633" s="191"/>
    </row>
    <row r="1634" spans="53:65">
      <c r="BA1634" s="190"/>
      <c r="BB1634" s="191"/>
      <c r="BL1634" s="190"/>
      <c r="BM1634" s="191"/>
    </row>
    <row r="1635" spans="53:65">
      <c r="BA1635" s="190"/>
      <c r="BB1635" s="191"/>
      <c r="BL1635" s="190"/>
      <c r="BM1635" s="191"/>
    </row>
    <row r="1636" spans="53:65">
      <c r="BA1636" s="190"/>
      <c r="BB1636" s="191"/>
      <c r="BL1636" s="190"/>
      <c r="BM1636" s="191"/>
    </row>
    <row r="1637" spans="53:65">
      <c r="BA1637" s="190"/>
      <c r="BB1637" s="191"/>
      <c r="BL1637" s="190"/>
      <c r="BM1637" s="191"/>
    </row>
    <row r="1638" spans="53:65">
      <c r="BA1638" s="190"/>
      <c r="BB1638" s="191"/>
      <c r="BL1638" s="190"/>
      <c r="BM1638" s="191"/>
    </row>
    <row r="1639" spans="53:65">
      <c r="BA1639" s="190"/>
      <c r="BB1639" s="191"/>
      <c r="BL1639" s="190"/>
      <c r="BM1639" s="191"/>
    </row>
    <row r="1640" spans="53:65">
      <c r="BA1640" s="190"/>
      <c r="BB1640" s="191"/>
      <c r="BL1640" s="190"/>
      <c r="BM1640" s="191"/>
    </row>
    <row r="1641" spans="53:65">
      <c r="BA1641" s="190"/>
      <c r="BB1641" s="191"/>
      <c r="BL1641" s="190"/>
      <c r="BM1641" s="191"/>
    </row>
    <row r="1642" spans="53:65">
      <c r="BA1642" s="190"/>
      <c r="BB1642" s="191"/>
      <c r="BL1642" s="190"/>
      <c r="BM1642" s="191"/>
    </row>
    <row r="1643" spans="53:65">
      <c r="BA1643" s="190"/>
      <c r="BB1643" s="191"/>
      <c r="BL1643" s="190"/>
      <c r="BM1643" s="191"/>
    </row>
    <row r="1644" spans="53:65">
      <c r="BA1644" s="190"/>
      <c r="BB1644" s="191"/>
      <c r="BL1644" s="190"/>
      <c r="BM1644" s="191"/>
    </row>
    <row r="1645" spans="53:65">
      <c r="BA1645" s="190"/>
      <c r="BB1645" s="191"/>
      <c r="BL1645" s="190"/>
      <c r="BM1645" s="191"/>
    </row>
    <row r="1646" spans="53:65">
      <c r="BA1646" s="190"/>
      <c r="BB1646" s="191"/>
      <c r="BL1646" s="190"/>
      <c r="BM1646" s="191"/>
    </row>
    <row r="1647" spans="53:65">
      <c r="BA1647" s="190"/>
      <c r="BB1647" s="191"/>
      <c r="BL1647" s="190"/>
      <c r="BM1647" s="191"/>
    </row>
    <row r="1648" spans="53:65">
      <c r="BA1648" s="190"/>
      <c r="BB1648" s="191"/>
      <c r="BL1648" s="190"/>
      <c r="BM1648" s="191"/>
    </row>
    <row r="1649" spans="53:65">
      <c r="BA1649" s="190"/>
      <c r="BB1649" s="191"/>
      <c r="BL1649" s="190"/>
      <c r="BM1649" s="191"/>
    </row>
    <row r="1650" spans="53:65">
      <c r="BA1650" s="190"/>
      <c r="BB1650" s="191"/>
      <c r="BL1650" s="190"/>
      <c r="BM1650" s="191"/>
    </row>
    <row r="1651" spans="53:65">
      <c r="BA1651" s="190"/>
      <c r="BB1651" s="191"/>
      <c r="BL1651" s="190"/>
      <c r="BM1651" s="191"/>
    </row>
    <row r="1652" spans="53:65">
      <c r="BA1652" s="190"/>
      <c r="BB1652" s="191"/>
      <c r="BL1652" s="190"/>
      <c r="BM1652" s="191"/>
    </row>
    <row r="1653" spans="53:65">
      <c r="BA1653" s="190"/>
      <c r="BB1653" s="191"/>
      <c r="BL1653" s="190"/>
      <c r="BM1653" s="191"/>
    </row>
    <row r="1654" spans="53:65">
      <c r="BA1654" s="190"/>
      <c r="BB1654" s="191"/>
      <c r="BL1654" s="190"/>
      <c r="BM1654" s="191"/>
    </row>
    <row r="1655" spans="53:65">
      <c r="BA1655" s="190"/>
      <c r="BB1655" s="191"/>
      <c r="BL1655" s="190"/>
      <c r="BM1655" s="191"/>
    </row>
    <row r="1656" spans="53:65">
      <c r="BA1656" s="190"/>
      <c r="BB1656" s="191"/>
      <c r="BL1656" s="190"/>
      <c r="BM1656" s="191"/>
    </row>
    <row r="1657" spans="53:65">
      <c r="BA1657" s="190"/>
      <c r="BB1657" s="191"/>
      <c r="BL1657" s="190"/>
      <c r="BM1657" s="191"/>
    </row>
    <row r="1658" spans="53:65">
      <c r="BA1658" s="190"/>
      <c r="BB1658" s="191"/>
      <c r="BL1658" s="190"/>
      <c r="BM1658" s="191"/>
    </row>
    <row r="1659" spans="53:65">
      <c r="BA1659" s="190"/>
      <c r="BB1659" s="191"/>
      <c r="BL1659" s="190"/>
      <c r="BM1659" s="191"/>
    </row>
    <row r="1660" spans="53:65">
      <c r="BA1660" s="190"/>
      <c r="BB1660" s="191"/>
      <c r="BL1660" s="190"/>
      <c r="BM1660" s="191"/>
    </row>
    <row r="1661" spans="53:65">
      <c r="BA1661" s="190"/>
      <c r="BB1661" s="191"/>
      <c r="BL1661" s="190"/>
      <c r="BM1661" s="191"/>
    </row>
    <row r="1662" spans="53:65">
      <c r="BA1662" s="190"/>
      <c r="BB1662" s="191"/>
      <c r="BL1662" s="190"/>
      <c r="BM1662" s="191"/>
    </row>
    <row r="1663" spans="53:65">
      <c r="BA1663" s="190"/>
      <c r="BB1663" s="191"/>
      <c r="BL1663" s="190"/>
      <c r="BM1663" s="191"/>
    </row>
    <row r="1664" spans="53:65">
      <c r="BA1664" s="190"/>
      <c r="BB1664" s="191"/>
      <c r="BL1664" s="190"/>
      <c r="BM1664" s="191"/>
    </row>
    <row r="1665" spans="53:65">
      <c r="BA1665" s="190"/>
      <c r="BB1665" s="191"/>
      <c r="BL1665" s="190"/>
      <c r="BM1665" s="191"/>
    </row>
    <row r="1666" spans="53:65">
      <c r="BA1666" s="190"/>
      <c r="BB1666" s="191"/>
      <c r="BL1666" s="190"/>
      <c r="BM1666" s="191"/>
    </row>
    <row r="1667" spans="53:65">
      <c r="BA1667" s="190"/>
      <c r="BB1667" s="191"/>
      <c r="BL1667" s="190"/>
      <c r="BM1667" s="191"/>
    </row>
    <row r="1668" spans="53:65">
      <c r="BA1668" s="190"/>
      <c r="BB1668" s="191"/>
      <c r="BL1668" s="190"/>
      <c r="BM1668" s="191"/>
    </row>
    <row r="1669" spans="53:65">
      <c r="BA1669" s="190"/>
      <c r="BB1669" s="191"/>
      <c r="BL1669" s="190"/>
      <c r="BM1669" s="191"/>
    </row>
    <row r="1670" spans="53:65">
      <c r="BA1670" s="190"/>
      <c r="BB1670" s="191"/>
      <c r="BL1670" s="190"/>
      <c r="BM1670" s="191"/>
    </row>
    <row r="1671" spans="53:65">
      <c r="BA1671" s="190"/>
      <c r="BB1671" s="191"/>
      <c r="BL1671" s="190"/>
      <c r="BM1671" s="191"/>
    </row>
    <row r="1672" spans="53:65">
      <c r="BA1672" s="190"/>
      <c r="BB1672" s="191"/>
      <c r="BL1672" s="190"/>
      <c r="BM1672" s="191"/>
    </row>
    <row r="1673" spans="53:65">
      <c r="BA1673" s="190"/>
      <c r="BB1673" s="191"/>
      <c r="BL1673" s="190"/>
      <c r="BM1673" s="191"/>
    </row>
    <row r="1674" spans="53:65">
      <c r="BA1674" s="190"/>
      <c r="BB1674" s="191"/>
      <c r="BL1674" s="190"/>
      <c r="BM1674" s="191"/>
    </row>
    <row r="1675" spans="53:65">
      <c r="BA1675" s="190"/>
      <c r="BB1675" s="191"/>
      <c r="BL1675" s="190"/>
      <c r="BM1675" s="191"/>
    </row>
    <row r="1676" spans="53:65">
      <c r="BA1676" s="190"/>
      <c r="BB1676" s="191"/>
      <c r="BL1676" s="190"/>
      <c r="BM1676" s="191"/>
    </row>
    <row r="1677" spans="53:65">
      <c r="BA1677" s="190"/>
      <c r="BB1677" s="191"/>
      <c r="BL1677" s="190"/>
      <c r="BM1677" s="191"/>
    </row>
    <row r="1678" spans="53:65">
      <c r="BA1678" s="190"/>
      <c r="BB1678" s="191"/>
      <c r="BL1678" s="190"/>
      <c r="BM1678" s="191"/>
    </row>
    <row r="1679" spans="53:65">
      <c r="BA1679" s="190"/>
      <c r="BB1679" s="191"/>
      <c r="BL1679" s="190"/>
      <c r="BM1679" s="191"/>
    </row>
    <row r="1680" spans="53:65">
      <c r="BA1680" s="190"/>
      <c r="BB1680" s="191"/>
      <c r="BL1680" s="190"/>
      <c r="BM1680" s="191"/>
    </row>
    <row r="1681" spans="53:65">
      <c r="BA1681" s="190"/>
      <c r="BB1681" s="191"/>
      <c r="BL1681" s="190"/>
      <c r="BM1681" s="191"/>
    </row>
    <row r="1682" spans="53:65">
      <c r="BA1682" s="190"/>
      <c r="BB1682" s="191"/>
      <c r="BL1682" s="190"/>
      <c r="BM1682" s="191"/>
    </row>
    <row r="1683" spans="53:65">
      <c r="BA1683" s="190"/>
      <c r="BB1683" s="191"/>
      <c r="BL1683" s="190"/>
      <c r="BM1683" s="191"/>
    </row>
    <row r="1684" spans="53:65">
      <c r="BA1684" s="190"/>
      <c r="BB1684" s="191"/>
      <c r="BL1684" s="190"/>
      <c r="BM1684" s="191"/>
    </row>
    <row r="1685" spans="53:65">
      <c r="BA1685" s="190"/>
      <c r="BB1685" s="191"/>
      <c r="BL1685" s="190"/>
      <c r="BM1685" s="191"/>
    </row>
    <row r="1686" spans="53:65">
      <c r="BA1686" s="190"/>
      <c r="BB1686" s="191"/>
      <c r="BL1686" s="190"/>
      <c r="BM1686" s="191"/>
    </row>
    <row r="1687" spans="53:65">
      <c r="BA1687" s="190"/>
      <c r="BB1687" s="191"/>
      <c r="BL1687" s="190"/>
      <c r="BM1687" s="191"/>
    </row>
    <row r="1688" spans="53:65">
      <c r="BA1688" s="190"/>
      <c r="BB1688" s="191"/>
      <c r="BL1688" s="190"/>
      <c r="BM1688" s="191"/>
    </row>
    <row r="1689" spans="53:65">
      <c r="BA1689" s="190"/>
      <c r="BB1689" s="191"/>
      <c r="BL1689" s="190"/>
      <c r="BM1689" s="191"/>
    </row>
    <row r="1690" spans="53:65">
      <c r="BA1690" s="190"/>
      <c r="BB1690" s="191"/>
      <c r="BL1690" s="190"/>
      <c r="BM1690" s="191"/>
    </row>
    <row r="1691" spans="53:65">
      <c r="BA1691" s="190"/>
      <c r="BB1691" s="191"/>
      <c r="BL1691" s="190"/>
      <c r="BM1691" s="191"/>
    </row>
    <row r="1692" spans="53:65">
      <c r="BA1692" s="190"/>
      <c r="BB1692" s="191"/>
      <c r="BL1692" s="190"/>
      <c r="BM1692" s="191"/>
    </row>
    <row r="1693" spans="53:65">
      <c r="BA1693" s="190"/>
      <c r="BB1693" s="191"/>
      <c r="BL1693" s="190"/>
      <c r="BM1693" s="191"/>
    </row>
    <row r="1694" spans="53:65">
      <c r="BA1694" s="190"/>
      <c r="BB1694" s="191"/>
      <c r="BL1694" s="190"/>
      <c r="BM1694" s="191"/>
    </row>
    <row r="1695" spans="53:65">
      <c r="BA1695" s="190"/>
      <c r="BB1695" s="191"/>
      <c r="BL1695" s="190"/>
      <c r="BM1695" s="191"/>
    </row>
    <row r="1696" spans="53:65">
      <c r="BA1696" s="190"/>
      <c r="BB1696" s="191"/>
      <c r="BL1696" s="190"/>
      <c r="BM1696" s="191"/>
    </row>
    <row r="1697" spans="53:65">
      <c r="BA1697" s="190"/>
      <c r="BB1697" s="191"/>
      <c r="BL1697" s="190"/>
      <c r="BM1697" s="191"/>
    </row>
    <row r="1698" spans="53:65">
      <c r="BA1698" s="190"/>
      <c r="BB1698" s="191"/>
      <c r="BL1698" s="190"/>
      <c r="BM1698" s="191"/>
    </row>
    <row r="1699" spans="53:65">
      <c r="BA1699" s="190"/>
      <c r="BB1699" s="191"/>
      <c r="BL1699" s="190"/>
      <c r="BM1699" s="191"/>
    </row>
    <row r="1700" spans="53:65">
      <c r="BA1700" s="190"/>
      <c r="BB1700" s="191"/>
      <c r="BL1700" s="190"/>
      <c r="BM1700" s="191"/>
    </row>
    <row r="1701" spans="53:65">
      <c r="BL1701" s="190"/>
      <c r="BM1701" s="191"/>
    </row>
    <row r="1702" spans="53:65">
      <c r="BA1702" s="190"/>
      <c r="BB1702" s="191"/>
      <c r="BL1702" s="190"/>
      <c r="BM1702" s="191"/>
    </row>
    <row r="1703" spans="53:65">
      <c r="BA1703" s="190"/>
      <c r="BB1703" s="191"/>
      <c r="BL1703" s="190"/>
      <c r="BM1703" s="191"/>
    </row>
    <row r="1704" spans="53:65">
      <c r="BA1704" s="190"/>
      <c r="BB1704" s="191"/>
      <c r="BL1704" s="190"/>
      <c r="BM1704" s="191"/>
    </row>
    <row r="1705" spans="53:65">
      <c r="BA1705" s="190"/>
      <c r="BB1705" s="191"/>
      <c r="BL1705" s="190"/>
      <c r="BM1705" s="191"/>
    </row>
    <row r="1706" spans="53:65">
      <c r="BA1706" s="190"/>
      <c r="BB1706" s="191"/>
      <c r="BL1706" s="190"/>
      <c r="BM1706" s="191"/>
    </row>
    <row r="1707" spans="53:65">
      <c r="BA1707" s="190"/>
      <c r="BB1707" s="191"/>
      <c r="BL1707" s="190"/>
      <c r="BM1707" s="191"/>
    </row>
    <row r="1708" spans="53:65">
      <c r="BA1708" s="190"/>
      <c r="BB1708" s="191"/>
      <c r="BL1708" s="190"/>
      <c r="BM1708" s="191"/>
    </row>
    <row r="1709" spans="53:65">
      <c r="BA1709" s="190"/>
      <c r="BB1709" s="191"/>
      <c r="BL1709" s="190"/>
      <c r="BM1709" s="191"/>
    </row>
    <row r="1710" spans="53:65">
      <c r="BA1710" s="190"/>
      <c r="BB1710" s="191"/>
      <c r="BL1710" s="190"/>
      <c r="BM1710" s="191"/>
    </row>
    <row r="1711" spans="53:65">
      <c r="BA1711" s="190"/>
      <c r="BB1711" s="191"/>
      <c r="BL1711" s="190"/>
      <c r="BM1711" s="191"/>
    </row>
    <row r="1712" spans="53:65">
      <c r="BA1712" s="190"/>
      <c r="BB1712" s="191"/>
      <c r="BL1712" s="190"/>
      <c r="BM1712" s="191"/>
    </row>
    <row r="1713" spans="53:65">
      <c r="BA1713" s="190"/>
      <c r="BB1713" s="191"/>
      <c r="BL1713" s="190"/>
      <c r="BM1713" s="191"/>
    </row>
    <row r="1714" spans="53:65">
      <c r="BA1714" s="190"/>
      <c r="BB1714" s="191"/>
      <c r="BL1714" s="190"/>
      <c r="BM1714" s="191"/>
    </row>
    <row r="1715" spans="53:65">
      <c r="BA1715" s="190"/>
      <c r="BB1715" s="191"/>
      <c r="BL1715" s="190"/>
      <c r="BM1715" s="191"/>
    </row>
    <row r="1716" spans="53:65">
      <c r="BA1716" s="190"/>
      <c r="BB1716" s="191"/>
      <c r="BL1716" s="190"/>
      <c r="BM1716" s="191"/>
    </row>
    <row r="1717" spans="53:65">
      <c r="BA1717" s="190"/>
      <c r="BB1717" s="191"/>
      <c r="BL1717" s="190"/>
      <c r="BM1717" s="191"/>
    </row>
    <row r="1718" spans="53:65">
      <c r="BA1718" s="190"/>
      <c r="BB1718" s="191"/>
      <c r="BL1718" s="190"/>
      <c r="BM1718" s="191"/>
    </row>
    <row r="1719" spans="53:65">
      <c r="BA1719" s="190"/>
      <c r="BB1719" s="191"/>
      <c r="BL1719" s="190"/>
      <c r="BM1719" s="191"/>
    </row>
    <row r="1720" spans="53:65">
      <c r="BA1720" s="190"/>
      <c r="BB1720" s="191"/>
      <c r="BL1720" s="190"/>
      <c r="BM1720" s="191"/>
    </row>
    <row r="1721" spans="53:65">
      <c r="BA1721" s="190"/>
      <c r="BB1721" s="191"/>
      <c r="BL1721" s="190"/>
      <c r="BM1721" s="191"/>
    </row>
    <row r="1722" spans="53:65">
      <c r="BA1722" s="190"/>
      <c r="BB1722" s="191"/>
      <c r="BL1722" s="190"/>
      <c r="BM1722" s="191"/>
    </row>
    <row r="1723" spans="53:65">
      <c r="BA1723" s="190"/>
      <c r="BB1723" s="191"/>
      <c r="BL1723" s="190"/>
      <c r="BM1723" s="191"/>
    </row>
    <row r="1724" spans="53:65">
      <c r="BA1724" s="190"/>
      <c r="BB1724" s="191"/>
      <c r="BL1724" s="190"/>
      <c r="BM1724" s="191"/>
    </row>
    <row r="1725" spans="53:65">
      <c r="BA1725" s="190"/>
      <c r="BB1725" s="191"/>
      <c r="BL1725" s="190"/>
      <c r="BM1725" s="191"/>
    </row>
    <row r="1726" spans="53:65">
      <c r="BA1726" s="190"/>
      <c r="BB1726" s="191"/>
      <c r="BL1726" s="190"/>
      <c r="BM1726" s="191"/>
    </row>
    <row r="1727" spans="53:65">
      <c r="BA1727" s="190"/>
      <c r="BB1727" s="191"/>
      <c r="BL1727" s="190"/>
      <c r="BM1727" s="191"/>
    </row>
    <row r="1728" spans="53:65">
      <c r="BA1728" s="190"/>
      <c r="BB1728" s="191"/>
      <c r="BL1728" s="190"/>
      <c r="BM1728" s="191"/>
    </row>
    <row r="1729" spans="53:65">
      <c r="BA1729" s="190"/>
      <c r="BB1729" s="191"/>
      <c r="BL1729" s="190"/>
      <c r="BM1729" s="191"/>
    </row>
    <row r="1730" spans="53:65">
      <c r="BA1730" s="190"/>
      <c r="BB1730" s="191"/>
      <c r="BL1730" s="190"/>
      <c r="BM1730" s="191"/>
    </row>
    <row r="1731" spans="53:65">
      <c r="BA1731" s="190"/>
      <c r="BB1731" s="191"/>
      <c r="BL1731" s="190"/>
      <c r="BM1731" s="191"/>
    </row>
    <row r="1732" spans="53:65">
      <c r="BA1732" s="190"/>
      <c r="BB1732" s="191"/>
      <c r="BL1732" s="190"/>
      <c r="BM1732" s="191"/>
    </row>
    <row r="1733" spans="53:65">
      <c r="BA1733" s="190"/>
      <c r="BB1733" s="191"/>
      <c r="BL1733" s="190"/>
      <c r="BM1733" s="191"/>
    </row>
    <row r="1734" spans="53:65">
      <c r="BA1734" s="190"/>
      <c r="BB1734" s="191"/>
      <c r="BL1734" s="190"/>
      <c r="BM1734" s="191"/>
    </row>
    <row r="1735" spans="53:65">
      <c r="BA1735" s="190"/>
      <c r="BB1735" s="191"/>
      <c r="BL1735" s="190"/>
      <c r="BM1735" s="191"/>
    </row>
    <row r="1736" spans="53:65">
      <c r="BA1736" s="190"/>
      <c r="BB1736" s="191"/>
      <c r="BL1736" s="190"/>
      <c r="BM1736" s="191"/>
    </row>
    <row r="1737" spans="53:65">
      <c r="BA1737" s="190"/>
      <c r="BB1737" s="191"/>
      <c r="BL1737" s="190"/>
      <c r="BM1737" s="191"/>
    </row>
    <row r="1738" spans="53:65">
      <c r="BA1738" s="190"/>
      <c r="BB1738" s="191"/>
      <c r="BL1738" s="190"/>
      <c r="BM1738" s="191"/>
    </row>
    <row r="1739" spans="53:65">
      <c r="BA1739" s="190"/>
      <c r="BB1739" s="191"/>
      <c r="BL1739" s="190"/>
      <c r="BM1739" s="191"/>
    </row>
    <row r="1740" spans="53:65">
      <c r="BA1740" s="190"/>
      <c r="BB1740" s="191"/>
      <c r="BL1740" s="190"/>
      <c r="BM1740" s="191"/>
    </row>
    <row r="1741" spans="53:65">
      <c r="BA1741" s="190"/>
      <c r="BB1741" s="191"/>
      <c r="BL1741" s="190"/>
      <c r="BM1741" s="191"/>
    </row>
    <row r="1742" spans="53:65">
      <c r="BA1742" s="190"/>
      <c r="BB1742" s="191"/>
      <c r="BL1742" s="190"/>
      <c r="BM1742" s="191"/>
    </row>
    <row r="1743" spans="53:65">
      <c r="BA1743" s="190"/>
      <c r="BB1743" s="191"/>
      <c r="BL1743" s="190"/>
      <c r="BM1743" s="191"/>
    </row>
    <row r="1744" spans="53:65">
      <c r="BA1744" s="190"/>
      <c r="BB1744" s="191"/>
      <c r="BL1744" s="190"/>
      <c r="BM1744" s="191"/>
    </row>
    <row r="1745" spans="53:65">
      <c r="BA1745" s="190"/>
      <c r="BB1745" s="191"/>
      <c r="BL1745" s="190"/>
      <c r="BM1745" s="191"/>
    </row>
    <row r="1746" spans="53:65">
      <c r="BA1746" s="190"/>
      <c r="BB1746" s="191"/>
      <c r="BL1746" s="190"/>
      <c r="BM1746" s="191"/>
    </row>
    <row r="1747" spans="53:65">
      <c r="BA1747" s="190"/>
      <c r="BB1747" s="191"/>
      <c r="BL1747" s="190"/>
      <c r="BM1747" s="191"/>
    </row>
    <row r="1748" spans="53:65">
      <c r="BA1748" s="190"/>
      <c r="BB1748" s="191"/>
      <c r="BL1748" s="190"/>
      <c r="BM1748" s="191"/>
    </row>
    <row r="1749" spans="53:65">
      <c r="BA1749" s="190"/>
      <c r="BB1749" s="191"/>
      <c r="BL1749" s="190"/>
      <c r="BM1749" s="191"/>
    </row>
    <row r="1750" spans="53:65">
      <c r="BA1750" s="190"/>
      <c r="BB1750" s="191"/>
      <c r="BL1750" s="190"/>
      <c r="BM1750" s="191"/>
    </row>
    <row r="1751" spans="53:65">
      <c r="BA1751" s="190"/>
      <c r="BB1751" s="191"/>
      <c r="BL1751" s="190"/>
      <c r="BM1751" s="191"/>
    </row>
    <row r="1752" spans="53:65">
      <c r="BA1752" s="190"/>
      <c r="BB1752" s="191"/>
      <c r="BL1752" s="190"/>
      <c r="BM1752" s="191"/>
    </row>
    <row r="1753" spans="53:65">
      <c r="BA1753" s="190"/>
      <c r="BB1753" s="191"/>
      <c r="BL1753" s="190"/>
      <c r="BM1753" s="191"/>
    </row>
    <row r="1754" spans="53:65">
      <c r="BA1754" s="190"/>
      <c r="BB1754" s="191"/>
      <c r="BL1754" s="190"/>
      <c r="BM1754" s="191"/>
    </row>
    <row r="1755" spans="53:65">
      <c r="BL1755" s="190"/>
      <c r="BM1755" s="191"/>
    </row>
    <row r="1756" spans="53:65">
      <c r="BA1756" s="190"/>
      <c r="BB1756" s="191"/>
      <c r="BL1756" s="190"/>
      <c r="BM1756" s="191"/>
    </row>
    <row r="1757" spans="53:65">
      <c r="BA1757" s="190"/>
      <c r="BB1757" s="191"/>
      <c r="BL1757" s="190"/>
      <c r="BM1757" s="191"/>
    </row>
    <row r="1758" spans="53:65">
      <c r="BA1758" s="190"/>
      <c r="BB1758" s="191"/>
      <c r="BL1758" s="190"/>
      <c r="BM1758" s="191"/>
    </row>
    <row r="1759" spans="53:65">
      <c r="BA1759" s="190"/>
      <c r="BB1759" s="191"/>
      <c r="BL1759" s="190"/>
      <c r="BM1759" s="191"/>
    </row>
    <row r="1760" spans="53:65">
      <c r="BA1760" s="190"/>
      <c r="BB1760" s="191"/>
      <c r="BL1760" s="190"/>
      <c r="BM1760" s="191"/>
    </row>
    <row r="1761" spans="53:65">
      <c r="BA1761" s="190"/>
      <c r="BB1761" s="191"/>
      <c r="BL1761" s="190"/>
      <c r="BM1761" s="191"/>
    </row>
    <row r="1762" spans="53:65">
      <c r="BA1762" s="190"/>
      <c r="BB1762" s="191"/>
      <c r="BL1762" s="190"/>
      <c r="BM1762" s="191"/>
    </row>
    <row r="1763" spans="53:65">
      <c r="BA1763" s="190"/>
      <c r="BB1763" s="191"/>
      <c r="BL1763" s="190"/>
      <c r="BM1763" s="191"/>
    </row>
    <row r="1764" spans="53:65">
      <c r="BA1764" s="190"/>
      <c r="BB1764" s="191"/>
      <c r="BL1764" s="190"/>
      <c r="BM1764" s="191"/>
    </row>
    <row r="1765" spans="53:65">
      <c r="BA1765" s="190"/>
      <c r="BB1765" s="191"/>
      <c r="BL1765" s="190"/>
      <c r="BM1765" s="191"/>
    </row>
    <row r="1766" spans="53:65">
      <c r="BA1766" s="190"/>
      <c r="BB1766" s="191"/>
      <c r="BL1766" s="190"/>
      <c r="BM1766" s="191"/>
    </row>
    <row r="1767" spans="53:65">
      <c r="BA1767" s="190"/>
      <c r="BB1767" s="191"/>
      <c r="BL1767" s="190"/>
      <c r="BM1767" s="191"/>
    </row>
    <row r="1768" spans="53:65">
      <c r="BA1768" s="190"/>
      <c r="BB1768" s="191"/>
      <c r="BL1768" s="190"/>
      <c r="BM1768" s="191"/>
    </row>
    <row r="1769" spans="53:65">
      <c r="BA1769" s="190"/>
      <c r="BB1769" s="191"/>
      <c r="BL1769" s="190"/>
      <c r="BM1769" s="191"/>
    </row>
    <row r="1770" spans="53:65">
      <c r="BA1770" s="190"/>
      <c r="BB1770" s="191"/>
      <c r="BL1770" s="190"/>
      <c r="BM1770" s="191"/>
    </row>
    <row r="1771" spans="53:65">
      <c r="BA1771" s="190"/>
      <c r="BB1771" s="191"/>
      <c r="BL1771" s="190"/>
      <c r="BM1771" s="191"/>
    </row>
    <row r="1772" spans="53:65">
      <c r="BA1772" s="190"/>
      <c r="BB1772" s="191"/>
      <c r="BL1772" s="190"/>
      <c r="BM1772" s="191"/>
    </row>
    <row r="1773" spans="53:65">
      <c r="BA1773" s="190"/>
      <c r="BB1773" s="191"/>
      <c r="BL1773" s="190"/>
      <c r="BM1773" s="191"/>
    </row>
    <row r="1774" spans="53:65">
      <c r="BA1774" s="190"/>
      <c r="BB1774" s="191"/>
      <c r="BL1774" s="190"/>
      <c r="BM1774" s="191"/>
    </row>
    <row r="1775" spans="53:65">
      <c r="BA1775" s="190"/>
      <c r="BB1775" s="191"/>
      <c r="BL1775" s="190"/>
      <c r="BM1775" s="191"/>
    </row>
    <row r="1776" spans="53:65">
      <c r="BA1776" s="190"/>
      <c r="BB1776" s="191"/>
      <c r="BL1776" s="190"/>
      <c r="BM1776" s="191"/>
    </row>
    <row r="1777" spans="53:65">
      <c r="BA1777" s="190"/>
      <c r="BB1777" s="191"/>
      <c r="BL1777" s="190"/>
      <c r="BM1777" s="191"/>
    </row>
    <row r="1778" spans="53:65">
      <c r="BA1778" s="190"/>
      <c r="BB1778" s="191"/>
      <c r="BL1778" s="190"/>
      <c r="BM1778" s="191"/>
    </row>
    <row r="1779" spans="53:65">
      <c r="BA1779" s="190"/>
      <c r="BB1779" s="191"/>
      <c r="BL1779" s="190"/>
      <c r="BM1779" s="191"/>
    </row>
    <row r="1780" spans="53:65">
      <c r="BA1780" s="190"/>
      <c r="BB1780" s="191"/>
      <c r="BL1780" s="190"/>
      <c r="BM1780" s="191"/>
    </row>
    <row r="1781" spans="53:65">
      <c r="BA1781" s="190"/>
      <c r="BB1781" s="191"/>
      <c r="BL1781" s="190"/>
      <c r="BM1781" s="191"/>
    </row>
    <row r="1782" spans="53:65">
      <c r="BA1782" s="190"/>
      <c r="BB1782" s="191"/>
      <c r="BL1782" s="190"/>
      <c r="BM1782" s="191"/>
    </row>
    <row r="1783" spans="53:65">
      <c r="BA1783" s="190"/>
      <c r="BB1783" s="191"/>
      <c r="BL1783" s="190"/>
      <c r="BM1783" s="191"/>
    </row>
    <row r="1784" spans="53:65">
      <c r="BA1784" s="190"/>
      <c r="BB1784" s="191"/>
      <c r="BL1784" s="190"/>
      <c r="BM1784" s="191"/>
    </row>
    <row r="1785" spans="53:65">
      <c r="BA1785" s="190"/>
      <c r="BB1785" s="191"/>
      <c r="BL1785" s="190"/>
      <c r="BM1785" s="191"/>
    </row>
    <row r="1786" spans="53:65">
      <c r="BA1786" s="190"/>
      <c r="BB1786" s="191"/>
      <c r="BL1786" s="190"/>
      <c r="BM1786" s="191"/>
    </row>
    <row r="1787" spans="53:65">
      <c r="BA1787" s="190"/>
      <c r="BB1787" s="191"/>
      <c r="BL1787" s="190"/>
      <c r="BM1787" s="191"/>
    </row>
    <row r="1788" spans="53:65">
      <c r="BA1788" s="190"/>
      <c r="BB1788" s="191"/>
      <c r="BL1788" s="190"/>
      <c r="BM1788" s="191"/>
    </row>
    <row r="1789" spans="53:65">
      <c r="BA1789" s="190"/>
      <c r="BB1789" s="191"/>
      <c r="BL1789" s="190"/>
      <c r="BM1789" s="191"/>
    </row>
    <row r="1790" spans="53:65">
      <c r="BA1790" s="190"/>
      <c r="BB1790" s="191"/>
      <c r="BL1790" s="190"/>
      <c r="BM1790" s="191"/>
    </row>
    <row r="1791" spans="53:65">
      <c r="BA1791" s="190"/>
      <c r="BB1791" s="191"/>
      <c r="BL1791" s="190"/>
      <c r="BM1791" s="191"/>
    </row>
    <row r="1792" spans="53:65">
      <c r="BA1792" s="190"/>
      <c r="BB1792" s="191"/>
      <c r="BL1792" s="190"/>
      <c r="BM1792" s="191"/>
    </row>
    <row r="1793" spans="53:65">
      <c r="BA1793" s="190"/>
      <c r="BB1793" s="191"/>
      <c r="BL1793" s="190"/>
      <c r="BM1793" s="191"/>
    </row>
    <row r="1794" spans="53:65">
      <c r="BA1794" s="190"/>
      <c r="BB1794" s="191"/>
      <c r="BL1794" s="190"/>
      <c r="BM1794" s="191"/>
    </row>
    <row r="1795" spans="53:65">
      <c r="BA1795" s="190"/>
      <c r="BB1795" s="191"/>
      <c r="BL1795" s="190"/>
      <c r="BM1795" s="191"/>
    </row>
    <row r="1796" spans="53:65">
      <c r="BA1796" s="190"/>
      <c r="BB1796" s="191"/>
      <c r="BL1796" s="190"/>
      <c r="BM1796" s="191"/>
    </row>
    <row r="1797" spans="53:65">
      <c r="BA1797" s="190"/>
      <c r="BB1797" s="191"/>
      <c r="BL1797" s="190"/>
      <c r="BM1797" s="191"/>
    </row>
    <row r="1798" spans="53:65">
      <c r="BA1798" s="190"/>
      <c r="BB1798" s="191"/>
      <c r="BL1798" s="190"/>
      <c r="BM1798" s="191"/>
    </row>
    <row r="1799" spans="53:65">
      <c r="BA1799" s="190"/>
      <c r="BB1799" s="191"/>
      <c r="BL1799" s="190"/>
      <c r="BM1799" s="191"/>
    </row>
    <row r="1800" spans="53:65">
      <c r="BA1800" s="190"/>
      <c r="BB1800" s="191"/>
      <c r="BL1800" s="190"/>
      <c r="BM1800" s="191"/>
    </row>
    <row r="1801" spans="53:65">
      <c r="BA1801" s="190"/>
      <c r="BB1801" s="191"/>
      <c r="BL1801" s="190"/>
      <c r="BM1801" s="191"/>
    </row>
    <row r="1802" spans="53:65">
      <c r="BA1802" s="190"/>
      <c r="BB1802" s="191"/>
      <c r="BL1802" s="190"/>
      <c r="BM1802" s="191"/>
    </row>
    <row r="1803" spans="53:65">
      <c r="BA1803" s="190"/>
      <c r="BB1803" s="191"/>
      <c r="BL1803" s="190"/>
      <c r="BM1803" s="191"/>
    </row>
    <row r="1804" spans="53:65">
      <c r="BA1804" s="190"/>
      <c r="BB1804" s="191"/>
      <c r="BL1804" s="190"/>
      <c r="BM1804" s="191"/>
    </row>
    <row r="1805" spans="53:65">
      <c r="BA1805" s="190"/>
      <c r="BB1805" s="191"/>
      <c r="BL1805" s="190"/>
      <c r="BM1805" s="191"/>
    </row>
    <row r="1806" spans="53:65">
      <c r="BA1806" s="190"/>
      <c r="BB1806" s="191"/>
      <c r="BL1806" s="190"/>
      <c r="BM1806" s="191"/>
    </row>
    <row r="1807" spans="53:65">
      <c r="BA1807" s="190"/>
      <c r="BB1807" s="191"/>
      <c r="BL1807" s="190"/>
      <c r="BM1807" s="191"/>
    </row>
    <row r="1808" spans="53:65">
      <c r="BA1808" s="190"/>
      <c r="BB1808" s="191"/>
      <c r="BL1808" s="190"/>
      <c r="BM1808" s="191"/>
    </row>
    <row r="1809" spans="53:65">
      <c r="BA1809" s="190"/>
      <c r="BB1809" s="191"/>
      <c r="BL1809" s="190"/>
      <c r="BM1809" s="191"/>
    </row>
    <row r="1810" spans="53:65">
      <c r="BA1810" s="190"/>
      <c r="BB1810" s="191"/>
      <c r="BL1810" s="190"/>
      <c r="BM1810" s="191"/>
    </row>
    <row r="1811" spans="53:65">
      <c r="BA1811" s="190"/>
      <c r="BB1811" s="191"/>
      <c r="BL1811" s="190"/>
      <c r="BM1811" s="191"/>
    </row>
    <row r="1812" spans="53:65">
      <c r="BA1812" s="190"/>
      <c r="BB1812" s="191"/>
      <c r="BL1812" s="190"/>
      <c r="BM1812" s="191"/>
    </row>
    <row r="1813" spans="53:65">
      <c r="BA1813" s="190"/>
      <c r="BB1813" s="191"/>
      <c r="BL1813" s="190"/>
      <c r="BM1813" s="191"/>
    </row>
    <row r="1814" spans="53:65">
      <c r="BA1814" s="190"/>
      <c r="BB1814" s="191"/>
      <c r="BL1814" s="190"/>
      <c r="BM1814" s="191"/>
    </row>
    <row r="1815" spans="53:65">
      <c r="BA1815" s="190"/>
      <c r="BB1815" s="191"/>
      <c r="BL1815" s="190"/>
      <c r="BM1815" s="191"/>
    </row>
    <row r="1816" spans="53:65">
      <c r="BA1816" s="190"/>
      <c r="BB1816" s="191"/>
      <c r="BL1816" s="190"/>
      <c r="BM1816" s="191"/>
    </row>
    <row r="1817" spans="53:65">
      <c r="BA1817" s="190"/>
      <c r="BB1817" s="191"/>
      <c r="BL1817" s="190"/>
      <c r="BM1817" s="191"/>
    </row>
    <row r="1818" spans="53:65">
      <c r="BA1818" s="190"/>
      <c r="BB1818" s="191"/>
      <c r="BL1818" s="190"/>
      <c r="BM1818" s="191"/>
    </row>
    <row r="1819" spans="53:65">
      <c r="BA1819" s="190"/>
      <c r="BB1819" s="191"/>
      <c r="BL1819" s="190"/>
      <c r="BM1819" s="191"/>
    </row>
    <row r="1820" spans="53:65">
      <c r="BA1820" s="190"/>
      <c r="BB1820" s="191"/>
      <c r="BL1820" s="190"/>
      <c r="BM1820" s="191"/>
    </row>
    <row r="1821" spans="53:65">
      <c r="BA1821" s="190"/>
      <c r="BB1821" s="191"/>
      <c r="BL1821" s="190"/>
      <c r="BM1821" s="191"/>
    </row>
    <row r="1822" spans="53:65">
      <c r="BA1822" s="190"/>
      <c r="BB1822" s="191"/>
      <c r="BL1822" s="190"/>
      <c r="BM1822" s="191"/>
    </row>
    <row r="1823" spans="53:65">
      <c r="BA1823" s="190"/>
      <c r="BB1823" s="191"/>
      <c r="BL1823" s="190"/>
      <c r="BM1823" s="191"/>
    </row>
    <row r="1824" spans="53:65">
      <c r="BA1824" s="190"/>
      <c r="BB1824" s="191"/>
      <c r="BL1824" s="190"/>
      <c r="BM1824" s="191"/>
    </row>
    <row r="1825" spans="53:65">
      <c r="BA1825" s="190"/>
      <c r="BB1825" s="191"/>
      <c r="BL1825" s="190"/>
      <c r="BM1825" s="191"/>
    </row>
    <row r="1826" spans="53:65">
      <c r="BA1826" s="190"/>
      <c r="BB1826" s="191"/>
      <c r="BL1826" s="190"/>
      <c r="BM1826" s="191"/>
    </row>
    <row r="1827" spans="53:65">
      <c r="BA1827" s="190"/>
      <c r="BB1827" s="191"/>
      <c r="BL1827" s="190"/>
      <c r="BM1827" s="191"/>
    </row>
    <row r="1828" spans="53:65">
      <c r="BA1828" s="190"/>
      <c r="BB1828" s="191"/>
      <c r="BL1828" s="190"/>
      <c r="BM1828" s="191"/>
    </row>
    <row r="1829" spans="53:65">
      <c r="BA1829" s="190"/>
      <c r="BB1829" s="191"/>
      <c r="BL1829" s="190"/>
      <c r="BM1829" s="191"/>
    </row>
    <row r="1830" spans="53:65">
      <c r="BA1830" s="190"/>
      <c r="BB1830" s="191"/>
      <c r="BL1830" s="190"/>
      <c r="BM1830" s="191"/>
    </row>
    <row r="1831" spans="53:65">
      <c r="BA1831" s="190"/>
      <c r="BB1831" s="191"/>
      <c r="BL1831" s="190"/>
      <c r="BM1831" s="191"/>
    </row>
    <row r="1832" spans="53:65">
      <c r="BA1832" s="190"/>
      <c r="BB1832" s="191"/>
      <c r="BL1832" s="190"/>
      <c r="BM1832" s="191"/>
    </row>
    <row r="1833" spans="53:65">
      <c r="BA1833" s="190"/>
      <c r="BB1833" s="191"/>
      <c r="BL1833" s="190"/>
      <c r="BM1833" s="191"/>
    </row>
    <row r="1834" spans="53:65">
      <c r="BA1834" s="190"/>
      <c r="BB1834" s="191"/>
      <c r="BL1834" s="190"/>
      <c r="BM1834" s="191"/>
    </row>
    <row r="1835" spans="53:65">
      <c r="BA1835" s="190"/>
      <c r="BB1835" s="191"/>
      <c r="BL1835" s="190"/>
      <c r="BM1835" s="191"/>
    </row>
    <row r="1836" spans="53:65">
      <c r="BA1836" s="190"/>
      <c r="BB1836" s="191"/>
      <c r="BL1836" s="190"/>
      <c r="BM1836" s="191"/>
    </row>
    <row r="1837" spans="53:65">
      <c r="BA1837" s="190"/>
      <c r="BB1837" s="191"/>
      <c r="BL1837" s="190"/>
      <c r="BM1837" s="191"/>
    </row>
    <row r="1838" spans="53:65">
      <c r="BA1838" s="190"/>
      <c r="BB1838" s="191"/>
      <c r="BL1838" s="190"/>
      <c r="BM1838" s="191"/>
    </row>
    <row r="1839" spans="53:65">
      <c r="BA1839" s="190"/>
      <c r="BB1839" s="191"/>
      <c r="BL1839" s="190"/>
      <c r="BM1839" s="191"/>
    </row>
    <row r="1840" spans="53:65">
      <c r="BA1840" s="190"/>
      <c r="BB1840" s="191"/>
      <c r="BL1840" s="190"/>
      <c r="BM1840" s="191"/>
    </row>
    <row r="1841" spans="53:65">
      <c r="BA1841" s="190"/>
      <c r="BB1841" s="191"/>
      <c r="BL1841" s="190"/>
      <c r="BM1841" s="191"/>
    </row>
    <row r="1842" spans="53:65">
      <c r="BL1842" s="190"/>
      <c r="BM1842" s="191"/>
    </row>
    <row r="1843" spans="53:65">
      <c r="BA1843" s="190"/>
      <c r="BB1843" s="191"/>
      <c r="BL1843" s="190"/>
      <c r="BM1843" s="191"/>
    </row>
    <row r="1844" spans="53:65">
      <c r="BA1844" s="190"/>
      <c r="BB1844" s="191"/>
      <c r="BL1844" s="190"/>
      <c r="BM1844" s="191"/>
    </row>
    <row r="1845" spans="53:65">
      <c r="BA1845" s="190"/>
      <c r="BB1845" s="191"/>
      <c r="BL1845" s="190"/>
      <c r="BM1845" s="191"/>
    </row>
    <row r="1846" spans="53:65">
      <c r="BL1846" s="190"/>
      <c r="BM1846" s="191"/>
    </row>
    <row r="1847" spans="53:65">
      <c r="BA1847" s="190"/>
      <c r="BB1847" s="191"/>
      <c r="BL1847" s="190"/>
      <c r="BM1847" s="191"/>
    </row>
    <row r="1848" spans="53:65">
      <c r="BA1848" s="190"/>
      <c r="BB1848" s="191"/>
      <c r="BL1848" s="190"/>
      <c r="BM1848" s="191"/>
    </row>
    <row r="1849" spans="53:65">
      <c r="BA1849" s="190"/>
      <c r="BB1849" s="191"/>
      <c r="BL1849" s="190"/>
      <c r="BM1849" s="191"/>
    </row>
    <row r="1850" spans="53:65">
      <c r="BA1850" s="190"/>
      <c r="BB1850" s="191"/>
      <c r="BL1850" s="190"/>
      <c r="BM1850" s="191"/>
    </row>
    <row r="1851" spans="53:65">
      <c r="BA1851" s="190"/>
      <c r="BB1851" s="191"/>
      <c r="BL1851" s="190"/>
      <c r="BM1851" s="191"/>
    </row>
    <row r="1852" spans="53:65">
      <c r="BA1852" s="190"/>
      <c r="BB1852" s="191"/>
      <c r="BL1852" s="190"/>
      <c r="BM1852" s="191"/>
    </row>
    <row r="1853" spans="53:65">
      <c r="BA1853" s="190"/>
      <c r="BB1853" s="191"/>
      <c r="BL1853" s="190"/>
      <c r="BM1853" s="191"/>
    </row>
    <row r="1854" spans="53:65">
      <c r="BA1854" s="190"/>
      <c r="BB1854" s="191"/>
      <c r="BL1854" s="190"/>
      <c r="BM1854" s="191"/>
    </row>
    <row r="1855" spans="53:65">
      <c r="BA1855" s="190"/>
      <c r="BB1855" s="191"/>
      <c r="BL1855" s="190"/>
      <c r="BM1855" s="191"/>
    </row>
    <row r="1856" spans="53:65">
      <c r="BA1856" s="190"/>
      <c r="BB1856" s="191"/>
      <c r="BL1856" s="190"/>
      <c r="BM1856" s="191"/>
    </row>
    <row r="1857" spans="53:65">
      <c r="BA1857" s="190"/>
      <c r="BB1857" s="191"/>
      <c r="BL1857" s="190"/>
      <c r="BM1857" s="191"/>
    </row>
    <row r="1858" spans="53:65">
      <c r="BA1858" s="190"/>
      <c r="BB1858" s="191"/>
      <c r="BL1858" s="190"/>
      <c r="BM1858" s="191"/>
    </row>
    <row r="1859" spans="53:65">
      <c r="BA1859" s="190"/>
      <c r="BB1859" s="191"/>
      <c r="BL1859" s="190"/>
      <c r="BM1859" s="191"/>
    </row>
    <row r="1860" spans="53:65">
      <c r="BA1860" s="190"/>
      <c r="BB1860" s="191"/>
      <c r="BL1860" s="190"/>
      <c r="BM1860" s="191"/>
    </row>
    <row r="1861" spans="53:65">
      <c r="BA1861" s="190"/>
      <c r="BB1861" s="191"/>
      <c r="BL1861" s="190"/>
      <c r="BM1861" s="191"/>
    </row>
    <row r="1862" spans="53:65">
      <c r="BA1862" s="190"/>
      <c r="BB1862" s="191"/>
      <c r="BL1862" s="190"/>
      <c r="BM1862" s="191"/>
    </row>
    <row r="1863" spans="53:65">
      <c r="BA1863" s="190"/>
      <c r="BB1863" s="191"/>
      <c r="BL1863" s="190"/>
      <c r="BM1863" s="191"/>
    </row>
    <row r="1864" spans="53:65">
      <c r="BA1864" s="190"/>
      <c r="BB1864" s="191"/>
      <c r="BL1864" s="190"/>
      <c r="BM1864" s="191"/>
    </row>
    <row r="1865" spans="53:65">
      <c r="BA1865" s="190"/>
      <c r="BB1865" s="191"/>
      <c r="BL1865" s="190"/>
      <c r="BM1865" s="191"/>
    </row>
    <row r="1866" spans="53:65">
      <c r="BA1866" s="190"/>
      <c r="BB1866" s="191"/>
      <c r="BL1866" s="190"/>
      <c r="BM1866" s="191"/>
    </row>
    <row r="1867" spans="53:65">
      <c r="BA1867" s="190"/>
      <c r="BB1867" s="191"/>
      <c r="BL1867" s="190"/>
      <c r="BM1867" s="191"/>
    </row>
    <row r="1868" spans="53:65">
      <c r="BA1868" s="190"/>
      <c r="BB1868" s="191"/>
      <c r="BL1868" s="190"/>
      <c r="BM1868" s="191"/>
    </row>
    <row r="1869" spans="53:65">
      <c r="BA1869" s="190"/>
      <c r="BB1869" s="191"/>
      <c r="BL1869" s="190"/>
      <c r="BM1869" s="191"/>
    </row>
    <row r="1870" spans="53:65">
      <c r="BA1870" s="190"/>
      <c r="BB1870" s="191"/>
      <c r="BL1870" s="190"/>
      <c r="BM1870" s="191"/>
    </row>
    <row r="1871" spans="53:65">
      <c r="BA1871" s="190"/>
      <c r="BB1871" s="191"/>
      <c r="BL1871" s="190"/>
      <c r="BM1871" s="191"/>
    </row>
    <row r="1872" spans="53:65">
      <c r="BA1872" s="190"/>
      <c r="BB1872" s="191"/>
      <c r="BL1872" s="190"/>
      <c r="BM1872" s="191"/>
    </row>
    <row r="1873" spans="53:65">
      <c r="BA1873" s="190"/>
      <c r="BB1873" s="191"/>
      <c r="BL1873" s="190"/>
      <c r="BM1873" s="191"/>
    </row>
    <row r="1874" spans="53:65">
      <c r="BA1874" s="190"/>
      <c r="BB1874" s="191"/>
      <c r="BL1874" s="190"/>
      <c r="BM1874" s="191"/>
    </row>
    <row r="1875" spans="53:65">
      <c r="BA1875" s="190"/>
      <c r="BB1875" s="191"/>
      <c r="BL1875" s="190"/>
      <c r="BM1875" s="191"/>
    </row>
    <row r="1876" spans="53:65">
      <c r="BA1876" s="190"/>
      <c r="BB1876" s="191"/>
      <c r="BL1876" s="190"/>
      <c r="BM1876" s="191"/>
    </row>
    <row r="1877" spans="53:65">
      <c r="BA1877" s="190"/>
      <c r="BB1877" s="191"/>
      <c r="BL1877" s="190"/>
      <c r="BM1877" s="191"/>
    </row>
    <row r="1878" spans="53:65">
      <c r="BA1878" s="190"/>
      <c r="BB1878" s="191"/>
      <c r="BL1878" s="190"/>
      <c r="BM1878" s="191"/>
    </row>
    <row r="1879" spans="53:65">
      <c r="BA1879" s="190"/>
      <c r="BB1879" s="191"/>
      <c r="BL1879" s="190"/>
      <c r="BM1879" s="191"/>
    </row>
    <row r="1880" spans="53:65">
      <c r="BA1880" s="190"/>
      <c r="BB1880" s="191"/>
      <c r="BL1880" s="190"/>
      <c r="BM1880" s="191"/>
    </row>
    <row r="1881" spans="53:65">
      <c r="BA1881" s="190"/>
      <c r="BB1881" s="191"/>
      <c r="BL1881" s="190"/>
      <c r="BM1881" s="191"/>
    </row>
    <row r="1882" spans="53:65">
      <c r="BA1882" s="190"/>
      <c r="BB1882" s="191"/>
      <c r="BL1882" s="190"/>
      <c r="BM1882" s="191"/>
    </row>
    <row r="1883" spans="53:65">
      <c r="BA1883" s="190"/>
      <c r="BB1883" s="191"/>
      <c r="BL1883" s="190"/>
      <c r="BM1883" s="191"/>
    </row>
    <row r="1884" spans="53:65">
      <c r="BA1884" s="190"/>
      <c r="BB1884" s="191"/>
      <c r="BL1884" s="190"/>
      <c r="BM1884" s="191"/>
    </row>
    <row r="1885" spans="53:65">
      <c r="BA1885" s="190"/>
      <c r="BB1885" s="191"/>
      <c r="BL1885" s="190"/>
      <c r="BM1885" s="191"/>
    </row>
    <row r="1886" spans="53:65">
      <c r="BA1886" s="190"/>
      <c r="BB1886" s="191"/>
      <c r="BL1886" s="190"/>
      <c r="BM1886" s="191"/>
    </row>
    <row r="1887" spans="53:65">
      <c r="BA1887" s="190"/>
      <c r="BB1887" s="191"/>
      <c r="BL1887" s="190"/>
      <c r="BM1887" s="191"/>
    </row>
    <row r="1888" spans="53:65">
      <c r="BA1888" s="190"/>
      <c r="BB1888" s="191"/>
      <c r="BL1888" s="190"/>
      <c r="BM1888" s="191"/>
    </row>
    <row r="1889" spans="53:65">
      <c r="BA1889" s="190"/>
      <c r="BB1889" s="191"/>
      <c r="BL1889" s="190"/>
      <c r="BM1889" s="191"/>
    </row>
    <row r="1890" spans="53:65">
      <c r="BA1890" s="190"/>
      <c r="BB1890" s="191"/>
      <c r="BL1890" s="190"/>
      <c r="BM1890" s="191"/>
    </row>
    <row r="1891" spans="53:65">
      <c r="BA1891" s="190"/>
      <c r="BB1891" s="191"/>
      <c r="BL1891" s="190"/>
      <c r="BM1891" s="191"/>
    </row>
    <row r="1892" spans="53:65">
      <c r="BA1892" s="190"/>
      <c r="BB1892" s="191"/>
      <c r="BL1892" s="190"/>
      <c r="BM1892" s="191"/>
    </row>
    <row r="1893" spans="53:65">
      <c r="BA1893" s="190"/>
      <c r="BB1893" s="191"/>
      <c r="BL1893" s="190"/>
      <c r="BM1893" s="191"/>
    </row>
    <row r="1894" spans="53:65">
      <c r="BA1894" s="190"/>
      <c r="BB1894" s="191"/>
      <c r="BL1894" s="190"/>
      <c r="BM1894" s="191"/>
    </row>
    <row r="1895" spans="53:65">
      <c r="BA1895" s="190"/>
      <c r="BB1895" s="191"/>
      <c r="BL1895" s="190"/>
      <c r="BM1895" s="191"/>
    </row>
    <row r="1896" spans="53:65">
      <c r="BA1896" s="190"/>
      <c r="BB1896" s="191"/>
      <c r="BL1896" s="190"/>
      <c r="BM1896" s="191"/>
    </row>
    <row r="1897" spans="53:65">
      <c r="BA1897" s="190"/>
      <c r="BB1897" s="191"/>
      <c r="BL1897" s="190"/>
      <c r="BM1897" s="191"/>
    </row>
    <row r="1898" spans="53:65">
      <c r="BA1898" s="190"/>
      <c r="BB1898" s="191"/>
      <c r="BL1898" s="190"/>
      <c r="BM1898" s="191"/>
    </row>
    <row r="1899" spans="53:65">
      <c r="BA1899" s="190"/>
      <c r="BB1899" s="191"/>
      <c r="BL1899" s="190"/>
      <c r="BM1899" s="191"/>
    </row>
    <row r="1900" spans="53:65">
      <c r="BA1900" s="190"/>
      <c r="BB1900" s="191"/>
      <c r="BL1900" s="190"/>
      <c r="BM1900" s="191"/>
    </row>
    <row r="1901" spans="53:65">
      <c r="BA1901" s="190"/>
      <c r="BB1901" s="191"/>
      <c r="BL1901" s="190"/>
      <c r="BM1901" s="191"/>
    </row>
    <row r="1902" spans="53:65">
      <c r="BA1902" s="190"/>
      <c r="BB1902" s="191"/>
      <c r="BL1902" s="190"/>
      <c r="BM1902" s="191"/>
    </row>
    <row r="1903" spans="53:65">
      <c r="BA1903" s="190"/>
      <c r="BB1903" s="191"/>
      <c r="BL1903" s="190"/>
      <c r="BM1903" s="191"/>
    </row>
    <row r="1904" spans="53:65">
      <c r="BA1904" s="190"/>
      <c r="BB1904" s="191"/>
      <c r="BL1904" s="190"/>
      <c r="BM1904" s="191"/>
    </row>
    <row r="1905" spans="53:65">
      <c r="BA1905" s="190"/>
      <c r="BB1905" s="191"/>
      <c r="BL1905" s="190"/>
      <c r="BM1905" s="191"/>
    </row>
    <row r="1906" spans="53:65">
      <c r="BA1906" s="190"/>
      <c r="BB1906" s="191"/>
      <c r="BL1906" s="190"/>
      <c r="BM1906" s="191"/>
    </row>
    <row r="1907" spans="53:65">
      <c r="BA1907" s="190"/>
      <c r="BB1907" s="191"/>
      <c r="BL1907" s="190"/>
      <c r="BM1907" s="191"/>
    </row>
    <row r="1908" spans="53:65">
      <c r="BA1908" s="190"/>
      <c r="BB1908" s="191"/>
      <c r="BL1908" s="190"/>
      <c r="BM1908" s="191"/>
    </row>
    <row r="1909" spans="53:65">
      <c r="BA1909" s="190"/>
      <c r="BB1909" s="191"/>
      <c r="BL1909" s="190"/>
      <c r="BM1909" s="191"/>
    </row>
    <row r="1910" spans="53:65">
      <c r="BA1910" s="190"/>
      <c r="BB1910" s="191"/>
      <c r="BL1910" s="190"/>
      <c r="BM1910" s="191"/>
    </row>
    <row r="1911" spans="53:65">
      <c r="BA1911" s="190"/>
      <c r="BB1911" s="191"/>
      <c r="BL1911" s="190"/>
      <c r="BM1911" s="191"/>
    </row>
    <row r="1912" spans="53:65">
      <c r="BA1912" s="190"/>
      <c r="BB1912" s="191"/>
      <c r="BL1912" s="190"/>
      <c r="BM1912" s="191"/>
    </row>
    <row r="1913" spans="53:65">
      <c r="BA1913" s="190"/>
      <c r="BB1913" s="191"/>
      <c r="BL1913" s="190"/>
      <c r="BM1913" s="191"/>
    </row>
    <row r="1914" spans="53:65">
      <c r="BA1914" s="190"/>
      <c r="BB1914" s="191"/>
      <c r="BL1914" s="190"/>
      <c r="BM1914" s="191"/>
    </row>
    <row r="1915" spans="53:65">
      <c r="BA1915" s="190"/>
      <c r="BB1915" s="191"/>
      <c r="BL1915" s="190"/>
      <c r="BM1915" s="191"/>
    </row>
    <row r="1916" spans="53:65">
      <c r="BA1916" s="190"/>
      <c r="BB1916" s="191"/>
      <c r="BL1916" s="190"/>
      <c r="BM1916" s="191"/>
    </row>
    <row r="1917" spans="53:65">
      <c r="BA1917" s="190"/>
      <c r="BB1917" s="191"/>
      <c r="BL1917" s="190"/>
      <c r="BM1917" s="191"/>
    </row>
    <row r="1918" spans="53:65">
      <c r="BA1918" s="190"/>
      <c r="BB1918" s="191"/>
      <c r="BL1918" s="190"/>
      <c r="BM1918" s="191"/>
    </row>
    <row r="1919" spans="53:65">
      <c r="BA1919" s="190"/>
      <c r="BB1919" s="191"/>
      <c r="BL1919" s="190"/>
      <c r="BM1919" s="191"/>
    </row>
    <row r="1920" spans="53:65">
      <c r="BA1920" s="190"/>
      <c r="BB1920" s="191"/>
      <c r="BL1920" s="190"/>
      <c r="BM1920" s="191"/>
    </row>
    <row r="1921" spans="53:65">
      <c r="BA1921" s="190"/>
      <c r="BB1921" s="191"/>
      <c r="BL1921" s="190"/>
      <c r="BM1921" s="191"/>
    </row>
    <row r="1922" spans="53:65">
      <c r="BA1922" s="190"/>
      <c r="BB1922" s="191"/>
      <c r="BL1922" s="190"/>
      <c r="BM1922" s="191"/>
    </row>
    <row r="1923" spans="53:65">
      <c r="BA1923" s="190"/>
      <c r="BB1923" s="191"/>
      <c r="BL1923" s="190"/>
      <c r="BM1923" s="191"/>
    </row>
    <row r="1924" spans="53:65">
      <c r="BA1924" s="190"/>
      <c r="BB1924" s="191"/>
      <c r="BL1924" s="190"/>
      <c r="BM1924" s="191"/>
    </row>
    <row r="1925" spans="53:65">
      <c r="BA1925" s="190"/>
      <c r="BB1925" s="191"/>
      <c r="BL1925" s="190"/>
      <c r="BM1925" s="191"/>
    </row>
    <row r="1926" spans="53:65">
      <c r="BA1926" s="190"/>
      <c r="BB1926" s="191"/>
      <c r="BL1926" s="190"/>
      <c r="BM1926" s="191"/>
    </row>
    <row r="1927" spans="53:65">
      <c r="BA1927" s="190"/>
      <c r="BB1927" s="191"/>
      <c r="BL1927" s="190"/>
      <c r="BM1927" s="191"/>
    </row>
    <row r="1928" spans="53:65">
      <c r="BA1928" s="190"/>
      <c r="BB1928" s="191"/>
      <c r="BL1928" s="190"/>
      <c r="BM1928" s="191"/>
    </row>
    <row r="1929" spans="53:65">
      <c r="BA1929" s="190"/>
      <c r="BB1929" s="191"/>
      <c r="BL1929" s="190"/>
      <c r="BM1929" s="191"/>
    </row>
    <row r="1930" spans="53:65">
      <c r="BA1930" s="190"/>
      <c r="BB1930" s="191"/>
      <c r="BL1930" s="190"/>
      <c r="BM1930" s="191"/>
    </row>
    <row r="1931" spans="53:65">
      <c r="BA1931" s="190"/>
      <c r="BB1931" s="191"/>
      <c r="BL1931" s="190"/>
      <c r="BM1931" s="191"/>
    </row>
    <row r="1932" spans="53:65">
      <c r="BA1932" s="190"/>
      <c r="BB1932" s="191"/>
      <c r="BL1932" s="190"/>
      <c r="BM1932" s="191"/>
    </row>
    <row r="1933" spans="53:65">
      <c r="BA1933" s="190"/>
      <c r="BB1933" s="191"/>
      <c r="BL1933" s="190"/>
      <c r="BM1933" s="191"/>
    </row>
    <row r="1934" spans="53:65">
      <c r="BA1934" s="190"/>
      <c r="BB1934" s="191"/>
      <c r="BL1934" s="190"/>
      <c r="BM1934" s="191"/>
    </row>
    <row r="1935" spans="53:65">
      <c r="BA1935" s="190"/>
      <c r="BB1935" s="191"/>
      <c r="BL1935" s="190"/>
      <c r="BM1935" s="191"/>
    </row>
    <row r="1936" spans="53:65">
      <c r="BA1936" s="190"/>
      <c r="BB1936" s="191"/>
      <c r="BL1936" s="190"/>
      <c r="BM1936" s="191"/>
    </row>
    <row r="1937" spans="53:65">
      <c r="BA1937" s="190"/>
      <c r="BB1937" s="191"/>
      <c r="BL1937" s="190"/>
      <c r="BM1937" s="191"/>
    </row>
    <row r="1938" spans="53:65">
      <c r="BA1938" s="190"/>
      <c r="BB1938" s="191"/>
      <c r="BL1938" s="190"/>
      <c r="BM1938" s="191"/>
    </row>
    <row r="1939" spans="53:65">
      <c r="BA1939" s="190"/>
      <c r="BB1939" s="191"/>
      <c r="BL1939" s="190"/>
      <c r="BM1939" s="191"/>
    </row>
    <row r="1940" spans="53:65">
      <c r="BA1940" s="190"/>
      <c r="BB1940" s="191"/>
      <c r="BL1940" s="190"/>
      <c r="BM1940" s="191"/>
    </row>
    <row r="1941" spans="53:65">
      <c r="BA1941" s="190"/>
      <c r="BB1941" s="191"/>
      <c r="BL1941" s="190"/>
      <c r="BM1941" s="191"/>
    </row>
    <row r="1942" spans="53:65">
      <c r="BA1942" s="190"/>
      <c r="BB1942" s="191"/>
      <c r="BL1942" s="190"/>
      <c r="BM1942" s="191"/>
    </row>
    <row r="1943" spans="53:65">
      <c r="BA1943" s="190"/>
      <c r="BB1943" s="191"/>
      <c r="BL1943" s="190"/>
      <c r="BM1943" s="191"/>
    </row>
    <row r="1944" spans="53:65">
      <c r="BA1944" s="190"/>
      <c r="BB1944" s="191"/>
      <c r="BL1944" s="190"/>
      <c r="BM1944" s="191"/>
    </row>
    <row r="1945" spans="53:65">
      <c r="BA1945" s="190"/>
      <c r="BB1945" s="191"/>
      <c r="BL1945" s="190"/>
      <c r="BM1945" s="191"/>
    </row>
    <row r="1946" spans="53:65">
      <c r="BA1946" s="190"/>
      <c r="BB1946" s="191"/>
      <c r="BL1946" s="190"/>
      <c r="BM1946" s="191"/>
    </row>
    <row r="1947" spans="53:65">
      <c r="BA1947" s="190"/>
      <c r="BB1947" s="191"/>
      <c r="BL1947" s="190"/>
      <c r="BM1947" s="191"/>
    </row>
    <row r="1948" spans="53:65">
      <c r="BA1948" s="190"/>
      <c r="BB1948" s="191"/>
      <c r="BL1948" s="190"/>
      <c r="BM1948" s="191"/>
    </row>
    <row r="1949" spans="53:65">
      <c r="BA1949" s="190"/>
      <c r="BB1949" s="191"/>
      <c r="BL1949" s="190"/>
      <c r="BM1949" s="191"/>
    </row>
    <row r="1950" spans="53:65">
      <c r="BA1950" s="190"/>
      <c r="BB1950" s="191"/>
      <c r="BL1950" s="190"/>
      <c r="BM1950" s="191"/>
    </row>
    <row r="1951" spans="53:65">
      <c r="BA1951" s="190"/>
      <c r="BB1951" s="191"/>
      <c r="BL1951" s="190"/>
      <c r="BM1951" s="191"/>
    </row>
    <row r="1952" spans="53:65">
      <c r="BA1952" s="190"/>
      <c r="BB1952" s="191"/>
      <c r="BL1952" s="190"/>
      <c r="BM1952" s="191"/>
    </row>
    <row r="1953" spans="53:65">
      <c r="BA1953" s="190"/>
      <c r="BB1953" s="191"/>
      <c r="BL1953" s="190"/>
      <c r="BM1953" s="191"/>
    </row>
    <row r="1954" spans="53:65">
      <c r="BA1954" s="190"/>
      <c r="BB1954" s="191"/>
      <c r="BL1954" s="190"/>
      <c r="BM1954" s="191"/>
    </row>
    <row r="1955" spans="53:65">
      <c r="BA1955" s="190"/>
      <c r="BB1955" s="191"/>
      <c r="BL1955" s="190"/>
      <c r="BM1955" s="191"/>
    </row>
    <row r="1956" spans="53:65">
      <c r="BA1956" s="190"/>
      <c r="BB1956" s="191"/>
      <c r="BL1956" s="190"/>
      <c r="BM1956" s="191"/>
    </row>
    <row r="1957" spans="53:65">
      <c r="BA1957" s="190"/>
      <c r="BB1957" s="191"/>
      <c r="BL1957" s="190"/>
      <c r="BM1957" s="191"/>
    </row>
    <row r="1958" spans="53:65">
      <c r="BA1958" s="190"/>
      <c r="BB1958" s="191"/>
      <c r="BL1958" s="190"/>
      <c r="BM1958" s="191"/>
    </row>
    <row r="1959" spans="53:65">
      <c r="BA1959" s="190"/>
      <c r="BB1959" s="191"/>
      <c r="BL1959" s="190"/>
      <c r="BM1959" s="191"/>
    </row>
    <row r="1960" spans="53:65">
      <c r="BA1960" s="190"/>
      <c r="BB1960" s="191"/>
      <c r="BL1960" s="190"/>
      <c r="BM1960" s="191"/>
    </row>
    <row r="1961" spans="53:65">
      <c r="BA1961" s="190"/>
      <c r="BB1961" s="191"/>
      <c r="BL1961" s="190"/>
      <c r="BM1961" s="191"/>
    </row>
    <row r="1962" spans="53:65">
      <c r="BA1962" s="190"/>
      <c r="BB1962" s="191"/>
      <c r="BL1962" s="190"/>
      <c r="BM1962" s="191"/>
    </row>
    <row r="1963" spans="53:65">
      <c r="BA1963" s="190"/>
      <c r="BB1963" s="191"/>
      <c r="BL1963" s="190"/>
      <c r="BM1963" s="191"/>
    </row>
    <row r="1964" spans="53:65">
      <c r="BA1964" s="190"/>
      <c r="BB1964" s="191"/>
      <c r="BL1964" s="190"/>
      <c r="BM1964" s="191"/>
    </row>
    <row r="1965" spans="53:65">
      <c r="BA1965" s="190"/>
      <c r="BB1965" s="191"/>
      <c r="BL1965" s="190"/>
      <c r="BM1965" s="191"/>
    </row>
    <row r="1966" spans="53:65">
      <c r="BA1966" s="190"/>
      <c r="BB1966" s="191"/>
      <c r="BL1966" s="190"/>
      <c r="BM1966" s="192"/>
    </row>
    <row r="1967" spans="53:65">
      <c r="BA1967" s="190"/>
      <c r="BB1967" s="191"/>
      <c r="BL1967" s="190"/>
      <c r="BM1967" s="192"/>
    </row>
    <row r="1968" spans="53:65">
      <c r="BA1968" s="190"/>
      <c r="BB1968" s="191"/>
      <c r="BL1968" s="190"/>
      <c r="BM1968" s="192"/>
    </row>
    <row r="1969" spans="53:65">
      <c r="BA1969" s="190"/>
      <c r="BB1969" s="191"/>
      <c r="BL1969" s="190"/>
      <c r="BM1969" s="192"/>
    </row>
    <row r="1970" spans="53:65">
      <c r="BA1970" s="190"/>
      <c r="BB1970" s="191"/>
      <c r="BL1970" s="190"/>
      <c r="BM1970" s="192"/>
    </row>
    <row r="1971" spans="53:65">
      <c r="BA1971" s="190"/>
      <c r="BB1971" s="191"/>
      <c r="BL1971" s="190"/>
      <c r="BM1971" s="192"/>
    </row>
    <row r="1972" spans="53:65">
      <c r="BA1972" s="190"/>
      <c r="BB1972" s="191"/>
      <c r="BL1972" s="190"/>
      <c r="BM1972" s="192"/>
    </row>
    <row r="1973" spans="53:65">
      <c r="BA1973" s="190"/>
      <c r="BB1973" s="191"/>
      <c r="BL1973" s="190"/>
      <c r="BM1973" s="192"/>
    </row>
    <row r="1974" spans="53:65">
      <c r="BA1974" s="190"/>
      <c r="BB1974" s="191"/>
      <c r="BL1974" s="190"/>
      <c r="BM1974" s="192"/>
    </row>
    <row r="1975" spans="53:65">
      <c r="BA1975" s="190"/>
      <c r="BB1975" s="191"/>
      <c r="BL1975" s="190"/>
      <c r="BM1975" s="192"/>
    </row>
    <row r="1976" spans="53:65">
      <c r="BA1976" s="190"/>
      <c r="BB1976" s="191"/>
      <c r="BL1976" s="190"/>
      <c r="BM1976" s="192"/>
    </row>
    <row r="1977" spans="53:65">
      <c r="BA1977" s="190"/>
      <c r="BB1977" s="191"/>
      <c r="BL1977" s="190"/>
      <c r="BM1977" s="192"/>
    </row>
    <row r="1978" spans="53:65">
      <c r="BA1978" s="190"/>
      <c r="BB1978" s="191"/>
      <c r="BL1978" s="190"/>
      <c r="BM1978" s="192"/>
    </row>
    <row r="1979" spans="53:65">
      <c r="BA1979" s="190"/>
      <c r="BB1979" s="191"/>
      <c r="BL1979" s="190"/>
      <c r="BM1979" s="192"/>
    </row>
    <row r="1980" spans="53:65">
      <c r="BA1980" s="190"/>
      <c r="BB1980" s="191"/>
      <c r="BL1980" s="190"/>
      <c r="BM1980" s="192"/>
    </row>
    <row r="1981" spans="53:65">
      <c r="BA1981" s="190"/>
      <c r="BB1981" s="191"/>
      <c r="BL1981" s="190"/>
      <c r="BM1981" s="192"/>
    </row>
    <row r="1982" spans="53:65">
      <c r="BA1982" s="190"/>
      <c r="BB1982" s="191"/>
      <c r="BL1982" s="190"/>
      <c r="BM1982" s="192"/>
    </row>
    <row r="1983" spans="53:65">
      <c r="BA1983" s="190"/>
      <c r="BB1983" s="191"/>
      <c r="BL1983" s="190"/>
      <c r="BM1983" s="192"/>
    </row>
    <row r="1984" spans="53:65">
      <c r="BL1984" s="190"/>
      <c r="BM1984" s="192"/>
    </row>
    <row r="1985" spans="49:65">
      <c r="BA1985" s="190"/>
      <c r="BB1985" s="192"/>
      <c r="BL1985" s="190"/>
      <c r="BM1985" s="192"/>
    </row>
    <row r="1986" spans="49:65">
      <c r="BA1986" s="190"/>
      <c r="BB1986" s="192"/>
      <c r="BL1986" s="190"/>
      <c r="BM1986" s="192"/>
    </row>
    <row r="1987" spans="49:65">
      <c r="BA1987" s="190"/>
      <c r="BB1987" s="192"/>
      <c r="BL1987" s="190"/>
      <c r="BM1987" s="192"/>
    </row>
    <row r="1988" spans="49:65">
      <c r="BL1988" s="190"/>
      <c r="BM1988" s="192"/>
    </row>
    <row r="1989" spans="49:65">
      <c r="AW1989" s="192"/>
      <c r="BA1989" s="190"/>
      <c r="BB1989" s="192"/>
      <c r="BL1989" s="190"/>
      <c r="BM1989" s="192"/>
    </row>
    <row r="1990" spans="49:65">
      <c r="AW1990" s="192"/>
      <c r="BA1990" s="190"/>
      <c r="BB1990" s="192"/>
      <c r="BL1990" s="190"/>
      <c r="BM1990" s="192"/>
    </row>
    <row r="1991" spans="49:65">
      <c r="AW1991" s="192"/>
      <c r="BA1991" s="190"/>
      <c r="BB1991" s="192"/>
      <c r="BL1991" s="190"/>
      <c r="BM1991" s="192"/>
    </row>
    <row r="1992" spans="49:65">
      <c r="AW1992" s="192"/>
      <c r="BA1992" s="190"/>
      <c r="BB1992" s="192"/>
      <c r="BL1992" s="190"/>
      <c r="BM1992" s="192"/>
    </row>
    <row r="1993" spans="49:65">
      <c r="AW1993" s="192"/>
      <c r="BA1993" s="190"/>
      <c r="BB1993" s="192"/>
      <c r="BL1993" s="190"/>
      <c r="BM1993" s="192"/>
    </row>
    <row r="1994" spans="49:65">
      <c r="AW1994" s="192"/>
      <c r="BA1994" s="190"/>
      <c r="BB1994" s="192"/>
      <c r="BL1994" s="190"/>
      <c r="BM1994" s="192"/>
    </row>
    <row r="1995" spans="49:65">
      <c r="BA1995" s="190"/>
      <c r="BB1995" s="192"/>
      <c r="BL1995" s="190"/>
      <c r="BM1995" s="192"/>
    </row>
    <row r="1996" spans="49:65">
      <c r="BA1996" s="190"/>
      <c r="BB1996" s="192"/>
      <c r="BL1996" s="190"/>
      <c r="BM1996" s="192"/>
    </row>
    <row r="1997" spans="49:65">
      <c r="BA1997" s="190"/>
      <c r="BB1997" s="192"/>
      <c r="BL1997" s="190"/>
      <c r="BM1997" s="192"/>
    </row>
    <row r="1998" spans="49:65">
      <c r="BA1998" s="190"/>
      <c r="BB1998" s="192"/>
      <c r="BL1998" s="190"/>
      <c r="BM1998" s="192"/>
    </row>
    <row r="1999" spans="49:65">
      <c r="BA1999" s="190"/>
      <c r="BB1999" s="192"/>
      <c r="BL1999" s="190"/>
      <c r="BM1999" s="192"/>
    </row>
    <row r="2000" spans="49:65">
      <c r="BA2000" s="190"/>
      <c r="BB2000" s="192"/>
      <c r="BL2000" s="190"/>
      <c r="BM2000" s="192"/>
    </row>
    <row r="2001" spans="53:65">
      <c r="BA2001" s="190"/>
      <c r="BB2001" s="192"/>
      <c r="BL2001" s="190"/>
      <c r="BM2001" s="192"/>
    </row>
    <row r="2002" spans="53:65">
      <c r="BA2002" s="190"/>
      <c r="BB2002" s="192"/>
      <c r="BL2002" s="190"/>
      <c r="BM2002" s="192"/>
    </row>
    <row r="2003" spans="53:65">
      <c r="BA2003" s="190"/>
      <c r="BB2003" s="192"/>
      <c r="BL2003" s="190"/>
      <c r="BM2003" s="192"/>
    </row>
    <row r="2004" spans="53:65">
      <c r="BA2004" s="190"/>
      <c r="BB2004" s="192"/>
      <c r="BL2004" s="190"/>
      <c r="BM2004" s="192"/>
    </row>
    <row r="2005" spans="53:65">
      <c r="BA2005" s="190"/>
      <c r="BB2005" s="192"/>
      <c r="BL2005" s="190"/>
      <c r="BM2005" s="192"/>
    </row>
    <row r="2006" spans="53:65">
      <c r="BA2006" s="190"/>
      <c r="BB2006" s="192"/>
      <c r="BL2006" s="190"/>
      <c r="BM2006" s="192"/>
    </row>
    <row r="2007" spans="53:65">
      <c r="BA2007" s="190"/>
      <c r="BB2007" s="192"/>
      <c r="BL2007" s="190"/>
      <c r="BM2007" s="192"/>
    </row>
    <row r="2008" spans="53:65">
      <c r="BA2008" s="190"/>
      <c r="BB2008" s="192"/>
      <c r="BL2008" s="190"/>
      <c r="BM2008" s="192"/>
    </row>
    <row r="2009" spans="53:65">
      <c r="BA2009" s="190"/>
      <c r="BB2009" s="192"/>
      <c r="BL2009" s="190"/>
      <c r="BM2009" s="192"/>
    </row>
    <row r="2010" spans="53:65">
      <c r="BA2010" s="190"/>
      <c r="BB2010" s="192"/>
      <c r="BL2010" s="190"/>
      <c r="BM2010" s="192"/>
    </row>
    <row r="2011" spans="53:65">
      <c r="BA2011" s="190"/>
      <c r="BB2011" s="192"/>
      <c r="BL2011" s="190"/>
      <c r="BM2011" s="192"/>
    </row>
    <row r="2012" spans="53:65">
      <c r="BA2012" s="190"/>
      <c r="BB2012" s="192"/>
      <c r="BL2012" s="190"/>
      <c r="BM2012" s="192"/>
    </row>
    <row r="2013" spans="53:65">
      <c r="BA2013" s="190"/>
      <c r="BB2013" s="192"/>
      <c r="BL2013" s="190"/>
      <c r="BM2013" s="192"/>
    </row>
    <row r="2014" spans="53:65">
      <c r="BA2014" s="190"/>
      <c r="BB2014" s="192"/>
      <c r="BL2014" s="190"/>
      <c r="BM2014" s="192"/>
    </row>
    <row r="2015" spans="53:65">
      <c r="BA2015" s="190"/>
      <c r="BB2015" s="192"/>
      <c r="BL2015" s="190"/>
      <c r="BM2015" s="192"/>
    </row>
    <row r="2016" spans="53:65">
      <c r="BA2016" s="190"/>
      <c r="BB2016" s="192"/>
      <c r="BL2016" s="190"/>
      <c r="BM2016" s="192"/>
    </row>
    <row r="2017" spans="53:65">
      <c r="BA2017" s="190"/>
      <c r="BB2017" s="192"/>
      <c r="BL2017" s="190"/>
      <c r="BM2017" s="192"/>
    </row>
    <row r="2018" spans="53:65">
      <c r="BA2018" s="190"/>
      <c r="BB2018" s="192"/>
      <c r="BL2018" s="190"/>
      <c r="BM2018" s="192"/>
    </row>
    <row r="2019" spans="53:65">
      <c r="BA2019" s="190"/>
      <c r="BB2019" s="192"/>
      <c r="BL2019" s="190"/>
      <c r="BM2019" s="192"/>
    </row>
    <row r="2020" spans="53:65">
      <c r="BA2020" s="190"/>
      <c r="BB2020" s="192"/>
      <c r="BL2020" s="190"/>
      <c r="BM2020" s="192"/>
    </row>
    <row r="2021" spans="53:65">
      <c r="BA2021" s="190"/>
      <c r="BB2021" s="192"/>
      <c r="BL2021" s="190"/>
      <c r="BM2021" s="192"/>
    </row>
    <row r="2022" spans="53:65">
      <c r="BA2022" s="190"/>
      <c r="BB2022" s="192"/>
      <c r="BL2022" s="190"/>
      <c r="BM2022" s="192"/>
    </row>
    <row r="2023" spans="53:65">
      <c r="BA2023" s="190"/>
      <c r="BB2023" s="192"/>
      <c r="BL2023" s="190"/>
      <c r="BM2023" s="192"/>
    </row>
    <row r="2024" spans="53:65">
      <c r="BA2024" s="190"/>
      <c r="BB2024" s="192"/>
      <c r="BL2024" s="190"/>
      <c r="BM2024" s="192"/>
    </row>
    <row r="2025" spans="53:65">
      <c r="BA2025" s="190"/>
      <c r="BB2025" s="192"/>
      <c r="BL2025" s="190"/>
      <c r="BM2025" s="192"/>
    </row>
    <row r="2026" spans="53:65">
      <c r="BA2026" s="190"/>
      <c r="BB2026" s="192"/>
      <c r="BL2026" s="190"/>
      <c r="BM2026" s="192"/>
    </row>
    <row r="2027" spans="53:65">
      <c r="BA2027" s="190"/>
      <c r="BB2027" s="192"/>
      <c r="BL2027" s="190"/>
      <c r="BM2027" s="192"/>
    </row>
    <row r="2028" spans="53:65">
      <c r="BA2028" s="190"/>
      <c r="BB2028" s="192"/>
      <c r="BL2028" s="190"/>
      <c r="BM2028" s="192"/>
    </row>
    <row r="2029" spans="53:65">
      <c r="BA2029" s="190"/>
      <c r="BB2029" s="192"/>
      <c r="BL2029" s="190"/>
      <c r="BM2029" s="192"/>
    </row>
    <row r="2030" spans="53:65">
      <c r="BA2030" s="190"/>
      <c r="BB2030" s="192"/>
      <c r="BL2030" s="190"/>
      <c r="BM2030" s="192"/>
    </row>
    <row r="2031" spans="53:65">
      <c r="BA2031" s="190"/>
      <c r="BB2031" s="192"/>
      <c r="BL2031" s="190"/>
      <c r="BM2031" s="192"/>
    </row>
    <row r="2032" spans="53:65">
      <c r="BA2032" s="190"/>
      <c r="BB2032" s="192"/>
      <c r="BL2032" s="190"/>
      <c r="BM2032" s="192"/>
    </row>
    <row r="2033" spans="53:65">
      <c r="BA2033" s="190"/>
      <c r="BB2033" s="192"/>
      <c r="BL2033" s="190"/>
      <c r="BM2033" s="192"/>
    </row>
    <row r="2034" spans="53:65">
      <c r="BA2034" s="190"/>
      <c r="BB2034" s="192"/>
      <c r="BL2034" s="190"/>
      <c r="BM2034" s="192"/>
    </row>
    <row r="2035" spans="53:65">
      <c r="BA2035" s="190"/>
      <c r="BB2035" s="192"/>
      <c r="BL2035" s="190"/>
      <c r="BM2035" s="192"/>
    </row>
    <row r="2036" spans="53:65">
      <c r="BA2036" s="190"/>
      <c r="BB2036" s="192"/>
      <c r="BL2036" s="190"/>
      <c r="BM2036" s="192"/>
    </row>
    <row r="2037" spans="53:65">
      <c r="BA2037" s="190"/>
      <c r="BB2037" s="192"/>
      <c r="BL2037" s="190"/>
      <c r="BM2037" s="192"/>
    </row>
    <row r="2038" spans="53:65">
      <c r="BA2038" s="190"/>
      <c r="BB2038" s="192"/>
      <c r="BL2038" s="190"/>
      <c r="BM2038" s="192"/>
    </row>
    <row r="2039" spans="53:65">
      <c r="BA2039" s="190"/>
      <c r="BB2039" s="192"/>
      <c r="BL2039" s="190"/>
      <c r="BM2039" s="192"/>
    </row>
    <row r="2040" spans="53:65">
      <c r="BA2040" s="190"/>
      <c r="BB2040" s="192"/>
      <c r="BL2040" s="190"/>
      <c r="BM2040" s="192"/>
    </row>
    <row r="2041" spans="53:65">
      <c r="BA2041" s="190"/>
      <c r="BB2041" s="192"/>
      <c r="BL2041" s="190"/>
      <c r="BM2041" s="192"/>
    </row>
    <row r="2042" spans="53:65">
      <c r="BA2042" s="190"/>
      <c r="BB2042" s="192"/>
      <c r="BL2042" s="190"/>
      <c r="BM2042" s="192"/>
    </row>
    <row r="2043" spans="53:65">
      <c r="BA2043" s="190"/>
      <c r="BB2043" s="192"/>
      <c r="BL2043" s="190"/>
      <c r="BM2043" s="192"/>
    </row>
    <row r="2044" spans="53:65">
      <c r="BA2044" s="190"/>
      <c r="BB2044" s="192"/>
      <c r="BL2044" s="190"/>
      <c r="BM2044" s="192"/>
    </row>
    <row r="2045" spans="53:65">
      <c r="BA2045" s="190"/>
      <c r="BB2045" s="192"/>
      <c r="BL2045" s="190"/>
      <c r="BM2045" s="192"/>
    </row>
    <row r="2046" spans="53:65">
      <c r="BA2046" s="190"/>
      <c r="BB2046" s="192"/>
      <c r="BL2046" s="190"/>
      <c r="BM2046" s="192"/>
    </row>
    <row r="2047" spans="53:65">
      <c r="BA2047" s="190"/>
      <c r="BB2047" s="192"/>
      <c r="BL2047" s="190"/>
      <c r="BM2047" s="192"/>
    </row>
    <row r="2048" spans="53:65">
      <c r="BA2048" s="190"/>
      <c r="BB2048" s="192"/>
      <c r="BL2048" s="190"/>
      <c r="BM2048" s="192"/>
    </row>
    <row r="2049" spans="53:65">
      <c r="BA2049" s="190"/>
      <c r="BB2049" s="192"/>
      <c r="BL2049" s="190"/>
      <c r="BM2049" s="192"/>
    </row>
    <row r="2050" spans="53:65">
      <c r="BA2050" s="190"/>
      <c r="BB2050" s="192"/>
      <c r="BL2050" s="190"/>
      <c r="BM2050" s="192"/>
    </row>
    <row r="2051" spans="53:65">
      <c r="BA2051" s="190"/>
      <c r="BB2051" s="192"/>
      <c r="BL2051" s="190"/>
      <c r="BM2051" s="192"/>
    </row>
    <row r="2052" spans="53:65">
      <c r="BA2052" s="190"/>
      <c r="BB2052" s="192"/>
      <c r="BM2052" s="192"/>
    </row>
    <row r="2053" spans="53:65">
      <c r="BA2053" s="190"/>
      <c r="BB2053" s="192"/>
      <c r="BM2053" s="192"/>
    </row>
    <row r="2054" spans="53:65">
      <c r="BA2054" s="190"/>
      <c r="BB2054" s="192"/>
      <c r="BM2054" s="192"/>
    </row>
    <row r="2055" spans="53:65">
      <c r="BA2055" s="190"/>
      <c r="BB2055" s="192"/>
      <c r="BM2055" s="192"/>
    </row>
    <row r="2056" spans="53:65">
      <c r="BA2056" s="190"/>
      <c r="BB2056" s="192"/>
      <c r="BM2056" s="192"/>
    </row>
    <row r="2057" spans="53:65">
      <c r="BA2057" s="190"/>
      <c r="BB2057" s="192"/>
      <c r="BM2057" s="192"/>
    </row>
    <row r="2058" spans="53:65">
      <c r="BA2058" s="190"/>
      <c r="BB2058" s="192"/>
      <c r="BM2058" s="192"/>
    </row>
    <row r="2059" spans="53:65">
      <c r="BA2059" s="190"/>
      <c r="BB2059" s="192"/>
      <c r="BM2059" s="192"/>
    </row>
    <row r="2060" spans="53:65">
      <c r="BA2060" s="190"/>
      <c r="BB2060" s="192"/>
      <c r="BM2060" s="192"/>
    </row>
    <row r="2061" spans="53:65">
      <c r="BA2061" s="190"/>
      <c r="BB2061" s="192"/>
      <c r="BM2061" s="192"/>
    </row>
    <row r="2062" spans="53:65">
      <c r="BA2062" s="190"/>
      <c r="BB2062" s="192"/>
      <c r="BM2062" s="192"/>
    </row>
    <row r="2063" spans="53:65">
      <c r="BA2063" s="190"/>
      <c r="BB2063" s="192"/>
      <c r="BM2063" s="192"/>
    </row>
    <row r="2064" spans="53:65">
      <c r="BA2064" s="190"/>
      <c r="BB2064" s="192"/>
      <c r="BM2064" s="192"/>
    </row>
    <row r="2065" spans="53:65">
      <c r="BA2065" s="190"/>
      <c r="BB2065" s="192"/>
      <c r="BM2065" s="192"/>
    </row>
    <row r="2066" spans="53:65">
      <c r="BA2066" s="190"/>
      <c r="BB2066" s="192"/>
      <c r="BM2066" s="192"/>
    </row>
    <row r="2067" spans="53:65">
      <c r="BA2067" s="190"/>
      <c r="BB2067" s="192"/>
      <c r="BM2067" s="192"/>
    </row>
    <row r="2068" spans="53:65">
      <c r="BA2068" s="190"/>
      <c r="BB2068" s="192"/>
      <c r="BM2068" s="192"/>
    </row>
    <row r="2069" spans="53:65">
      <c r="BA2069" s="190"/>
      <c r="BB2069" s="192"/>
      <c r="BM2069" s="192"/>
    </row>
    <row r="2070" spans="53:65">
      <c r="BA2070" s="190"/>
      <c r="BB2070" s="192"/>
      <c r="BM2070" s="192"/>
    </row>
    <row r="2071" spans="53:65">
      <c r="BA2071" s="190"/>
      <c r="BB2071" s="192"/>
      <c r="BM2071" s="192"/>
    </row>
    <row r="2072" spans="53:65">
      <c r="BM2072" s="192"/>
    </row>
    <row r="2073" spans="53:65">
      <c r="BB2073" s="192"/>
      <c r="BM2073" s="192"/>
    </row>
    <row r="2074" spans="53:65">
      <c r="BB2074" s="192"/>
      <c r="BM2074" s="192"/>
    </row>
    <row r="2075" spans="53:65">
      <c r="BB2075" s="192"/>
      <c r="BM2075" s="192"/>
    </row>
    <row r="2076" spans="53:65">
      <c r="BB2076" s="192"/>
      <c r="BM2076" s="192"/>
    </row>
    <row r="2077" spans="53:65">
      <c r="BB2077" s="192"/>
      <c r="BM2077" s="192"/>
    </row>
    <row r="2078" spans="53:65">
      <c r="BB2078" s="192"/>
      <c r="BM2078" s="192"/>
    </row>
    <row r="2079" spans="53:65">
      <c r="BB2079" s="192"/>
      <c r="BM2079" s="192"/>
    </row>
    <row r="2080" spans="53:65">
      <c r="BB2080" s="192"/>
      <c r="BM2080" s="192"/>
    </row>
    <row r="2081" spans="54:65">
      <c r="BB2081" s="192"/>
      <c r="BM2081" s="192"/>
    </row>
    <row r="2082" spans="54:65">
      <c r="BB2082" s="192"/>
      <c r="BM2082" s="192"/>
    </row>
    <row r="2083" spans="54:65">
      <c r="BB2083" s="192"/>
      <c r="BM2083" s="192"/>
    </row>
    <row r="2084" spans="54:65">
      <c r="BB2084" s="192"/>
      <c r="BM2084" s="192"/>
    </row>
    <row r="2085" spans="54:65">
      <c r="BB2085" s="192"/>
      <c r="BM2085" s="192"/>
    </row>
    <row r="2086" spans="54:65">
      <c r="BB2086" s="192"/>
      <c r="BM2086" s="192"/>
    </row>
    <row r="2087" spans="54:65">
      <c r="BB2087" s="192"/>
      <c r="BM2087" s="192"/>
    </row>
    <row r="2088" spans="54:65">
      <c r="BB2088" s="192"/>
      <c r="BM2088" s="192"/>
    </row>
    <row r="2089" spans="54:65">
      <c r="BB2089" s="192"/>
      <c r="BM2089" s="192"/>
    </row>
    <row r="2090" spans="54:65">
      <c r="BB2090" s="192"/>
      <c r="BM2090" s="192"/>
    </row>
    <row r="2091" spans="54:65">
      <c r="BB2091" s="192"/>
      <c r="BM2091" s="192"/>
    </row>
    <row r="2092" spans="54:65">
      <c r="BB2092" s="192"/>
      <c r="BM2092" s="192"/>
    </row>
    <row r="2093" spans="54:65">
      <c r="BB2093" s="192"/>
      <c r="BM2093" s="192"/>
    </row>
    <row r="2094" spans="54:65">
      <c r="BB2094" s="192"/>
      <c r="BM2094" s="192"/>
    </row>
    <row r="2095" spans="54:65">
      <c r="BB2095" s="192"/>
      <c r="BM2095" s="192"/>
    </row>
    <row r="2096" spans="54:65">
      <c r="BB2096" s="192"/>
      <c r="BM2096" s="192"/>
    </row>
    <row r="2097" spans="54:65">
      <c r="BB2097" s="192"/>
      <c r="BM2097" s="192"/>
    </row>
    <row r="2098" spans="54:65">
      <c r="BB2098" s="192"/>
      <c r="BM2098" s="192"/>
    </row>
    <row r="2099" spans="54:65">
      <c r="BB2099" s="192"/>
      <c r="BM2099" s="192"/>
    </row>
    <row r="2100" spans="54:65">
      <c r="BB2100" s="192"/>
      <c r="BM2100" s="192"/>
    </row>
    <row r="2101" spans="54:65">
      <c r="BB2101" s="192"/>
      <c r="BM2101" s="192"/>
    </row>
    <row r="2102" spans="54:65">
      <c r="BB2102" s="192"/>
      <c r="BM2102" s="192"/>
    </row>
    <row r="2103" spans="54:65">
      <c r="BB2103" s="192"/>
      <c r="BM2103" s="192"/>
    </row>
    <row r="2104" spans="54:65">
      <c r="BM2104" s="192"/>
    </row>
    <row r="2105" spans="54:65">
      <c r="BB2105" s="192"/>
      <c r="BM2105" s="192"/>
    </row>
    <row r="2106" spans="54:65">
      <c r="BB2106" s="192"/>
      <c r="BM2106" s="192"/>
    </row>
    <row r="2107" spans="54:65">
      <c r="BB2107" s="192"/>
      <c r="BM2107" s="192"/>
    </row>
    <row r="2108" spans="54:65">
      <c r="BB2108" s="192"/>
      <c r="BM2108" s="192"/>
    </row>
    <row r="2109" spans="54:65">
      <c r="BB2109" s="192"/>
      <c r="BM2109" s="192"/>
    </row>
    <row r="2110" spans="54:65">
      <c r="BB2110" s="192"/>
      <c r="BM2110" s="192"/>
    </row>
    <row r="2111" spans="54:65">
      <c r="BB2111" s="192"/>
      <c r="BM2111" s="192"/>
    </row>
    <row r="2112" spans="54:65">
      <c r="BB2112" s="192"/>
      <c r="BM2112" s="192"/>
    </row>
    <row r="2113" spans="54:65">
      <c r="BB2113" s="192"/>
      <c r="BM2113" s="192"/>
    </row>
    <row r="2114" spans="54:65">
      <c r="BB2114" s="192"/>
      <c r="BM2114" s="192"/>
    </row>
    <row r="2115" spans="54:65">
      <c r="BB2115" s="192"/>
      <c r="BM2115" s="192"/>
    </row>
    <row r="2116" spans="54:65">
      <c r="BB2116" s="192"/>
      <c r="BM2116" s="192"/>
    </row>
    <row r="2117" spans="54:65">
      <c r="BB2117" s="192"/>
      <c r="BM2117" s="192"/>
    </row>
    <row r="2118" spans="54:65">
      <c r="BB2118" s="192"/>
      <c r="BM2118" s="192"/>
    </row>
    <row r="2119" spans="54:65">
      <c r="BB2119" s="192"/>
      <c r="BM2119" s="192"/>
    </row>
    <row r="2120" spans="54:65">
      <c r="BB2120" s="192"/>
      <c r="BM2120" s="192"/>
    </row>
    <row r="2121" spans="54:65">
      <c r="BB2121" s="192"/>
      <c r="BM2121" s="192"/>
    </row>
    <row r="2122" spans="54:65">
      <c r="BB2122" s="192"/>
      <c r="BM2122" s="192"/>
    </row>
    <row r="2123" spans="54:65">
      <c r="BB2123" s="192"/>
      <c r="BM2123" s="192"/>
    </row>
    <row r="2124" spans="54:65">
      <c r="BB2124" s="192"/>
      <c r="BM2124" s="192"/>
    </row>
    <row r="2125" spans="54:65">
      <c r="BB2125" s="192"/>
      <c r="BM2125" s="192"/>
    </row>
    <row r="2126" spans="54:65">
      <c r="BB2126" s="192"/>
      <c r="BM2126" s="192"/>
    </row>
    <row r="2127" spans="54:65">
      <c r="BB2127" s="192"/>
      <c r="BM2127" s="192"/>
    </row>
    <row r="2128" spans="54:65">
      <c r="BB2128" s="192"/>
      <c r="BM2128" s="192"/>
    </row>
    <row r="2129" spans="54:65">
      <c r="BB2129" s="192"/>
      <c r="BM2129" s="192"/>
    </row>
    <row r="2130" spans="54:65">
      <c r="BB2130" s="192"/>
      <c r="BM2130" s="192"/>
    </row>
    <row r="2131" spans="54:65">
      <c r="BM2131" s="192"/>
    </row>
    <row r="2132" spans="54:65">
      <c r="BB2132" s="192"/>
      <c r="BM2132" s="192"/>
    </row>
    <row r="2133" spans="54:65">
      <c r="BB2133" s="192"/>
      <c r="BM2133" s="192"/>
    </row>
    <row r="2134" spans="54:65">
      <c r="BB2134" s="192"/>
      <c r="BM2134" s="192"/>
    </row>
    <row r="2135" spans="54:65">
      <c r="BB2135" s="192"/>
      <c r="BM2135" s="192"/>
    </row>
    <row r="2136" spans="54:65">
      <c r="BB2136" s="192"/>
      <c r="BM2136" s="192"/>
    </row>
    <row r="2137" spans="54:65">
      <c r="BB2137" s="192"/>
      <c r="BM2137" s="192"/>
    </row>
    <row r="2138" spans="54:65">
      <c r="BB2138" s="192"/>
      <c r="BL2138" s="190"/>
      <c r="BM2138" s="192"/>
    </row>
    <row r="2139" spans="54:65">
      <c r="BB2139" s="192"/>
      <c r="BL2139" s="190"/>
      <c r="BM2139" s="192"/>
    </row>
    <row r="2140" spans="54:65">
      <c r="BB2140" s="192"/>
      <c r="BL2140" s="190"/>
      <c r="BM2140" s="192"/>
    </row>
    <row r="2141" spans="54:65">
      <c r="BB2141" s="192"/>
      <c r="BL2141" s="190"/>
      <c r="BM2141" s="192"/>
    </row>
    <row r="2142" spans="54:65">
      <c r="BB2142" s="192"/>
      <c r="BL2142" s="190"/>
      <c r="BM2142" s="192"/>
    </row>
    <row r="2143" spans="54:65">
      <c r="BB2143" s="192"/>
      <c r="BL2143" s="190"/>
      <c r="BM2143" s="192"/>
    </row>
    <row r="2144" spans="54:65">
      <c r="BB2144" s="192"/>
      <c r="BL2144" s="190"/>
      <c r="BM2144" s="192"/>
    </row>
    <row r="2145" spans="54:65">
      <c r="BB2145" s="192"/>
      <c r="BL2145" s="190"/>
      <c r="BM2145" s="192"/>
    </row>
    <row r="2146" spans="54:65">
      <c r="BB2146" s="192"/>
      <c r="BL2146" s="190"/>
      <c r="BM2146" s="192"/>
    </row>
    <row r="2147" spans="54:65">
      <c r="BB2147" s="192"/>
      <c r="BL2147" s="190"/>
      <c r="BM2147" s="192"/>
    </row>
    <row r="2148" spans="54:65">
      <c r="BB2148" s="192"/>
      <c r="BL2148" s="190"/>
      <c r="BM2148" s="192"/>
    </row>
    <row r="2149" spans="54:65">
      <c r="BB2149" s="192"/>
      <c r="BL2149" s="190"/>
      <c r="BM2149" s="192"/>
    </row>
    <row r="2150" spans="54:65">
      <c r="BB2150" s="192"/>
      <c r="BL2150" s="190"/>
      <c r="BM2150" s="192"/>
    </row>
    <row r="2151" spans="54:65">
      <c r="BB2151" s="192"/>
      <c r="BL2151" s="190"/>
      <c r="BM2151" s="192"/>
    </row>
    <row r="2152" spans="54:65">
      <c r="BB2152" s="192"/>
      <c r="BL2152" s="190"/>
      <c r="BM2152" s="192"/>
    </row>
    <row r="2153" spans="54:65">
      <c r="BB2153" s="192"/>
      <c r="BL2153" s="190"/>
      <c r="BM2153" s="192"/>
    </row>
    <row r="2154" spans="54:65">
      <c r="BB2154" s="192"/>
      <c r="BL2154" s="190"/>
      <c r="BM2154" s="192"/>
    </row>
    <row r="2155" spans="54:65">
      <c r="BB2155" s="192"/>
      <c r="BL2155" s="190"/>
      <c r="BM2155" s="192"/>
    </row>
    <row r="2156" spans="54:65">
      <c r="BB2156" s="192"/>
      <c r="BL2156" s="190"/>
      <c r="BM2156" s="192"/>
    </row>
    <row r="2157" spans="54:65">
      <c r="BB2157" s="192"/>
      <c r="BL2157" s="190"/>
      <c r="BM2157" s="192"/>
    </row>
    <row r="2158" spans="54:65">
      <c r="BB2158" s="192"/>
      <c r="BL2158" s="190"/>
      <c r="BM2158" s="192"/>
    </row>
    <row r="2159" spans="54:65">
      <c r="BB2159" s="192"/>
      <c r="BL2159" s="190"/>
      <c r="BM2159" s="192"/>
    </row>
    <row r="2160" spans="54:65">
      <c r="BB2160" s="192"/>
      <c r="BL2160" s="190"/>
      <c r="BM2160" s="192"/>
    </row>
    <row r="2161" spans="53:65">
      <c r="BA2161" s="190"/>
      <c r="BB2161" s="192"/>
      <c r="BL2161" s="190"/>
      <c r="BM2161" s="192"/>
    </row>
    <row r="2162" spans="53:65">
      <c r="BL2162" s="190"/>
      <c r="BM2162" s="192"/>
    </row>
    <row r="2163" spans="53:65">
      <c r="BA2163" s="190"/>
      <c r="BB2163" s="192"/>
      <c r="BL2163" s="190"/>
      <c r="BM2163" s="192"/>
    </row>
    <row r="2164" spans="53:65">
      <c r="BA2164" s="190"/>
      <c r="BB2164" s="192"/>
      <c r="BL2164" s="190"/>
      <c r="BM2164" s="192"/>
    </row>
    <row r="2165" spans="53:65">
      <c r="BA2165" s="190"/>
      <c r="BB2165" s="192"/>
      <c r="BL2165" s="190"/>
      <c r="BM2165" s="192"/>
    </row>
    <row r="2166" spans="53:65">
      <c r="BA2166" s="190"/>
      <c r="BB2166" s="192"/>
      <c r="BL2166" s="190"/>
      <c r="BM2166" s="192"/>
    </row>
    <row r="2167" spans="53:65">
      <c r="BA2167" s="190"/>
      <c r="BB2167" s="192"/>
      <c r="BL2167" s="190"/>
      <c r="BM2167" s="192"/>
    </row>
    <row r="2168" spans="53:65">
      <c r="BA2168" s="190"/>
      <c r="BB2168" s="192"/>
      <c r="BL2168" s="190"/>
      <c r="BM2168" s="192"/>
    </row>
    <row r="2169" spans="53:65">
      <c r="BA2169" s="190"/>
      <c r="BB2169" s="192"/>
      <c r="BL2169" s="190"/>
      <c r="BM2169" s="192"/>
    </row>
    <row r="2170" spans="53:65">
      <c r="BA2170" s="190"/>
      <c r="BB2170" s="192"/>
      <c r="BL2170" s="190"/>
      <c r="BM2170" s="192"/>
    </row>
    <row r="2171" spans="53:65">
      <c r="BA2171" s="190"/>
      <c r="BB2171" s="192"/>
      <c r="BL2171" s="190"/>
      <c r="BM2171" s="192"/>
    </row>
    <row r="2172" spans="53:65">
      <c r="BA2172" s="190"/>
      <c r="BB2172" s="192"/>
      <c r="BL2172" s="190"/>
      <c r="BM2172" s="192"/>
    </row>
    <row r="2173" spans="53:65">
      <c r="BA2173" s="190"/>
      <c r="BB2173" s="192"/>
      <c r="BL2173" s="190"/>
      <c r="BM2173" s="192"/>
    </row>
    <row r="2174" spans="53:65">
      <c r="BA2174" s="190"/>
      <c r="BB2174" s="192"/>
      <c r="BL2174" s="190"/>
      <c r="BM2174" s="192"/>
    </row>
    <row r="2175" spans="53:65">
      <c r="BA2175" s="190"/>
      <c r="BB2175" s="192"/>
      <c r="BL2175" s="190"/>
      <c r="BM2175" s="192"/>
    </row>
    <row r="2176" spans="53:65">
      <c r="BA2176" s="190"/>
      <c r="BB2176" s="192"/>
      <c r="BL2176" s="190"/>
      <c r="BM2176" s="192"/>
    </row>
    <row r="2177" spans="53:65">
      <c r="BA2177" s="190"/>
      <c r="BB2177" s="192"/>
      <c r="BL2177" s="190"/>
      <c r="BM2177" s="192"/>
    </row>
    <row r="2178" spans="53:65">
      <c r="BA2178" s="190"/>
      <c r="BB2178" s="192"/>
      <c r="BL2178" s="190"/>
      <c r="BM2178" s="192"/>
    </row>
    <row r="2179" spans="53:65">
      <c r="BA2179" s="190"/>
      <c r="BB2179" s="192"/>
      <c r="BL2179" s="190"/>
      <c r="BM2179" s="192"/>
    </row>
    <row r="2180" spans="53:65">
      <c r="BA2180" s="190"/>
      <c r="BB2180" s="192"/>
      <c r="BL2180" s="190"/>
      <c r="BM2180" s="192"/>
    </row>
    <row r="2181" spans="53:65">
      <c r="BA2181" s="190"/>
      <c r="BB2181" s="192"/>
      <c r="BL2181" s="190"/>
      <c r="BM2181" s="192"/>
    </row>
    <row r="2182" spans="53:65">
      <c r="BA2182" s="190"/>
      <c r="BB2182" s="192"/>
      <c r="BL2182" s="190"/>
      <c r="BM2182" s="192"/>
    </row>
    <row r="2183" spans="53:65">
      <c r="BA2183" s="190"/>
      <c r="BB2183" s="192"/>
      <c r="BL2183" s="190"/>
      <c r="BM2183" s="192"/>
    </row>
    <row r="2184" spans="53:65">
      <c r="BA2184" s="190"/>
      <c r="BB2184" s="192"/>
      <c r="BL2184" s="190"/>
      <c r="BM2184" s="192"/>
    </row>
    <row r="2185" spans="53:65">
      <c r="BA2185" s="190"/>
      <c r="BB2185" s="192"/>
      <c r="BL2185" s="190"/>
      <c r="BM2185" s="192"/>
    </row>
    <row r="2186" spans="53:65">
      <c r="BA2186" s="190"/>
      <c r="BB2186" s="192"/>
      <c r="BL2186" s="190"/>
      <c r="BM2186" s="192"/>
    </row>
    <row r="2187" spans="53:65">
      <c r="BA2187" s="190"/>
      <c r="BB2187" s="192"/>
      <c r="BL2187" s="190"/>
      <c r="BM2187" s="192"/>
    </row>
    <row r="2188" spans="53:65">
      <c r="BA2188" s="190"/>
      <c r="BB2188" s="192"/>
      <c r="BL2188" s="190"/>
      <c r="BM2188" s="192"/>
    </row>
    <row r="2189" spans="53:65">
      <c r="BA2189" s="190"/>
      <c r="BB2189" s="192"/>
      <c r="BL2189" s="190"/>
      <c r="BM2189" s="192"/>
    </row>
    <row r="2190" spans="53:65">
      <c r="BA2190" s="190"/>
      <c r="BB2190" s="192"/>
      <c r="BL2190" s="190"/>
      <c r="BM2190" s="192"/>
    </row>
    <row r="2191" spans="53:65">
      <c r="BA2191" s="190"/>
      <c r="BB2191" s="192"/>
      <c r="BL2191" s="190"/>
      <c r="BM2191" s="192"/>
    </row>
    <row r="2192" spans="53:65">
      <c r="BA2192" s="190"/>
      <c r="BB2192" s="192"/>
      <c r="BL2192" s="190"/>
      <c r="BM2192" s="192"/>
    </row>
    <row r="2193" spans="53:65">
      <c r="BA2193" s="190"/>
      <c r="BB2193" s="192"/>
      <c r="BL2193" s="190"/>
      <c r="BM2193" s="192"/>
    </row>
    <row r="2194" spans="53:65">
      <c r="BA2194" s="190"/>
      <c r="BB2194" s="192"/>
      <c r="BL2194" s="190"/>
      <c r="BM2194" s="192"/>
    </row>
    <row r="2195" spans="53:65">
      <c r="BA2195" s="190"/>
      <c r="BB2195" s="192"/>
      <c r="BL2195" s="190"/>
      <c r="BM2195" s="192"/>
    </row>
    <row r="2196" spans="53:65">
      <c r="BA2196" s="190"/>
      <c r="BB2196" s="192"/>
      <c r="BL2196" s="190"/>
      <c r="BM2196" s="192"/>
    </row>
    <row r="2197" spans="53:65">
      <c r="BA2197" s="190"/>
      <c r="BB2197" s="192"/>
      <c r="BL2197" s="190"/>
      <c r="BM2197" s="192"/>
    </row>
    <row r="2198" spans="53:65">
      <c r="BA2198" s="190"/>
      <c r="BB2198" s="192"/>
      <c r="BL2198" s="190"/>
      <c r="BM2198" s="192"/>
    </row>
    <row r="2199" spans="53:65">
      <c r="BA2199" s="190"/>
      <c r="BB2199" s="192"/>
      <c r="BL2199" s="190"/>
      <c r="BM2199" s="192"/>
    </row>
    <row r="2200" spans="53:65">
      <c r="BA2200" s="190"/>
      <c r="BB2200" s="192"/>
      <c r="BL2200" s="190"/>
      <c r="BM2200" s="192"/>
    </row>
    <row r="2201" spans="53:65">
      <c r="BA2201" s="190"/>
      <c r="BB2201" s="192"/>
      <c r="BL2201" s="190"/>
      <c r="BM2201" s="192"/>
    </row>
    <row r="2202" spans="53:65">
      <c r="BA2202" s="190"/>
      <c r="BB2202" s="192"/>
      <c r="BL2202" s="190"/>
      <c r="BM2202" s="192"/>
    </row>
    <row r="2203" spans="53:65">
      <c r="BA2203" s="190"/>
      <c r="BB2203" s="192"/>
      <c r="BL2203" s="190"/>
      <c r="BM2203" s="192"/>
    </row>
    <row r="2204" spans="53:65">
      <c r="BA2204" s="190"/>
      <c r="BB2204" s="192"/>
      <c r="BL2204" s="190"/>
      <c r="BM2204" s="192"/>
    </row>
    <row r="2205" spans="53:65">
      <c r="BA2205" s="190"/>
      <c r="BB2205" s="192"/>
      <c r="BL2205" s="190"/>
      <c r="BM2205" s="192"/>
    </row>
    <row r="2206" spans="53:65">
      <c r="BA2206" s="190"/>
      <c r="BB2206" s="192"/>
      <c r="BL2206" s="190"/>
      <c r="BM2206" s="192"/>
    </row>
    <row r="2207" spans="53:65">
      <c r="BA2207" s="190"/>
      <c r="BB2207" s="192"/>
      <c r="BL2207" s="190"/>
      <c r="BM2207" s="192"/>
    </row>
    <row r="2208" spans="53:65">
      <c r="BA2208" s="190"/>
      <c r="BB2208" s="192"/>
      <c r="BL2208" s="190"/>
      <c r="BM2208" s="192"/>
    </row>
    <row r="2209" spans="53:65">
      <c r="BA2209" s="190"/>
      <c r="BB2209" s="192"/>
      <c r="BL2209" s="190"/>
      <c r="BM2209" s="192"/>
    </row>
    <row r="2210" spans="53:65">
      <c r="BA2210" s="190"/>
      <c r="BB2210" s="192"/>
      <c r="BL2210" s="190"/>
      <c r="BM2210" s="192"/>
    </row>
    <row r="2211" spans="53:65">
      <c r="BA2211" s="190"/>
      <c r="BB2211" s="192"/>
      <c r="BL2211" s="190"/>
      <c r="BM2211" s="192"/>
    </row>
    <row r="2212" spans="53:65">
      <c r="BA2212" s="190"/>
      <c r="BB2212" s="192"/>
      <c r="BL2212" s="190"/>
      <c r="BM2212" s="192"/>
    </row>
    <row r="2213" spans="53:65">
      <c r="BA2213" s="190"/>
      <c r="BB2213" s="192"/>
      <c r="BL2213" s="190"/>
      <c r="BM2213" s="192"/>
    </row>
    <row r="2214" spans="53:65">
      <c r="BA2214" s="190"/>
      <c r="BB2214" s="192"/>
      <c r="BL2214" s="190"/>
      <c r="BM2214" s="192"/>
    </row>
    <row r="2215" spans="53:65">
      <c r="BA2215" s="190"/>
      <c r="BB2215" s="192"/>
      <c r="BL2215" s="190"/>
      <c r="BM2215" s="192"/>
    </row>
    <row r="2216" spans="53:65">
      <c r="BA2216" s="190"/>
      <c r="BB2216" s="192"/>
      <c r="BL2216" s="190"/>
      <c r="BM2216" s="192"/>
    </row>
    <row r="2217" spans="53:65">
      <c r="BA2217" s="190"/>
      <c r="BB2217" s="192"/>
      <c r="BL2217" s="190"/>
      <c r="BM2217" s="192"/>
    </row>
    <row r="2218" spans="53:65">
      <c r="BA2218" s="190"/>
      <c r="BB2218" s="192"/>
      <c r="BL2218" s="190"/>
      <c r="BM2218" s="192"/>
    </row>
    <row r="2219" spans="53:65">
      <c r="BA2219" s="190"/>
      <c r="BB2219" s="192"/>
      <c r="BL2219" s="190"/>
      <c r="BM2219" s="192"/>
    </row>
    <row r="2220" spans="53:65">
      <c r="BA2220" s="190"/>
      <c r="BB2220" s="192"/>
      <c r="BL2220" s="190"/>
      <c r="BM2220" s="192"/>
    </row>
    <row r="2221" spans="53:65">
      <c r="BA2221" s="190"/>
      <c r="BB2221" s="192"/>
      <c r="BL2221" s="190"/>
      <c r="BM2221" s="192"/>
    </row>
    <row r="2222" spans="53:65">
      <c r="BA2222" s="190"/>
      <c r="BB2222" s="192"/>
      <c r="BL2222" s="190"/>
      <c r="BM2222" s="192"/>
    </row>
    <row r="2223" spans="53:65">
      <c r="BA2223" s="190"/>
      <c r="BB2223" s="192"/>
      <c r="BL2223" s="190"/>
      <c r="BM2223" s="192"/>
    </row>
    <row r="2224" spans="53:65">
      <c r="BA2224" s="190"/>
      <c r="BB2224" s="192"/>
      <c r="BL2224" s="190"/>
      <c r="BM2224" s="192"/>
    </row>
    <row r="2225" spans="53:65">
      <c r="BA2225" s="190"/>
      <c r="BB2225" s="192"/>
      <c r="BL2225" s="190"/>
      <c r="BM2225" s="192"/>
    </row>
    <row r="2226" spans="53:65">
      <c r="BA2226" s="190"/>
      <c r="BB2226" s="192"/>
      <c r="BL2226" s="190"/>
      <c r="BM2226" s="192"/>
    </row>
    <row r="2227" spans="53:65">
      <c r="BA2227" s="190"/>
      <c r="BB2227" s="192"/>
      <c r="BL2227" s="190"/>
      <c r="BM2227" s="192"/>
    </row>
    <row r="2228" spans="53:65">
      <c r="BA2228" s="190"/>
      <c r="BB2228" s="192"/>
      <c r="BL2228" s="190"/>
      <c r="BM2228" s="192"/>
    </row>
    <row r="2229" spans="53:65">
      <c r="BA2229" s="190"/>
      <c r="BB2229" s="192"/>
      <c r="BL2229" s="190"/>
      <c r="BM2229" s="192"/>
    </row>
    <row r="2230" spans="53:65">
      <c r="BA2230" s="190"/>
      <c r="BB2230" s="192"/>
      <c r="BL2230" s="190"/>
      <c r="BM2230" s="192"/>
    </row>
    <row r="2231" spans="53:65">
      <c r="BA2231" s="190"/>
      <c r="BB2231" s="192"/>
      <c r="BL2231" s="190"/>
      <c r="BM2231" s="192"/>
    </row>
    <row r="2232" spans="53:65">
      <c r="BA2232" s="190"/>
      <c r="BB2232" s="192"/>
      <c r="BL2232" s="190"/>
      <c r="BM2232" s="192"/>
    </row>
    <row r="2233" spans="53:65">
      <c r="BA2233" s="190"/>
      <c r="BB2233" s="192"/>
      <c r="BL2233" s="190"/>
      <c r="BM2233" s="192"/>
    </row>
    <row r="2234" spans="53:65">
      <c r="BA2234" s="190"/>
      <c r="BB2234" s="192"/>
      <c r="BL2234" s="190"/>
      <c r="BM2234" s="192"/>
    </row>
    <row r="2235" spans="53:65">
      <c r="BA2235" s="190"/>
      <c r="BB2235" s="192"/>
      <c r="BL2235" s="190"/>
      <c r="BM2235" s="192"/>
    </row>
    <row r="2236" spans="53:65">
      <c r="BA2236" s="190"/>
      <c r="BB2236" s="192"/>
      <c r="BL2236" s="190"/>
      <c r="BM2236" s="192"/>
    </row>
    <row r="2237" spans="53:65">
      <c r="BA2237" s="190"/>
      <c r="BB2237" s="192"/>
      <c r="BL2237" s="190"/>
      <c r="BM2237" s="192"/>
    </row>
    <row r="2238" spans="53:65">
      <c r="BA2238" s="190"/>
      <c r="BB2238" s="192"/>
      <c r="BL2238" s="190"/>
      <c r="BM2238" s="192"/>
    </row>
    <row r="2239" spans="53:65">
      <c r="BA2239" s="190"/>
      <c r="BB2239" s="192"/>
      <c r="BL2239" s="190"/>
      <c r="BM2239" s="192"/>
    </row>
    <row r="2240" spans="53:65">
      <c r="BA2240" s="190"/>
      <c r="BB2240" s="192"/>
      <c r="BL2240" s="190"/>
      <c r="BM2240" s="192"/>
    </row>
    <row r="2241" spans="53:65">
      <c r="BA2241" s="190"/>
      <c r="BB2241" s="192"/>
      <c r="BL2241" s="190"/>
      <c r="BM2241" s="192"/>
    </row>
    <row r="2242" spans="53:65">
      <c r="BA2242" s="190"/>
      <c r="BB2242" s="192"/>
      <c r="BL2242" s="190"/>
      <c r="BM2242" s="192"/>
    </row>
    <row r="2243" spans="53:65">
      <c r="BA2243" s="190"/>
      <c r="BB2243" s="192"/>
      <c r="BL2243" s="190"/>
      <c r="BM2243" s="192"/>
    </row>
    <row r="2244" spans="53:65">
      <c r="BA2244" s="190"/>
      <c r="BB2244" s="192"/>
      <c r="BL2244" s="190"/>
      <c r="BM2244" s="192"/>
    </row>
    <row r="2245" spans="53:65">
      <c r="BA2245" s="190"/>
      <c r="BB2245" s="192"/>
      <c r="BL2245" s="190"/>
      <c r="BM2245" s="192"/>
    </row>
    <row r="2246" spans="53:65">
      <c r="BA2246" s="190"/>
      <c r="BB2246" s="192"/>
      <c r="BL2246" s="190"/>
      <c r="BM2246" s="192"/>
    </row>
    <row r="2247" spans="53:65">
      <c r="BA2247" s="190"/>
      <c r="BB2247" s="192"/>
      <c r="BL2247" s="190"/>
      <c r="BM2247" s="192"/>
    </row>
    <row r="2248" spans="53:65">
      <c r="BA2248" s="190"/>
      <c r="BB2248" s="192"/>
      <c r="BL2248" s="190"/>
      <c r="BM2248" s="192"/>
    </row>
    <row r="2249" spans="53:65">
      <c r="BA2249" s="190"/>
      <c r="BB2249" s="192"/>
      <c r="BL2249" s="190"/>
      <c r="BM2249" s="192"/>
    </row>
    <row r="2250" spans="53:65">
      <c r="BA2250" s="190"/>
      <c r="BB2250" s="192"/>
      <c r="BL2250" s="190"/>
      <c r="BM2250" s="192"/>
    </row>
    <row r="2251" spans="53:65">
      <c r="BA2251" s="190"/>
      <c r="BB2251" s="192"/>
      <c r="BL2251" s="190"/>
      <c r="BM2251" s="192"/>
    </row>
    <row r="2252" spans="53:65">
      <c r="BA2252" s="190"/>
      <c r="BB2252" s="192"/>
      <c r="BL2252" s="190"/>
      <c r="BM2252" s="192"/>
    </row>
    <row r="2253" spans="53:65">
      <c r="BA2253" s="190"/>
      <c r="BB2253" s="192"/>
      <c r="BL2253" s="190"/>
      <c r="BM2253" s="192"/>
    </row>
    <row r="2254" spans="53:65">
      <c r="BA2254" s="190"/>
      <c r="BB2254" s="192"/>
      <c r="BL2254" s="190"/>
      <c r="BM2254" s="192"/>
    </row>
    <row r="2255" spans="53:65">
      <c r="BA2255" s="190"/>
      <c r="BB2255" s="192"/>
      <c r="BL2255" s="190"/>
      <c r="BM2255" s="192"/>
    </row>
    <row r="2256" spans="53:65">
      <c r="BA2256" s="190"/>
      <c r="BB2256" s="192"/>
      <c r="BL2256" s="190"/>
      <c r="BM2256" s="192"/>
    </row>
    <row r="2257" spans="53:65">
      <c r="BA2257" s="190"/>
      <c r="BB2257" s="192"/>
      <c r="BL2257" s="190"/>
      <c r="BM2257" s="192"/>
    </row>
    <row r="2258" spans="53:65">
      <c r="BA2258" s="190"/>
      <c r="BB2258" s="192"/>
      <c r="BL2258" s="190"/>
      <c r="BM2258" s="192"/>
    </row>
    <row r="2259" spans="53:65">
      <c r="BA2259" s="190"/>
      <c r="BB2259" s="192"/>
      <c r="BM2259" s="192"/>
    </row>
    <row r="2260" spans="53:65">
      <c r="BA2260" s="190"/>
      <c r="BB2260" s="192"/>
      <c r="BM2260" s="192"/>
    </row>
    <row r="2261" spans="53:65">
      <c r="BA2261" s="190"/>
      <c r="BB2261" s="192"/>
      <c r="BM2261" s="192"/>
    </row>
    <row r="2262" spans="53:65">
      <c r="BA2262" s="190"/>
      <c r="BB2262" s="192"/>
      <c r="BM2262" s="192"/>
    </row>
    <row r="2263" spans="53:65">
      <c r="BA2263" s="190"/>
      <c r="BB2263" s="192"/>
      <c r="BM2263" s="192"/>
    </row>
    <row r="2264" spans="53:65">
      <c r="BA2264" s="190"/>
      <c r="BB2264" s="192"/>
      <c r="BM2264" s="192"/>
    </row>
    <row r="2265" spans="53:65">
      <c r="BA2265" s="190"/>
      <c r="BB2265" s="192"/>
      <c r="BM2265" s="192"/>
    </row>
    <row r="2266" spans="53:65">
      <c r="BA2266" s="190"/>
      <c r="BB2266" s="192"/>
      <c r="BM2266" s="192"/>
    </row>
    <row r="2267" spans="53:65">
      <c r="BA2267" s="190"/>
      <c r="BB2267" s="192"/>
      <c r="BM2267" s="192"/>
    </row>
    <row r="2268" spans="53:65">
      <c r="BA2268" s="190"/>
      <c r="BB2268" s="192"/>
      <c r="BM2268" s="192"/>
    </row>
    <row r="2269" spans="53:65">
      <c r="BA2269" s="190"/>
      <c r="BB2269" s="192"/>
      <c r="BM2269" s="192"/>
    </row>
    <row r="2270" spans="53:65">
      <c r="BA2270" s="190"/>
      <c r="BB2270" s="192"/>
      <c r="BM2270" s="192"/>
    </row>
    <row r="2271" spans="53:65">
      <c r="BA2271" s="190"/>
      <c r="BB2271" s="192"/>
      <c r="BM2271" s="192"/>
    </row>
    <row r="2272" spans="53:65">
      <c r="BA2272" s="190"/>
      <c r="BB2272" s="192"/>
      <c r="BM2272" s="192"/>
    </row>
    <row r="2273" spans="53:65">
      <c r="BA2273" s="190"/>
      <c r="BB2273" s="192"/>
      <c r="BM2273" s="192"/>
    </row>
    <row r="2274" spans="53:65">
      <c r="BA2274" s="190"/>
      <c r="BB2274" s="192"/>
      <c r="BM2274" s="192"/>
    </row>
    <row r="2275" spans="53:65">
      <c r="BA2275" s="190"/>
      <c r="BB2275" s="192"/>
      <c r="BM2275" s="192"/>
    </row>
    <row r="2276" spans="53:65">
      <c r="BA2276" s="190"/>
      <c r="BB2276" s="192"/>
      <c r="BM2276" s="192"/>
    </row>
    <row r="2277" spans="53:65">
      <c r="BA2277" s="190"/>
      <c r="BB2277" s="192"/>
      <c r="BM2277" s="192"/>
    </row>
    <row r="2278" spans="53:65">
      <c r="BA2278" s="190"/>
      <c r="BB2278" s="192"/>
      <c r="BM2278" s="192"/>
    </row>
    <row r="2279" spans="53:65">
      <c r="BA2279" s="190"/>
      <c r="BB2279" s="192"/>
      <c r="BM2279" s="192"/>
    </row>
    <row r="2280" spans="53:65">
      <c r="BA2280" s="190"/>
      <c r="BB2280" s="192"/>
      <c r="BM2280" s="192"/>
    </row>
    <row r="2281" spans="53:65">
      <c r="BA2281" s="190"/>
      <c r="BB2281" s="192"/>
      <c r="BM2281" s="192"/>
    </row>
    <row r="2282" spans="53:65">
      <c r="BA2282" s="190"/>
      <c r="BB2282" s="192"/>
      <c r="BM2282" s="192"/>
    </row>
    <row r="2283" spans="53:65">
      <c r="BM2283" s="192"/>
    </row>
    <row r="2284" spans="53:65">
      <c r="BB2284" s="192"/>
      <c r="BM2284" s="192"/>
    </row>
    <row r="2285" spans="53:65">
      <c r="BB2285" s="192"/>
      <c r="BM2285" s="192"/>
    </row>
    <row r="2286" spans="53:65">
      <c r="BB2286" s="192"/>
      <c r="BM2286" s="192"/>
    </row>
    <row r="2287" spans="53:65">
      <c r="BB2287" s="192"/>
      <c r="BM2287" s="192"/>
    </row>
    <row r="2288" spans="53:65">
      <c r="BB2288" s="192"/>
      <c r="BM2288" s="192"/>
    </row>
    <row r="2289" spans="54:65">
      <c r="BB2289" s="192"/>
      <c r="BM2289" s="192"/>
    </row>
    <row r="2290" spans="54:65">
      <c r="BB2290" s="192"/>
      <c r="BM2290" s="192"/>
    </row>
    <row r="2291" spans="54:65">
      <c r="BB2291" s="192"/>
      <c r="BM2291" s="192"/>
    </row>
    <row r="2292" spans="54:65">
      <c r="BB2292" s="192"/>
      <c r="BM2292" s="192"/>
    </row>
    <row r="2293" spans="54:65">
      <c r="BB2293" s="192"/>
      <c r="BM2293" s="192"/>
    </row>
    <row r="2294" spans="54:65">
      <c r="BB2294" s="192"/>
      <c r="BM2294" s="192"/>
    </row>
    <row r="2295" spans="54:65">
      <c r="BM2295" s="192"/>
    </row>
    <row r="2296" spans="54:65">
      <c r="BB2296" s="192"/>
      <c r="BM2296" s="192"/>
    </row>
    <row r="2297" spans="54:65">
      <c r="BB2297" s="192"/>
      <c r="BM2297" s="192"/>
    </row>
    <row r="2298" spans="54:65">
      <c r="BB2298" s="192"/>
      <c r="BM2298" s="192"/>
    </row>
    <row r="2299" spans="54:65">
      <c r="BB2299" s="192"/>
      <c r="BM2299" s="192"/>
    </row>
    <row r="2300" spans="54:65">
      <c r="BB2300" s="192"/>
      <c r="BM2300" s="192"/>
    </row>
    <row r="2301" spans="54:65">
      <c r="BB2301" s="192"/>
      <c r="BM2301" s="192"/>
    </row>
    <row r="2302" spans="54:65">
      <c r="BB2302" s="192"/>
      <c r="BM2302" s="192"/>
    </row>
    <row r="2303" spans="54:65">
      <c r="BB2303" s="192"/>
      <c r="BM2303" s="192"/>
    </row>
    <row r="2304" spans="54:65">
      <c r="BB2304" s="192"/>
      <c r="BM2304" s="192"/>
    </row>
    <row r="2305" spans="54:65">
      <c r="BB2305" s="192"/>
      <c r="BM2305" s="192"/>
    </row>
    <row r="2306" spans="54:65">
      <c r="BB2306" s="192"/>
      <c r="BM2306" s="192"/>
    </row>
    <row r="2307" spans="54:65">
      <c r="BB2307" s="192"/>
      <c r="BM2307" s="192"/>
    </row>
    <row r="2308" spans="54:65">
      <c r="BB2308" s="192"/>
      <c r="BM2308" s="192"/>
    </row>
    <row r="2309" spans="54:65">
      <c r="BB2309" s="192"/>
      <c r="BM2309" s="192"/>
    </row>
    <row r="2310" spans="54:65">
      <c r="BB2310" s="192"/>
      <c r="BM2310" s="192"/>
    </row>
    <row r="2311" spans="54:65">
      <c r="BB2311" s="192"/>
      <c r="BM2311" s="192"/>
    </row>
    <row r="2312" spans="54:65">
      <c r="BB2312" s="192"/>
      <c r="BM2312" s="192"/>
    </row>
    <row r="2313" spans="54:65">
      <c r="BB2313" s="192"/>
      <c r="BM2313" s="192"/>
    </row>
    <row r="2314" spans="54:65">
      <c r="BB2314" s="192"/>
      <c r="BM2314" s="192"/>
    </row>
    <row r="2315" spans="54:65">
      <c r="BB2315" s="192"/>
      <c r="BM2315" s="192"/>
    </row>
    <row r="2316" spans="54:65">
      <c r="BB2316" s="192"/>
      <c r="BM2316" s="192"/>
    </row>
    <row r="2317" spans="54:65">
      <c r="BB2317" s="192"/>
      <c r="BM2317" s="192"/>
    </row>
    <row r="2318" spans="54:65">
      <c r="BB2318" s="192"/>
      <c r="BM2318" s="192"/>
    </row>
    <row r="2319" spans="54:65">
      <c r="BB2319" s="192"/>
      <c r="BM2319" s="192"/>
    </row>
    <row r="2320" spans="54:65">
      <c r="BB2320" s="192"/>
      <c r="BM2320" s="192"/>
    </row>
    <row r="2321" spans="54:65">
      <c r="BB2321" s="192"/>
      <c r="BM2321" s="192"/>
    </row>
    <row r="2322" spans="54:65">
      <c r="BB2322" s="192"/>
      <c r="BM2322" s="192"/>
    </row>
    <row r="2323" spans="54:65">
      <c r="BB2323" s="192"/>
      <c r="BM2323" s="192"/>
    </row>
    <row r="2324" spans="54:65">
      <c r="BB2324" s="192"/>
      <c r="BM2324" s="192"/>
    </row>
    <row r="2325" spans="54:65">
      <c r="BB2325" s="192"/>
      <c r="BM2325" s="192"/>
    </row>
    <row r="2326" spans="54:65">
      <c r="BB2326" s="192"/>
      <c r="BM2326" s="192"/>
    </row>
    <row r="2327" spans="54:65">
      <c r="BB2327" s="192"/>
      <c r="BM2327" s="192"/>
    </row>
    <row r="2328" spans="54:65">
      <c r="BB2328" s="192"/>
      <c r="BM2328" s="192"/>
    </row>
    <row r="2329" spans="54:65">
      <c r="BB2329" s="192"/>
      <c r="BM2329" s="192"/>
    </row>
    <row r="2330" spans="54:65">
      <c r="BB2330" s="192"/>
      <c r="BM2330" s="192"/>
    </row>
    <row r="2331" spans="54:65">
      <c r="BB2331" s="192"/>
      <c r="BM2331" s="192"/>
    </row>
    <row r="2332" spans="54:65">
      <c r="BB2332" s="192"/>
      <c r="BM2332" s="192"/>
    </row>
    <row r="2333" spans="54:65">
      <c r="BB2333" s="192"/>
      <c r="BM2333" s="192"/>
    </row>
    <row r="2334" spans="54:65">
      <c r="BB2334" s="192"/>
      <c r="BM2334" s="192"/>
    </row>
    <row r="2335" spans="54:65">
      <c r="BB2335" s="192"/>
      <c r="BM2335" s="192"/>
    </row>
    <row r="2336" spans="54:65">
      <c r="BB2336" s="192"/>
      <c r="BM2336" s="192"/>
    </row>
    <row r="2337" spans="54:65">
      <c r="BB2337" s="192"/>
      <c r="BM2337" s="192"/>
    </row>
    <row r="2338" spans="54:65">
      <c r="BB2338" s="192"/>
      <c r="BM2338" s="192"/>
    </row>
    <row r="2339" spans="54:65">
      <c r="BB2339" s="192"/>
      <c r="BM2339" s="192"/>
    </row>
    <row r="2340" spans="54:65">
      <c r="BB2340" s="192"/>
      <c r="BM2340" s="192"/>
    </row>
    <row r="2341" spans="54:65">
      <c r="BB2341" s="192"/>
      <c r="BM2341" s="192"/>
    </row>
    <row r="2342" spans="54:65">
      <c r="BM2342" s="192"/>
    </row>
    <row r="2343" spans="54:65">
      <c r="BB2343" s="192"/>
      <c r="BM2343" s="192"/>
    </row>
    <row r="2344" spans="54:65">
      <c r="BB2344" s="192"/>
      <c r="BM2344" s="192"/>
    </row>
    <row r="2345" spans="54:65">
      <c r="BB2345" s="192"/>
      <c r="BM2345" s="192"/>
    </row>
    <row r="2346" spans="54:65">
      <c r="BB2346" s="192"/>
      <c r="BM2346" s="192"/>
    </row>
    <row r="2347" spans="54:65">
      <c r="BB2347" s="192"/>
      <c r="BM2347" s="192"/>
    </row>
    <row r="2348" spans="54:65">
      <c r="BB2348" s="192"/>
      <c r="BM2348" s="192"/>
    </row>
    <row r="2349" spans="54:65">
      <c r="BB2349" s="192"/>
      <c r="BM2349" s="192"/>
    </row>
    <row r="2350" spans="54:65">
      <c r="BB2350" s="192"/>
      <c r="BM2350" s="192"/>
    </row>
    <row r="2351" spans="54:65">
      <c r="BB2351" s="192"/>
      <c r="BM2351" s="192"/>
    </row>
    <row r="2352" spans="54:65">
      <c r="BB2352" s="192"/>
      <c r="BM2352" s="192"/>
    </row>
    <row r="2353" spans="54:65">
      <c r="BB2353" s="192"/>
      <c r="BM2353" s="192"/>
    </row>
    <row r="2354" spans="54:65">
      <c r="BB2354" s="192"/>
      <c r="BM2354" s="192"/>
    </row>
    <row r="2355" spans="54:65">
      <c r="BB2355" s="192"/>
      <c r="BM2355" s="192"/>
    </row>
    <row r="2356" spans="54:65">
      <c r="BB2356" s="192"/>
      <c r="BM2356" s="192"/>
    </row>
    <row r="2357" spans="54:65">
      <c r="BB2357" s="192"/>
      <c r="BM2357" s="192"/>
    </row>
    <row r="2358" spans="54:65">
      <c r="BB2358" s="192"/>
      <c r="BM2358" s="192"/>
    </row>
    <row r="2359" spans="54:65">
      <c r="BB2359" s="192"/>
      <c r="BM2359" s="192"/>
    </row>
    <row r="2360" spans="54:65">
      <c r="BB2360" s="192"/>
      <c r="BM2360" s="192"/>
    </row>
    <row r="2361" spans="54:65">
      <c r="BB2361" s="192"/>
      <c r="BM2361" s="192"/>
    </row>
    <row r="2362" spans="54:65">
      <c r="BB2362" s="192"/>
      <c r="BM2362" s="192"/>
    </row>
    <row r="2363" spans="54:65">
      <c r="BB2363" s="192"/>
      <c r="BM2363" s="192"/>
    </row>
    <row r="2364" spans="54:65">
      <c r="BB2364" s="192"/>
      <c r="BM2364" s="192"/>
    </row>
    <row r="2365" spans="54:65">
      <c r="BB2365" s="192"/>
      <c r="BM2365" s="192"/>
    </row>
    <row r="2366" spans="54:65">
      <c r="BB2366" s="192"/>
      <c r="BM2366" s="192"/>
    </row>
    <row r="2367" spans="54:65">
      <c r="BB2367" s="192"/>
      <c r="BM2367" s="192"/>
    </row>
    <row r="2368" spans="54:65">
      <c r="BB2368" s="192"/>
      <c r="BM2368" s="192"/>
    </row>
    <row r="2369" spans="54:65">
      <c r="BB2369" s="192"/>
      <c r="BM2369" s="192"/>
    </row>
    <row r="2370" spans="54:65">
      <c r="BB2370" s="192"/>
      <c r="BM2370" s="192"/>
    </row>
    <row r="2371" spans="54:65">
      <c r="BB2371" s="192"/>
      <c r="BM2371" s="192"/>
    </row>
    <row r="2372" spans="54:65">
      <c r="BB2372" s="192"/>
      <c r="BM2372" s="192"/>
    </row>
    <row r="2373" spans="54:65">
      <c r="BB2373" s="192"/>
      <c r="BM2373" s="192"/>
    </row>
    <row r="2374" spans="54:65">
      <c r="BB2374" s="192"/>
      <c r="BM2374" s="192"/>
    </row>
    <row r="2375" spans="54:65">
      <c r="BB2375" s="192"/>
      <c r="BM2375" s="192"/>
    </row>
    <row r="2376" spans="54:65">
      <c r="BB2376" s="192"/>
      <c r="BM2376" s="192"/>
    </row>
    <row r="2377" spans="54:65">
      <c r="BB2377" s="192"/>
      <c r="BM2377" s="192"/>
    </row>
    <row r="2378" spans="54:65">
      <c r="BB2378" s="192"/>
      <c r="BM2378" s="192"/>
    </row>
    <row r="2379" spans="54:65">
      <c r="BB2379" s="192"/>
      <c r="BM2379" s="192"/>
    </row>
    <row r="2380" spans="54:65">
      <c r="BB2380" s="192"/>
      <c r="BM2380" s="192"/>
    </row>
    <row r="2381" spans="54:65">
      <c r="BB2381" s="192"/>
      <c r="BM2381" s="192"/>
    </row>
    <row r="2382" spans="54:65">
      <c r="BB2382" s="192"/>
      <c r="BM2382" s="192"/>
    </row>
    <row r="2383" spans="54:65">
      <c r="BB2383" s="192"/>
      <c r="BM2383" s="192"/>
    </row>
    <row r="2384" spans="54:65">
      <c r="BB2384" s="192"/>
      <c r="BM2384" s="192"/>
    </row>
    <row r="2385" spans="54:65">
      <c r="BB2385" s="192"/>
      <c r="BM2385" s="192"/>
    </row>
    <row r="2386" spans="54:65">
      <c r="BB2386" s="192"/>
      <c r="BM2386" s="192"/>
    </row>
    <row r="2387" spans="54:65">
      <c r="BB2387" s="192"/>
      <c r="BM2387" s="192"/>
    </row>
    <row r="2388" spans="54:65">
      <c r="BB2388" s="192"/>
      <c r="BM2388" s="192"/>
    </row>
    <row r="2389" spans="54:65">
      <c r="BB2389" s="192"/>
      <c r="BM2389" s="192"/>
    </row>
    <row r="2390" spans="54:65">
      <c r="BB2390" s="192"/>
      <c r="BM2390" s="192"/>
    </row>
    <row r="2391" spans="54:65">
      <c r="BB2391" s="192"/>
      <c r="BM2391" s="192"/>
    </row>
    <row r="2392" spans="54:65">
      <c r="BB2392" s="192"/>
      <c r="BM2392" s="192"/>
    </row>
    <row r="2393" spans="54:65">
      <c r="BB2393" s="192"/>
      <c r="BM2393" s="192"/>
    </row>
    <row r="2394" spans="54:65">
      <c r="BB2394" s="192"/>
      <c r="BM2394" s="192"/>
    </row>
    <row r="2395" spans="54:65">
      <c r="BB2395" s="192"/>
      <c r="BM2395" s="192"/>
    </row>
    <row r="2396" spans="54:65">
      <c r="BB2396" s="192"/>
      <c r="BM2396" s="192"/>
    </row>
    <row r="2397" spans="54:65">
      <c r="BB2397" s="192"/>
      <c r="BM2397" s="192"/>
    </row>
    <row r="2398" spans="54:65">
      <c r="BB2398" s="192"/>
      <c r="BM2398" s="192"/>
    </row>
    <row r="2399" spans="54:65">
      <c r="BB2399" s="192"/>
      <c r="BM2399" s="192"/>
    </row>
    <row r="2400" spans="54:65">
      <c r="BB2400" s="192"/>
      <c r="BM2400" s="192"/>
    </row>
    <row r="2401" spans="54:65">
      <c r="BB2401" s="192"/>
      <c r="BM2401" s="192"/>
    </row>
    <row r="2402" spans="54:65">
      <c r="BB2402" s="192"/>
      <c r="BM2402" s="192"/>
    </row>
    <row r="2403" spans="54:65">
      <c r="BB2403" s="192"/>
      <c r="BM2403" s="192"/>
    </row>
    <row r="2404" spans="54:65">
      <c r="BB2404" s="192"/>
      <c r="BM2404" s="192"/>
    </row>
    <row r="2405" spans="54:65">
      <c r="BB2405" s="192"/>
      <c r="BM2405" s="192"/>
    </row>
    <row r="2406" spans="54:65">
      <c r="BB2406" s="192"/>
      <c r="BM2406" s="192"/>
    </row>
    <row r="2407" spans="54:65">
      <c r="BB2407" s="192"/>
      <c r="BM2407" s="192"/>
    </row>
    <row r="2408" spans="54:65">
      <c r="BB2408" s="19"/>
      <c r="BM2408" s="192"/>
    </row>
    <row r="2409" spans="54:65">
      <c r="BB2409" s="192"/>
      <c r="BM2409" s="192"/>
    </row>
    <row r="2410" spans="54:65">
      <c r="BB2410" s="192"/>
      <c r="BM2410" s="192"/>
    </row>
    <row r="2411" spans="54:65">
      <c r="BB2411" s="192"/>
      <c r="BM2411" s="192"/>
    </row>
    <row r="2412" spans="54:65">
      <c r="BB2412" s="192"/>
      <c r="BM2412" s="192"/>
    </row>
    <row r="2413" spans="54:65">
      <c r="BB2413" s="192"/>
      <c r="BM2413" s="192"/>
    </row>
    <row r="2414" spans="54:65">
      <c r="BB2414" s="192"/>
      <c r="BM2414" s="192"/>
    </row>
    <row r="2415" spans="54:65">
      <c r="BB2415" s="192"/>
      <c r="BM2415" s="192"/>
    </row>
    <row r="2416" spans="54:65">
      <c r="BB2416" s="192"/>
      <c r="BM2416" s="192"/>
    </row>
    <row r="2417" spans="54:65">
      <c r="BB2417" s="192"/>
      <c r="BM2417" s="192"/>
    </row>
    <row r="2418" spans="54:65">
      <c r="BB2418" s="192"/>
      <c r="BM2418" s="192"/>
    </row>
    <row r="2419" spans="54:65">
      <c r="BB2419" s="192"/>
      <c r="BM2419" s="192"/>
    </row>
    <row r="2420" spans="54:65">
      <c r="BB2420" s="192"/>
      <c r="BM2420" s="192"/>
    </row>
    <row r="2421" spans="54:65">
      <c r="BB2421" s="192"/>
      <c r="BM2421" s="192"/>
    </row>
    <row r="2422" spans="54:65">
      <c r="BB2422" s="192"/>
      <c r="BM2422" s="192"/>
    </row>
    <row r="2423" spans="54:65">
      <c r="BB2423" s="192"/>
      <c r="BM2423" s="192"/>
    </row>
    <row r="2424" spans="54:65">
      <c r="BB2424" s="192"/>
      <c r="BM2424" s="192"/>
    </row>
    <row r="2425" spans="54:65">
      <c r="BB2425" s="192"/>
      <c r="BM2425" s="192"/>
    </row>
    <row r="2426" spans="54:65">
      <c r="BB2426" s="192"/>
      <c r="BM2426" s="192"/>
    </row>
    <row r="2427" spans="54:65">
      <c r="BB2427" s="192"/>
      <c r="BM2427" s="192"/>
    </row>
    <row r="2428" spans="54:65">
      <c r="BB2428" s="192"/>
      <c r="BM2428" s="192"/>
    </row>
    <row r="2429" spans="54:65">
      <c r="BB2429" s="192"/>
      <c r="BM2429" s="192"/>
    </row>
    <row r="2430" spans="54:65">
      <c r="BB2430" s="192"/>
      <c r="BM2430" s="192"/>
    </row>
    <row r="2431" spans="54:65">
      <c r="BB2431" s="192"/>
      <c r="BM2431" s="192"/>
    </row>
    <row r="2432" spans="54:65">
      <c r="BB2432" s="192"/>
      <c r="BM2432" s="192"/>
    </row>
    <row r="2433" spans="54:65">
      <c r="BB2433" s="192"/>
      <c r="BM2433" s="192"/>
    </row>
    <row r="2434" spans="54:65">
      <c r="BB2434" s="192"/>
      <c r="BM2434" s="19"/>
    </row>
    <row r="2435" spans="54:65">
      <c r="BB2435" s="192"/>
      <c r="BM2435" s="192"/>
    </row>
    <row r="2436" spans="54:65">
      <c r="BB2436" s="192"/>
      <c r="BM2436" s="192"/>
    </row>
    <row r="2437" spans="54:65">
      <c r="BB2437" s="192"/>
      <c r="BM2437" s="192"/>
    </row>
    <row r="2438" spans="54:65">
      <c r="BB2438" s="192"/>
      <c r="BM2438" s="192"/>
    </row>
    <row r="2439" spans="54:65">
      <c r="BM2439" s="192"/>
    </row>
    <row r="2440" spans="54:65">
      <c r="BM2440" s="192"/>
    </row>
    <row r="2441" spans="54:65">
      <c r="BM2441" s="192"/>
    </row>
    <row r="2442" spans="54:65">
      <c r="BM2442" s="192"/>
    </row>
    <row r="2443" spans="54:65">
      <c r="BM2443" s="192"/>
    </row>
    <row r="2444" spans="54:65">
      <c r="BM2444" s="192"/>
    </row>
    <row r="2445" spans="54:65">
      <c r="BM2445" s="192"/>
    </row>
    <row r="2446" spans="54:65">
      <c r="BM2446" s="192"/>
    </row>
    <row r="2447" spans="54:65">
      <c r="BM2447" s="192"/>
    </row>
    <row r="2448" spans="54:65">
      <c r="BM2448" s="192"/>
    </row>
    <row r="2449" spans="65:65">
      <c r="BM2449" s="192"/>
    </row>
    <row r="2450" spans="65:65">
      <c r="BM2450" s="192"/>
    </row>
    <row r="2451" spans="65:65">
      <c r="BM2451" s="192"/>
    </row>
    <row r="2452" spans="65:65">
      <c r="BM2452" s="192"/>
    </row>
    <row r="2453" spans="65:65">
      <c r="BM2453" s="192"/>
    </row>
    <row r="2454" spans="65:65">
      <c r="BM2454" s="192"/>
    </row>
    <row r="2455" spans="65:65">
      <c r="BM2455" s="192"/>
    </row>
    <row r="2456" spans="65:65">
      <c r="BM2456" s="192"/>
    </row>
    <row r="2457" spans="65:65">
      <c r="BM2457" s="192"/>
    </row>
    <row r="2458" spans="65:65">
      <c r="BM2458" s="192"/>
    </row>
    <row r="2459" spans="65:65">
      <c r="BM2459" s="192"/>
    </row>
    <row r="2460" spans="65:65">
      <c r="BM2460" s="192"/>
    </row>
    <row r="2461" spans="65:65">
      <c r="BM2461" s="192"/>
    </row>
    <row r="2462" spans="65:65">
      <c r="BM2462" s="192"/>
    </row>
    <row r="2463" spans="65:65">
      <c r="BM2463" s="192"/>
    </row>
    <row r="2464" spans="65:65">
      <c r="BM2464" s="192"/>
    </row>
    <row r="2465" spans="65:65">
      <c r="BM2465" s="192"/>
    </row>
    <row r="2466" spans="65:65">
      <c r="BM2466" s="192"/>
    </row>
    <row r="2467" spans="65:65">
      <c r="BM2467" s="192"/>
    </row>
    <row r="2468" spans="65:65">
      <c r="BM2468" s="192"/>
    </row>
    <row r="2469" spans="65:65">
      <c r="BM2469" s="192"/>
    </row>
    <row r="2470" spans="65:65">
      <c r="BM2470" s="192"/>
    </row>
    <row r="2471" spans="65:65">
      <c r="BM2471" s="192"/>
    </row>
    <row r="2472" spans="65:65">
      <c r="BM2472" s="192"/>
    </row>
    <row r="2473" spans="65:65">
      <c r="BM2473" s="192"/>
    </row>
    <row r="2474" spans="65:65">
      <c r="BM2474" s="192"/>
    </row>
    <row r="2475" spans="65:65">
      <c r="BM2475" s="192"/>
    </row>
    <row r="2476" spans="65:65">
      <c r="BM2476" s="192"/>
    </row>
    <row r="2477" spans="65:65">
      <c r="BM2477" s="192"/>
    </row>
    <row r="2478" spans="65:65">
      <c r="BM2478" s="192"/>
    </row>
    <row r="2479" spans="65:65">
      <c r="BM2479" s="192"/>
    </row>
    <row r="2480" spans="65:65">
      <c r="BM2480" s="192"/>
    </row>
    <row r="2481" spans="65:65">
      <c r="BM2481" s="192"/>
    </row>
    <row r="2482" spans="65:65">
      <c r="BM2482" s="192"/>
    </row>
    <row r="2483" spans="65:65">
      <c r="BM2483" s="192"/>
    </row>
    <row r="2484" spans="65:65">
      <c r="BM2484" s="192"/>
    </row>
    <row r="2485" spans="65:65">
      <c r="BM2485" s="192"/>
    </row>
    <row r="2486" spans="65:65">
      <c r="BM2486" s="192"/>
    </row>
    <row r="2487" spans="65:65">
      <c r="BM2487" s="192"/>
    </row>
    <row r="2488" spans="65:65">
      <c r="BM2488" s="192"/>
    </row>
    <row r="2489" spans="65:65">
      <c r="BM2489" s="192"/>
    </row>
    <row r="2490" spans="65:65">
      <c r="BM2490" s="192"/>
    </row>
    <row r="2491" spans="65:65">
      <c r="BM2491" s="192"/>
    </row>
    <row r="2492" spans="65:65">
      <c r="BM2492" s="19"/>
    </row>
    <row r="2493" spans="65:65">
      <c r="BM2493" s="192"/>
    </row>
    <row r="2494" spans="65:65">
      <c r="BM2494" s="192"/>
    </row>
    <row r="2495" spans="65:65">
      <c r="BM2495" s="192"/>
    </row>
    <row r="2496" spans="65:65">
      <c r="BM2496" s="192"/>
    </row>
    <row r="2497" spans="65:65">
      <c r="BM2497" s="192"/>
    </row>
    <row r="2498" spans="65:65">
      <c r="BM2498" s="192"/>
    </row>
    <row r="2499" spans="65:65">
      <c r="BM2499" s="192"/>
    </row>
    <row r="2500" spans="65:65">
      <c r="BM2500" s="192"/>
    </row>
    <row r="2501" spans="65:65">
      <c r="BM2501" s="192"/>
    </row>
    <row r="2502" spans="65:65">
      <c r="BM2502" s="192"/>
    </row>
    <row r="2503" spans="65:65">
      <c r="BM2503" s="192"/>
    </row>
    <row r="2504" spans="65:65">
      <c r="BM2504" s="192"/>
    </row>
    <row r="2505" spans="65:65">
      <c r="BM2505" s="192"/>
    </row>
    <row r="2506" spans="65:65">
      <c r="BM2506" s="192"/>
    </row>
    <row r="2507" spans="65:65">
      <c r="BM2507" s="192"/>
    </row>
    <row r="2508" spans="65:65">
      <c r="BM2508" s="192"/>
    </row>
    <row r="2509" spans="65:65">
      <c r="BM2509" s="192"/>
    </row>
    <row r="2510" spans="65:65">
      <c r="BM2510" s="192"/>
    </row>
    <row r="2511" spans="65:65">
      <c r="BM2511" s="192"/>
    </row>
    <row r="2512" spans="65:65">
      <c r="BM2512" s="192"/>
    </row>
    <row r="2513" spans="65:65">
      <c r="BM2513" s="192"/>
    </row>
    <row r="2514" spans="65:65">
      <c r="BM2514" s="192"/>
    </row>
    <row r="2515" spans="65:65">
      <c r="BM2515" s="192"/>
    </row>
    <row r="2516" spans="65:65">
      <c r="BM2516" s="192"/>
    </row>
    <row r="2517" spans="65:65">
      <c r="BM2517" s="192"/>
    </row>
    <row r="2518" spans="65:65">
      <c r="BM2518" s="192"/>
    </row>
    <row r="2519" spans="65:65">
      <c r="BM2519" s="192"/>
    </row>
    <row r="2520" spans="65:65">
      <c r="BM2520" s="192"/>
    </row>
    <row r="2521" spans="65:65">
      <c r="BM2521" s="192"/>
    </row>
    <row r="2522" spans="65:65">
      <c r="BM2522" s="192"/>
    </row>
  </sheetData>
  <mergeCells count="27">
    <mergeCell ref="AZ65:BA65"/>
    <mergeCell ref="AY117:BB117"/>
    <mergeCell ref="C179:M179"/>
    <mergeCell ref="O179:W179"/>
    <mergeCell ref="C201:M201"/>
    <mergeCell ref="O201:W201"/>
    <mergeCell ref="O68:W68"/>
    <mergeCell ref="C91:M91"/>
    <mergeCell ref="O91:W91"/>
    <mergeCell ref="C223:M223"/>
    <mergeCell ref="O223:W223"/>
    <mergeCell ref="C113:M113"/>
    <mergeCell ref="O113:W113"/>
    <mergeCell ref="C135:M135"/>
    <mergeCell ref="O135:W135"/>
    <mergeCell ref="C157:M157"/>
    <mergeCell ref="O157:W157"/>
    <mergeCell ref="AR3:AZ3"/>
    <mergeCell ref="AI5:AJ5"/>
    <mergeCell ref="AL5:AM5"/>
    <mergeCell ref="AA3:AB3"/>
    <mergeCell ref="AM21:AO21"/>
    <mergeCell ref="AM50:AO50"/>
    <mergeCell ref="T1:AB1"/>
    <mergeCell ref="O2:W2"/>
    <mergeCell ref="AM26:AO26"/>
    <mergeCell ref="AM41:AO4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D16B5-856B-034C-81F9-AC11965F4A16}">
  <sheetPr>
    <tabColor rgb="FFFFC000"/>
  </sheetPr>
  <dimension ref="A1:DI301"/>
  <sheetViews>
    <sheetView zoomScaleNormal="100" workbookViewId="0">
      <selection activeCell="H24" sqref="H24"/>
    </sheetView>
  </sheetViews>
  <sheetFormatPr baseColWidth="10" defaultColWidth="11" defaultRowHeight="16"/>
  <cols>
    <col min="1" max="1" width="15.6640625" bestFit="1" customWidth="1"/>
    <col min="2" max="6" width="17.6640625" customWidth="1"/>
    <col min="7" max="21" width="16.1640625" bestFit="1" customWidth="1"/>
    <col min="22" max="22" width="16.5" bestFit="1" customWidth="1"/>
    <col min="23" max="37" width="16.1640625" bestFit="1" customWidth="1"/>
    <col min="38" max="38" width="25.5" bestFit="1" customWidth="1"/>
    <col min="39" max="39" width="25" bestFit="1" customWidth="1"/>
    <col min="40" max="40" width="24.33203125" bestFit="1" customWidth="1"/>
    <col min="41" max="41" width="23.83203125" bestFit="1" customWidth="1"/>
    <col min="42" max="51" width="17.6640625" bestFit="1" customWidth="1"/>
    <col min="52" max="52" width="19.1640625" bestFit="1" customWidth="1"/>
    <col min="53" max="53" width="18.6640625" bestFit="1" customWidth="1"/>
    <col min="54" max="55" width="17.6640625" bestFit="1" customWidth="1"/>
    <col min="60" max="60" width="130.6640625" bestFit="1" customWidth="1"/>
    <col min="61" max="61" width="14.6640625" bestFit="1" customWidth="1"/>
    <col min="62" max="63" width="21.1640625" bestFit="1" customWidth="1"/>
    <col min="64" max="64" width="15.1640625" bestFit="1" customWidth="1"/>
    <col min="65" max="66" width="21.1640625" bestFit="1" customWidth="1"/>
    <col min="67" max="67" width="15.1640625" bestFit="1" customWidth="1"/>
    <col min="68" max="98" width="14.6640625" bestFit="1" customWidth="1"/>
    <col min="99" max="113" width="13.6640625" bestFit="1" customWidth="1"/>
  </cols>
  <sheetData>
    <row r="1" spans="1:8">
      <c r="A1" s="431" t="s">
        <v>4927</v>
      </c>
      <c r="B1" s="432"/>
      <c r="C1" s="432"/>
      <c r="D1" s="432"/>
      <c r="E1" s="432"/>
      <c r="F1" s="433"/>
    </row>
    <row r="2" spans="1:8">
      <c r="A2" s="434"/>
      <c r="B2" s="19" t="s">
        <v>4923</v>
      </c>
      <c r="C2" s="19" t="s">
        <v>4924</v>
      </c>
      <c r="D2" s="19" t="s">
        <v>4925</v>
      </c>
      <c r="E2" s="19" t="s">
        <v>4926</v>
      </c>
      <c r="F2" s="435" t="s">
        <v>4921</v>
      </c>
    </row>
    <row r="3" spans="1:8">
      <c r="A3" s="436" t="s">
        <v>159</v>
      </c>
      <c r="B3" s="311">
        <f>D3+0.04</f>
        <v>0.37936531847452415</v>
      </c>
      <c r="C3" s="311">
        <f>D3+0.03</f>
        <v>0.36936531847452414</v>
      </c>
      <c r="D3" s="437">
        <v>0.33936531847452417</v>
      </c>
      <c r="E3" s="437">
        <f>D3-0.02</f>
        <v>0.31936531847452415</v>
      </c>
      <c r="F3" s="438">
        <f>D3-0.05</f>
        <v>0.28936531847452418</v>
      </c>
    </row>
    <row r="4" spans="1:8">
      <c r="A4" s="436" t="s">
        <v>152</v>
      </c>
      <c r="B4" s="311">
        <f t="shared" ref="B4:B9" si="0">D4+0.04</f>
        <v>0.35635540233059115</v>
      </c>
      <c r="C4" s="311">
        <f t="shared" ref="C4:C9" si="1">D4+0.03</f>
        <v>0.34635540233059114</v>
      </c>
      <c r="D4" s="437">
        <v>0.31635540233059117</v>
      </c>
      <c r="E4" s="437">
        <f t="shared" ref="E4:E9" si="2">D4-0.02</f>
        <v>0.29635540233059116</v>
      </c>
      <c r="F4" s="438">
        <f t="shared" ref="F4:F9" si="3">D4-0.05</f>
        <v>0.26635540233059118</v>
      </c>
    </row>
    <row r="5" spans="1:8">
      <c r="A5" s="436" t="s">
        <v>2502</v>
      </c>
      <c r="B5" s="311">
        <f t="shared" si="0"/>
        <v>0.35635540233059115</v>
      </c>
      <c r="C5" s="311">
        <f t="shared" si="1"/>
        <v>0.34635540233059114</v>
      </c>
      <c r="D5" s="437">
        <v>0.31635540233059117</v>
      </c>
      <c r="E5" s="437">
        <f t="shared" si="2"/>
        <v>0.29635540233059116</v>
      </c>
      <c r="F5" s="438">
        <f t="shared" si="3"/>
        <v>0.26635540233059118</v>
      </c>
      <c r="G5" s="258"/>
    </row>
    <row r="6" spans="1:8">
      <c r="A6" s="436" t="s">
        <v>153</v>
      </c>
      <c r="B6" s="311">
        <f t="shared" si="0"/>
        <v>0.35635540233059115</v>
      </c>
      <c r="C6" s="311">
        <f t="shared" si="1"/>
        <v>0.34635540233059114</v>
      </c>
      <c r="D6" s="437">
        <v>0.31635540233059117</v>
      </c>
      <c r="E6" s="437">
        <f t="shared" si="2"/>
        <v>0.29635540233059116</v>
      </c>
      <c r="F6" s="438">
        <f t="shared" si="3"/>
        <v>0.26635540233059118</v>
      </c>
      <c r="H6" s="488" t="s">
        <v>1678</v>
      </c>
    </row>
    <row r="7" spans="1:8">
      <c r="A7" s="436" t="s">
        <v>157</v>
      </c>
      <c r="B7" s="311">
        <f t="shared" si="0"/>
        <v>0.35635540233059115</v>
      </c>
      <c r="C7" s="311">
        <f t="shared" si="1"/>
        <v>0.34635540233059114</v>
      </c>
      <c r="D7" s="437">
        <v>0.31635540233059117</v>
      </c>
      <c r="E7" s="437">
        <f t="shared" si="2"/>
        <v>0.29635540233059116</v>
      </c>
      <c r="F7" s="438">
        <f t="shared" si="3"/>
        <v>0.26635540233059118</v>
      </c>
    </row>
    <row r="8" spans="1:8">
      <c r="A8" s="436" t="s">
        <v>160</v>
      </c>
      <c r="B8" s="311">
        <f t="shared" si="0"/>
        <v>0.38265535694042824</v>
      </c>
      <c r="C8" s="311">
        <f t="shared" si="1"/>
        <v>0.37265535694042828</v>
      </c>
      <c r="D8" s="437">
        <v>0.34265535694042826</v>
      </c>
      <c r="E8" s="437">
        <f t="shared" si="2"/>
        <v>0.32265535694042824</v>
      </c>
      <c r="F8" s="438">
        <f t="shared" si="3"/>
        <v>0.29265535694042827</v>
      </c>
    </row>
    <row r="9" spans="1:8">
      <c r="A9" s="436" t="s">
        <v>144</v>
      </c>
      <c r="B9" s="311">
        <f t="shared" si="0"/>
        <v>0.38265535694042824</v>
      </c>
      <c r="C9" s="311">
        <f t="shared" si="1"/>
        <v>0.37265535694042828</v>
      </c>
      <c r="D9" s="437">
        <v>0.34265535694042826</v>
      </c>
      <c r="E9" s="437">
        <f t="shared" si="2"/>
        <v>0.32265535694042824</v>
      </c>
      <c r="F9" s="438">
        <f t="shared" si="3"/>
        <v>0.29265535694042827</v>
      </c>
    </row>
    <row r="10" spans="1:8">
      <c r="A10" s="436" t="s">
        <v>154</v>
      </c>
      <c r="B10" s="311">
        <f t="shared" ref="B10:B20" si="4">D10+0.04</f>
        <v>0.35159252252522538</v>
      </c>
      <c r="C10" s="311">
        <f t="shared" ref="C10:C20" si="5">D10+0.03</f>
        <v>0.34159252252522543</v>
      </c>
      <c r="D10" s="437">
        <v>0.3115925225252254</v>
      </c>
      <c r="E10" s="437">
        <f t="shared" ref="E10:E20" si="6">D10-0.02</f>
        <v>0.29159252252522538</v>
      </c>
      <c r="F10" s="438">
        <f t="shared" ref="F10:F20" si="7">D10-0.05</f>
        <v>0.26159252252522541</v>
      </c>
    </row>
    <row r="11" spans="1:8">
      <c r="A11" s="436" t="s">
        <v>155</v>
      </c>
      <c r="B11" s="311">
        <f t="shared" si="4"/>
        <v>0.35159252252522538</v>
      </c>
      <c r="C11" s="311">
        <f t="shared" si="5"/>
        <v>0.34159252252522543</v>
      </c>
      <c r="D11" s="437">
        <v>0.3115925225252254</v>
      </c>
      <c r="E11" s="437">
        <f t="shared" si="6"/>
        <v>0.29159252252522538</v>
      </c>
      <c r="F11" s="438">
        <f t="shared" si="7"/>
        <v>0.26159252252522541</v>
      </c>
    </row>
    <row r="12" spans="1:8">
      <c r="A12" s="436" t="s">
        <v>149</v>
      </c>
      <c r="B12" s="311">
        <f t="shared" si="4"/>
        <v>0.35159252252522538</v>
      </c>
      <c r="C12" s="311">
        <f t="shared" si="5"/>
        <v>0.34159252252522543</v>
      </c>
      <c r="D12" s="437">
        <v>0.3115925225252254</v>
      </c>
      <c r="E12" s="437">
        <f t="shared" si="6"/>
        <v>0.29159252252522538</v>
      </c>
      <c r="F12" s="438">
        <f t="shared" si="7"/>
        <v>0.26159252252522541</v>
      </c>
    </row>
    <row r="13" spans="1:8">
      <c r="A13" s="436" t="s">
        <v>151</v>
      </c>
      <c r="B13" s="311">
        <f t="shared" si="4"/>
        <v>0.35159252252522538</v>
      </c>
      <c r="C13" s="311">
        <f t="shared" si="5"/>
        <v>0.34159252252522543</v>
      </c>
      <c r="D13" s="437">
        <v>0.3115925225252254</v>
      </c>
      <c r="E13" s="437">
        <f t="shared" si="6"/>
        <v>0.29159252252522538</v>
      </c>
      <c r="F13" s="438">
        <f t="shared" si="7"/>
        <v>0.26159252252522541</v>
      </c>
    </row>
    <row r="14" spans="1:8">
      <c r="A14" s="436" t="s">
        <v>146</v>
      </c>
      <c r="B14" s="311">
        <f t="shared" si="4"/>
        <v>0.35159252252522538</v>
      </c>
      <c r="C14" s="311">
        <f t="shared" si="5"/>
        <v>0.34159252252522543</v>
      </c>
      <c r="D14" s="437">
        <v>0.3115925225252254</v>
      </c>
      <c r="E14" s="437">
        <f t="shared" si="6"/>
        <v>0.29159252252522538</v>
      </c>
      <c r="F14" s="438">
        <f t="shared" si="7"/>
        <v>0.26159252252522541</v>
      </c>
    </row>
    <row r="15" spans="1:8">
      <c r="A15" s="436" t="s">
        <v>145</v>
      </c>
      <c r="B15" s="311">
        <f t="shared" si="4"/>
        <v>0.38465674183571408</v>
      </c>
      <c r="C15" s="311">
        <f t="shared" si="5"/>
        <v>0.37465674183571407</v>
      </c>
      <c r="D15" s="437">
        <v>0.3446567418357141</v>
      </c>
      <c r="E15" s="437">
        <f t="shared" si="6"/>
        <v>0.32465674183571408</v>
      </c>
      <c r="F15" s="438">
        <f t="shared" si="7"/>
        <v>0.29465674183571411</v>
      </c>
    </row>
    <row r="16" spans="1:8">
      <c r="A16" s="436" t="s">
        <v>147</v>
      </c>
      <c r="B16" s="311">
        <f t="shared" si="4"/>
        <v>0.38465674183571408</v>
      </c>
      <c r="C16" s="311">
        <f t="shared" si="5"/>
        <v>0.37465674183571407</v>
      </c>
      <c r="D16" s="437">
        <v>0.3446567418357141</v>
      </c>
      <c r="E16" s="437">
        <f t="shared" si="6"/>
        <v>0.32465674183571408</v>
      </c>
      <c r="F16" s="438">
        <f t="shared" si="7"/>
        <v>0.29465674183571411</v>
      </c>
    </row>
    <row r="17" spans="1:10">
      <c r="A17" s="436" t="s">
        <v>148</v>
      </c>
      <c r="B17" s="311">
        <f t="shared" si="4"/>
        <v>0.38465674183571408</v>
      </c>
      <c r="C17" s="311">
        <f t="shared" si="5"/>
        <v>0.37465674183571407</v>
      </c>
      <c r="D17" s="437">
        <v>0.3446567418357141</v>
      </c>
      <c r="E17" s="437">
        <f t="shared" si="6"/>
        <v>0.32465674183571408</v>
      </c>
      <c r="F17" s="438">
        <f t="shared" si="7"/>
        <v>0.29465674183571411</v>
      </c>
    </row>
    <row r="18" spans="1:10">
      <c r="A18" s="436" t="s">
        <v>156</v>
      </c>
      <c r="B18" s="311">
        <f t="shared" si="4"/>
        <v>0.38465674183571408</v>
      </c>
      <c r="C18" s="311">
        <f t="shared" si="5"/>
        <v>0.37465674183571407</v>
      </c>
      <c r="D18" s="437">
        <v>0.3446567418357141</v>
      </c>
      <c r="E18" s="437">
        <f t="shared" si="6"/>
        <v>0.32465674183571408</v>
      </c>
      <c r="F18" s="438">
        <f t="shared" si="7"/>
        <v>0.29465674183571411</v>
      </c>
    </row>
    <row r="19" spans="1:10">
      <c r="A19" s="436" t="s">
        <v>150</v>
      </c>
      <c r="B19" s="311">
        <f t="shared" si="4"/>
        <v>0.38465674183571408</v>
      </c>
      <c r="C19" s="311">
        <f t="shared" si="5"/>
        <v>0.37465674183571407</v>
      </c>
      <c r="D19" s="437">
        <v>0.3446567418357141</v>
      </c>
      <c r="E19" s="437">
        <f t="shared" si="6"/>
        <v>0.32465674183571408</v>
      </c>
      <c r="F19" s="438">
        <f t="shared" si="7"/>
        <v>0.29465674183571411</v>
      </c>
    </row>
    <row r="20" spans="1:10">
      <c r="A20" s="436" t="s">
        <v>158</v>
      </c>
      <c r="B20" s="311">
        <f t="shared" si="4"/>
        <v>0.38465674183571408</v>
      </c>
      <c r="C20" s="311">
        <f t="shared" si="5"/>
        <v>0.37465674183571407</v>
      </c>
      <c r="D20" s="437">
        <v>0.3446567418357141</v>
      </c>
      <c r="E20" s="437">
        <f t="shared" si="6"/>
        <v>0.32465674183571408</v>
      </c>
      <c r="F20" s="438">
        <f t="shared" si="7"/>
        <v>0.29465674183571411</v>
      </c>
      <c r="G20" s="311"/>
    </row>
    <row r="21" spans="1:10">
      <c r="A21" s="439" t="s">
        <v>136</v>
      </c>
      <c r="B21" s="440">
        <v>0.40899999999999997</v>
      </c>
      <c r="C21" s="440">
        <v>0.39900000000000002</v>
      </c>
      <c r="D21" s="440">
        <v>0.36899999999999999</v>
      </c>
      <c r="E21" s="440">
        <v>0.34899999999999998</v>
      </c>
      <c r="F21" s="441">
        <v>0.31900000000000001</v>
      </c>
      <c r="G21" s="311"/>
    </row>
    <row r="22" spans="1:10">
      <c r="A22" s="436" t="s">
        <v>141</v>
      </c>
      <c r="B22" s="311">
        <f t="shared" ref="B22:B28" si="8">D22+0.04</f>
        <v>0.32609529352839095</v>
      </c>
      <c r="C22" s="311">
        <f t="shared" ref="C22:C28" si="9">D22+0.03</f>
        <v>0.31609529352839094</v>
      </c>
      <c r="D22" s="437">
        <v>0.28609529352839097</v>
      </c>
      <c r="E22" s="437">
        <f t="shared" ref="E22:E28" si="10">D22-0.02</f>
        <v>0.26609529352839095</v>
      </c>
      <c r="F22" s="438">
        <f t="shared" ref="F22:F28" si="11">D22-0.05</f>
        <v>0.23609529352839098</v>
      </c>
      <c r="G22" s="311"/>
    </row>
    <row r="23" spans="1:10">
      <c r="A23" s="436" t="s">
        <v>138</v>
      </c>
      <c r="B23" s="311">
        <f t="shared" si="8"/>
        <v>0.34933534435848984</v>
      </c>
      <c r="C23" s="311">
        <f t="shared" si="9"/>
        <v>0.33933534435848989</v>
      </c>
      <c r="D23" s="437">
        <v>0.30933534435848986</v>
      </c>
      <c r="E23" s="437">
        <f t="shared" si="10"/>
        <v>0.28933534435848984</v>
      </c>
      <c r="F23" s="438">
        <f t="shared" si="11"/>
        <v>0.25933534435848987</v>
      </c>
      <c r="G23" s="311"/>
    </row>
    <row r="24" spans="1:10">
      <c r="A24" s="436" t="s">
        <v>140</v>
      </c>
      <c r="B24" s="311">
        <f t="shared" si="8"/>
        <v>0.35753692325670938</v>
      </c>
      <c r="C24" s="311">
        <f t="shared" si="9"/>
        <v>0.34753692325670937</v>
      </c>
      <c r="D24" s="437">
        <v>0.3175369232567094</v>
      </c>
      <c r="E24" s="437">
        <f t="shared" si="10"/>
        <v>0.29753692325670938</v>
      </c>
      <c r="F24" s="438">
        <f t="shared" si="11"/>
        <v>0.26753692325670941</v>
      </c>
      <c r="G24" s="311"/>
    </row>
    <row r="25" spans="1:10">
      <c r="A25" s="436" t="s">
        <v>142</v>
      </c>
      <c r="B25" s="311">
        <f t="shared" si="8"/>
        <v>0.34776225672769057</v>
      </c>
      <c r="C25" s="311">
        <f t="shared" si="9"/>
        <v>0.33776225672769056</v>
      </c>
      <c r="D25" s="437">
        <v>0.30776225672769059</v>
      </c>
      <c r="E25" s="437">
        <f t="shared" si="10"/>
        <v>0.28776225672769057</v>
      </c>
      <c r="F25" s="438">
        <f t="shared" si="11"/>
        <v>0.2577622567276906</v>
      </c>
      <c r="G25" s="311"/>
    </row>
    <row r="26" spans="1:10">
      <c r="A26" s="436" t="s">
        <v>143</v>
      </c>
      <c r="B26" s="311">
        <f t="shared" si="8"/>
        <v>0.39259416017947851</v>
      </c>
      <c r="C26" s="311">
        <f t="shared" si="9"/>
        <v>0.38259416017947856</v>
      </c>
      <c r="D26" s="437">
        <v>0.35259416017947853</v>
      </c>
      <c r="E26" s="437">
        <f t="shared" si="10"/>
        <v>0.33259416017947852</v>
      </c>
      <c r="F26" s="438">
        <f t="shared" si="11"/>
        <v>0.30259416017947854</v>
      </c>
      <c r="G26" s="311"/>
    </row>
    <row r="27" spans="1:10">
      <c r="A27" s="436" t="s">
        <v>139</v>
      </c>
      <c r="B27" s="311">
        <f t="shared" si="8"/>
        <v>0.3898468830684001</v>
      </c>
      <c r="C27" s="311">
        <f t="shared" si="9"/>
        <v>0.37984688306840009</v>
      </c>
      <c r="D27" s="437">
        <v>0.34984688306840012</v>
      </c>
      <c r="E27" s="437">
        <f t="shared" si="10"/>
        <v>0.3298468830684001</v>
      </c>
      <c r="F27" s="438">
        <f t="shared" si="11"/>
        <v>0.29984688306840013</v>
      </c>
      <c r="G27" s="311"/>
    </row>
    <row r="28" spans="1:10" ht="17" thickBot="1">
      <c r="A28" s="442" t="s">
        <v>137</v>
      </c>
      <c r="B28" s="443">
        <f t="shared" si="8"/>
        <v>0.36500254292194906</v>
      </c>
      <c r="C28" s="443">
        <f t="shared" si="9"/>
        <v>0.3550025429219491</v>
      </c>
      <c r="D28" s="444">
        <v>0.32500254292194908</v>
      </c>
      <c r="E28" s="444">
        <f t="shared" si="10"/>
        <v>0.30500254292194906</v>
      </c>
      <c r="F28" s="445">
        <f t="shared" si="11"/>
        <v>0.27500254292194909</v>
      </c>
      <c r="G28" s="311"/>
    </row>
    <row r="29" spans="1:10">
      <c r="A29" s="253"/>
      <c r="C29" s="19"/>
      <c r="E29" s="253"/>
      <c r="F29" s="311"/>
      <c r="G29" s="311"/>
      <c r="H29" s="312"/>
      <c r="I29" s="312"/>
      <c r="J29" s="311"/>
    </row>
    <row r="30" spans="1:10">
      <c r="A30" s="253"/>
      <c r="C30" s="19"/>
      <c r="E30" s="253"/>
      <c r="F30" s="311"/>
      <c r="G30" s="311"/>
      <c r="H30" s="312"/>
      <c r="I30" s="312"/>
      <c r="J30" s="311"/>
    </row>
    <row r="31" spans="1:10">
      <c r="A31" s="253"/>
      <c r="C31" s="19"/>
      <c r="E31" s="253"/>
      <c r="F31" s="311"/>
      <c r="G31" s="311"/>
      <c r="H31" s="312"/>
      <c r="I31" s="312"/>
      <c r="J31" s="311"/>
    </row>
    <row r="32" spans="1:10">
      <c r="A32" s="253"/>
      <c r="C32" s="19"/>
      <c r="E32" s="253"/>
      <c r="F32" s="311"/>
      <c r="G32" s="311"/>
      <c r="H32" s="312"/>
      <c r="I32" s="312"/>
      <c r="J32" s="311"/>
    </row>
    <row r="33" spans="1:15">
      <c r="A33" s="253"/>
      <c r="C33" s="19"/>
      <c r="J33" s="311"/>
    </row>
    <row r="34" spans="1:15">
      <c r="A34" s="253"/>
    </row>
    <row r="36" spans="1:15">
      <c r="K36" s="228"/>
      <c r="L36" s="228"/>
      <c r="M36" s="212"/>
      <c r="N36" s="228"/>
      <c r="O36" s="228"/>
    </row>
    <row r="37" spans="1:15">
      <c r="K37" s="228"/>
      <c r="L37" s="228"/>
      <c r="M37" s="212"/>
      <c r="N37" s="228"/>
      <c r="O37" s="228"/>
    </row>
    <row r="38" spans="1:15">
      <c r="K38" s="228"/>
      <c r="L38" s="228"/>
      <c r="M38" s="212"/>
      <c r="N38" s="228"/>
      <c r="O38" s="228"/>
    </row>
    <row r="39" spans="1:15">
      <c r="K39" s="228"/>
      <c r="L39" s="228"/>
      <c r="M39" s="212"/>
      <c r="N39" s="228"/>
      <c r="O39" s="228"/>
    </row>
    <row r="40" spans="1:15">
      <c r="K40" s="228"/>
      <c r="L40" s="228"/>
      <c r="M40" s="212"/>
      <c r="N40" s="228"/>
      <c r="O40" s="228"/>
    </row>
    <row r="41" spans="1:15">
      <c r="K41" s="228"/>
      <c r="L41" s="228"/>
      <c r="M41" s="212"/>
      <c r="N41" s="228"/>
      <c r="O41" s="228"/>
    </row>
    <row r="42" spans="1:15">
      <c r="K42" s="228"/>
      <c r="L42" s="228"/>
      <c r="M42" s="212"/>
      <c r="N42" s="228"/>
      <c r="O42" s="228"/>
    </row>
    <row r="43" spans="1:15">
      <c r="K43" s="228"/>
      <c r="L43" s="228"/>
      <c r="M43" s="212"/>
      <c r="N43" s="228"/>
      <c r="O43" s="228"/>
    </row>
    <row r="44" spans="1:15">
      <c r="K44" s="228"/>
      <c r="L44" s="228"/>
      <c r="M44" s="212"/>
      <c r="N44" s="228"/>
      <c r="O44" s="228"/>
    </row>
    <row r="45" spans="1:15">
      <c r="K45" s="228"/>
      <c r="L45" s="228"/>
      <c r="M45" s="212"/>
      <c r="N45" s="228"/>
      <c r="O45" s="228"/>
    </row>
    <row r="46" spans="1:15">
      <c r="K46" s="228"/>
      <c r="L46" s="228"/>
      <c r="M46" s="212"/>
      <c r="N46" s="228"/>
      <c r="O46" s="228"/>
    </row>
    <row r="47" spans="1:15">
      <c r="K47" s="228"/>
      <c r="L47" s="228"/>
      <c r="M47" s="212"/>
      <c r="N47" s="228"/>
      <c r="O47" s="228"/>
    </row>
    <row r="48" spans="1:15">
      <c r="K48" s="228"/>
      <c r="L48" s="228"/>
      <c r="M48" s="212"/>
      <c r="N48" s="228"/>
      <c r="O48" s="228"/>
    </row>
    <row r="49" spans="3:15">
      <c r="K49" s="228"/>
      <c r="L49" s="228"/>
      <c r="M49" s="212"/>
      <c r="N49" s="228"/>
      <c r="O49" s="228"/>
    </row>
    <row r="60" spans="3:15">
      <c r="C60" s="258"/>
      <c r="E60" s="228"/>
      <c r="F60" s="228"/>
      <c r="G60" s="212"/>
      <c r="H60" s="228"/>
      <c r="I60" s="228"/>
    </row>
    <row r="62" spans="3:15">
      <c r="C62" s="253"/>
    </row>
    <row r="87" spans="2:14">
      <c r="B87" s="185"/>
      <c r="C87" s="185"/>
      <c r="D87" s="185"/>
      <c r="E87" s="185"/>
      <c r="F87" s="185"/>
      <c r="I87" s="258"/>
    </row>
    <row r="88" spans="2:14">
      <c r="B88" s="258"/>
      <c r="C88" s="258"/>
      <c r="D88" s="258"/>
      <c r="E88" s="258"/>
      <c r="F88" s="258"/>
      <c r="G88" s="9"/>
      <c r="H88" s="9"/>
    </row>
    <row r="89" spans="2:14">
      <c r="B89" s="258"/>
      <c r="C89" s="258"/>
      <c r="D89" s="258"/>
      <c r="E89" s="258"/>
      <c r="F89" s="258"/>
      <c r="G89" s="9"/>
      <c r="H89" s="9"/>
      <c r="J89" s="291"/>
    </row>
    <row r="90" spans="2:14">
      <c r="B90" s="258"/>
      <c r="C90" s="258"/>
      <c r="D90" s="258"/>
      <c r="E90" s="258"/>
      <c r="F90" s="258"/>
      <c r="G90" s="9"/>
      <c r="H90" s="9"/>
    </row>
    <row r="91" spans="2:14">
      <c r="B91" s="258"/>
      <c r="C91" s="258"/>
      <c r="D91" s="258"/>
      <c r="E91" s="258"/>
      <c r="F91" s="258"/>
      <c r="G91" s="9"/>
      <c r="H91" s="9"/>
    </row>
    <row r="92" spans="2:14">
      <c r="B92" s="258"/>
      <c r="C92" s="258"/>
      <c r="D92" s="258"/>
      <c r="E92" s="258"/>
      <c r="F92" s="258"/>
      <c r="G92" s="9"/>
      <c r="H92" s="9"/>
    </row>
    <row r="93" spans="2:14">
      <c r="B93" s="258"/>
      <c r="C93" s="258"/>
      <c r="D93" s="258"/>
      <c r="E93" s="258"/>
      <c r="F93" s="258"/>
      <c r="G93" s="9"/>
      <c r="H93" s="9"/>
    </row>
    <row r="94" spans="2:14">
      <c r="B94" s="258"/>
      <c r="C94" s="258"/>
      <c r="D94" s="258"/>
      <c r="E94" s="258"/>
      <c r="F94" s="258"/>
      <c r="G94" s="9"/>
      <c r="H94" s="9"/>
    </row>
    <row r="95" spans="2:14">
      <c r="B95" s="258"/>
      <c r="C95" s="258"/>
      <c r="D95" s="258"/>
      <c r="E95" s="258"/>
      <c r="F95" s="258"/>
      <c r="G95" s="9"/>
      <c r="H95" s="9"/>
    </row>
    <row r="96" spans="2:14">
      <c r="B96" s="258"/>
      <c r="C96" s="258"/>
      <c r="D96" s="258"/>
      <c r="E96" s="258"/>
      <c r="F96" s="258"/>
      <c r="G96" s="9"/>
      <c r="H96" s="9"/>
      <c r="J96" s="185"/>
      <c r="K96" s="185"/>
      <c r="L96" s="185"/>
      <c r="M96" s="185"/>
      <c r="N96" s="185"/>
    </row>
    <row r="97" spans="2:22">
      <c r="B97" s="258"/>
      <c r="C97" s="258"/>
      <c r="D97" s="258"/>
      <c r="E97" s="258"/>
      <c r="F97" s="258"/>
      <c r="G97" s="9"/>
      <c r="H97" s="9"/>
    </row>
    <row r="98" spans="2:22">
      <c r="B98" s="258"/>
      <c r="C98" s="258"/>
      <c r="D98" s="258"/>
      <c r="E98" s="258"/>
      <c r="F98" s="258"/>
      <c r="G98" s="9"/>
      <c r="H98" s="9"/>
    </row>
    <row r="99" spans="2:22">
      <c r="B99" s="258"/>
      <c r="C99" s="258"/>
      <c r="D99" s="258"/>
      <c r="E99" s="258"/>
      <c r="F99" s="258"/>
      <c r="G99" s="9"/>
      <c r="H99" s="9"/>
    </row>
    <row r="100" spans="2:22">
      <c r="B100" s="258"/>
      <c r="C100" s="258"/>
      <c r="D100" s="258"/>
      <c r="E100" s="258"/>
      <c r="F100" s="258"/>
      <c r="G100" s="9"/>
      <c r="H100" s="9"/>
    </row>
    <row r="101" spans="2:22">
      <c r="B101" s="145"/>
      <c r="C101" s="145"/>
      <c r="D101" s="145"/>
      <c r="E101" s="145"/>
    </row>
    <row r="102" spans="2:22">
      <c r="J102" s="258"/>
      <c r="K102" s="258"/>
      <c r="L102" s="258"/>
      <c r="M102" s="258"/>
      <c r="N102" s="258"/>
      <c r="O102" s="258"/>
      <c r="P102" s="258"/>
      <c r="Q102" s="258"/>
      <c r="R102" s="258"/>
      <c r="S102" s="258"/>
      <c r="T102" s="258"/>
      <c r="U102" s="258"/>
      <c r="V102" s="258"/>
    </row>
    <row r="103" spans="2:22">
      <c r="B103" s="185"/>
      <c r="C103" s="185"/>
      <c r="D103" s="185"/>
      <c r="E103" s="185"/>
      <c r="F103" s="185"/>
    </row>
    <row r="104" spans="2:22">
      <c r="B104" s="258"/>
      <c r="C104" s="258"/>
      <c r="D104" s="258"/>
      <c r="E104" s="258"/>
      <c r="F104" s="258"/>
    </row>
    <row r="105" spans="2:22">
      <c r="B105" s="258"/>
      <c r="C105" s="258"/>
      <c r="D105" s="258"/>
      <c r="E105" s="258"/>
      <c r="F105" s="258"/>
    </row>
    <row r="106" spans="2:22">
      <c r="B106" s="258"/>
      <c r="C106" s="258"/>
      <c r="D106" s="258"/>
      <c r="E106" s="258"/>
      <c r="F106" s="258"/>
      <c r="J106" s="258"/>
      <c r="K106" s="258"/>
      <c r="L106" s="258"/>
      <c r="M106" s="258"/>
      <c r="N106" s="258"/>
      <c r="O106" s="258"/>
      <c r="P106" s="258"/>
      <c r="Q106" s="258"/>
      <c r="R106" s="258"/>
      <c r="S106" s="258"/>
      <c r="T106" s="258"/>
      <c r="U106" s="258"/>
      <c r="V106" s="258"/>
    </row>
    <row r="107" spans="2:22">
      <c r="B107" s="258"/>
      <c r="C107" s="258"/>
      <c r="D107" s="258"/>
      <c r="E107" s="258"/>
      <c r="F107" s="258"/>
    </row>
    <row r="108" spans="2:22">
      <c r="B108" s="258"/>
      <c r="C108" s="258"/>
      <c r="D108" s="258"/>
      <c r="E108" s="258"/>
      <c r="F108" s="258"/>
    </row>
    <row r="109" spans="2:22">
      <c r="B109" s="258"/>
      <c r="C109" s="258"/>
      <c r="D109" s="258"/>
      <c r="E109" s="258"/>
      <c r="F109" s="258"/>
    </row>
    <row r="110" spans="2:22">
      <c r="B110" s="258"/>
      <c r="C110" s="258"/>
      <c r="D110" s="258"/>
      <c r="E110" s="258"/>
      <c r="F110" s="258"/>
    </row>
    <row r="111" spans="2:22">
      <c r="B111" s="258"/>
      <c r="C111" s="258"/>
      <c r="D111" s="258"/>
      <c r="E111" s="258"/>
      <c r="F111" s="258"/>
    </row>
    <row r="112" spans="2:22">
      <c r="B112" s="258"/>
      <c r="C112" s="258"/>
      <c r="D112" s="258"/>
      <c r="E112" s="258"/>
      <c r="F112" s="258"/>
      <c r="J112" s="19"/>
      <c r="K112" s="259"/>
    </row>
    <row r="113" spans="2:55">
      <c r="B113" s="258"/>
      <c r="C113" s="258"/>
      <c r="D113" s="258"/>
      <c r="E113" s="258"/>
      <c r="F113" s="258"/>
      <c r="J113" s="19"/>
    </row>
    <row r="114" spans="2:55">
      <c r="B114" s="258"/>
      <c r="C114" s="258"/>
      <c r="D114" s="258"/>
      <c r="E114" s="258"/>
      <c r="F114" s="258"/>
      <c r="J114" s="19"/>
    </row>
    <row r="115" spans="2:55">
      <c r="B115" s="258"/>
      <c r="C115" s="258"/>
      <c r="D115" s="258"/>
      <c r="E115" s="258"/>
      <c r="F115" s="258"/>
      <c r="J115" s="19"/>
    </row>
    <row r="116" spans="2:55">
      <c r="B116" s="258"/>
      <c r="C116" s="258"/>
      <c r="D116" s="258"/>
      <c r="E116" s="258"/>
      <c r="F116" s="258"/>
      <c r="J116" s="19"/>
      <c r="M116" s="19"/>
    </row>
    <row r="117" spans="2:55">
      <c r="B117" s="145"/>
      <c r="C117" s="145"/>
      <c r="D117" s="145"/>
      <c r="E117" s="145"/>
      <c r="F117" s="145"/>
      <c r="J117" s="19"/>
      <c r="M117" s="19"/>
    </row>
    <row r="125" spans="2:55" ht="27">
      <c r="B125" s="285"/>
    </row>
    <row r="127" spans="2:55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</row>
    <row r="128" spans="2:55">
      <c r="B128" s="292"/>
      <c r="C128" s="292"/>
      <c r="D128" s="292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  <c r="AA128" s="292"/>
      <c r="AB128" s="292"/>
      <c r="AC128" s="292"/>
      <c r="AD128" s="292"/>
      <c r="AE128" s="292"/>
      <c r="AF128" s="292"/>
      <c r="AG128" s="292"/>
      <c r="AH128" s="292"/>
      <c r="AI128" s="292"/>
      <c r="AJ128" s="292"/>
      <c r="AK128" s="292"/>
      <c r="AL128" s="293"/>
      <c r="AM128" s="293"/>
      <c r="AN128" s="293"/>
      <c r="AO128" s="293"/>
      <c r="AP128" s="293"/>
      <c r="AQ128" s="293"/>
      <c r="AR128" s="293"/>
      <c r="AS128" s="293"/>
      <c r="AT128" s="293"/>
      <c r="AU128" s="293"/>
      <c r="AV128" s="293"/>
      <c r="AW128" s="293"/>
      <c r="AX128" s="293"/>
      <c r="AY128" s="293"/>
      <c r="AZ128" s="293"/>
      <c r="BA128" s="293"/>
      <c r="BB128" s="293"/>
      <c r="BC128" s="293"/>
    </row>
    <row r="129" spans="1:55"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45"/>
      <c r="AR129" s="145"/>
      <c r="AS129" s="145"/>
      <c r="AT129" s="145"/>
      <c r="AU129" s="145"/>
      <c r="AV129" s="145"/>
      <c r="AW129" s="145"/>
      <c r="AX129" s="145"/>
      <c r="AY129" s="145"/>
      <c r="AZ129" s="145"/>
      <c r="BA129" s="145"/>
      <c r="BB129" s="145"/>
      <c r="BC129" s="145"/>
    </row>
    <row r="130" spans="1:55">
      <c r="B130" s="185"/>
      <c r="C130" s="185"/>
      <c r="D130" s="185"/>
      <c r="E130" s="185"/>
      <c r="F130" s="185"/>
      <c r="G130" s="185"/>
      <c r="H130" s="185"/>
      <c r="I130" s="185"/>
      <c r="J130" s="185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85"/>
      <c r="W130" s="185"/>
      <c r="X130" s="185"/>
      <c r="Y130" s="185"/>
      <c r="Z130" s="185"/>
      <c r="AA130" s="185"/>
      <c r="AB130" s="185"/>
      <c r="AC130" s="185"/>
      <c r="AD130" s="185"/>
      <c r="AE130" s="185"/>
      <c r="AF130" s="185"/>
      <c r="AG130" s="185"/>
      <c r="AH130" s="185"/>
      <c r="AI130" s="185"/>
      <c r="AJ130" s="185"/>
      <c r="AK130" s="185"/>
      <c r="AL130" s="185"/>
      <c r="AM130" s="185"/>
      <c r="AN130" s="185"/>
      <c r="AO130" s="185"/>
      <c r="AP130" s="185"/>
      <c r="AQ130" s="185"/>
      <c r="AR130" s="185"/>
      <c r="AS130" s="185"/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5"/>
    </row>
    <row r="132" spans="1:55">
      <c r="A132" s="185"/>
      <c r="B132" s="258"/>
      <c r="C132" s="258"/>
      <c r="D132" s="258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258"/>
      <c r="P132" s="258"/>
      <c r="Q132" s="258"/>
      <c r="R132" s="258"/>
      <c r="S132" s="258"/>
      <c r="T132" s="258"/>
      <c r="U132" s="258"/>
      <c r="V132" s="258"/>
      <c r="W132" s="258"/>
      <c r="X132" s="258"/>
      <c r="Y132" s="258"/>
      <c r="Z132" s="258"/>
      <c r="AA132" s="258"/>
      <c r="AB132" s="258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258"/>
      <c r="AQ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8"/>
    </row>
    <row r="133" spans="1:55">
      <c r="A133" s="185"/>
      <c r="B133" s="258"/>
      <c r="C133" s="258"/>
      <c r="D133" s="258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258"/>
      <c r="P133" s="258"/>
      <c r="Q133" s="258"/>
      <c r="R133" s="258"/>
      <c r="S133" s="258"/>
      <c r="T133" s="258"/>
      <c r="U133" s="258"/>
      <c r="V133" s="258"/>
      <c r="W133" s="258"/>
      <c r="X133" s="258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8"/>
    </row>
    <row r="134" spans="1:55">
      <c r="A134" s="185"/>
      <c r="B134" s="258"/>
      <c r="C134" s="258"/>
      <c r="D134" s="258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258"/>
      <c r="P134" s="258"/>
      <c r="Q134" s="258"/>
      <c r="R134" s="258"/>
      <c r="S134" s="258"/>
      <c r="T134" s="258"/>
      <c r="U134" s="258"/>
      <c r="V134" s="258"/>
      <c r="W134" s="258"/>
      <c r="X134" s="258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8"/>
    </row>
    <row r="135" spans="1:55">
      <c r="A135" s="185"/>
      <c r="B135" s="258"/>
      <c r="C135" s="258"/>
      <c r="D135" s="258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258"/>
      <c r="P135" s="258"/>
      <c r="Q135" s="258"/>
      <c r="R135" s="258"/>
      <c r="S135" s="258"/>
      <c r="T135" s="258"/>
      <c r="U135" s="258"/>
      <c r="V135" s="258"/>
      <c r="W135" s="258"/>
      <c r="X135" s="258"/>
      <c r="Y135" s="258"/>
      <c r="Z135" s="258"/>
      <c r="AA135" s="258"/>
      <c r="AB135" s="258"/>
      <c r="AC135" s="258"/>
      <c r="AD135" s="258"/>
      <c r="AE135" s="258"/>
      <c r="AF135" s="258"/>
      <c r="AG135" s="258"/>
      <c r="AH135" s="258"/>
      <c r="AI135" s="258"/>
      <c r="AJ135" s="258"/>
      <c r="AK135" s="258"/>
      <c r="AL135" s="258"/>
      <c r="AM135" s="258"/>
      <c r="AN135" s="258"/>
      <c r="AO135" s="258"/>
      <c r="AP135" s="258"/>
      <c r="AQ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8"/>
    </row>
    <row r="136" spans="1:55"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  <c r="AD136" s="145"/>
      <c r="AE136" s="145"/>
      <c r="AF136" s="145"/>
      <c r="AG136" s="145"/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45"/>
      <c r="AR136" s="145"/>
      <c r="AS136" s="145"/>
      <c r="AT136" s="145"/>
      <c r="AU136" s="145"/>
      <c r="AV136" s="145"/>
      <c r="AW136" s="145"/>
      <c r="AX136" s="145"/>
      <c r="AY136" s="145"/>
      <c r="AZ136" s="145"/>
      <c r="BA136" s="145"/>
      <c r="BB136" s="145"/>
      <c r="BC136" s="145"/>
    </row>
    <row r="137" spans="1:55">
      <c r="B137" s="145"/>
      <c r="C137" s="145"/>
      <c r="D137" s="145"/>
      <c r="E137" s="145"/>
      <c r="F137" s="145"/>
      <c r="G137" s="145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  <c r="AD137" s="145"/>
      <c r="AE137" s="145"/>
      <c r="AF137" s="145"/>
      <c r="AG137" s="145"/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45"/>
      <c r="AR137" s="145"/>
      <c r="AS137" s="145"/>
      <c r="AT137" s="145"/>
      <c r="AU137" s="145"/>
      <c r="AV137" s="145"/>
      <c r="AW137" s="145"/>
      <c r="AX137" s="145"/>
      <c r="AY137" s="145"/>
      <c r="AZ137" s="145"/>
      <c r="BA137" s="145"/>
      <c r="BB137" s="145"/>
      <c r="BC137" s="145"/>
    </row>
    <row r="138" spans="1:55">
      <c r="B138" s="145"/>
      <c r="C138" s="145"/>
      <c r="D138" s="145"/>
      <c r="E138" s="145"/>
      <c r="F138" s="145"/>
      <c r="G138" s="145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45"/>
      <c r="AR138" s="145"/>
      <c r="AS138" s="145"/>
      <c r="AT138" s="145"/>
      <c r="AU138" s="145"/>
      <c r="AV138" s="145"/>
      <c r="AW138" s="145"/>
      <c r="AX138" s="145"/>
      <c r="AY138" s="145"/>
      <c r="AZ138" s="145"/>
      <c r="BA138" s="145"/>
      <c r="BB138" s="145"/>
      <c r="BC138" s="145"/>
    </row>
    <row r="139" spans="1:55"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  <c r="AD139" s="145"/>
      <c r="AE139" s="145"/>
      <c r="AF139" s="145"/>
      <c r="AG139" s="145"/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45"/>
      <c r="AR139" s="145"/>
      <c r="AS139" s="145"/>
      <c r="AT139" s="145"/>
      <c r="AU139" s="145"/>
      <c r="AV139" s="145"/>
      <c r="AW139" s="145"/>
      <c r="AX139" s="145"/>
      <c r="AY139" s="145"/>
      <c r="AZ139" s="145"/>
      <c r="BA139" s="145"/>
      <c r="BB139" s="145"/>
      <c r="BC139" s="145"/>
    </row>
    <row r="140" spans="1:55">
      <c r="B140" s="258"/>
      <c r="C140" s="258"/>
      <c r="D140" s="258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258"/>
      <c r="P140" s="258"/>
      <c r="Q140" s="258"/>
      <c r="R140" s="258"/>
      <c r="S140" s="258"/>
      <c r="T140" s="258"/>
      <c r="U140" s="258"/>
      <c r="V140" s="258"/>
      <c r="W140" s="258"/>
      <c r="X140" s="258"/>
      <c r="Y140" s="258"/>
      <c r="Z140" s="258"/>
      <c r="AA140" s="258"/>
      <c r="AB140" s="258"/>
      <c r="AC140" s="258"/>
      <c r="AD140" s="258"/>
      <c r="AE140" s="258"/>
      <c r="AF140" s="258"/>
      <c r="AG140" s="258"/>
      <c r="AH140" s="258"/>
      <c r="AI140" s="258"/>
      <c r="AJ140" s="258"/>
      <c r="AK140" s="258"/>
      <c r="AL140" s="258"/>
      <c r="AM140" s="258"/>
      <c r="AN140" s="258"/>
      <c r="AO140" s="258"/>
      <c r="AP140" s="258"/>
      <c r="AQ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8"/>
    </row>
    <row r="141" spans="1:55">
      <c r="B141" s="258"/>
      <c r="C141" s="258"/>
      <c r="D141" s="258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258"/>
      <c r="P141" s="258"/>
      <c r="Q141" s="258"/>
      <c r="R141" s="258"/>
      <c r="S141" s="258"/>
      <c r="T141" s="258"/>
      <c r="U141" s="258"/>
      <c r="V141" s="258"/>
      <c r="W141" s="258"/>
      <c r="X141" s="258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L141" s="258"/>
      <c r="AM141" s="258"/>
      <c r="AN141" s="258"/>
      <c r="AO141" s="258"/>
      <c r="AP141" s="258"/>
      <c r="AQ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8"/>
    </row>
    <row r="142" spans="1:55">
      <c r="B142" s="258"/>
      <c r="C142" s="258"/>
      <c r="D142" s="258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258"/>
      <c r="P142" s="258"/>
      <c r="Q142" s="258"/>
      <c r="R142" s="258"/>
      <c r="S142" s="258"/>
      <c r="T142" s="258"/>
      <c r="U142" s="258"/>
      <c r="V142" s="258"/>
      <c r="W142" s="258"/>
      <c r="X142" s="258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L142" s="258"/>
      <c r="AM142" s="258"/>
      <c r="AN142" s="258"/>
      <c r="AO142" s="258"/>
      <c r="AP142" s="258"/>
      <c r="AQ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8"/>
    </row>
    <row r="143" spans="1:55">
      <c r="B143" s="258"/>
      <c r="C143" s="258"/>
      <c r="D143" s="258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258"/>
      <c r="P143" s="258"/>
      <c r="Q143" s="258"/>
      <c r="R143" s="258"/>
      <c r="S143" s="258"/>
      <c r="T143" s="258"/>
      <c r="U143" s="258"/>
      <c r="V143" s="258"/>
      <c r="W143" s="258"/>
      <c r="X143" s="258"/>
      <c r="Y143" s="258"/>
      <c r="Z143" s="258"/>
      <c r="AA143" s="258"/>
      <c r="AB143" s="258"/>
      <c r="AC143" s="258"/>
      <c r="AD143" s="258"/>
      <c r="AE143" s="258"/>
      <c r="AF143" s="258"/>
      <c r="AG143" s="258"/>
      <c r="AH143" s="258"/>
      <c r="AI143" s="258"/>
      <c r="AJ143" s="258"/>
      <c r="AK143" s="258"/>
      <c r="AL143" s="258"/>
      <c r="AM143" s="258"/>
      <c r="AN143" s="258"/>
      <c r="AO143" s="258"/>
      <c r="AP143" s="258"/>
      <c r="AQ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8"/>
    </row>
    <row r="153" spans="1:60" ht="27">
      <c r="B153" s="548"/>
      <c r="C153" s="548"/>
      <c r="D153" s="548"/>
    </row>
    <row r="154" spans="1:60">
      <c r="B154" s="294"/>
      <c r="C154" s="294"/>
      <c r="D154" s="294"/>
      <c r="E154" s="294"/>
      <c r="G154" s="294"/>
      <c r="H154" s="294"/>
      <c r="I154" s="294"/>
      <c r="J154" s="9"/>
    </row>
    <row r="155" spans="1:60">
      <c r="A155" s="294"/>
      <c r="J155" s="258"/>
    </row>
    <row r="156" spans="1:60">
      <c r="A156" s="294"/>
      <c r="J156" s="258"/>
    </row>
    <row r="157" spans="1:60">
      <c r="A157" s="294"/>
      <c r="J157" s="258"/>
    </row>
    <row r="158" spans="1:60">
      <c r="A158" s="294"/>
      <c r="J158" s="258"/>
      <c r="BH158" s="291"/>
    </row>
    <row r="159" spans="1:60">
      <c r="A159" s="294"/>
      <c r="BH159" s="291"/>
    </row>
    <row r="160" spans="1:60">
      <c r="A160" s="294"/>
      <c r="BH160" s="291"/>
    </row>
    <row r="161" spans="1:67">
      <c r="A161" s="294"/>
      <c r="BH161" s="291"/>
    </row>
    <row r="162" spans="1:67">
      <c r="A162" s="294"/>
      <c r="BH162" s="291"/>
    </row>
    <row r="163" spans="1:67">
      <c r="A163" s="295"/>
      <c r="B163" s="257"/>
      <c r="C163" s="257"/>
      <c r="D163" s="257"/>
      <c r="E163" s="257"/>
      <c r="BH163" s="291"/>
    </row>
    <row r="164" spans="1:67">
      <c r="B164" s="258"/>
      <c r="C164" s="258"/>
      <c r="D164" s="258"/>
      <c r="E164" s="258"/>
      <c r="BH164" s="291"/>
    </row>
    <row r="165" spans="1:67">
      <c r="BH165" s="291"/>
    </row>
    <row r="166" spans="1:67">
      <c r="BH166" s="291"/>
    </row>
    <row r="167" spans="1:67">
      <c r="BH167" s="291"/>
    </row>
    <row r="168" spans="1:67">
      <c r="BH168" s="291"/>
    </row>
    <row r="169" spans="1:67">
      <c r="BH169" s="291"/>
      <c r="BI169" s="185"/>
      <c r="BJ169" s="185"/>
      <c r="BK169" s="185"/>
      <c r="BL169" s="145"/>
    </row>
    <row r="170" spans="1:67">
      <c r="BH170" s="291"/>
      <c r="BI170" s="296"/>
      <c r="BJ170" s="297"/>
      <c r="BK170" s="297"/>
      <c r="BL170" s="297"/>
      <c r="BM170" s="297"/>
      <c r="BN170" s="297"/>
    </row>
    <row r="171" spans="1:67" ht="27">
      <c r="A171" s="298"/>
      <c r="B171" s="285"/>
      <c r="C171" s="285"/>
      <c r="BI171" s="297"/>
      <c r="BJ171" s="297"/>
      <c r="BK171" s="297"/>
      <c r="BL171" s="297"/>
      <c r="BM171" s="297"/>
      <c r="BN171" s="297"/>
      <c r="BO171" s="185"/>
    </row>
    <row r="172" spans="1:67">
      <c r="BI172" s="297"/>
      <c r="BJ172" s="297"/>
      <c r="BK172" s="297"/>
      <c r="BL172" s="297"/>
      <c r="BM172" s="297"/>
      <c r="BN172" s="297"/>
    </row>
    <row r="173" spans="1:67">
      <c r="A173" s="19"/>
      <c r="B173" s="19"/>
      <c r="BI173" s="297"/>
      <c r="BJ173" s="297"/>
      <c r="BK173" s="297"/>
      <c r="BL173" s="297"/>
      <c r="BM173" s="297"/>
      <c r="BN173" s="297"/>
    </row>
    <row r="174" spans="1:67">
      <c r="BI174" s="297"/>
      <c r="BJ174" s="299"/>
      <c r="BK174" s="299"/>
      <c r="BL174" s="299"/>
      <c r="BM174" s="299"/>
      <c r="BN174" s="299"/>
    </row>
    <row r="175" spans="1:67">
      <c r="B175" s="140"/>
      <c r="BI175" s="297"/>
      <c r="BJ175" s="299"/>
      <c r="BK175" s="299"/>
      <c r="BL175" s="299"/>
      <c r="BM175" s="299"/>
      <c r="BN175" s="299"/>
    </row>
    <row r="177" spans="1:113">
      <c r="B177" s="258"/>
      <c r="BH177" s="9"/>
      <c r="BI177" s="300"/>
      <c r="BJ177" s="300"/>
      <c r="BK177" s="300"/>
      <c r="BL177" s="300"/>
      <c r="BM177" s="300"/>
      <c r="BN177" s="300"/>
      <c r="BO177" s="300"/>
      <c r="BP177" s="300"/>
      <c r="BQ177" s="300"/>
      <c r="BR177" s="300"/>
      <c r="BS177" s="300"/>
      <c r="BT177" s="300"/>
      <c r="BU177" s="300"/>
      <c r="BV177" s="300"/>
      <c r="BW177" s="300"/>
      <c r="BX177" s="300"/>
      <c r="BY177" s="300"/>
      <c r="BZ177" s="300"/>
      <c r="CA177" s="300"/>
      <c r="CB177" s="300"/>
      <c r="CC177" s="300"/>
      <c r="CD177" s="300"/>
      <c r="CE177" s="300"/>
      <c r="CF177" s="300"/>
      <c r="CG177" s="300"/>
      <c r="CH177" s="300"/>
      <c r="CI177" s="300"/>
      <c r="CJ177" s="300"/>
      <c r="CK177" s="300"/>
      <c r="CL177" s="300"/>
      <c r="CM177" s="300"/>
      <c r="CN177" s="300"/>
      <c r="CO177" s="300"/>
      <c r="CP177" s="300"/>
      <c r="CQ177" s="300"/>
      <c r="CR177" s="300"/>
      <c r="CS177" s="300"/>
      <c r="CT177" s="300"/>
      <c r="CU177" s="300"/>
      <c r="CV177" s="300"/>
      <c r="CW177" s="300"/>
      <c r="CX177" s="300"/>
      <c r="CY177" s="300"/>
      <c r="CZ177" s="300"/>
      <c r="DA177" s="300"/>
      <c r="DB177" s="300"/>
      <c r="DC177" s="300"/>
      <c r="DD177" s="300"/>
      <c r="DE177" s="300"/>
      <c r="DF177" s="300"/>
      <c r="DG177" s="300"/>
      <c r="DH177" s="300"/>
      <c r="DI177" s="300"/>
    </row>
    <row r="178" spans="1:113">
      <c r="BH178" s="9"/>
      <c r="BI178" s="300"/>
      <c r="BJ178" s="300"/>
      <c r="BK178" s="300"/>
      <c r="BL178" s="300"/>
      <c r="BM178" s="300"/>
      <c r="BN178" s="300"/>
      <c r="BO178" s="300"/>
      <c r="BP178" s="300"/>
      <c r="BQ178" s="300"/>
      <c r="BR178" s="300"/>
      <c r="BS178" s="300"/>
      <c r="BT178" s="300"/>
      <c r="BU178" s="300"/>
      <c r="BV178" s="300"/>
      <c r="BW178" s="300"/>
      <c r="BX178" s="300"/>
      <c r="BY178" s="300"/>
      <c r="BZ178" s="300"/>
      <c r="CA178" s="300"/>
      <c r="CB178" s="300"/>
      <c r="CC178" s="300"/>
      <c r="CD178" s="300"/>
      <c r="CE178" s="300"/>
      <c r="CF178" s="300"/>
      <c r="CG178" s="300"/>
      <c r="CH178" s="300"/>
      <c r="CI178" s="300"/>
      <c r="CJ178" s="300"/>
      <c r="CK178" s="300"/>
      <c r="CL178" s="300"/>
      <c r="CM178" s="300"/>
      <c r="CN178" s="300"/>
      <c r="CO178" s="300"/>
      <c r="CP178" s="300"/>
      <c r="CQ178" s="300"/>
      <c r="CR178" s="300"/>
      <c r="CS178" s="300"/>
      <c r="CT178" s="300"/>
      <c r="CU178" s="300"/>
      <c r="CV178" s="300"/>
      <c r="CW178" s="300"/>
      <c r="CX178" s="300"/>
      <c r="CY178" s="300"/>
      <c r="CZ178" s="300"/>
      <c r="DA178" s="300"/>
      <c r="DB178" s="300"/>
      <c r="DC178" s="300"/>
      <c r="DD178" s="300"/>
      <c r="DE178" s="300"/>
      <c r="DF178" s="300"/>
      <c r="DG178" s="300"/>
      <c r="DH178" s="300"/>
      <c r="DI178" s="300"/>
    </row>
    <row r="179" spans="1:113">
      <c r="BH179" s="9"/>
      <c r="BI179" s="300"/>
      <c r="BJ179" s="300"/>
      <c r="BK179" s="300"/>
      <c r="BL179" s="300"/>
      <c r="BM179" s="300"/>
      <c r="BN179" s="300"/>
      <c r="BO179" s="300"/>
      <c r="BP179" s="300"/>
      <c r="BQ179" s="300"/>
      <c r="BR179" s="300"/>
      <c r="BS179" s="300"/>
      <c r="BT179" s="300"/>
      <c r="BU179" s="300"/>
      <c r="BV179" s="300"/>
      <c r="BW179" s="300"/>
      <c r="BX179" s="300"/>
      <c r="BY179" s="300"/>
      <c r="BZ179" s="300"/>
      <c r="CA179" s="300"/>
      <c r="CB179" s="300"/>
      <c r="CC179" s="300"/>
      <c r="CD179" s="300"/>
      <c r="CE179" s="300"/>
      <c r="CF179" s="300"/>
      <c r="CG179" s="300"/>
      <c r="CH179" s="300"/>
      <c r="CI179" s="300"/>
      <c r="CJ179" s="300"/>
      <c r="CK179" s="300"/>
      <c r="CL179" s="300"/>
      <c r="CM179" s="300"/>
      <c r="CN179" s="300"/>
      <c r="CO179" s="300"/>
      <c r="CP179" s="300"/>
      <c r="CQ179" s="300"/>
      <c r="CR179" s="300"/>
      <c r="CS179" s="300"/>
      <c r="CT179" s="300"/>
      <c r="CU179" s="300"/>
      <c r="CV179" s="300"/>
      <c r="CW179" s="300"/>
      <c r="CX179" s="300"/>
      <c r="CY179" s="300"/>
      <c r="CZ179" s="300"/>
      <c r="DA179" s="300"/>
      <c r="DB179" s="300"/>
      <c r="DC179" s="300"/>
      <c r="DD179" s="300"/>
      <c r="DE179" s="300"/>
      <c r="DF179" s="300"/>
      <c r="DG179" s="300"/>
      <c r="DH179" s="300"/>
      <c r="DI179" s="300"/>
    </row>
    <row r="184" spans="1:113" ht="27">
      <c r="A184" s="298"/>
      <c r="BI184" s="245"/>
      <c r="BJ184" s="246"/>
      <c r="BK184" s="247"/>
      <c r="BL184" s="245"/>
      <c r="BM184" s="246"/>
      <c r="BN184" s="248"/>
      <c r="BO184" s="248"/>
      <c r="BP184" s="248"/>
      <c r="BQ184" s="248"/>
    </row>
    <row r="185" spans="1:113">
      <c r="C185" s="170"/>
      <c r="BI185" s="245"/>
      <c r="BJ185" s="301"/>
      <c r="BK185" s="302"/>
      <c r="BL185" s="302"/>
      <c r="BM185" s="301"/>
      <c r="BN185" s="302"/>
      <c r="BO185" s="302"/>
      <c r="BP185" s="301"/>
      <c r="BQ185" s="302"/>
    </row>
    <row r="186" spans="1:113">
      <c r="B186" s="145"/>
      <c r="C186" s="170"/>
      <c r="BI186" s="245"/>
      <c r="BJ186" s="301"/>
      <c r="BK186" s="302"/>
      <c r="BL186" s="302"/>
      <c r="BM186" s="301"/>
      <c r="BN186" s="302"/>
      <c r="BO186" s="302"/>
      <c r="BP186" s="301"/>
      <c r="BQ186" s="302"/>
    </row>
    <row r="187" spans="1:113">
      <c r="C187" s="170"/>
    </row>
    <row r="188" spans="1:113">
      <c r="C188" s="170"/>
    </row>
    <row r="191" spans="1:113" ht="22">
      <c r="B191" s="303"/>
    </row>
    <row r="192" spans="1:113">
      <c r="BJ192" s="145"/>
      <c r="BK192" s="258"/>
    </row>
    <row r="193" spans="2:92">
      <c r="B193" s="145"/>
      <c r="C193" s="145"/>
      <c r="D193" s="145"/>
      <c r="E193" s="145"/>
      <c r="F193" s="145"/>
      <c r="G193" s="145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  <c r="AA193" s="145"/>
      <c r="AB193" s="145"/>
      <c r="AC193" s="145"/>
      <c r="AD193" s="145"/>
      <c r="AE193" s="145"/>
      <c r="AF193" s="145"/>
      <c r="AG193" s="145"/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45"/>
      <c r="AR193" s="145"/>
      <c r="AS193" s="145"/>
      <c r="AT193" s="145"/>
      <c r="AU193" s="145"/>
      <c r="AV193" s="145"/>
      <c r="AW193" s="145"/>
      <c r="AX193" s="145"/>
      <c r="AY193" s="145"/>
      <c r="AZ193" s="145"/>
      <c r="BA193" s="145"/>
      <c r="BB193" s="145"/>
      <c r="BC193" s="145"/>
      <c r="BJ193" s="185"/>
      <c r="BL193" s="228"/>
      <c r="BM193" s="228"/>
    </row>
    <row r="194" spans="2:92"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J194" s="185"/>
      <c r="BL194" s="228"/>
      <c r="BM194" s="228"/>
    </row>
    <row r="195" spans="2:92">
      <c r="BJ195" s="185"/>
      <c r="BK195" s="258"/>
      <c r="BL195" s="228"/>
      <c r="BM195" s="228"/>
    </row>
    <row r="196" spans="2:92">
      <c r="C196" s="229"/>
      <c r="BJ196" s="185"/>
      <c r="BL196" s="228"/>
      <c r="BM196" s="228"/>
      <c r="BU196" s="258"/>
      <c r="BV196" s="258"/>
      <c r="BW196" s="258"/>
      <c r="BX196" s="258"/>
      <c r="BY196" s="258"/>
      <c r="CB196" s="258"/>
      <c r="CC196" s="258"/>
      <c r="CE196" s="258"/>
      <c r="CF196" s="258"/>
      <c r="CH196" s="258"/>
      <c r="CI196" s="258"/>
      <c r="CK196" s="258"/>
      <c r="CL196" s="258"/>
      <c r="CM196" s="258"/>
      <c r="CN196" s="258"/>
    </row>
    <row r="197" spans="2:92">
      <c r="BJ197" s="185"/>
      <c r="BL197" s="228"/>
      <c r="BM197" s="228"/>
      <c r="BU197" s="258"/>
      <c r="BV197" s="258"/>
      <c r="BW197" s="258"/>
      <c r="BX197" s="258"/>
      <c r="BY197" s="258"/>
      <c r="CB197" s="258"/>
      <c r="CC197" s="258"/>
      <c r="CE197" s="258"/>
      <c r="CF197" s="258"/>
      <c r="CH197" s="258"/>
      <c r="CI197" s="258"/>
      <c r="CK197" s="258"/>
      <c r="CL197" s="258"/>
      <c r="CM197" s="258"/>
      <c r="CN197" s="258"/>
    </row>
    <row r="199" spans="2:92">
      <c r="BV199" s="258"/>
      <c r="BW199" s="258"/>
    </row>
    <row r="200" spans="2:92">
      <c r="BV200" s="258"/>
      <c r="BW200" s="258"/>
    </row>
    <row r="201" spans="2:92">
      <c r="BV201" s="258"/>
      <c r="BW201" s="258"/>
    </row>
    <row r="202" spans="2:92">
      <c r="BV202" s="258"/>
      <c r="BW202" s="258"/>
    </row>
    <row r="203" spans="2:92">
      <c r="BV203" s="258"/>
      <c r="BW203" s="258"/>
    </row>
    <row r="211" spans="1:55">
      <c r="A211" s="170"/>
      <c r="B211" s="304"/>
      <c r="C211" s="304"/>
      <c r="D211" s="304"/>
      <c r="E211" s="304"/>
      <c r="F211" s="304"/>
      <c r="G211" s="304"/>
      <c r="H211" s="304"/>
      <c r="I211" s="304"/>
      <c r="J211" s="304"/>
      <c r="K211" s="304"/>
      <c r="L211" s="304"/>
      <c r="M211" s="304"/>
      <c r="N211" s="304"/>
      <c r="O211" s="304"/>
      <c r="P211" s="304"/>
      <c r="Q211" s="304"/>
      <c r="R211" s="304"/>
      <c r="S211" s="304"/>
      <c r="T211" s="304"/>
      <c r="U211" s="304"/>
      <c r="V211" s="304"/>
      <c r="W211" s="304"/>
      <c r="X211" s="304"/>
      <c r="Y211" s="304"/>
      <c r="Z211" s="304"/>
      <c r="AA211" s="304"/>
      <c r="AB211" s="304"/>
      <c r="AC211" s="304"/>
      <c r="AD211" s="304"/>
      <c r="AE211" s="304"/>
      <c r="AF211" s="304"/>
      <c r="AG211" s="304"/>
      <c r="AH211" s="304"/>
      <c r="AI211" s="304"/>
      <c r="AJ211" s="304"/>
      <c r="AK211" s="304"/>
      <c r="AL211" s="304"/>
      <c r="AM211" s="304"/>
      <c r="AN211" s="304"/>
      <c r="AO211" s="304"/>
      <c r="AP211" s="304"/>
      <c r="AQ211" s="304"/>
      <c r="AR211" s="304"/>
      <c r="AS211" s="304"/>
      <c r="AT211" s="304"/>
      <c r="AU211" s="304"/>
      <c r="AV211" s="304"/>
      <c r="AW211" s="304"/>
      <c r="AX211" s="304"/>
      <c r="AY211" s="304"/>
      <c r="AZ211" s="304"/>
      <c r="BA211" s="304"/>
      <c r="BB211" s="304"/>
      <c r="BC211" s="304"/>
    </row>
    <row r="212" spans="1:55">
      <c r="A212" s="170"/>
      <c r="B212" s="305"/>
      <c r="C212" s="305"/>
      <c r="D212" s="305"/>
      <c r="E212" s="305"/>
      <c r="F212" s="305"/>
      <c r="G212" s="305"/>
      <c r="H212" s="305"/>
      <c r="I212" s="305"/>
      <c r="J212" s="305"/>
      <c r="K212" s="305"/>
      <c r="L212" s="305"/>
      <c r="M212" s="305"/>
      <c r="N212" s="305"/>
      <c r="O212" s="305"/>
      <c r="P212" s="305"/>
      <c r="Q212" s="305"/>
      <c r="R212" s="305"/>
      <c r="S212" s="305"/>
      <c r="T212" s="305"/>
      <c r="U212" s="305"/>
      <c r="V212" s="305"/>
      <c r="W212" s="305"/>
      <c r="X212" s="305"/>
      <c r="Y212" s="305"/>
      <c r="Z212" s="305"/>
      <c r="AA212" s="305"/>
      <c r="AB212" s="305"/>
      <c r="AC212" s="305"/>
      <c r="AD212" s="305"/>
      <c r="AE212" s="305"/>
      <c r="AF212" s="305"/>
      <c r="AG212" s="305"/>
      <c r="AH212" s="305"/>
      <c r="AI212" s="305"/>
      <c r="AJ212" s="305"/>
      <c r="AK212" s="305"/>
      <c r="AL212" s="306"/>
      <c r="AM212" s="306"/>
      <c r="AN212" s="306"/>
      <c r="AO212" s="306"/>
      <c r="AP212" s="306"/>
      <c r="AQ212" s="306"/>
      <c r="AR212" s="306"/>
      <c r="AS212" s="306"/>
      <c r="AT212" s="306"/>
      <c r="AU212" s="306"/>
      <c r="AV212" s="306"/>
      <c r="AW212" s="306"/>
      <c r="AX212" s="306"/>
      <c r="AY212" s="306"/>
      <c r="AZ212" s="306"/>
      <c r="BA212" s="306"/>
      <c r="BB212" s="306"/>
      <c r="BC212" s="306"/>
    </row>
    <row r="213" spans="1:55">
      <c r="A213" s="307"/>
      <c r="B213" s="186"/>
      <c r="C213" s="186"/>
      <c r="D213" s="186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/>
      <c r="P213" s="186"/>
      <c r="Q213" s="186"/>
      <c r="R213" s="186"/>
      <c r="S213" s="186"/>
      <c r="T213" s="186"/>
      <c r="U213" s="186"/>
      <c r="V213" s="186"/>
      <c r="W213" s="186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186"/>
      <c r="AJ213" s="186"/>
      <c r="AK213" s="186"/>
      <c r="AL213" s="186"/>
      <c r="AM213" s="186"/>
      <c r="AN213" s="186"/>
      <c r="AO213" s="186"/>
      <c r="AP213" s="186"/>
      <c r="AQ213" s="186"/>
      <c r="AR213" s="186"/>
      <c r="AS213" s="186"/>
      <c r="AT213" s="186"/>
      <c r="AU213" s="186"/>
      <c r="AV213" s="186"/>
      <c r="AW213" s="186"/>
      <c r="AX213" s="186"/>
      <c r="AY213" s="186"/>
      <c r="AZ213" s="186"/>
      <c r="BA213" s="186"/>
      <c r="BB213" s="186"/>
      <c r="BC213" s="186"/>
    </row>
    <row r="214" spans="1:55">
      <c r="A214" s="307"/>
      <c r="B214" s="186"/>
      <c r="C214" s="186"/>
      <c r="D214" s="186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  <c r="R214" s="186"/>
      <c r="S214" s="186"/>
      <c r="T214" s="186"/>
      <c r="U214" s="186"/>
      <c r="V214" s="186"/>
      <c r="W214" s="186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186"/>
      <c r="AJ214" s="186"/>
      <c r="AK214" s="186"/>
      <c r="AL214" s="186"/>
      <c r="AM214" s="186"/>
      <c r="AN214" s="186"/>
      <c r="AO214" s="186"/>
      <c r="AP214" s="186"/>
      <c r="AQ214" s="186"/>
      <c r="AR214" s="186"/>
      <c r="AS214" s="186"/>
      <c r="AT214" s="186"/>
      <c r="AU214" s="186"/>
      <c r="AV214" s="186"/>
      <c r="AW214" s="186"/>
      <c r="AX214" s="186"/>
      <c r="AY214" s="186"/>
      <c r="AZ214" s="186"/>
      <c r="BA214" s="186"/>
      <c r="BB214" s="186"/>
      <c r="BC214" s="186"/>
    </row>
    <row r="215" spans="1:55">
      <c r="A215" s="307"/>
      <c r="B215" s="186"/>
      <c r="C215" s="186"/>
      <c r="D215" s="186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/>
      <c r="P215" s="186"/>
      <c r="Q215" s="186"/>
      <c r="R215" s="186"/>
      <c r="S215" s="186"/>
      <c r="T215" s="186"/>
      <c r="U215" s="186"/>
      <c r="V215" s="186"/>
      <c r="W215" s="186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186"/>
      <c r="AJ215" s="186"/>
      <c r="AK215" s="186"/>
      <c r="AL215" s="186"/>
      <c r="AM215" s="186"/>
      <c r="AN215" s="186"/>
      <c r="AO215" s="186"/>
      <c r="AP215" s="186"/>
      <c r="AQ215" s="186"/>
      <c r="AR215" s="186"/>
      <c r="AS215" s="186"/>
      <c r="AT215" s="186"/>
      <c r="AU215" s="186"/>
      <c r="AV215" s="186"/>
      <c r="AW215" s="186"/>
      <c r="AX215" s="186"/>
      <c r="AY215" s="186"/>
      <c r="AZ215" s="186"/>
      <c r="BA215" s="186"/>
      <c r="BB215" s="186"/>
      <c r="BC215" s="186"/>
    </row>
    <row r="216" spans="1:55">
      <c r="A216" s="307"/>
      <c r="B216" s="186"/>
      <c r="C216" s="186"/>
      <c r="D216" s="186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/>
      <c r="P216" s="186"/>
      <c r="Q216" s="186"/>
      <c r="R216" s="186"/>
      <c r="S216" s="186"/>
      <c r="T216" s="186"/>
      <c r="U216" s="186"/>
      <c r="V216" s="186"/>
      <c r="W216" s="186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186"/>
      <c r="AJ216" s="186"/>
      <c r="AK216" s="186"/>
      <c r="AL216" s="186"/>
      <c r="AM216" s="186"/>
      <c r="AN216" s="186"/>
      <c r="AO216" s="186"/>
      <c r="AP216" s="186"/>
      <c r="AQ216" s="186"/>
      <c r="AR216" s="186"/>
      <c r="AS216" s="186"/>
      <c r="AT216" s="186"/>
      <c r="AU216" s="186"/>
      <c r="AV216" s="186"/>
      <c r="AW216" s="186"/>
      <c r="AX216" s="186"/>
      <c r="AY216" s="186"/>
      <c r="AZ216" s="186"/>
      <c r="BA216" s="186"/>
      <c r="BB216" s="186"/>
      <c r="BC216" s="186"/>
    </row>
    <row r="217" spans="1:55">
      <c r="A217" s="307"/>
      <c r="B217" s="186"/>
      <c r="C217" s="186"/>
      <c r="D217" s="186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/>
      <c r="P217" s="186"/>
      <c r="Q217" s="186"/>
      <c r="R217" s="186"/>
      <c r="S217" s="186"/>
      <c r="T217" s="186"/>
      <c r="U217" s="186"/>
      <c r="V217" s="186"/>
      <c r="W217" s="186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186"/>
      <c r="AJ217" s="186"/>
      <c r="AK217" s="186"/>
      <c r="AL217" s="186"/>
      <c r="AM217" s="186"/>
      <c r="AN217" s="186"/>
      <c r="AO217" s="186"/>
      <c r="AP217" s="186"/>
      <c r="AQ217" s="186"/>
      <c r="AR217" s="186"/>
      <c r="AS217" s="186"/>
      <c r="AT217" s="186"/>
      <c r="AU217" s="186"/>
      <c r="AV217" s="186"/>
      <c r="AW217" s="186"/>
      <c r="AX217" s="186"/>
      <c r="AY217" s="186"/>
      <c r="AZ217" s="186"/>
      <c r="BA217" s="186"/>
      <c r="BB217" s="186"/>
      <c r="BC217" s="186"/>
    </row>
    <row r="218" spans="1:55">
      <c r="A218" s="307"/>
      <c r="B218" s="186"/>
      <c r="C218" s="186"/>
      <c r="D218" s="186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/>
      <c r="P218" s="186"/>
      <c r="Q218" s="186"/>
      <c r="R218" s="186"/>
      <c r="S218" s="186"/>
      <c r="T218" s="186"/>
      <c r="U218" s="186"/>
      <c r="V218" s="186"/>
      <c r="W218" s="186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186"/>
      <c r="AJ218" s="186"/>
      <c r="AK218" s="186"/>
      <c r="AL218" s="186"/>
      <c r="AM218" s="186"/>
      <c r="AN218" s="186"/>
      <c r="AO218" s="186"/>
      <c r="AP218" s="186"/>
      <c r="AQ218" s="186"/>
      <c r="AR218" s="186"/>
      <c r="AS218" s="186"/>
      <c r="AT218" s="186"/>
      <c r="AU218" s="186"/>
      <c r="AV218" s="186"/>
      <c r="AW218" s="186"/>
      <c r="AX218" s="186"/>
      <c r="AY218" s="186"/>
      <c r="AZ218" s="186"/>
      <c r="BA218" s="186"/>
      <c r="BB218" s="186"/>
      <c r="BC218" s="186"/>
    </row>
    <row r="219" spans="1:55">
      <c r="A219" s="307"/>
      <c r="B219" s="186"/>
      <c r="C219" s="186"/>
      <c r="D219" s="186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/>
      <c r="P219" s="186"/>
      <c r="Q219" s="186"/>
      <c r="R219" s="186"/>
      <c r="S219" s="186"/>
      <c r="T219" s="186"/>
      <c r="U219" s="186"/>
      <c r="V219" s="186"/>
      <c r="W219" s="186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186"/>
      <c r="AJ219" s="186"/>
      <c r="AK219" s="186"/>
      <c r="AL219" s="186"/>
      <c r="AM219" s="186"/>
      <c r="AN219" s="186"/>
      <c r="AO219" s="186"/>
      <c r="AP219" s="186"/>
      <c r="AQ219" s="186"/>
      <c r="AR219" s="186"/>
      <c r="AS219" s="186"/>
      <c r="AT219" s="186"/>
      <c r="AU219" s="186"/>
      <c r="AV219" s="186"/>
      <c r="AW219" s="186"/>
      <c r="AX219" s="186"/>
      <c r="AY219" s="186"/>
      <c r="AZ219" s="186"/>
      <c r="BA219" s="186"/>
      <c r="BB219" s="186"/>
      <c r="BC219" s="186"/>
    </row>
    <row r="220" spans="1:55">
      <c r="A220" s="307"/>
      <c r="B220" s="308"/>
      <c r="C220" s="308"/>
      <c r="D220" s="308"/>
      <c r="E220" s="308"/>
      <c r="F220" s="308"/>
      <c r="G220" s="308"/>
      <c r="H220" s="308"/>
      <c r="I220" s="308"/>
      <c r="J220" s="308"/>
      <c r="K220" s="308"/>
      <c r="L220" s="308"/>
      <c r="M220" s="308"/>
      <c r="N220" s="308"/>
      <c r="O220" s="308"/>
      <c r="P220" s="308"/>
      <c r="Q220" s="308"/>
      <c r="R220" s="308"/>
      <c r="S220" s="308"/>
      <c r="T220" s="308"/>
      <c r="U220" s="308"/>
      <c r="V220" s="308"/>
      <c r="W220" s="308"/>
      <c r="X220" s="308"/>
      <c r="Y220" s="308"/>
      <c r="Z220" s="308"/>
      <c r="AA220" s="308"/>
      <c r="AB220" s="308"/>
      <c r="AC220" s="308"/>
      <c r="AD220" s="308"/>
      <c r="AE220" s="308"/>
      <c r="AF220" s="308"/>
      <c r="AG220" s="308"/>
      <c r="AH220" s="308"/>
      <c r="AI220" s="308"/>
      <c r="AJ220" s="308"/>
      <c r="AK220" s="308"/>
      <c r="AL220" s="308"/>
      <c r="AM220" s="308"/>
      <c r="AN220" s="308"/>
      <c r="AO220" s="308"/>
      <c r="AP220" s="308"/>
      <c r="AQ220" s="308"/>
      <c r="AR220" s="308"/>
      <c r="AS220" s="308"/>
      <c r="AT220" s="308"/>
      <c r="AU220" s="308"/>
      <c r="AV220" s="308"/>
      <c r="AW220" s="308"/>
      <c r="AX220" s="308"/>
      <c r="AY220" s="308"/>
      <c r="AZ220" s="308"/>
      <c r="BA220" s="308"/>
      <c r="BB220" s="308"/>
      <c r="BC220" s="308"/>
    </row>
    <row r="221" spans="1:55">
      <c r="A221" s="170"/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287"/>
      <c r="R221" s="287"/>
      <c r="S221" s="287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287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287"/>
      <c r="AY221" s="287"/>
      <c r="AZ221" s="287"/>
      <c r="BA221" s="287"/>
      <c r="BB221" s="287"/>
      <c r="BC221" s="287"/>
    </row>
    <row r="222" spans="1:55">
      <c r="A222" s="170"/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287"/>
      <c r="R222" s="287"/>
      <c r="S222" s="287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287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287"/>
      <c r="AY222" s="287"/>
      <c r="AZ222" s="287"/>
      <c r="BA222" s="287"/>
      <c r="BB222" s="287"/>
      <c r="BC222" s="287"/>
    </row>
    <row r="223" spans="1:55">
      <c r="A223" s="170"/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287"/>
      <c r="R223" s="287"/>
      <c r="S223" s="287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287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287"/>
      <c r="AY223" s="287"/>
      <c r="AZ223" s="287"/>
      <c r="BA223" s="287"/>
      <c r="BB223" s="287"/>
      <c r="BC223" s="287"/>
    </row>
    <row r="224" spans="1:55">
      <c r="A224" s="170"/>
      <c r="B224" s="287"/>
      <c r="C224" s="287"/>
      <c r="D224" s="287"/>
      <c r="E224" s="287"/>
      <c r="F224" s="287"/>
      <c r="G224" s="287"/>
      <c r="H224" s="287"/>
      <c r="I224" s="287"/>
      <c r="J224" s="287"/>
      <c r="K224" s="287"/>
      <c r="L224" s="287"/>
      <c r="M224" s="287"/>
      <c r="N224" s="287"/>
      <c r="O224" s="287"/>
      <c r="P224" s="287"/>
      <c r="Q224" s="287"/>
      <c r="R224" s="287"/>
      <c r="S224" s="287"/>
      <c r="T224" s="287"/>
      <c r="U224" s="287"/>
      <c r="V224" s="287"/>
      <c r="W224" s="287"/>
      <c r="X224" s="287"/>
      <c r="Y224" s="287"/>
      <c r="Z224" s="287"/>
      <c r="AA224" s="287"/>
      <c r="AB224" s="287"/>
      <c r="AC224" s="287"/>
      <c r="AD224" s="287"/>
      <c r="AE224" s="287"/>
      <c r="AF224" s="287"/>
      <c r="AG224" s="287"/>
      <c r="AH224" s="287"/>
      <c r="AI224" s="287"/>
      <c r="AJ224" s="287"/>
      <c r="AK224" s="287"/>
      <c r="AL224" s="287"/>
      <c r="AM224" s="287"/>
      <c r="AN224" s="287"/>
      <c r="AO224" s="287"/>
      <c r="AP224" s="287"/>
      <c r="AQ224" s="287"/>
      <c r="AR224" s="287"/>
      <c r="AS224" s="287"/>
      <c r="AT224" s="287"/>
      <c r="AU224" s="287"/>
      <c r="AV224" s="287"/>
      <c r="AW224" s="287"/>
      <c r="AX224" s="287"/>
      <c r="AY224" s="287"/>
      <c r="AZ224" s="287"/>
      <c r="BA224" s="287"/>
      <c r="BB224" s="287"/>
      <c r="BC224" s="287"/>
    </row>
    <row r="225" spans="1:55">
      <c r="A225" s="170"/>
      <c r="B225" s="309"/>
      <c r="C225" s="309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  <c r="Q225" s="309"/>
      <c r="R225" s="309"/>
      <c r="S225" s="309"/>
      <c r="T225" s="309"/>
      <c r="U225" s="309"/>
      <c r="V225" s="309"/>
      <c r="W225" s="309"/>
      <c r="X225" s="309"/>
      <c r="Y225" s="309"/>
      <c r="Z225" s="309"/>
      <c r="AA225" s="309"/>
      <c r="AB225" s="309"/>
      <c r="AC225" s="309"/>
      <c r="AD225" s="309"/>
      <c r="AE225" s="309"/>
      <c r="AF225" s="309"/>
      <c r="AG225" s="309"/>
      <c r="AH225" s="309"/>
      <c r="AI225" s="309"/>
      <c r="AJ225" s="309"/>
      <c r="AK225" s="309"/>
      <c r="AL225" s="309"/>
      <c r="AM225" s="309"/>
      <c r="AN225" s="309"/>
      <c r="AO225" s="309"/>
      <c r="AP225" s="309"/>
      <c r="AQ225" s="309"/>
      <c r="AR225" s="309"/>
      <c r="AS225" s="309"/>
      <c r="AT225" s="309"/>
      <c r="AU225" s="309"/>
      <c r="AV225" s="309"/>
      <c r="AW225" s="309"/>
      <c r="AX225" s="309"/>
      <c r="AY225" s="309"/>
      <c r="AZ225" s="309"/>
      <c r="BA225" s="309"/>
      <c r="BB225" s="309"/>
      <c r="BC225" s="309"/>
    </row>
    <row r="226" spans="1:55">
      <c r="A226" s="170"/>
      <c r="B226" s="309"/>
      <c r="C226" s="309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  <c r="P226" s="309"/>
      <c r="Q226" s="309"/>
      <c r="R226" s="309"/>
      <c r="S226" s="309"/>
      <c r="T226" s="309"/>
      <c r="U226" s="309"/>
      <c r="V226" s="309"/>
      <c r="W226" s="309"/>
      <c r="X226" s="309"/>
      <c r="Y226" s="309"/>
      <c r="Z226" s="309"/>
      <c r="AA226" s="309"/>
      <c r="AB226" s="309"/>
      <c r="AC226" s="309"/>
      <c r="AD226" s="309"/>
      <c r="AE226" s="309"/>
      <c r="AF226" s="309"/>
      <c r="AG226" s="309"/>
      <c r="AH226" s="309"/>
      <c r="AI226" s="309"/>
      <c r="AJ226" s="309"/>
      <c r="AK226" s="309"/>
      <c r="AL226" s="309"/>
      <c r="AM226" s="309"/>
      <c r="AN226" s="309"/>
      <c r="AO226" s="309"/>
      <c r="AP226" s="309"/>
      <c r="AQ226" s="309"/>
      <c r="AR226" s="309"/>
      <c r="AS226" s="309"/>
      <c r="AT226" s="309"/>
      <c r="AU226" s="309"/>
      <c r="AV226" s="309"/>
      <c r="AW226" s="309"/>
      <c r="AX226" s="309"/>
      <c r="AY226" s="309"/>
      <c r="AZ226" s="309"/>
      <c r="BA226" s="309"/>
      <c r="BB226" s="309"/>
      <c r="BC226" s="309"/>
    </row>
    <row r="227" spans="1:55">
      <c r="A227" s="170"/>
      <c r="B227" s="309"/>
      <c r="C227" s="309"/>
      <c r="D227" s="309"/>
      <c r="E227" s="309"/>
      <c r="F227" s="309"/>
      <c r="G227" s="309"/>
      <c r="H227" s="309"/>
      <c r="I227" s="309"/>
      <c r="J227" s="309"/>
      <c r="K227" s="309"/>
      <c r="L227" s="309"/>
      <c r="M227" s="309"/>
      <c r="N227" s="309"/>
      <c r="O227" s="309"/>
      <c r="P227" s="309"/>
      <c r="Q227" s="309"/>
      <c r="R227" s="309"/>
      <c r="S227" s="309"/>
      <c r="T227" s="309"/>
      <c r="U227" s="309"/>
      <c r="V227" s="309"/>
      <c r="W227" s="309"/>
      <c r="X227" s="309"/>
      <c r="Y227" s="309"/>
      <c r="Z227" s="309"/>
      <c r="AA227" s="309"/>
      <c r="AB227" s="309"/>
      <c r="AC227" s="309"/>
      <c r="AD227" s="309"/>
      <c r="AE227" s="309"/>
      <c r="AF227" s="309"/>
      <c r="AG227" s="309"/>
      <c r="AH227" s="309"/>
      <c r="AI227" s="309"/>
      <c r="AJ227" s="309"/>
      <c r="AK227" s="309"/>
      <c r="AL227" s="309"/>
      <c r="AM227" s="309"/>
      <c r="AN227" s="309"/>
      <c r="AO227" s="309"/>
      <c r="AP227" s="309"/>
      <c r="AQ227" s="309"/>
      <c r="AR227" s="309"/>
      <c r="AS227" s="309"/>
      <c r="AT227" s="309"/>
      <c r="AU227" s="309"/>
      <c r="AV227" s="309"/>
      <c r="AW227" s="309"/>
      <c r="AX227" s="309"/>
      <c r="AY227" s="309"/>
      <c r="AZ227" s="309"/>
      <c r="BA227" s="309"/>
      <c r="BB227" s="309"/>
      <c r="BC227" s="309"/>
    </row>
    <row r="228" spans="1:55">
      <c r="A228" s="170"/>
      <c r="B228" s="309"/>
      <c r="C228" s="309"/>
      <c r="D228" s="309"/>
      <c r="E228" s="309"/>
      <c r="F228" s="309"/>
      <c r="G228" s="309"/>
      <c r="H228" s="309"/>
      <c r="I228" s="309"/>
      <c r="J228" s="309"/>
      <c r="K228" s="309"/>
      <c r="L228" s="309"/>
      <c r="M228" s="309"/>
      <c r="N228" s="309"/>
      <c r="O228" s="309"/>
      <c r="P228" s="309"/>
      <c r="Q228" s="309"/>
      <c r="R228" s="309"/>
      <c r="S228" s="309"/>
      <c r="T228" s="309"/>
      <c r="U228" s="309"/>
      <c r="V228" s="309"/>
      <c r="W228" s="309"/>
      <c r="X228" s="309"/>
      <c r="Y228" s="309"/>
      <c r="Z228" s="309"/>
      <c r="AA228" s="309"/>
      <c r="AB228" s="309"/>
      <c r="AC228" s="309"/>
      <c r="AD228" s="309"/>
      <c r="AE228" s="309"/>
      <c r="AF228" s="309"/>
      <c r="AG228" s="309"/>
      <c r="AH228" s="309"/>
      <c r="AI228" s="309"/>
      <c r="AJ228" s="309"/>
      <c r="AK228" s="309"/>
      <c r="AL228" s="309"/>
      <c r="AM228" s="309"/>
      <c r="AN228" s="309"/>
      <c r="AO228" s="309"/>
      <c r="AP228" s="309"/>
      <c r="AQ228" s="309"/>
      <c r="AR228" s="309"/>
      <c r="AS228" s="309"/>
      <c r="AT228" s="309"/>
      <c r="AU228" s="309"/>
      <c r="AV228" s="309"/>
      <c r="AW228" s="309"/>
      <c r="AX228" s="309"/>
      <c r="AY228" s="309"/>
      <c r="AZ228" s="309"/>
      <c r="BA228" s="309"/>
      <c r="BB228" s="309"/>
      <c r="BC228" s="309"/>
    </row>
    <row r="232" spans="1:55" ht="27">
      <c r="B232" s="195"/>
      <c r="C232" s="195"/>
      <c r="D232" s="195"/>
    </row>
    <row r="233" spans="1:55">
      <c r="B233" s="294"/>
      <c r="C233" s="294"/>
      <c r="D233" s="294"/>
      <c r="E233" s="294"/>
    </row>
    <row r="234" spans="1:55">
      <c r="A234" s="294"/>
    </row>
    <row r="235" spans="1:55">
      <c r="A235" s="294"/>
    </row>
    <row r="236" spans="1:55">
      <c r="A236" s="294"/>
    </row>
    <row r="237" spans="1:55">
      <c r="A237" s="294"/>
    </row>
    <row r="238" spans="1:55">
      <c r="A238" s="294"/>
    </row>
    <row r="239" spans="1:55">
      <c r="A239" s="294"/>
    </row>
    <row r="240" spans="1:55">
      <c r="A240" s="294"/>
    </row>
    <row r="241" spans="1:5">
      <c r="A241" s="294"/>
    </row>
    <row r="242" spans="1:5">
      <c r="A242" s="295"/>
      <c r="B242" s="257"/>
      <c r="C242" s="257"/>
      <c r="D242" s="257"/>
      <c r="E242" s="257"/>
    </row>
    <row r="243" spans="1:5">
      <c r="B243" s="258"/>
      <c r="C243" s="258"/>
      <c r="D243" s="258"/>
      <c r="E243" s="258"/>
    </row>
    <row r="248" spans="1:5">
      <c r="B248" s="294"/>
    </row>
    <row r="249" spans="1:5">
      <c r="B249" s="294"/>
    </row>
    <row r="250" spans="1:5">
      <c r="B250" s="294"/>
    </row>
    <row r="251" spans="1:5">
      <c r="B251" s="294"/>
    </row>
    <row r="252" spans="1:5">
      <c r="B252" s="294"/>
    </row>
    <row r="253" spans="1:5">
      <c r="B253" s="294"/>
    </row>
    <row r="254" spans="1:5">
      <c r="B254" s="294"/>
    </row>
    <row r="255" spans="1:5">
      <c r="B255" s="294"/>
    </row>
    <row r="256" spans="1:5">
      <c r="B256" s="294"/>
    </row>
    <row r="257" spans="2:2">
      <c r="B257" s="294"/>
    </row>
    <row r="258" spans="2:2">
      <c r="B258" s="294"/>
    </row>
    <row r="259" spans="2:2">
      <c r="B259" s="294"/>
    </row>
    <row r="260" spans="2:2">
      <c r="B260" s="294"/>
    </row>
    <row r="261" spans="2:2">
      <c r="B261" s="294"/>
    </row>
    <row r="262" spans="2:2">
      <c r="B262" s="294"/>
    </row>
    <row r="263" spans="2:2">
      <c r="B263" s="294"/>
    </row>
    <row r="264" spans="2:2">
      <c r="B264" s="294"/>
    </row>
    <row r="265" spans="2:2">
      <c r="B265" s="294"/>
    </row>
    <row r="266" spans="2:2">
      <c r="B266" s="294"/>
    </row>
    <row r="267" spans="2:2">
      <c r="B267" s="294"/>
    </row>
    <row r="268" spans="2:2">
      <c r="B268" s="294"/>
    </row>
    <row r="269" spans="2:2">
      <c r="B269" s="294"/>
    </row>
    <row r="270" spans="2:2">
      <c r="B270" s="294"/>
    </row>
    <row r="271" spans="2:2">
      <c r="B271" s="294"/>
    </row>
    <row r="272" spans="2:2">
      <c r="B272" s="294"/>
    </row>
    <row r="273" spans="2:2">
      <c r="B273" s="294"/>
    </row>
    <row r="274" spans="2:2">
      <c r="B274" s="294"/>
    </row>
    <row r="275" spans="2:2">
      <c r="B275" s="294"/>
    </row>
    <row r="276" spans="2:2">
      <c r="B276" s="294"/>
    </row>
    <row r="277" spans="2:2">
      <c r="B277" s="294"/>
    </row>
    <row r="278" spans="2:2">
      <c r="B278" s="294"/>
    </row>
    <row r="279" spans="2:2">
      <c r="B279" s="294"/>
    </row>
    <row r="280" spans="2:2">
      <c r="B280" s="294"/>
    </row>
    <row r="281" spans="2:2">
      <c r="B281" s="294"/>
    </row>
    <row r="282" spans="2:2">
      <c r="B282" s="294"/>
    </row>
    <row r="283" spans="2:2">
      <c r="B283" s="294"/>
    </row>
    <row r="284" spans="2:2">
      <c r="B284" s="310"/>
    </row>
    <row r="285" spans="2:2">
      <c r="B285" s="310"/>
    </row>
    <row r="286" spans="2:2">
      <c r="B286" s="310"/>
    </row>
    <row r="287" spans="2:2">
      <c r="B287" s="310"/>
    </row>
    <row r="288" spans="2:2">
      <c r="B288" s="310"/>
    </row>
    <row r="289" spans="2:2">
      <c r="B289" s="310"/>
    </row>
    <row r="290" spans="2:2">
      <c r="B290" s="310"/>
    </row>
    <row r="291" spans="2:2">
      <c r="B291" s="310"/>
    </row>
    <row r="292" spans="2:2">
      <c r="B292" s="310"/>
    </row>
    <row r="293" spans="2:2">
      <c r="B293" s="310"/>
    </row>
    <row r="294" spans="2:2">
      <c r="B294" s="310"/>
    </row>
    <row r="295" spans="2:2">
      <c r="B295" s="310"/>
    </row>
    <row r="296" spans="2:2">
      <c r="B296" s="310"/>
    </row>
    <row r="297" spans="2:2">
      <c r="B297" s="310"/>
    </row>
    <row r="298" spans="2:2">
      <c r="B298" s="310"/>
    </row>
    <row r="299" spans="2:2">
      <c r="B299" s="310"/>
    </row>
    <row r="300" spans="2:2">
      <c r="B300" s="310"/>
    </row>
    <row r="301" spans="2:2">
      <c r="B301" s="310"/>
    </row>
  </sheetData>
  <mergeCells count="1">
    <mergeCell ref="B153:D153"/>
  </mergeCells>
  <dataValidations disablePrompts="1" count="1">
    <dataValidation type="list" allowBlank="1" showInputMessage="1" showErrorMessage="1" sqref="B138" xr:uid="{54D54124-0920-0249-AE74-BE271A8DC0C0}">
      <formula1>$B$248:$B$301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b2ca2a-c316-4112-a1b0-9e8a9845e555">
      <Terms xmlns="http://schemas.microsoft.com/office/infopath/2007/PartnerControls"/>
    </lcf76f155ced4ddcb4097134ff3c332f>
    <TaxCatchAll xmlns="7606deac-def9-499c-82d6-d3b6f2ad885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24E3640C28BDA4BA00F79D854689380" ma:contentTypeVersion="11" ma:contentTypeDescription="Ein neues Dokument erstellen." ma:contentTypeScope="" ma:versionID="6ca3bf417c7159bba022f3c08c230e20">
  <xsd:schema xmlns:xsd="http://www.w3.org/2001/XMLSchema" xmlns:xs="http://www.w3.org/2001/XMLSchema" xmlns:p="http://schemas.microsoft.com/office/2006/metadata/properties" xmlns:ns2="edb2ca2a-c316-4112-a1b0-9e8a9845e555" xmlns:ns3="7606deac-def9-499c-82d6-d3b6f2ad8852" targetNamespace="http://schemas.microsoft.com/office/2006/metadata/properties" ma:root="true" ma:fieldsID="b9c072d1c02797be0e8ce54e1cec148f" ns2:_="" ns3:_="">
    <xsd:import namespace="edb2ca2a-c316-4112-a1b0-9e8a9845e555"/>
    <xsd:import namespace="7606deac-def9-499c-82d6-d3b6f2ad88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b2ca2a-c316-4112-a1b0-9e8a9845e5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e6e639ec-35b1-4635-902a-5d545950234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06deac-def9-499c-82d6-d3b6f2ad885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6bbf54b-a3fe-428d-adab-5f3e6813cad2}" ma:internalName="TaxCatchAll" ma:showField="CatchAllData" ma:web="7606deac-def9-499c-82d6-d3b6f2ad88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5C602B2-E048-4BBE-B331-DDE026B89F2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93FC3C-9FA6-4582-837A-CDF95FB8B712}">
  <ds:schemaRefs>
    <ds:schemaRef ds:uri="http://schemas.microsoft.com/office/2006/documentManagement/types"/>
    <ds:schemaRef ds:uri="7606deac-def9-499c-82d6-d3b6f2ad8852"/>
    <ds:schemaRef ds:uri="http://schemas.microsoft.com/office/2006/metadata/properties"/>
    <ds:schemaRef ds:uri="edb2ca2a-c316-4112-a1b0-9e8a9845e555"/>
    <ds:schemaRef ds:uri="http://www.w3.org/XML/1998/namespace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54299D2-ADEA-4690-AEA8-2DB2281911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b2ca2a-c316-4112-a1b0-9e8a9845e555"/>
    <ds:schemaRef ds:uri="7606deac-def9-499c-82d6-d3b6f2ad88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General overview</vt:lpstr>
      <vt:lpstr>CF Timeline</vt:lpstr>
      <vt:lpstr>Income and Pension</vt:lpstr>
      <vt:lpstr>Partner Income and Pension</vt:lpstr>
      <vt:lpstr>Taxes</vt:lpstr>
      <vt:lpstr>Taxes new postcode</vt:lpstr>
      <vt:lpstr>Luxus </vt:lpstr>
      <vt:lpstr>Health insurance</vt:lpstr>
      <vt:lpstr>Health insurance new postcode</vt:lpstr>
      <vt:lpstr>Investments</vt:lpstr>
      <vt:lpstr>Pension calculator 3a</vt:lpstr>
      <vt:lpstr>House calculator </vt:lpstr>
      <vt:lpstr>Realestate</vt:lpstr>
      <vt:lpstr>RE</vt:lpstr>
      <vt:lpstr>Children</vt:lpstr>
      <vt:lpstr>RC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Lorenzo Lonni</dc:creator>
  <cp:keywords/>
  <dc:description/>
  <cp:lastModifiedBy>Rupena, Leo</cp:lastModifiedBy>
  <cp:revision/>
  <dcterms:created xsi:type="dcterms:W3CDTF">2024-10-14T11:08:26Z</dcterms:created>
  <dcterms:modified xsi:type="dcterms:W3CDTF">2024-12-03T13:45:07Z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0x010100624E3640C28BDA4BA00F79D854689380</vt:lpwstr>
  </property>
  <property fmtid="{D5CDD505-2E9C-101B-9397-08002B2CF9AE}" pid="3" name="MediaServiceImageTags">
    <vt:lpwstr/>
  </property>
</Properties>
</file>